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hidePivotFieldList="1" defaultThemeVersion="166925"/>
  <mc:AlternateContent xmlns:mc="http://schemas.openxmlformats.org/markup-compatibility/2006">
    <mc:Choice Requires="x15">
      <x15ac:absPath xmlns:x15ac="http://schemas.microsoft.com/office/spreadsheetml/2010/11/ac" url="https://d.docs.live.net/d08144d28462779f/ABJ/Database/"/>
    </mc:Choice>
  </mc:AlternateContent>
  <xr:revisionPtr revIDLastSave="12923" documentId="6_{688E62C6-BC94-4232-843C-5E79E31A2635}" xr6:coauthVersionLast="47" xr6:coauthVersionMax="47" xr10:uidLastSave="{50F13070-EFB2-EC4B-9F2E-F4AA1C7AF4E3}"/>
  <bookViews>
    <workbookView xWindow="15240" yWindow="1620" windowWidth="44940" windowHeight="24560" xr2:uid="{4FE7D1C8-325D-4B0D-A290-A375FA0449E6}"/>
  </bookViews>
  <sheets>
    <sheet name="Database MK" sheetId="2" r:id="rId1"/>
    <sheet name="Review" sheetId="10" r:id="rId2"/>
    <sheet name="Summary PR PO GR" sheetId="3" r:id="rId3"/>
    <sheet name="Summary Izin" sheetId="8" r:id="rId4"/>
    <sheet name="Tree Apr 26" sheetId="5" state="hidden" r:id="rId5"/>
    <sheet name="Tree Okt 26" sheetId="9" r:id="rId6"/>
  </sheets>
  <definedNames>
    <definedName name="_xlnm._FilterDatabase" localSheetId="0" hidden="1">'Database MK'!$V$470:$V$470</definedName>
    <definedName name="_xlnm.Print_Area" localSheetId="0">'Database MK'!$B$3:$CW$344</definedName>
    <definedName name="_xlnm.Print_Titles" localSheetId="0">'Database MK'!$4:$4</definedName>
    <definedName name="Slicer_Directorat">#N/A</definedName>
    <definedName name="Slicer_Jadwal_TOK">#N/A</definedName>
    <definedName name="Slicer_Kategori">#N/A</definedName>
    <definedName name="Slicer_Kategori_Jadwal">#N/A</definedName>
    <definedName name="Slicer_Proyek">#N/A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 i="9" l="1"/>
  <c r="ER340" i="2"/>
  <c r="ER337" i="2"/>
  <c r="ER336" i="2"/>
  <c r="ER334" i="2"/>
  <c r="ER330" i="2"/>
  <c r="ER329" i="2"/>
  <c r="ER328" i="2"/>
  <c r="ER325" i="2"/>
  <c r="ER324" i="2"/>
  <c r="ER323" i="2"/>
  <c r="ER321" i="2"/>
  <c r="ER317" i="2"/>
  <c r="ER308" i="2"/>
  <c r="ER295" i="2"/>
  <c r="ER292" i="2"/>
  <c r="ER290" i="2"/>
  <c r="ER289" i="2"/>
  <c r="ER287" i="2"/>
  <c r="ER284" i="2"/>
  <c r="ER283" i="2"/>
  <c r="ER280" i="2"/>
  <c r="ER279" i="2"/>
  <c r="ER277" i="2"/>
  <c r="ER276" i="2"/>
  <c r="ER270" i="2"/>
  <c r="ER269" i="2"/>
  <c r="ER268" i="2"/>
  <c r="ER267" i="2"/>
  <c r="ER266" i="2"/>
  <c r="ER265" i="2"/>
  <c r="ER264" i="2"/>
  <c r="ER263" i="2"/>
  <c r="ER262" i="2"/>
  <c r="ER258" i="2"/>
  <c r="ER257" i="2"/>
  <c r="ER256" i="2"/>
  <c r="ER255" i="2"/>
  <c r="ER254" i="2"/>
  <c r="ER253" i="2"/>
  <c r="ER252" i="2"/>
  <c r="ER251" i="2"/>
  <c r="ER250" i="2"/>
  <c r="ER249" i="2"/>
  <c r="ER248" i="2"/>
  <c r="ER247" i="2"/>
  <c r="ER246" i="2"/>
  <c r="ER244" i="2"/>
  <c r="ER243" i="2"/>
  <c r="ER242" i="2"/>
  <c r="ER241" i="2"/>
  <c r="ER240" i="2"/>
  <c r="ER237" i="2"/>
  <c r="EO245" i="2"/>
  <c r="ER245" i="2" s="1"/>
  <c r="EO238" i="2"/>
  <c r="ER238" i="2" s="1"/>
  <c r="EO239" i="2"/>
  <c r="ER239" i="2" s="1"/>
  <c r="EO259" i="2"/>
  <c r="ER259" i="2" s="1"/>
  <c r="EO260" i="2"/>
  <c r="ER260" i="2" s="1"/>
  <c r="EO261" i="2"/>
  <c r="ER261" i="2" s="1"/>
  <c r="EO272" i="2"/>
  <c r="ER272" i="2" s="1"/>
  <c r="EO273" i="2"/>
  <c r="ER273" i="2" s="1"/>
  <c r="EO275" i="2"/>
  <c r="ER275" i="2" s="1"/>
  <c r="EO281" i="2"/>
  <c r="ER281" i="2" s="1"/>
  <c r="EO285" i="2"/>
  <c r="ER285" i="2" s="1"/>
  <c r="EO286" i="2"/>
  <c r="ER286" i="2" s="1"/>
  <c r="EO288" i="2"/>
  <c r="ER288" i="2" s="1"/>
  <c r="EO293" i="2"/>
  <c r="ER293" i="2" s="1"/>
  <c r="EO297" i="2"/>
  <c r="ER297" i="2" s="1"/>
  <c r="EO298" i="2"/>
  <c r="ER298" i="2" s="1"/>
  <c r="EO299" i="2"/>
  <c r="ER299" i="2" s="1"/>
  <c r="EO302" i="2"/>
  <c r="ER302" i="2" s="1"/>
  <c r="EO303" i="2"/>
  <c r="ER303" i="2" s="1"/>
  <c r="EO305" i="2"/>
  <c r="ER305" i="2" s="1"/>
  <c r="EO306" i="2"/>
  <c r="ER306" i="2" s="1"/>
  <c r="EO309" i="2"/>
  <c r="ER309" i="2" s="1"/>
  <c r="EO310" i="2"/>
  <c r="ER310" i="2" s="1"/>
  <c r="EO311" i="2"/>
  <c r="ER311" i="2" s="1"/>
  <c r="EO312" i="2"/>
  <c r="ER312" i="2" s="1"/>
  <c r="EO313" i="2"/>
  <c r="ER313" i="2" s="1"/>
  <c r="EO318" i="2"/>
  <c r="ER318" i="2" s="1"/>
  <c r="EO326" i="2"/>
  <c r="ER326" i="2" s="1"/>
  <c r="EO331" i="2"/>
  <c r="ER331" i="2" s="1"/>
  <c r="EO335" i="2"/>
  <c r="ER335" i="2" s="1"/>
  <c r="EO338" i="2"/>
  <c r="ER338" i="2" s="1"/>
  <c r="EO339" i="2"/>
  <c r="ER339" i="2" s="1"/>
  <c r="EO341" i="2"/>
  <c r="ER341" i="2" s="1"/>
  <c r="EO342" i="2"/>
  <c r="ER342" i="2" s="1"/>
  <c r="EO343" i="2"/>
  <c r="ER343" i="2" s="1"/>
  <c r="EO344" i="2"/>
  <c r="ER344" i="2" s="1"/>
  <c r="ED245" i="2" l="1"/>
  <c r="EC245" i="2"/>
  <c r="V240" i="2" l="1"/>
  <c r="AU248" i="2" l="1"/>
  <c r="AT248" i="2"/>
  <c r="AS248" i="2"/>
  <c r="AR248" i="2"/>
  <c r="AQ248" i="2"/>
  <c r="AP248" i="2"/>
  <c r="AT247" i="2" l="1"/>
  <c r="AS247" i="2"/>
  <c r="AR247" i="2"/>
  <c r="AU247" i="2"/>
  <c r="AV247" i="2"/>
  <c r="AQ247" i="2"/>
  <c r="AP247" i="2"/>
  <c r="BJ320" i="2" l="1"/>
  <c r="BJ321" i="2"/>
  <c r="BJ322" i="2"/>
  <c r="BJ323" i="2"/>
  <c r="BJ324" i="2"/>
  <c r="BJ325" i="2"/>
  <c r="BJ326" i="2"/>
  <c r="BJ327" i="2"/>
  <c r="BJ328" i="2"/>
  <c r="BJ329" i="2"/>
  <c r="BJ330" i="2"/>
  <c r="BJ331" i="2"/>
  <c r="BJ332" i="2"/>
  <c r="BJ333" i="2"/>
  <c r="BJ334" i="2"/>
  <c r="BJ335" i="2"/>
  <c r="BJ336" i="2"/>
  <c r="BJ337" i="2"/>
  <c r="BJ338" i="2"/>
  <c r="BJ339" i="2"/>
  <c r="BJ340" i="2"/>
  <c r="BJ341" i="2"/>
  <c r="BJ342" i="2"/>
  <c r="BJ343" i="2"/>
  <c r="BJ344" i="2"/>
  <c r="IB5" i="2" l="1"/>
  <c r="IC5" i="2"/>
  <c r="IB6" i="2"/>
  <c r="IC6" i="2"/>
  <c r="IB7" i="2"/>
  <c r="IC7" i="2"/>
  <c r="IB8" i="2"/>
  <c r="IC8" i="2"/>
  <c r="IB9" i="2"/>
  <c r="IC9" i="2"/>
  <c r="IB10" i="2"/>
  <c r="IC10" i="2"/>
  <c r="IB11" i="2"/>
  <c r="IC11" i="2"/>
  <c r="IB12" i="2"/>
  <c r="IC12" i="2"/>
  <c r="IB13" i="2"/>
  <c r="IC13" i="2"/>
  <c r="IB14" i="2"/>
  <c r="IC14" i="2"/>
  <c r="IB15" i="2"/>
  <c r="IC15" i="2"/>
  <c r="IB16" i="2"/>
  <c r="IC16" i="2"/>
  <c r="IB17" i="2"/>
  <c r="IC17" i="2"/>
  <c r="IB18" i="2"/>
  <c r="IC18" i="2"/>
  <c r="IB19" i="2"/>
  <c r="IC19" i="2"/>
  <c r="IB20" i="2"/>
  <c r="IC20" i="2"/>
  <c r="IB21" i="2"/>
  <c r="IC21" i="2"/>
  <c r="IB22" i="2"/>
  <c r="IC22" i="2"/>
  <c r="IB23" i="2"/>
  <c r="IC23" i="2"/>
  <c r="IB24" i="2"/>
  <c r="IC24" i="2"/>
  <c r="IB25" i="2"/>
  <c r="IC25" i="2"/>
  <c r="IB26" i="2"/>
  <c r="IC26" i="2"/>
  <c r="IB27" i="2"/>
  <c r="IC27" i="2"/>
  <c r="IB28" i="2"/>
  <c r="IC28" i="2"/>
  <c r="IB29" i="2"/>
  <c r="IC29" i="2"/>
  <c r="IB30" i="2"/>
  <c r="IC30" i="2"/>
  <c r="IB31" i="2"/>
  <c r="IC31" i="2"/>
  <c r="IB32" i="2"/>
  <c r="IC32" i="2"/>
  <c r="IB33" i="2"/>
  <c r="IC33" i="2"/>
  <c r="IB34" i="2"/>
  <c r="IC34" i="2"/>
  <c r="IB35" i="2"/>
  <c r="IC35" i="2"/>
  <c r="IB36" i="2"/>
  <c r="IC36" i="2"/>
  <c r="IB37" i="2"/>
  <c r="IC37" i="2"/>
  <c r="IB38" i="2"/>
  <c r="IC38" i="2"/>
  <c r="IB39" i="2"/>
  <c r="IC39" i="2"/>
  <c r="IB40" i="2"/>
  <c r="IC40" i="2"/>
  <c r="IB41" i="2"/>
  <c r="IC41" i="2"/>
  <c r="IB42" i="2"/>
  <c r="IC42" i="2"/>
  <c r="IB43" i="2"/>
  <c r="IC43" i="2"/>
  <c r="IB44" i="2"/>
  <c r="IC44" i="2"/>
  <c r="IB45" i="2"/>
  <c r="IC45" i="2"/>
  <c r="IB46" i="2"/>
  <c r="IC46" i="2"/>
  <c r="IB47" i="2"/>
  <c r="IC47" i="2"/>
  <c r="IB48" i="2"/>
  <c r="IC48" i="2"/>
  <c r="IB49" i="2"/>
  <c r="IC49" i="2"/>
  <c r="IB50" i="2"/>
  <c r="IC50" i="2"/>
  <c r="IB51" i="2"/>
  <c r="IC51" i="2"/>
  <c r="IB52" i="2"/>
  <c r="IC52" i="2"/>
  <c r="IB53" i="2"/>
  <c r="IC53" i="2"/>
  <c r="IB54" i="2"/>
  <c r="IC54" i="2"/>
  <c r="IB55" i="2"/>
  <c r="IC55" i="2"/>
  <c r="IB56" i="2"/>
  <c r="IC56" i="2"/>
  <c r="IB57" i="2"/>
  <c r="IC57" i="2"/>
  <c r="IB58" i="2"/>
  <c r="IC58" i="2"/>
  <c r="IB59" i="2"/>
  <c r="IC59" i="2"/>
  <c r="IB60" i="2"/>
  <c r="IC60" i="2"/>
  <c r="IB61" i="2"/>
  <c r="IC61" i="2"/>
  <c r="IB62" i="2"/>
  <c r="IC62" i="2"/>
  <c r="IB63" i="2"/>
  <c r="IC63" i="2"/>
  <c r="IB64" i="2"/>
  <c r="IC64" i="2"/>
  <c r="IB65" i="2"/>
  <c r="IC65" i="2"/>
  <c r="IB66" i="2"/>
  <c r="IC66" i="2"/>
  <c r="IB67" i="2"/>
  <c r="IC67" i="2"/>
  <c r="IB68" i="2"/>
  <c r="IC68" i="2"/>
  <c r="IB69" i="2"/>
  <c r="IC69" i="2"/>
  <c r="IB70" i="2"/>
  <c r="IC70" i="2"/>
  <c r="IB71" i="2"/>
  <c r="IC71" i="2"/>
  <c r="IB72" i="2"/>
  <c r="IC72" i="2"/>
  <c r="IB73" i="2"/>
  <c r="IC73" i="2"/>
  <c r="IB74" i="2"/>
  <c r="IC74" i="2"/>
  <c r="IB75" i="2"/>
  <c r="IC75" i="2"/>
  <c r="IB76" i="2"/>
  <c r="IC76" i="2"/>
  <c r="IB77" i="2"/>
  <c r="IC77" i="2"/>
  <c r="IB78" i="2"/>
  <c r="IC78" i="2"/>
  <c r="IB79" i="2"/>
  <c r="IC79" i="2"/>
  <c r="IB80" i="2"/>
  <c r="IC80" i="2"/>
  <c r="IB81" i="2"/>
  <c r="IC81" i="2"/>
  <c r="IB82" i="2"/>
  <c r="IC82" i="2"/>
  <c r="IB83" i="2"/>
  <c r="IC83" i="2"/>
  <c r="IB84" i="2"/>
  <c r="IC84" i="2"/>
  <c r="IB85" i="2"/>
  <c r="IC85" i="2"/>
  <c r="IB86" i="2"/>
  <c r="IC86" i="2"/>
  <c r="IB87" i="2"/>
  <c r="IC87" i="2"/>
  <c r="IB88" i="2"/>
  <c r="IC88" i="2"/>
  <c r="IB89" i="2"/>
  <c r="IC89" i="2"/>
  <c r="IB90" i="2"/>
  <c r="IC90" i="2"/>
  <c r="IB91" i="2"/>
  <c r="IC91" i="2"/>
  <c r="IB92" i="2"/>
  <c r="IC92" i="2"/>
  <c r="IB93" i="2"/>
  <c r="IC93" i="2"/>
  <c r="IB94" i="2"/>
  <c r="IC94" i="2"/>
  <c r="IB95" i="2"/>
  <c r="IC95" i="2"/>
  <c r="IB96" i="2"/>
  <c r="IC96" i="2"/>
  <c r="IB97" i="2"/>
  <c r="IC97" i="2"/>
  <c r="IB98" i="2"/>
  <c r="IC98" i="2"/>
  <c r="IB99" i="2"/>
  <c r="IC99" i="2"/>
  <c r="IB100" i="2"/>
  <c r="IC100" i="2"/>
  <c r="IB101" i="2"/>
  <c r="IC101" i="2"/>
  <c r="IB102" i="2"/>
  <c r="IC102" i="2"/>
  <c r="IB103" i="2"/>
  <c r="IC103" i="2"/>
  <c r="IB104" i="2"/>
  <c r="IC104" i="2"/>
  <c r="IB105" i="2"/>
  <c r="IC105" i="2"/>
  <c r="IB106" i="2"/>
  <c r="IC106" i="2"/>
  <c r="IB107" i="2"/>
  <c r="IC107" i="2"/>
  <c r="IB108" i="2"/>
  <c r="IC108" i="2"/>
  <c r="IB109" i="2"/>
  <c r="IC109" i="2"/>
  <c r="IB110" i="2"/>
  <c r="IC110" i="2"/>
  <c r="IB111" i="2"/>
  <c r="IC111" i="2"/>
  <c r="IB112" i="2"/>
  <c r="IC112" i="2"/>
  <c r="IB113" i="2"/>
  <c r="IC113" i="2"/>
  <c r="IB114" i="2"/>
  <c r="IC114" i="2"/>
  <c r="IB115" i="2"/>
  <c r="IC115" i="2"/>
  <c r="IB116" i="2"/>
  <c r="IC116" i="2"/>
  <c r="IB117" i="2"/>
  <c r="IC117" i="2"/>
  <c r="IB118" i="2"/>
  <c r="IC118" i="2"/>
  <c r="IB119" i="2"/>
  <c r="IC119" i="2"/>
  <c r="IB120" i="2"/>
  <c r="IC120" i="2"/>
  <c r="IB121" i="2"/>
  <c r="IC121" i="2"/>
  <c r="IB122" i="2"/>
  <c r="IC122" i="2"/>
  <c r="IB123" i="2"/>
  <c r="IC123" i="2"/>
  <c r="IB124" i="2"/>
  <c r="IC124" i="2"/>
  <c r="IB125" i="2"/>
  <c r="IC125" i="2"/>
  <c r="IB126" i="2"/>
  <c r="IC126" i="2"/>
  <c r="IB127" i="2"/>
  <c r="IC127" i="2"/>
  <c r="IB128" i="2"/>
  <c r="IC128" i="2"/>
  <c r="IB129" i="2"/>
  <c r="IC129" i="2"/>
  <c r="IB130" i="2"/>
  <c r="IC130" i="2"/>
  <c r="IB131" i="2"/>
  <c r="IC131" i="2"/>
  <c r="IB132" i="2"/>
  <c r="IC132" i="2"/>
  <c r="IB133" i="2"/>
  <c r="IC133" i="2"/>
  <c r="IB134" i="2"/>
  <c r="IC134" i="2"/>
  <c r="IB135" i="2"/>
  <c r="IC135" i="2"/>
  <c r="IB136" i="2"/>
  <c r="IC136" i="2"/>
  <c r="IB137" i="2"/>
  <c r="IC137" i="2"/>
  <c r="IB138" i="2"/>
  <c r="IC138" i="2"/>
  <c r="IB139" i="2"/>
  <c r="IC139" i="2"/>
  <c r="IB140" i="2"/>
  <c r="IC140" i="2"/>
  <c r="IB141" i="2"/>
  <c r="IC141" i="2"/>
  <c r="IB142" i="2"/>
  <c r="IC142" i="2"/>
  <c r="IB143" i="2"/>
  <c r="IC143" i="2"/>
  <c r="IB144" i="2"/>
  <c r="IC144" i="2"/>
  <c r="IB145" i="2"/>
  <c r="IC145" i="2"/>
  <c r="IB146" i="2"/>
  <c r="IC146" i="2"/>
  <c r="IB147" i="2"/>
  <c r="IC147" i="2"/>
  <c r="IB148" i="2"/>
  <c r="IC148" i="2"/>
  <c r="IB149" i="2"/>
  <c r="IC149" i="2"/>
  <c r="IB150" i="2"/>
  <c r="IC150" i="2"/>
  <c r="IB151" i="2"/>
  <c r="IC151" i="2"/>
  <c r="IB152" i="2"/>
  <c r="IC152" i="2"/>
  <c r="IB153" i="2"/>
  <c r="IC153" i="2"/>
  <c r="IB154" i="2"/>
  <c r="IC154" i="2"/>
  <c r="IB155" i="2"/>
  <c r="IC155" i="2"/>
  <c r="IB156" i="2"/>
  <c r="IC156" i="2"/>
  <c r="IB157" i="2"/>
  <c r="IC157" i="2"/>
  <c r="IB158" i="2"/>
  <c r="IC158" i="2"/>
  <c r="IB159" i="2"/>
  <c r="IC159" i="2"/>
  <c r="IB160" i="2"/>
  <c r="IC160" i="2"/>
  <c r="IB161" i="2"/>
  <c r="IC161" i="2"/>
  <c r="IB162" i="2"/>
  <c r="IC162" i="2"/>
  <c r="IB163" i="2"/>
  <c r="IC163" i="2"/>
  <c r="IB164" i="2"/>
  <c r="IC164" i="2"/>
  <c r="IB165" i="2"/>
  <c r="IC165" i="2"/>
  <c r="IB166" i="2"/>
  <c r="IC166" i="2"/>
  <c r="IB167" i="2"/>
  <c r="IC167" i="2"/>
  <c r="IB168" i="2"/>
  <c r="IC168" i="2"/>
  <c r="IB169" i="2"/>
  <c r="IC169" i="2"/>
  <c r="IB170" i="2"/>
  <c r="IC170" i="2"/>
  <c r="IB171" i="2"/>
  <c r="IC171" i="2"/>
  <c r="IB172" i="2"/>
  <c r="IC172" i="2"/>
  <c r="IB173" i="2"/>
  <c r="IC173" i="2"/>
  <c r="IB174" i="2"/>
  <c r="IC174" i="2"/>
  <c r="IB175" i="2"/>
  <c r="IC175" i="2"/>
  <c r="IB176" i="2"/>
  <c r="IC176" i="2"/>
  <c r="IB177" i="2"/>
  <c r="IC177" i="2"/>
  <c r="IB178" i="2"/>
  <c r="IC178" i="2"/>
  <c r="IB179" i="2"/>
  <c r="IC179" i="2"/>
  <c r="IB180" i="2"/>
  <c r="IC180" i="2"/>
  <c r="IB181" i="2"/>
  <c r="IC181" i="2"/>
  <c r="IB182" i="2"/>
  <c r="IC182" i="2"/>
  <c r="IB183" i="2"/>
  <c r="IC183" i="2"/>
  <c r="IB184" i="2"/>
  <c r="IC184" i="2"/>
  <c r="IB185" i="2"/>
  <c r="IC185" i="2"/>
  <c r="IB186" i="2"/>
  <c r="IC186" i="2"/>
  <c r="IB187" i="2"/>
  <c r="IC187" i="2"/>
  <c r="IB188" i="2"/>
  <c r="IC188" i="2"/>
  <c r="IB189" i="2"/>
  <c r="IC189" i="2"/>
  <c r="IB190" i="2"/>
  <c r="IC190" i="2"/>
  <c r="IB191" i="2"/>
  <c r="IC191" i="2"/>
  <c r="IB192" i="2"/>
  <c r="IC192" i="2"/>
  <c r="IB193" i="2"/>
  <c r="IC193" i="2"/>
  <c r="IB194" i="2"/>
  <c r="IC194" i="2"/>
  <c r="IB195" i="2"/>
  <c r="IC195" i="2"/>
  <c r="IB196" i="2"/>
  <c r="IC196" i="2"/>
  <c r="IB197" i="2"/>
  <c r="IC197" i="2"/>
  <c r="IB198" i="2"/>
  <c r="IC198" i="2"/>
  <c r="IB199" i="2"/>
  <c r="IC199" i="2"/>
  <c r="IB200" i="2"/>
  <c r="IC200" i="2"/>
  <c r="IB201" i="2"/>
  <c r="IC201" i="2"/>
  <c r="IB202" i="2"/>
  <c r="IC202" i="2"/>
  <c r="IB203" i="2"/>
  <c r="IC203" i="2"/>
  <c r="IB204" i="2"/>
  <c r="IC204" i="2"/>
  <c r="IB205" i="2"/>
  <c r="IC205" i="2"/>
  <c r="IB206" i="2"/>
  <c r="IC206" i="2"/>
  <c r="IB207" i="2"/>
  <c r="IC207" i="2"/>
  <c r="IB208" i="2"/>
  <c r="IC208" i="2"/>
  <c r="IB209" i="2"/>
  <c r="IC209" i="2"/>
  <c r="IB210" i="2"/>
  <c r="IC210" i="2"/>
  <c r="IB211" i="2"/>
  <c r="IC211" i="2"/>
  <c r="IB212" i="2"/>
  <c r="IC212" i="2"/>
  <c r="IB213" i="2"/>
  <c r="IC213" i="2"/>
  <c r="IB214" i="2"/>
  <c r="IC214" i="2"/>
  <c r="IB215" i="2"/>
  <c r="IC215" i="2"/>
  <c r="IB216" i="2"/>
  <c r="IC216" i="2"/>
  <c r="IB217" i="2"/>
  <c r="IC217" i="2"/>
  <c r="IB218" i="2"/>
  <c r="IC218" i="2"/>
  <c r="IB219" i="2"/>
  <c r="IC219" i="2"/>
  <c r="IB220" i="2"/>
  <c r="IC220" i="2"/>
  <c r="IB221" i="2"/>
  <c r="IC221" i="2"/>
  <c r="IB222" i="2"/>
  <c r="IC222" i="2"/>
  <c r="IB223" i="2"/>
  <c r="IC223" i="2"/>
  <c r="IB224" i="2"/>
  <c r="IC224" i="2"/>
  <c r="IB225" i="2"/>
  <c r="IC225" i="2"/>
  <c r="IB226" i="2"/>
  <c r="IC226" i="2"/>
  <c r="IB227" i="2"/>
  <c r="IC227" i="2"/>
  <c r="IB228" i="2"/>
  <c r="IC228" i="2"/>
  <c r="IB229" i="2"/>
  <c r="IC229" i="2"/>
  <c r="IB230" i="2"/>
  <c r="IC230" i="2"/>
  <c r="IB231" i="2"/>
  <c r="IC231" i="2"/>
  <c r="IB232" i="2"/>
  <c r="IC232" i="2"/>
  <c r="IB233" i="2"/>
  <c r="IC233" i="2"/>
  <c r="IB234" i="2"/>
  <c r="IC234" i="2"/>
  <c r="IB235" i="2"/>
  <c r="IC235" i="2"/>
  <c r="IB236" i="2"/>
  <c r="IC236" i="2"/>
  <c r="IB237" i="2"/>
  <c r="IC237" i="2"/>
  <c r="IB238" i="2"/>
  <c r="IC238" i="2"/>
  <c r="IB239" i="2"/>
  <c r="IC239" i="2"/>
  <c r="IB240" i="2"/>
  <c r="IC240" i="2"/>
  <c r="IB241" i="2"/>
  <c r="IC241" i="2"/>
  <c r="IB242" i="2"/>
  <c r="IC242" i="2"/>
  <c r="IB243" i="2"/>
  <c r="IC243" i="2"/>
  <c r="IB244" i="2"/>
  <c r="IC244" i="2"/>
  <c r="IB245" i="2"/>
  <c r="IC245" i="2"/>
  <c r="IB246" i="2"/>
  <c r="IC246" i="2"/>
  <c r="IB247" i="2"/>
  <c r="IC247" i="2"/>
  <c r="IB248" i="2"/>
  <c r="IC248" i="2"/>
  <c r="IB249" i="2"/>
  <c r="IC249" i="2"/>
  <c r="IB250" i="2"/>
  <c r="IC250" i="2"/>
  <c r="IB251" i="2"/>
  <c r="IC251" i="2"/>
  <c r="IB252" i="2"/>
  <c r="IC252" i="2"/>
  <c r="IB253" i="2"/>
  <c r="IC253" i="2"/>
  <c r="IB254" i="2"/>
  <c r="IC254" i="2"/>
  <c r="IB255" i="2"/>
  <c r="IC255" i="2"/>
  <c r="IB256" i="2"/>
  <c r="IC256" i="2"/>
  <c r="IB257" i="2"/>
  <c r="IC257" i="2"/>
  <c r="IB258" i="2"/>
  <c r="IC258" i="2"/>
  <c r="IB259" i="2"/>
  <c r="IC259" i="2"/>
  <c r="IB260" i="2"/>
  <c r="IC260" i="2"/>
  <c r="IB261" i="2"/>
  <c r="IC261" i="2"/>
  <c r="IB262" i="2"/>
  <c r="IC262" i="2"/>
  <c r="IB263" i="2"/>
  <c r="IC263" i="2"/>
  <c r="IB264" i="2"/>
  <c r="IC264" i="2"/>
  <c r="IB265" i="2"/>
  <c r="IC265" i="2"/>
  <c r="IB266" i="2"/>
  <c r="IC266" i="2"/>
  <c r="IB267" i="2"/>
  <c r="IC267" i="2"/>
  <c r="IB268" i="2"/>
  <c r="IC268" i="2"/>
  <c r="IB269" i="2"/>
  <c r="IC269" i="2"/>
  <c r="IB270" i="2"/>
  <c r="IC270" i="2"/>
  <c r="IB271" i="2"/>
  <c r="IC271" i="2"/>
  <c r="IB272" i="2"/>
  <c r="IC272" i="2"/>
  <c r="IB273" i="2"/>
  <c r="IC273" i="2"/>
  <c r="IB274" i="2"/>
  <c r="IC274" i="2"/>
  <c r="IB275" i="2"/>
  <c r="IC275" i="2"/>
  <c r="IB276" i="2"/>
  <c r="IC276" i="2"/>
  <c r="IB277" i="2"/>
  <c r="IC277" i="2"/>
  <c r="IB278" i="2"/>
  <c r="IC278" i="2"/>
  <c r="IB279" i="2"/>
  <c r="IC279" i="2"/>
  <c r="IB280" i="2"/>
  <c r="IC280" i="2"/>
  <c r="IB281" i="2"/>
  <c r="IC281" i="2"/>
  <c r="IB282" i="2"/>
  <c r="IC282" i="2"/>
  <c r="IB283" i="2"/>
  <c r="IC283" i="2"/>
  <c r="IB284" i="2"/>
  <c r="IC284" i="2"/>
  <c r="IB285" i="2"/>
  <c r="IC285" i="2"/>
  <c r="IB286" i="2"/>
  <c r="IC286" i="2"/>
  <c r="IB287" i="2"/>
  <c r="IC287" i="2"/>
  <c r="IB288" i="2"/>
  <c r="IC288" i="2"/>
  <c r="IB289" i="2"/>
  <c r="IC289" i="2"/>
  <c r="IB290" i="2"/>
  <c r="IC290" i="2"/>
  <c r="IB291" i="2"/>
  <c r="IC291" i="2"/>
  <c r="IB292" i="2"/>
  <c r="IC292" i="2"/>
  <c r="IB293" i="2"/>
  <c r="IC293" i="2"/>
  <c r="IB294" i="2"/>
  <c r="IC294" i="2"/>
  <c r="IB295" i="2"/>
  <c r="IC295" i="2"/>
  <c r="IB296" i="2"/>
  <c r="IC296" i="2"/>
  <c r="IB297" i="2"/>
  <c r="IC297" i="2"/>
  <c r="IB298" i="2"/>
  <c r="IC298" i="2"/>
  <c r="IB299" i="2"/>
  <c r="IC299" i="2"/>
  <c r="IB300" i="2"/>
  <c r="IC300" i="2"/>
  <c r="IB301" i="2"/>
  <c r="IC301" i="2"/>
  <c r="IB302" i="2"/>
  <c r="IC302" i="2"/>
  <c r="IB303" i="2"/>
  <c r="IC303" i="2"/>
  <c r="IB304" i="2"/>
  <c r="IC304" i="2"/>
  <c r="IB305" i="2"/>
  <c r="IC305" i="2"/>
  <c r="IB306" i="2"/>
  <c r="IC306" i="2"/>
  <c r="IB307" i="2"/>
  <c r="IC307" i="2"/>
  <c r="IB308" i="2"/>
  <c r="IC308" i="2"/>
  <c r="IB309" i="2"/>
  <c r="IC309" i="2"/>
  <c r="IB310" i="2"/>
  <c r="IC310" i="2"/>
  <c r="IB311" i="2"/>
  <c r="IC311" i="2"/>
  <c r="IB312" i="2"/>
  <c r="IC312" i="2"/>
  <c r="IB313" i="2"/>
  <c r="IC313" i="2"/>
  <c r="IB314" i="2"/>
  <c r="IC314" i="2"/>
  <c r="IB315" i="2"/>
  <c r="IC315" i="2"/>
  <c r="IB316" i="2"/>
  <c r="IC316" i="2"/>
  <c r="IB317" i="2"/>
  <c r="IC317" i="2"/>
  <c r="IB318" i="2"/>
  <c r="IC318" i="2"/>
  <c r="IB319" i="2"/>
  <c r="IC319" i="2"/>
  <c r="IB320" i="2"/>
  <c r="IC320" i="2"/>
  <c r="IB321" i="2"/>
  <c r="IC321" i="2"/>
  <c r="IB322" i="2"/>
  <c r="IC322" i="2"/>
  <c r="IB323" i="2"/>
  <c r="IC323" i="2"/>
  <c r="IB324" i="2"/>
  <c r="IC324" i="2"/>
  <c r="IB325" i="2"/>
  <c r="IC325" i="2"/>
  <c r="IB326" i="2"/>
  <c r="IC326" i="2"/>
  <c r="IB327" i="2"/>
  <c r="IC327" i="2"/>
  <c r="IB328" i="2"/>
  <c r="IC328" i="2"/>
  <c r="IB329" i="2"/>
  <c r="IC329" i="2"/>
  <c r="IB330" i="2"/>
  <c r="IC330" i="2"/>
  <c r="IB331" i="2"/>
  <c r="IC331" i="2"/>
  <c r="IB332" i="2"/>
  <c r="IC332" i="2"/>
  <c r="IB333" i="2"/>
  <c r="IC333" i="2"/>
  <c r="IB334" i="2"/>
  <c r="IC334" i="2"/>
  <c r="IB335" i="2"/>
  <c r="IC335" i="2"/>
  <c r="IB336" i="2"/>
  <c r="IC336" i="2"/>
  <c r="IB337" i="2"/>
  <c r="IC337" i="2"/>
  <c r="IB338" i="2"/>
  <c r="IC338" i="2"/>
  <c r="IB339" i="2"/>
  <c r="IC339" i="2"/>
  <c r="IB340" i="2"/>
  <c r="IC340" i="2"/>
  <c r="IB341" i="2"/>
  <c r="IC341" i="2"/>
  <c r="IB342" i="2"/>
  <c r="IC342" i="2"/>
  <c r="IB343" i="2"/>
  <c r="IC343" i="2"/>
  <c r="IB344" i="2"/>
  <c r="IC344" i="2"/>
  <c r="IB345" i="2"/>
  <c r="IC345" i="2"/>
  <c r="IB346" i="2"/>
  <c r="IC346" i="2"/>
  <c r="IB347" i="2"/>
  <c r="IC347" i="2"/>
  <c r="IB348" i="2"/>
  <c r="IC348" i="2"/>
  <c r="IB349" i="2"/>
  <c r="IC349" i="2"/>
  <c r="IB350" i="2"/>
  <c r="IC350" i="2"/>
  <c r="IB351" i="2"/>
  <c r="IC351" i="2"/>
  <c r="IB352" i="2"/>
  <c r="IC352" i="2"/>
  <c r="IB353" i="2"/>
  <c r="IC353" i="2"/>
  <c r="IB354" i="2"/>
  <c r="IC354" i="2"/>
  <c r="IB355" i="2"/>
  <c r="IC355" i="2"/>
  <c r="IB356" i="2"/>
  <c r="IC356" i="2"/>
  <c r="IB357" i="2"/>
  <c r="IC357" i="2"/>
  <c r="IB358" i="2"/>
  <c r="IC358" i="2"/>
  <c r="IB359" i="2"/>
  <c r="IC359" i="2"/>
  <c r="IB360" i="2"/>
  <c r="IC360" i="2"/>
  <c r="IB361" i="2"/>
  <c r="IC361" i="2"/>
  <c r="IB362" i="2"/>
  <c r="IC362" i="2"/>
  <c r="IB363" i="2"/>
  <c r="IC363" i="2"/>
  <c r="IB364" i="2"/>
  <c r="IC364" i="2"/>
  <c r="IB365" i="2"/>
  <c r="IC365" i="2"/>
  <c r="IB366" i="2"/>
  <c r="IC366" i="2"/>
  <c r="IB367" i="2"/>
  <c r="IC367" i="2"/>
  <c r="IB368" i="2"/>
  <c r="IC368" i="2"/>
  <c r="IB369" i="2"/>
  <c r="IC369" i="2"/>
  <c r="IB370" i="2"/>
  <c r="IC370" i="2"/>
  <c r="IB371" i="2"/>
  <c r="IC371" i="2"/>
  <c r="IB372" i="2"/>
  <c r="IC372" i="2"/>
  <c r="IB373" i="2"/>
  <c r="IC373" i="2"/>
  <c r="IB374" i="2"/>
  <c r="IC374" i="2"/>
  <c r="IB375" i="2"/>
  <c r="IC375" i="2"/>
  <c r="IB376" i="2"/>
  <c r="IC376" i="2"/>
  <c r="IB377" i="2"/>
  <c r="IC377" i="2"/>
  <c r="IB378" i="2"/>
  <c r="IC378" i="2"/>
  <c r="IB379" i="2"/>
  <c r="IC379" i="2"/>
  <c r="IB380" i="2"/>
  <c r="IC380" i="2"/>
  <c r="IB381" i="2"/>
  <c r="IC381" i="2"/>
  <c r="IB382" i="2"/>
  <c r="IC382" i="2"/>
  <c r="IB383" i="2"/>
  <c r="IC383" i="2"/>
  <c r="IB384" i="2"/>
  <c r="IC384" i="2"/>
  <c r="IB385" i="2"/>
  <c r="IC385" i="2"/>
  <c r="IB386" i="2"/>
  <c r="IC386" i="2"/>
  <c r="IB387" i="2"/>
  <c r="IC387" i="2"/>
  <c r="IB388" i="2"/>
  <c r="IC388" i="2"/>
  <c r="IB389" i="2"/>
  <c r="IC389" i="2"/>
  <c r="IB390" i="2"/>
  <c r="IC390" i="2"/>
  <c r="IB391" i="2"/>
  <c r="IC391" i="2"/>
  <c r="IB392" i="2"/>
  <c r="IC392" i="2"/>
  <c r="IB393" i="2"/>
  <c r="IC393" i="2"/>
  <c r="IB394" i="2"/>
  <c r="IC394" i="2"/>
  <c r="IB396" i="2"/>
  <c r="IC396" i="2"/>
  <c r="IB397" i="2"/>
  <c r="IC397" i="2"/>
  <c r="IB398" i="2"/>
  <c r="IC398" i="2"/>
  <c r="IB399" i="2"/>
  <c r="IC399" i="2"/>
  <c r="IB400" i="2"/>
  <c r="IC400" i="2"/>
  <c r="IB401" i="2"/>
  <c r="IC401" i="2"/>
  <c r="IB402" i="2"/>
  <c r="IC402" i="2"/>
  <c r="IB403" i="2"/>
  <c r="IC403" i="2"/>
  <c r="IB404" i="2"/>
  <c r="IC404" i="2"/>
  <c r="IB405" i="2"/>
  <c r="IC405" i="2"/>
  <c r="IB406" i="2"/>
  <c r="IC406" i="2"/>
  <c r="IB407" i="2"/>
  <c r="IC407" i="2"/>
  <c r="IB408" i="2"/>
  <c r="IC408" i="2"/>
  <c r="IB409" i="2"/>
  <c r="IC409" i="2"/>
  <c r="IB410" i="2"/>
  <c r="IC410" i="2"/>
  <c r="IB411" i="2"/>
  <c r="IC411" i="2"/>
  <c r="IB412" i="2"/>
  <c r="IC412" i="2"/>
  <c r="IB413" i="2"/>
  <c r="IC413" i="2"/>
  <c r="IB414" i="2"/>
  <c r="IC414" i="2"/>
  <c r="IB415" i="2"/>
  <c r="IC415" i="2"/>
  <c r="IB416" i="2"/>
  <c r="IC416" i="2"/>
  <c r="IB417" i="2"/>
  <c r="IC417" i="2"/>
  <c r="IB418" i="2"/>
  <c r="IC418" i="2"/>
  <c r="IB419" i="2"/>
  <c r="IC419" i="2"/>
  <c r="IB420" i="2"/>
  <c r="IC420" i="2"/>
  <c r="IB421" i="2"/>
  <c r="IC421" i="2"/>
  <c r="IB422" i="2"/>
  <c r="IC422" i="2"/>
  <c r="IB423" i="2"/>
  <c r="IC423" i="2"/>
  <c r="IB424" i="2"/>
  <c r="IC424" i="2"/>
  <c r="IB425" i="2"/>
  <c r="IC425" i="2"/>
  <c r="IB426" i="2"/>
  <c r="IC426" i="2"/>
  <c r="IB427" i="2"/>
  <c r="IC427" i="2"/>
  <c r="IB428" i="2"/>
  <c r="IC428" i="2"/>
  <c r="IB429" i="2"/>
  <c r="IC429" i="2"/>
  <c r="IB430" i="2"/>
  <c r="IC430" i="2"/>
  <c r="IB431" i="2"/>
  <c r="IC431" i="2"/>
  <c r="IB432" i="2"/>
  <c r="IC432" i="2"/>
  <c r="IB433" i="2"/>
  <c r="IC433" i="2"/>
  <c r="IB434" i="2"/>
  <c r="IC434" i="2"/>
  <c r="IB435" i="2"/>
  <c r="IC435" i="2"/>
  <c r="IB436" i="2"/>
  <c r="IC436" i="2"/>
  <c r="IB437" i="2"/>
  <c r="IC437" i="2"/>
  <c r="IB438" i="2"/>
  <c r="IC438" i="2"/>
  <c r="IB439" i="2"/>
  <c r="IC439" i="2"/>
  <c r="IB440" i="2"/>
  <c r="IC440" i="2"/>
  <c r="IB441" i="2"/>
  <c r="IC441" i="2"/>
  <c r="IB442" i="2"/>
  <c r="IC442" i="2"/>
  <c r="IB443" i="2"/>
  <c r="IC443" i="2"/>
  <c r="IB444" i="2"/>
  <c r="IC444" i="2"/>
  <c r="IB445" i="2"/>
  <c r="IC445" i="2"/>
  <c r="IB446" i="2"/>
  <c r="IC446" i="2"/>
  <c r="IB447" i="2"/>
  <c r="IC447" i="2"/>
  <c r="IB448" i="2"/>
  <c r="IC448" i="2"/>
  <c r="IB449" i="2"/>
  <c r="IC449" i="2"/>
  <c r="IB450" i="2"/>
  <c r="IC450" i="2"/>
  <c r="IB451" i="2"/>
  <c r="IC451" i="2"/>
  <c r="IB452" i="2"/>
  <c r="IC452" i="2"/>
  <c r="IB453" i="2"/>
  <c r="IC453" i="2"/>
  <c r="IB454" i="2"/>
  <c r="IC454" i="2"/>
  <c r="IB455" i="2"/>
  <c r="IC455" i="2"/>
  <c r="IB456" i="2"/>
  <c r="IC456" i="2"/>
  <c r="IB457" i="2"/>
  <c r="IC457" i="2"/>
  <c r="IB458" i="2"/>
  <c r="IC458" i="2"/>
  <c r="IB459" i="2"/>
  <c r="IC459" i="2"/>
  <c r="IB460" i="2"/>
  <c r="IC460" i="2"/>
  <c r="IB461" i="2"/>
  <c r="IC461" i="2"/>
  <c r="IB462" i="2"/>
  <c r="IC462" i="2"/>
  <c r="IB463" i="2"/>
  <c r="IC463" i="2"/>
  <c r="IB464" i="2"/>
  <c r="IC464" i="2"/>
  <c r="IB465" i="2"/>
  <c r="IC465" i="2"/>
  <c r="IB466" i="2"/>
  <c r="IC466" i="2"/>
  <c r="IB467" i="2"/>
  <c r="IC467" i="2"/>
  <c r="IB468" i="2"/>
  <c r="IC468" i="2"/>
  <c r="IC395" i="2"/>
  <c r="IB395" i="2"/>
  <c r="EG346" i="2" l="1"/>
  <c r="EG347" i="2"/>
  <c r="EG348" i="2"/>
  <c r="EG349" i="2"/>
  <c r="EG350" i="2"/>
  <c r="EG351" i="2"/>
  <c r="EG352" i="2"/>
  <c r="EG353" i="2"/>
  <c r="EG354" i="2"/>
  <c r="EG355" i="2"/>
  <c r="EG356" i="2"/>
  <c r="EG357" i="2"/>
  <c r="EG358" i="2"/>
  <c r="EG359" i="2"/>
  <c r="EG360" i="2"/>
  <c r="EG361" i="2"/>
  <c r="EG362" i="2"/>
  <c r="EG363" i="2"/>
  <c r="EG364" i="2"/>
  <c r="EG365" i="2"/>
  <c r="EG366" i="2"/>
  <c r="EG367" i="2"/>
  <c r="EG368" i="2"/>
  <c r="EG369" i="2"/>
  <c r="EG370" i="2"/>
  <c r="EG371" i="2"/>
  <c r="EG372" i="2"/>
  <c r="EG373" i="2"/>
  <c r="EG374" i="2"/>
  <c r="EG375" i="2"/>
  <c r="EG376" i="2"/>
  <c r="EG377" i="2"/>
  <c r="EG378" i="2"/>
  <c r="EG379" i="2"/>
  <c r="EG380" i="2"/>
  <c r="EG381" i="2"/>
  <c r="EG382" i="2"/>
  <c r="EG383" i="2"/>
  <c r="EG384" i="2"/>
  <c r="EG385" i="2"/>
  <c r="EG386" i="2"/>
  <c r="EG387" i="2"/>
  <c r="EG388" i="2"/>
  <c r="EG389" i="2"/>
  <c r="EG390" i="2"/>
  <c r="EG391" i="2"/>
  <c r="EG392" i="2"/>
  <c r="EG393" i="2"/>
  <c r="EG394" i="2"/>
  <c r="EG395" i="2"/>
  <c r="EG396" i="2"/>
  <c r="EG397" i="2"/>
  <c r="EG398" i="2"/>
  <c r="EG399" i="2"/>
  <c r="EG400" i="2"/>
  <c r="EG401" i="2"/>
  <c r="EG402" i="2"/>
  <c r="EG403" i="2"/>
  <c r="EG404" i="2"/>
  <c r="EG405" i="2"/>
  <c r="EG406" i="2"/>
  <c r="EG407" i="2"/>
  <c r="EG408" i="2"/>
  <c r="EG409" i="2"/>
  <c r="EG410" i="2"/>
  <c r="EG411" i="2"/>
  <c r="EG412" i="2"/>
  <c r="EG413" i="2"/>
  <c r="EG414" i="2"/>
  <c r="EG415" i="2"/>
  <c r="EG416" i="2"/>
  <c r="EG417" i="2"/>
  <c r="EG418" i="2"/>
  <c r="EG419" i="2"/>
  <c r="EG420" i="2"/>
  <c r="EG421" i="2"/>
  <c r="EG422" i="2"/>
  <c r="EG423" i="2"/>
  <c r="EG424" i="2"/>
  <c r="EG425" i="2"/>
  <c r="EG426" i="2"/>
  <c r="EG427" i="2"/>
  <c r="EG428" i="2"/>
  <c r="EG429" i="2"/>
  <c r="EG430" i="2"/>
  <c r="EG431" i="2"/>
  <c r="EG345" i="2"/>
  <c r="ER345" i="2"/>
  <c r="D25" i="9"/>
  <c r="E25" i="9" a="1"/>
  <c r="B16" i="9" l="1"/>
  <c r="B15" i="9"/>
  <c r="B14" i="9"/>
  <c r="B2" i="9"/>
  <c r="B3" i="9"/>
  <c r="B4" i="9"/>
  <c r="B17" i="9" l="1"/>
  <c r="BL209" i="2" l="1"/>
  <c r="BL210" i="2"/>
  <c r="B475" i="10"/>
  <c r="E2"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M1" i="2"/>
  <c r="L259" i="10" l="1"/>
  <c r="L358" i="10"/>
  <c r="L378" i="10"/>
  <c r="L394" i="10"/>
  <c r="L395" i="10"/>
  <c r="L396" i="10"/>
  <c r="L397" i="10"/>
  <c r="L398" i="10"/>
  <c r="L399" i="10"/>
  <c r="L400" i="10"/>
  <c r="L401" i="10"/>
  <c r="L402" i="10"/>
  <c r="L403" i="10"/>
  <c r="L404" i="10"/>
  <c r="L405" i="10"/>
  <c r="L406" i="10"/>
  <c r="L407" i="10"/>
  <c r="L408" i="10"/>
  <c r="L409" i="10"/>
  <c r="L410" i="10"/>
  <c r="L411" i="10"/>
  <c r="L412" i="10"/>
  <c r="L413" i="10"/>
  <c r="L414" i="10"/>
  <c r="L415" i="10"/>
  <c r="L417" i="10"/>
  <c r="L418" i="10"/>
  <c r="L419" i="10"/>
  <c r="L420" i="10"/>
  <c r="L421" i="10"/>
  <c r="L422" i="10"/>
  <c r="L423" i="10"/>
  <c r="L424" i="10"/>
  <c r="L425" i="10"/>
  <c r="L426" i="10"/>
  <c r="L427" i="10"/>
  <c r="L428" i="10"/>
  <c r="L429" i="10"/>
  <c r="L430" i="10"/>
  <c r="L434" i="10"/>
  <c r="L435" i="10"/>
  <c r="K181"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AP22" i="3"/>
  <c r="AQ22" i="3"/>
  <c r="AR22" i="3"/>
  <c r="AS22" i="3"/>
  <c r="AU19" i="3"/>
  <c r="AU20" i="3"/>
  <c r="AU21" i="3"/>
  <c r="AU22" i="3"/>
  <c r="AU23" i="3"/>
  <c r="AU18" i="3"/>
  <c r="AT19" i="3"/>
  <c r="AT20" i="3"/>
  <c r="AT21" i="3"/>
  <c r="AT22" i="3"/>
  <c r="AT23" i="3"/>
  <c r="AT18" i="3"/>
  <c r="BC23" i="3"/>
  <c r="BC22" i="3"/>
  <c r="BC21" i="3"/>
  <c r="BC20" i="3"/>
  <c r="BC19" i="3"/>
  <c r="BC18" i="3"/>
  <c r="AQ258" i="2"/>
  <c r="AP258" i="2"/>
  <c r="AO258" i="2" s="1"/>
  <c r="AP257" i="2"/>
  <c r="AO257" i="2" s="1"/>
  <c r="AP254" i="2"/>
  <c r="AO254" i="2" s="1"/>
  <c r="AY253" i="2"/>
  <c r="AX253" i="2"/>
  <c r="AR252" i="2"/>
  <c r="AP252" i="2"/>
  <c r="AS252" i="2"/>
  <c r="AQ252" i="2"/>
  <c r="AP156" i="2"/>
  <c r="AO156" i="2" s="1"/>
  <c r="AH4" i="10"/>
  <c r="AH5" i="10"/>
  <c r="AH6" i="10"/>
  <c r="AH7" i="10"/>
  <c r="AH8" i="10"/>
  <c r="AH9" i="10"/>
  <c r="AH10" i="10"/>
  <c r="AH11" i="10"/>
  <c r="AH12" i="10"/>
  <c r="AH13" i="10"/>
  <c r="AH14" i="10"/>
  <c r="AH15" i="10"/>
  <c r="AH16" i="10"/>
  <c r="AH17" i="10"/>
  <c r="AH18" i="10"/>
  <c r="AH19" i="10"/>
  <c r="AH20" i="10"/>
  <c r="AH21" i="10"/>
  <c r="AH22" i="10"/>
  <c r="AH23" i="10"/>
  <c r="AH24" i="10"/>
  <c r="AH25" i="10"/>
  <c r="AH26" i="10"/>
  <c r="AH27" i="10"/>
  <c r="AH28" i="10"/>
  <c r="AH29"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6"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5" i="10"/>
  <c r="AH96" i="10"/>
  <c r="AH97" i="10"/>
  <c r="AH98" i="10"/>
  <c r="AH99" i="10"/>
  <c r="AH100" i="10"/>
  <c r="AH101" i="10"/>
  <c r="AH102" i="10"/>
  <c r="AH103" i="10"/>
  <c r="AH104" i="10"/>
  <c r="AH105" i="10"/>
  <c r="AH106" i="10"/>
  <c r="AH107" i="10"/>
  <c r="AH108"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163" i="10"/>
  <c r="AH164" i="10"/>
  <c r="AH165" i="10"/>
  <c r="AH166" i="10"/>
  <c r="AH168" i="10"/>
  <c r="AH169" i="10"/>
  <c r="AH170" i="10"/>
  <c r="AH171" i="10"/>
  <c r="AH172" i="10"/>
  <c r="AH173" i="10"/>
  <c r="AH178" i="10"/>
  <c r="AH179" i="10"/>
  <c r="AH180" i="10"/>
  <c r="AH181" i="10"/>
  <c r="AH183" i="10"/>
  <c r="AH184" i="10"/>
  <c r="AH185" i="10"/>
  <c r="AH186" i="10"/>
  <c r="AH188" i="10"/>
  <c r="AH190" i="10"/>
  <c r="AH192" i="10"/>
  <c r="AH193" i="10"/>
  <c r="AH194" i="10"/>
  <c r="AH195" i="10"/>
  <c r="AH196" i="10"/>
  <c r="AH198" i="10"/>
  <c r="AH199" i="10"/>
  <c r="AH200" i="10"/>
  <c r="AH201" i="10"/>
  <c r="AH202" i="10"/>
  <c r="AH203" i="10"/>
  <c r="AH204" i="10"/>
  <c r="AH205" i="10"/>
  <c r="AH206" i="10"/>
  <c r="AH207" i="10"/>
  <c r="AH208" i="10"/>
  <c r="AH209" i="10"/>
  <c r="AH211" i="10"/>
  <c r="AH213" i="10"/>
  <c r="AH214" i="10"/>
  <c r="AH215" i="10"/>
  <c r="AH216" i="10"/>
  <c r="AH217" i="10"/>
  <c r="AH218" i="10"/>
  <c r="AH219" i="10"/>
  <c r="AH221" i="10"/>
  <c r="AH222" i="10"/>
  <c r="AH223" i="10"/>
  <c r="AH224" i="10"/>
  <c r="AH225" i="10"/>
  <c r="AH226" i="10"/>
  <c r="AH227" i="10"/>
  <c r="AH228" i="10"/>
  <c r="AH229" i="10"/>
  <c r="AH230" i="10"/>
  <c r="AH231" i="10"/>
  <c r="AH232" i="10"/>
  <c r="AH233" i="10"/>
  <c r="AH234" i="10"/>
  <c r="AH235" i="10"/>
  <c r="AH236" i="10"/>
  <c r="AH237" i="10"/>
  <c r="AH238" i="10"/>
  <c r="AH239" i="10"/>
  <c r="AH240" i="10"/>
  <c r="AH241" i="10"/>
  <c r="AH242" i="10"/>
  <c r="AH243" i="10"/>
  <c r="AH244" i="10"/>
  <c r="AH245" i="10"/>
  <c r="AH246" i="10"/>
  <c r="AH247" i="10"/>
  <c r="AH248" i="10"/>
  <c r="AH249" i="10"/>
  <c r="AH250" i="10"/>
  <c r="AH251" i="10"/>
  <c r="AH252" i="10"/>
  <c r="AH253" i="10"/>
  <c r="AH254" i="10"/>
  <c r="AH255" i="10"/>
  <c r="AH256" i="10"/>
  <c r="AH257" i="10"/>
  <c r="AH258" i="10"/>
  <c r="AH259" i="10"/>
  <c r="AH260" i="10"/>
  <c r="AH261" i="10"/>
  <c r="AH262" i="10"/>
  <c r="AH263" i="10"/>
  <c r="AH264" i="10"/>
  <c r="AH265" i="10"/>
  <c r="AH266" i="10"/>
  <c r="AH267" i="10"/>
  <c r="AH268" i="10"/>
  <c r="AH269" i="10"/>
  <c r="AH271" i="10"/>
  <c r="AH272" i="10"/>
  <c r="AH274" i="10"/>
  <c r="AH275" i="10"/>
  <c r="AH276" i="10"/>
  <c r="AH278" i="10"/>
  <c r="AH279" i="10"/>
  <c r="AH280" i="10"/>
  <c r="AH282" i="10"/>
  <c r="AH283" i="10"/>
  <c r="AH284" i="10"/>
  <c r="AH285" i="10"/>
  <c r="AH286" i="10"/>
  <c r="AH287" i="10"/>
  <c r="AH288" i="10"/>
  <c r="AH289" i="10"/>
  <c r="AH291" i="10"/>
  <c r="AH292" i="10"/>
  <c r="AH294" i="10"/>
  <c r="AH296" i="10"/>
  <c r="AH297" i="10"/>
  <c r="AH298" i="10"/>
  <c r="AH301" i="10"/>
  <c r="AH302" i="10"/>
  <c r="AH304" i="10"/>
  <c r="AH305" i="10"/>
  <c r="AH307" i="10"/>
  <c r="AH308" i="10"/>
  <c r="AH309" i="10"/>
  <c r="AH310" i="10"/>
  <c r="AH311" i="10"/>
  <c r="AH312" i="10"/>
  <c r="AH316" i="10"/>
  <c r="AH317" i="10"/>
  <c r="AH320" i="10"/>
  <c r="AH322" i="10"/>
  <c r="AH323" i="10"/>
  <c r="AH324" i="10"/>
  <c r="AH325" i="10"/>
  <c r="AH327" i="10"/>
  <c r="AH328" i="10"/>
  <c r="AH329" i="10"/>
  <c r="AH330" i="10"/>
  <c r="AH333" i="10"/>
  <c r="AH334" i="10"/>
  <c r="AH335" i="10"/>
  <c r="AH336" i="10"/>
  <c r="AH337" i="10"/>
  <c r="AH338" i="10"/>
  <c r="AH339" i="10"/>
  <c r="AH340" i="10"/>
  <c r="AH341" i="10"/>
  <c r="AH342" i="10"/>
  <c r="AH343" i="10"/>
  <c r="AH344" i="10"/>
  <c r="AH345" i="10"/>
  <c r="AH346" i="10"/>
  <c r="AH347" i="10"/>
  <c r="AH348" i="10"/>
  <c r="AH349" i="10"/>
  <c r="AH350" i="10"/>
  <c r="AH351" i="10"/>
  <c r="AH352" i="10"/>
  <c r="AH353" i="10"/>
  <c r="AH354" i="10"/>
  <c r="AH355" i="10"/>
  <c r="AH356" i="10"/>
  <c r="AH357" i="10"/>
  <c r="AH358" i="10"/>
  <c r="AH359" i="10"/>
  <c r="AH360" i="10"/>
  <c r="AH361" i="10"/>
  <c r="AH362" i="10"/>
  <c r="AH363" i="10"/>
  <c r="AH364" i="10"/>
  <c r="AH365" i="10"/>
  <c r="AH366" i="10"/>
  <c r="AH367" i="10"/>
  <c r="AH368" i="10"/>
  <c r="AH369" i="10"/>
  <c r="AH370" i="10"/>
  <c r="AH371" i="10"/>
  <c r="AH372" i="10"/>
  <c r="AH373" i="10"/>
  <c r="AH374" i="10"/>
  <c r="AH375" i="10"/>
  <c r="AH376" i="10"/>
  <c r="AH377" i="10"/>
  <c r="AH378" i="10"/>
  <c r="AH379" i="10"/>
  <c r="AH380" i="10"/>
  <c r="AH381" i="10"/>
  <c r="AH382" i="10"/>
  <c r="AH383" i="10"/>
  <c r="AH384" i="10"/>
  <c r="AH385" i="10"/>
  <c r="AH386" i="10"/>
  <c r="AH387" i="10"/>
  <c r="AH388" i="10"/>
  <c r="AH389" i="10"/>
  <c r="AH390" i="10"/>
  <c r="AH391" i="10"/>
  <c r="AH392" i="10"/>
  <c r="AH393" i="10"/>
  <c r="AH394" i="10"/>
  <c r="AH395" i="10"/>
  <c r="AH396" i="10"/>
  <c r="AH397" i="10"/>
  <c r="AH398" i="10"/>
  <c r="AH399" i="10"/>
  <c r="AH400" i="10"/>
  <c r="AH401" i="10"/>
  <c r="AH402" i="10"/>
  <c r="AH403" i="10"/>
  <c r="AH404" i="10"/>
  <c r="AH405" i="10"/>
  <c r="AH406" i="10"/>
  <c r="AH407" i="10"/>
  <c r="AH408" i="10"/>
  <c r="AH409" i="10"/>
  <c r="AH410" i="10"/>
  <c r="AH411" i="10"/>
  <c r="AH412" i="10"/>
  <c r="AH413" i="10"/>
  <c r="AH414" i="10"/>
  <c r="AH415" i="10"/>
  <c r="AH417" i="10"/>
  <c r="AH418" i="10"/>
  <c r="AH419" i="10"/>
  <c r="AH420" i="10"/>
  <c r="AH421" i="10"/>
  <c r="AH422" i="10"/>
  <c r="AH423" i="10"/>
  <c r="AH424" i="10"/>
  <c r="AH425" i="10"/>
  <c r="AH426" i="10"/>
  <c r="AH427" i="10"/>
  <c r="AH428" i="10"/>
  <c r="AH429" i="10"/>
  <c r="AH430" i="10"/>
  <c r="AH431" i="10"/>
  <c r="AH432" i="10"/>
  <c r="AH433" i="10"/>
  <c r="AH434" i="10"/>
  <c r="AH435" i="10"/>
  <c r="AH436" i="10"/>
  <c r="AH437" i="10"/>
  <c r="AH438" i="10"/>
  <c r="AH439" i="10"/>
  <c r="AH440" i="10"/>
  <c r="AH441" i="10"/>
  <c r="AH442" i="10"/>
  <c r="AH443" i="10"/>
  <c r="AH444" i="10"/>
  <c r="AH445" i="10"/>
  <c r="AH446" i="10"/>
  <c r="AH447" i="10"/>
  <c r="AH448" i="10"/>
  <c r="AH449" i="10"/>
  <c r="AH450" i="10"/>
  <c r="AH451" i="10"/>
  <c r="AH452" i="10"/>
  <c r="AH453" i="10"/>
  <c r="AH454" i="10"/>
  <c r="AH455" i="10"/>
  <c r="AH456" i="10"/>
  <c r="AH457" i="10"/>
  <c r="AH458" i="10"/>
  <c r="AH459" i="10"/>
  <c r="AH460" i="10"/>
  <c r="AH461" i="10"/>
  <c r="AH462" i="10"/>
  <c r="AH463" i="10"/>
  <c r="AH464" i="10"/>
  <c r="AH465" i="10"/>
  <c r="AH466" i="10"/>
  <c r="AH467" i="10"/>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8" i="10"/>
  <c r="AI169" i="10"/>
  <c r="AI170" i="10"/>
  <c r="AI171" i="10"/>
  <c r="AI172" i="10"/>
  <c r="AI173" i="10"/>
  <c r="AI178" i="10"/>
  <c r="AI179" i="10"/>
  <c r="AI180" i="10"/>
  <c r="AI181" i="10"/>
  <c r="AI183" i="10"/>
  <c r="AI184" i="10"/>
  <c r="AI185" i="10"/>
  <c r="AI186" i="10"/>
  <c r="AI188" i="10"/>
  <c r="AI190" i="10"/>
  <c r="AI192" i="10"/>
  <c r="AI193" i="10"/>
  <c r="AI194" i="10"/>
  <c r="AI195" i="10"/>
  <c r="AI196" i="10"/>
  <c r="AI198" i="10"/>
  <c r="AI199" i="10"/>
  <c r="AI200" i="10"/>
  <c r="AI201" i="10"/>
  <c r="AI202" i="10"/>
  <c r="AI203" i="10"/>
  <c r="AI204" i="10"/>
  <c r="AI205" i="10"/>
  <c r="AI206" i="10"/>
  <c r="AI207" i="10"/>
  <c r="AI208" i="10"/>
  <c r="AI209" i="10"/>
  <c r="AI211" i="10"/>
  <c r="AI213" i="10"/>
  <c r="AI214" i="10"/>
  <c r="AI215" i="10"/>
  <c r="AI216" i="10"/>
  <c r="AI217" i="10"/>
  <c r="AI218" i="10"/>
  <c r="AI219"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1" i="10"/>
  <c r="AI272" i="10"/>
  <c r="AI274" i="10"/>
  <c r="AI275" i="10"/>
  <c r="AI276" i="10"/>
  <c r="AI278" i="10"/>
  <c r="AI279" i="10"/>
  <c r="AI280" i="10"/>
  <c r="AI282" i="10"/>
  <c r="AI283" i="10"/>
  <c r="AI284" i="10"/>
  <c r="AI285" i="10"/>
  <c r="AI286" i="10"/>
  <c r="AI287" i="10"/>
  <c r="AI288" i="10"/>
  <c r="AI289" i="10"/>
  <c r="AI291" i="10"/>
  <c r="AI292" i="10"/>
  <c r="AI294" i="10"/>
  <c r="AI296" i="10"/>
  <c r="AI297" i="10"/>
  <c r="AI298" i="10"/>
  <c r="AI301" i="10"/>
  <c r="AI302" i="10"/>
  <c r="AI304" i="10"/>
  <c r="AI305" i="10"/>
  <c r="AI307" i="10"/>
  <c r="AI308" i="10"/>
  <c r="AI309" i="10"/>
  <c r="AI310" i="10"/>
  <c r="AI311" i="10"/>
  <c r="AI312" i="10"/>
  <c r="AI316" i="10"/>
  <c r="AI317" i="10"/>
  <c r="AI320" i="10"/>
  <c r="AI322" i="10"/>
  <c r="AI323" i="10"/>
  <c r="AI324" i="10"/>
  <c r="AI325" i="10"/>
  <c r="AI327" i="10"/>
  <c r="AI328" i="10"/>
  <c r="AI329" i="10"/>
  <c r="AI330"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K4" i="10"/>
  <c r="AK5" i="10"/>
  <c r="AK6" i="10"/>
  <c r="AK7" i="10"/>
  <c r="AK8" i="10"/>
  <c r="AK9" i="10"/>
  <c r="AK10" i="10"/>
  <c r="AK11" i="10"/>
  <c r="AK12" i="10"/>
  <c r="AK13" i="10"/>
  <c r="AK14" i="10"/>
  <c r="AK15" i="10"/>
  <c r="AK16" i="10"/>
  <c r="AK17" i="10"/>
  <c r="AK18" i="10"/>
  <c r="AK19" i="10"/>
  <c r="AK20" i="10"/>
  <c r="AK21" i="10"/>
  <c r="AK22" i="10"/>
  <c r="AK23" i="10"/>
  <c r="AK24" i="10"/>
  <c r="AK25" i="10"/>
  <c r="AK26" i="10"/>
  <c r="AK27" i="10"/>
  <c r="AK28" i="10"/>
  <c r="AK29"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6"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5" i="10"/>
  <c r="AK96" i="10"/>
  <c r="AK97" i="10"/>
  <c r="AK98" i="10"/>
  <c r="AK99" i="10"/>
  <c r="AK100" i="10"/>
  <c r="AK101" i="10"/>
  <c r="AK102" i="10"/>
  <c r="AK103" i="10"/>
  <c r="AK104" i="10"/>
  <c r="AK105" i="10"/>
  <c r="AK106" i="10"/>
  <c r="AK107" i="10"/>
  <c r="AK108"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163" i="10"/>
  <c r="AK164" i="10"/>
  <c r="AK165" i="10"/>
  <c r="AK166" i="10"/>
  <c r="AK168" i="10"/>
  <c r="AK169" i="10"/>
  <c r="AK170" i="10"/>
  <c r="AK171" i="10"/>
  <c r="AK172" i="10"/>
  <c r="AK173" i="10"/>
  <c r="AK178" i="10"/>
  <c r="AK179" i="10"/>
  <c r="AK180" i="10"/>
  <c r="AK181" i="10"/>
  <c r="AK183" i="10"/>
  <c r="AK184" i="10"/>
  <c r="AK185" i="10"/>
  <c r="AK186" i="10"/>
  <c r="AK188" i="10"/>
  <c r="AK190" i="10"/>
  <c r="AK192" i="10"/>
  <c r="AK193" i="10"/>
  <c r="AK194" i="10"/>
  <c r="AK195" i="10"/>
  <c r="AK196" i="10"/>
  <c r="AK198" i="10"/>
  <c r="AK199" i="10"/>
  <c r="AK200" i="10"/>
  <c r="AK201" i="10"/>
  <c r="AK202" i="10"/>
  <c r="AK203" i="10"/>
  <c r="AK204" i="10"/>
  <c r="AK205" i="10"/>
  <c r="AK206" i="10"/>
  <c r="AK207" i="10"/>
  <c r="AK208" i="10"/>
  <c r="AK209" i="10"/>
  <c r="AK211" i="10"/>
  <c r="AK213" i="10"/>
  <c r="AK214" i="10"/>
  <c r="AK215" i="10"/>
  <c r="AK216" i="10"/>
  <c r="AK217" i="10"/>
  <c r="AK218" i="10"/>
  <c r="AK219" i="10"/>
  <c r="AK221" i="10"/>
  <c r="AK222" i="10"/>
  <c r="AK223" i="10"/>
  <c r="AK224" i="10"/>
  <c r="AK225" i="10"/>
  <c r="AK226" i="10"/>
  <c r="AK227" i="10"/>
  <c r="AK228" i="10"/>
  <c r="AK229" i="10"/>
  <c r="AK230" i="10"/>
  <c r="AK231" i="10"/>
  <c r="AK232" i="10"/>
  <c r="AK233" i="10"/>
  <c r="AK234" i="10"/>
  <c r="AK235" i="10"/>
  <c r="AK236" i="10"/>
  <c r="AK237" i="10"/>
  <c r="AK238" i="10"/>
  <c r="AK239" i="10"/>
  <c r="AK240" i="10"/>
  <c r="AK241" i="10"/>
  <c r="AK242" i="10"/>
  <c r="AK243" i="10"/>
  <c r="AK244" i="10"/>
  <c r="AK245" i="10"/>
  <c r="AK246" i="10"/>
  <c r="AK247" i="10"/>
  <c r="AK248" i="10"/>
  <c r="AK249" i="10"/>
  <c r="AK250" i="10"/>
  <c r="AK251" i="10"/>
  <c r="AK252" i="10"/>
  <c r="AK253" i="10"/>
  <c r="AK254" i="10"/>
  <c r="AK255" i="10"/>
  <c r="AK256" i="10"/>
  <c r="AK257" i="10"/>
  <c r="AK258" i="10"/>
  <c r="AK259" i="10"/>
  <c r="AK260" i="10"/>
  <c r="AK261" i="10"/>
  <c r="AK262" i="10"/>
  <c r="AK263" i="10"/>
  <c r="AK264" i="10"/>
  <c r="AK265" i="10"/>
  <c r="AK266" i="10"/>
  <c r="AK267" i="10"/>
  <c r="AK268" i="10"/>
  <c r="AK269" i="10"/>
  <c r="AK271" i="10"/>
  <c r="AK272" i="10"/>
  <c r="AK274" i="10"/>
  <c r="AK275" i="10"/>
  <c r="AK276" i="10"/>
  <c r="AK278" i="10"/>
  <c r="AK279" i="10"/>
  <c r="AK280" i="10"/>
  <c r="AK282" i="10"/>
  <c r="AK283" i="10"/>
  <c r="AK284" i="10"/>
  <c r="AK285" i="10"/>
  <c r="AK286" i="10"/>
  <c r="AK287" i="10"/>
  <c r="AK288" i="10"/>
  <c r="AK289" i="10"/>
  <c r="AK291" i="10"/>
  <c r="AK292" i="10"/>
  <c r="AK294" i="10"/>
  <c r="AK296" i="10"/>
  <c r="AK297" i="10"/>
  <c r="AK298" i="10"/>
  <c r="AK301" i="10"/>
  <c r="AK302" i="10"/>
  <c r="AK304" i="10"/>
  <c r="AK305" i="10"/>
  <c r="AK307" i="10"/>
  <c r="AK308" i="10"/>
  <c r="AK309" i="10"/>
  <c r="AK310" i="10"/>
  <c r="AK311" i="10"/>
  <c r="AK312" i="10"/>
  <c r="AK316" i="10"/>
  <c r="AK317" i="10"/>
  <c r="AK320" i="10"/>
  <c r="AK322" i="10"/>
  <c r="AK323" i="10"/>
  <c r="AK324" i="10"/>
  <c r="AK325" i="10"/>
  <c r="AK327" i="10"/>
  <c r="AK328" i="10"/>
  <c r="AK329" i="10"/>
  <c r="AK330" i="10"/>
  <c r="AK333" i="10"/>
  <c r="AK334" i="10"/>
  <c r="AK335" i="10"/>
  <c r="AK336" i="10"/>
  <c r="AK337" i="10"/>
  <c r="AK338" i="10"/>
  <c r="AK339" i="10"/>
  <c r="AK340" i="10"/>
  <c r="AK341" i="10"/>
  <c r="AK342" i="10"/>
  <c r="AK343" i="10"/>
  <c r="AK344" i="10"/>
  <c r="AK345" i="10"/>
  <c r="AK346" i="10"/>
  <c r="AK347" i="10"/>
  <c r="AK348" i="10"/>
  <c r="AK349" i="10"/>
  <c r="AK350" i="10"/>
  <c r="AK351" i="10"/>
  <c r="AK352" i="10"/>
  <c r="AK353" i="10"/>
  <c r="AK356" i="10"/>
  <c r="AK357" i="10"/>
  <c r="AK359" i="10"/>
  <c r="AK361" i="10"/>
  <c r="AK362" i="10"/>
  <c r="AK363" i="10"/>
  <c r="AK364" i="10"/>
  <c r="AK365" i="10"/>
  <c r="AK366" i="10"/>
  <c r="AK367" i="10"/>
  <c r="AK368" i="10"/>
  <c r="AK370" i="10"/>
  <c r="AK371" i="10"/>
  <c r="AK372" i="10"/>
  <c r="AK373" i="10"/>
  <c r="AK374" i="10"/>
  <c r="AK375" i="10"/>
  <c r="AK376" i="10"/>
  <c r="AK377" i="10"/>
  <c r="AK379" i="10"/>
  <c r="AK380" i="10"/>
  <c r="AK381" i="10"/>
  <c r="AK382" i="10"/>
  <c r="AK383" i="10"/>
  <c r="AK384" i="10"/>
  <c r="AK385" i="10"/>
  <c r="AK387" i="10"/>
  <c r="AK388" i="10"/>
  <c r="AK389" i="10"/>
  <c r="AK391" i="10"/>
  <c r="AK392" i="10"/>
  <c r="AK393" i="10"/>
  <c r="AK394" i="10"/>
  <c r="AK395" i="10"/>
  <c r="AK396" i="10"/>
  <c r="AK397" i="10"/>
  <c r="AK398" i="10"/>
  <c r="AK399" i="10"/>
  <c r="AK400" i="10"/>
  <c r="AK401" i="10"/>
  <c r="AK402" i="10"/>
  <c r="AK403" i="10"/>
  <c r="AK404" i="10"/>
  <c r="AK405" i="10"/>
  <c r="AK406" i="10"/>
  <c r="AK407" i="10"/>
  <c r="AK408" i="10"/>
  <c r="AK409" i="10"/>
  <c r="AK410" i="10"/>
  <c r="AK411" i="10"/>
  <c r="AK412" i="10"/>
  <c r="AK413" i="10"/>
  <c r="AK414" i="10"/>
  <c r="AK415" i="10"/>
  <c r="AK417" i="10"/>
  <c r="AK418" i="10"/>
  <c r="AK419" i="10"/>
  <c r="AK420" i="10"/>
  <c r="AK421" i="10"/>
  <c r="AK422" i="10"/>
  <c r="AK423" i="10"/>
  <c r="AK424" i="10"/>
  <c r="AK425" i="10"/>
  <c r="AK426" i="10"/>
  <c r="AK427" i="10"/>
  <c r="AK428" i="10"/>
  <c r="AK429" i="10"/>
  <c r="AK430" i="10"/>
  <c r="AK431" i="10"/>
  <c r="AK432" i="10"/>
  <c r="AK433" i="10"/>
  <c r="AK434" i="10"/>
  <c r="AK435" i="10"/>
  <c r="AK436" i="10"/>
  <c r="AK437" i="10"/>
  <c r="AK438" i="10"/>
  <c r="AK439" i="10"/>
  <c r="AK440" i="10"/>
  <c r="AK441" i="10"/>
  <c r="AK442" i="10"/>
  <c r="AK443" i="10"/>
  <c r="AK444" i="10"/>
  <c r="AK445" i="10"/>
  <c r="AK446" i="10"/>
  <c r="AK447" i="10"/>
  <c r="AK448" i="10"/>
  <c r="AK449" i="10"/>
  <c r="AK450" i="10"/>
  <c r="AK451" i="10"/>
  <c r="AK452" i="10"/>
  <c r="AK453" i="10"/>
  <c r="AK454" i="10"/>
  <c r="AK455" i="10"/>
  <c r="AK456" i="10"/>
  <c r="AK457" i="10"/>
  <c r="AK458" i="10"/>
  <c r="AK459" i="10"/>
  <c r="AK460" i="10"/>
  <c r="AK461" i="10"/>
  <c r="AK462" i="10"/>
  <c r="AK463" i="10"/>
  <c r="AK464" i="10"/>
  <c r="AK465" i="10"/>
  <c r="AK466" i="10"/>
  <c r="AK467" i="10"/>
  <c r="AL4" i="10"/>
  <c r="AL5" i="10"/>
  <c r="AL6" i="10"/>
  <c r="AL7" i="10"/>
  <c r="AL8" i="10"/>
  <c r="AL9" i="10"/>
  <c r="AL10" i="10"/>
  <c r="AL11" i="10"/>
  <c r="AL12" i="10"/>
  <c r="AL13" i="10"/>
  <c r="AL14" i="10"/>
  <c r="AL15" i="10"/>
  <c r="AL16" i="10"/>
  <c r="AL17" i="10"/>
  <c r="AL18" i="10"/>
  <c r="AL19" i="10"/>
  <c r="AL20" i="10"/>
  <c r="AL21" i="10"/>
  <c r="AL22" i="10"/>
  <c r="AL23" i="10"/>
  <c r="AL24" i="10"/>
  <c r="AL25" i="10"/>
  <c r="AL26" i="10"/>
  <c r="AL27" i="10"/>
  <c r="AL28" i="10"/>
  <c r="AL29"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6"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5" i="10"/>
  <c r="AL96" i="10"/>
  <c r="AL97" i="10"/>
  <c r="AL98" i="10"/>
  <c r="AL99" i="10"/>
  <c r="AL100" i="10"/>
  <c r="AL101" i="10"/>
  <c r="AL102" i="10"/>
  <c r="AL103" i="10"/>
  <c r="AL104" i="10"/>
  <c r="AL105" i="10"/>
  <c r="AL106" i="10"/>
  <c r="AL107" i="10"/>
  <c r="AL108"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163" i="10"/>
  <c r="AL164" i="10"/>
  <c r="AL165" i="10"/>
  <c r="AL166" i="10"/>
  <c r="AL168" i="10"/>
  <c r="AL169" i="10"/>
  <c r="AL170" i="10"/>
  <c r="AL171" i="10"/>
  <c r="AL172" i="10"/>
  <c r="AL173" i="10"/>
  <c r="AL178" i="10"/>
  <c r="AL179" i="10"/>
  <c r="AL180" i="10"/>
  <c r="AL181" i="10"/>
  <c r="AL183" i="10"/>
  <c r="AL184" i="10"/>
  <c r="AL185" i="10"/>
  <c r="AL186" i="10"/>
  <c r="AL188" i="10"/>
  <c r="AL190" i="10"/>
  <c r="AL192" i="10"/>
  <c r="AL193" i="10"/>
  <c r="AL194" i="10"/>
  <c r="AL195" i="10"/>
  <c r="AL196" i="10"/>
  <c r="AL198" i="10"/>
  <c r="AL199" i="10"/>
  <c r="AL200" i="10"/>
  <c r="AL201" i="10"/>
  <c r="AL202" i="10"/>
  <c r="AL203" i="10"/>
  <c r="AL204" i="10"/>
  <c r="AL205" i="10"/>
  <c r="AL206" i="10"/>
  <c r="AL207" i="10"/>
  <c r="AL208" i="10"/>
  <c r="AL209" i="10"/>
  <c r="AL211" i="10"/>
  <c r="AL213" i="10"/>
  <c r="AL214" i="10"/>
  <c r="AL215" i="10"/>
  <c r="AL216" i="10"/>
  <c r="AL217" i="10"/>
  <c r="AL218" i="10"/>
  <c r="AL219" i="10"/>
  <c r="AL221" i="10"/>
  <c r="AL222" i="10"/>
  <c r="AL223" i="10"/>
  <c r="AL224" i="10"/>
  <c r="AL225" i="10"/>
  <c r="AL226" i="10"/>
  <c r="AL227" i="10"/>
  <c r="AL228" i="10"/>
  <c r="AL229" i="10"/>
  <c r="AL230" i="10"/>
  <c r="AL231" i="10"/>
  <c r="AL232" i="10"/>
  <c r="AL233" i="10"/>
  <c r="AL234" i="10"/>
  <c r="AL235" i="10"/>
  <c r="AL236" i="10"/>
  <c r="AL237" i="10"/>
  <c r="AL238" i="10"/>
  <c r="AL239" i="10"/>
  <c r="AL240" i="10"/>
  <c r="AL241" i="10"/>
  <c r="AL242" i="10"/>
  <c r="AL243" i="10"/>
  <c r="AL244" i="10"/>
  <c r="AL245" i="10"/>
  <c r="AL246" i="10"/>
  <c r="AL247" i="10"/>
  <c r="AL248" i="10"/>
  <c r="AL249" i="10"/>
  <c r="AL250" i="10"/>
  <c r="AL251" i="10"/>
  <c r="AL252" i="10"/>
  <c r="AL253" i="10"/>
  <c r="AL254" i="10"/>
  <c r="AL255" i="10"/>
  <c r="AL256" i="10"/>
  <c r="AL257" i="10"/>
  <c r="AL258" i="10"/>
  <c r="AL259" i="10"/>
  <c r="AL260" i="10"/>
  <c r="AL261" i="10"/>
  <c r="AL262" i="10"/>
  <c r="AL263" i="10"/>
  <c r="AL264" i="10"/>
  <c r="AL265" i="10"/>
  <c r="AL266" i="10"/>
  <c r="AL267" i="10"/>
  <c r="AL268" i="10"/>
  <c r="AL269" i="10"/>
  <c r="AL271" i="10"/>
  <c r="AL272" i="10"/>
  <c r="AL274" i="10"/>
  <c r="AL275" i="10"/>
  <c r="AL276" i="10"/>
  <c r="AL278" i="10"/>
  <c r="AL279" i="10"/>
  <c r="AL280" i="10"/>
  <c r="AL282" i="10"/>
  <c r="AL283" i="10"/>
  <c r="AL284" i="10"/>
  <c r="AL285" i="10"/>
  <c r="AL286" i="10"/>
  <c r="AL287" i="10"/>
  <c r="AL288" i="10"/>
  <c r="AL289" i="10"/>
  <c r="AL291" i="10"/>
  <c r="AL292" i="10"/>
  <c r="AL294" i="10"/>
  <c r="AL296" i="10"/>
  <c r="AL297" i="10"/>
  <c r="AL298" i="10"/>
  <c r="AL301" i="10"/>
  <c r="AL302" i="10"/>
  <c r="AL304" i="10"/>
  <c r="AL305" i="10"/>
  <c r="AL307" i="10"/>
  <c r="AL308" i="10"/>
  <c r="AL309" i="10"/>
  <c r="AL310" i="10"/>
  <c r="AL311" i="10"/>
  <c r="AL312" i="10"/>
  <c r="AL316" i="10"/>
  <c r="AL317" i="10"/>
  <c r="AL320" i="10"/>
  <c r="AL322" i="10"/>
  <c r="AL323" i="10"/>
  <c r="AL324" i="10"/>
  <c r="AL325" i="10"/>
  <c r="AL327" i="10"/>
  <c r="AL328" i="10"/>
  <c r="AL329" i="10"/>
  <c r="AL330" i="10"/>
  <c r="AL333" i="10"/>
  <c r="AL334" i="10"/>
  <c r="AL335" i="10"/>
  <c r="AL336" i="10"/>
  <c r="AL337" i="10"/>
  <c r="AL338" i="10"/>
  <c r="AL339" i="10"/>
  <c r="AL340" i="10"/>
  <c r="AL341" i="10"/>
  <c r="AL342" i="10"/>
  <c r="AL343" i="10"/>
  <c r="AL344" i="10"/>
  <c r="AL345" i="10"/>
  <c r="AL346" i="10"/>
  <c r="AL347" i="10"/>
  <c r="AL348" i="10"/>
  <c r="AL349" i="10"/>
  <c r="AL350" i="10"/>
  <c r="AL351" i="10"/>
  <c r="AL352" i="10"/>
  <c r="AL353" i="10"/>
  <c r="AL354" i="10"/>
  <c r="AL355" i="10"/>
  <c r="AL356" i="10"/>
  <c r="AL357" i="10"/>
  <c r="AL358" i="10"/>
  <c r="AL359" i="10"/>
  <c r="AL360" i="10"/>
  <c r="AL361" i="10"/>
  <c r="AL362" i="10"/>
  <c r="AL363" i="10"/>
  <c r="AL364" i="10"/>
  <c r="AL365" i="10"/>
  <c r="AL366" i="10"/>
  <c r="AL367" i="10"/>
  <c r="AL368" i="10"/>
  <c r="AL369" i="10"/>
  <c r="AL370" i="10"/>
  <c r="AL371" i="10"/>
  <c r="AL372" i="10"/>
  <c r="AL373" i="10"/>
  <c r="AL374" i="10"/>
  <c r="AL375" i="10"/>
  <c r="AL376" i="10"/>
  <c r="AL377" i="10"/>
  <c r="AL378" i="10"/>
  <c r="AL379" i="10"/>
  <c r="AL380" i="10"/>
  <c r="AL381" i="10"/>
  <c r="AL382" i="10"/>
  <c r="AL383" i="10"/>
  <c r="AL384" i="10"/>
  <c r="AL385" i="10"/>
  <c r="AL386" i="10"/>
  <c r="AL387" i="10"/>
  <c r="AL388" i="10"/>
  <c r="AL389" i="10"/>
  <c r="AL390" i="10"/>
  <c r="AL391" i="10"/>
  <c r="AL392" i="10"/>
  <c r="AL393" i="10"/>
  <c r="AL394" i="10"/>
  <c r="AL395" i="10"/>
  <c r="AL396" i="10"/>
  <c r="AL397" i="10"/>
  <c r="AL398" i="10"/>
  <c r="AL399" i="10"/>
  <c r="AL400" i="10"/>
  <c r="AL401" i="10"/>
  <c r="AL402" i="10"/>
  <c r="AL403" i="10"/>
  <c r="AL404" i="10"/>
  <c r="AL405" i="10"/>
  <c r="AL406" i="10"/>
  <c r="AL407" i="10"/>
  <c r="AL408" i="10"/>
  <c r="AL409" i="10"/>
  <c r="AL410" i="10"/>
  <c r="AL411" i="10"/>
  <c r="AL412" i="10"/>
  <c r="AL413" i="10"/>
  <c r="AL414" i="10"/>
  <c r="AL415" i="10"/>
  <c r="AL417" i="10"/>
  <c r="AL418" i="10"/>
  <c r="AL419" i="10"/>
  <c r="AL420" i="10"/>
  <c r="AL421" i="10"/>
  <c r="AL422" i="10"/>
  <c r="AL423" i="10"/>
  <c r="AL424" i="10"/>
  <c r="AL425" i="10"/>
  <c r="AL426" i="10"/>
  <c r="AL427" i="10"/>
  <c r="AL428" i="10"/>
  <c r="AL429" i="10"/>
  <c r="AL430" i="10"/>
  <c r="AL431" i="10"/>
  <c r="AL432" i="10"/>
  <c r="AL433" i="10"/>
  <c r="AL434" i="10"/>
  <c r="AL435" i="10"/>
  <c r="AL436" i="10"/>
  <c r="AL437" i="10"/>
  <c r="AL438" i="10"/>
  <c r="AL439" i="10"/>
  <c r="AL440" i="10"/>
  <c r="AL441" i="10"/>
  <c r="AL442" i="10"/>
  <c r="AL443" i="10"/>
  <c r="AL444" i="10"/>
  <c r="AL445" i="10"/>
  <c r="AL446" i="10"/>
  <c r="AL447" i="10"/>
  <c r="AL448" i="10"/>
  <c r="AL449" i="10"/>
  <c r="AL450" i="10"/>
  <c r="AL451" i="10"/>
  <c r="AL452" i="10"/>
  <c r="AL453" i="10"/>
  <c r="AL454" i="10"/>
  <c r="AL455" i="10"/>
  <c r="AL456" i="10"/>
  <c r="AL457" i="10"/>
  <c r="AL458" i="10"/>
  <c r="AL459" i="10"/>
  <c r="AL460" i="10"/>
  <c r="AL461" i="10"/>
  <c r="AL462" i="10"/>
  <c r="AL463" i="10"/>
  <c r="AL464" i="10"/>
  <c r="AL465" i="10"/>
  <c r="AL466" i="10"/>
  <c r="AL467" i="10"/>
  <c r="AM4" i="10"/>
  <c r="AM5" i="10"/>
  <c r="AM6" i="10"/>
  <c r="AM7" i="10"/>
  <c r="AM8" i="10"/>
  <c r="AM9" i="10"/>
  <c r="AM10" i="10"/>
  <c r="AM11" i="10"/>
  <c r="AM12" i="10"/>
  <c r="AM13" i="10"/>
  <c r="AM14" i="10"/>
  <c r="AM15" i="10"/>
  <c r="AM16" i="10"/>
  <c r="AM17" i="10"/>
  <c r="AM18" i="10"/>
  <c r="AM19" i="10"/>
  <c r="AM20" i="10"/>
  <c r="AM21" i="10"/>
  <c r="AM22" i="10"/>
  <c r="AM23" i="10"/>
  <c r="AM24" i="10"/>
  <c r="AM25" i="10"/>
  <c r="AM26" i="10"/>
  <c r="AM27" i="10"/>
  <c r="AM28" i="10"/>
  <c r="AM29"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6"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5" i="10"/>
  <c r="AM96" i="10"/>
  <c r="AM97" i="10"/>
  <c r="AM98" i="10"/>
  <c r="AM99" i="10"/>
  <c r="AM100" i="10"/>
  <c r="AM101" i="10"/>
  <c r="AM102" i="10"/>
  <c r="AM103" i="10"/>
  <c r="AM104" i="10"/>
  <c r="AM105" i="10"/>
  <c r="AM106" i="10"/>
  <c r="AM107" i="10"/>
  <c r="AM108"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163" i="10"/>
  <c r="AM164" i="10"/>
  <c r="AM165" i="10"/>
  <c r="AM166" i="10"/>
  <c r="AM168" i="10"/>
  <c r="AM169" i="10"/>
  <c r="AM170" i="10"/>
  <c r="AM171" i="10"/>
  <c r="AM172" i="10"/>
  <c r="AM173" i="10"/>
  <c r="AM178" i="10"/>
  <c r="AM179" i="10"/>
  <c r="AM180" i="10"/>
  <c r="AM181" i="10"/>
  <c r="AM183" i="10"/>
  <c r="AM184" i="10"/>
  <c r="AM185" i="10"/>
  <c r="AM186" i="10"/>
  <c r="AM188" i="10"/>
  <c r="AM190" i="10"/>
  <c r="AM192" i="10"/>
  <c r="AM193" i="10"/>
  <c r="AM194" i="10"/>
  <c r="AM195" i="10"/>
  <c r="AM196" i="10"/>
  <c r="AM198" i="10"/>
  <c r="AM199" i="10"/>
  <c r="AM200" i="10"/>
  <c r="AM201" i="10"/>
  <c r="AM202" i="10"/>
  <c r="AM203" i="10"/>
  <c r="AM204" i="10"/>
  <c r="AM205" i="10"/>
  <c r="AM206" i="10"/>
  <c r="AM207" i="10"/>
  <c r="AM208" i="10"/>
  <c r="AM209" i="10"/>
  <c r="AM211" i="10"/>
  <c r="AM213" i="10"/>
  <c r="AM214" i="10"/>
  <c r="AM215" i="10"/>
  <c r="AM216" i="10"/>
  <c r="AM217" i="10"/>
  <c r="AM218" i="10"/>
  <c r="AM219" i="10"/>
  <c r="AM221" i="10"/>
  <c r="AM222" i="10"/>
  <c r="AM223" i="10"/>
  <c r="AM224" i="10"/>
  <c r="AM225" i="10"/>
  <c r="AM226" i="10"/>
  <c r="AM227" i="10"/>
  <c r="AM228" i="10"/>
  <c r="AM229" i="10"/>
  <c r="AM230" i="10"/>
  <c r="AM231" i="10"/>
  <c r="AM232" i="10"/>
  <c r="AM233" i="10"/>
  <c r="AM234" i="10"/>
  <c r="AM235" i="10"/>
  <c r="AM236" i="10"/>
  <c r="AM237" i="10"/>
  <c r="AM238" i="10"/>
  <c r="AM239" i="10"/>
  <c r="AM240" i="10"/>
  <c r="AM241" i="10"/>
  <c r="AM242" i="10"/>
  <c r="AM243" i="10"/>
  <c r="AM244" i="10"/>
  <c r="AM245" i="10"/>
  <c r="AM246" i="10"/>
  <c r="AM247" i="10"/>
  <c r="AM248" i="10"/>
  <c r="AM249" i="10"/>
  <c r="AM250" i="10"/>
  <c r="AM251" i="10"/>
  <c r="AM252" i="10"/>
  <c r="AM253" i="10"/>
  <c r="AM254" i="10"/>
  <c r="AM255" i="10"/>
  <c r="AM256" i="10"/>
  <c r="AM257" i="10"/>
  <c r="AM258" i="10"/>
  <c r="AM259" i="10"/>
  <c r="AM260" i="10"/>
  <c r="AM261" i="10"/>
  <c r="AM262" i="10"/>
  <c r="AM263" i="10"/>
  <c r="AM264" i="10"/>
  <c r="AM265" i="10"/>
  <c r="AM266" i="10"/>
  <c r="AM267" i="10"/>
  <c r="AM268" i="10"/>
  <c r="AM269" i="10"/>
  <c r="AM271" i="10"/>
  <c r="AM272" i="10"/>
  <c r="AM274" i="10"/>
  <c r="AM275" i="10"/>
  <c r="AM276" i="10"/>
  <c r="AM278" i="10"/>
  <c r="AM279" i="10"/>
  <c r="AM280" i="10"/>
  <c r="AM282" i="10"/>
  <c r="AM283" i="10"/>
  <c r="AM284" i="10"/>
  <c r="AM285" i="10"/>
  <c r="AM286" i="10"/>
  <c r="AM287" i="10"/>
  <c r="AM288" i="10"/>
  <c r="AM289" i="10"/>
  <c r="AM291" i="10"/>
  <c r="AM292" i="10"/>
  <c r="AM294" i="10"/>
  <c r="AM296" i="10"/>
  <c r="AM297" i="10"/>
  <c r="AM298" i="10"/>
  <c r="AM301" i="10"/>
  <c r="AM302" i="10"/>
  <c r="AM304" i="10"/>
  <c r="AM305" i="10"/>
  <c r="AM307" i="10"/>
  <c r="AM308" i="10"/>
  <c r="AM309" i="10"/>
  <c r="AM310" i="10"/>
  <c r="AM311" i="10"/>
  <c r="AM312" i="10"/>
  <c r="AM316" i="10"/>
  <c r="AM317" i="10"/>
  <c r="AM320" i="10"/>
  <c r="AM322" i="10"/>
  <c r="AM323" i="10"/>
  <c r="AM324" i="10"/>
  <c r="AM325" i="10"/>
  <c r="AM327" i="10"/>
  <c r="AM328" i="10"/>
  <c r="AM329" i="10"/>
  <c r="AM330" i="10"/>
  <c r="AM333" i="10"/>
  <c r="AM334" i="10"/>
  <c r="AM335" i="10"/>
  <c r="AM336" i="10"/>
  <c r="AM337" i="10"/>
  <c r="AM338" i="10"/>
  <c r="AM339" i="10"/>
  <c r="AM340" i="10"/>
  <c r="AM341" i="10"/>
  <c r="AM342" i="10"/>
  <c r="AM343" i="10"/>
  <c r="AM344" i="10"/>
  <c r="AM345" i="10"/>
  <c r="AM346" i="10"/>
  <c r="AM347" i="10"/>
  <c r="AM348" i="10"/>
  <c r="AM349" i="10"/>
  <c r="AM350" i="10"/>
  <c r="AM351" i="10"/>
  <c r="AM352" i="10"/>
  <c r="AM353" i="10"/>
  <c r="AM354" i="10"/>
  <c r="AM355" i="10"/>
  <c r="AM356" i="10"/>
  <c r="AM357" i="10"/>
  <c r="AM358" i="10"/>
  <c r="AM359" i="10"/>
  <c r="AM360" i="10"/>
  <c r="AM361" i="10"/>
  <c r="AM362" i="10"/>
  <c r="AM363" i="10"/>
  <c r="AM364" i="10"/>
  <c r="AM365" i="10"/>
  <c r="AM366" i="10"/>
  <c r="AM367" i="10"/>
  <c r="AM368" i="10"/>
  <c r="AM369" i="10"/>
  <c r="AM370" i="10"/>
  <c r="AM371" i="10"/>
  <c r="AM372" i="10"/>
  <c r="AM373" i="10"/>
  <c r="AM374" i="10"/>
  <c r="AM375" i="10"/>
  <c r="AM376" i="10"/>
  <c r="AM377" i="10"/>
  <c r="AM378" i="10"/>
  <c r="AM379" i="10"/>
  <c r="AM380" i="10"/>
  <c r="AM381" i="10"/>
  <c r="AM382" i="10"/>
  <c r="AM383" i="10"/>
  <c r="AM384" i="10"/>
  <c r="AM385" i="10"/>
  <c r="AM386" i="10"/>
  <c r="AM387" i="10"/>
  <c r="AM388" i="10"/>
  <c r="AM389" i="10"/>
  <c r="AM390" i="10"/>
  <c r="AM391" i="10"/>
  <c r="AM392" i="10"/>
  <c r="AM393" i="10"/>
  <c r="AM394" i="10"/>
  <c r="AM395" i="10"/>
  <c r="AM396" i="10"/>
  <c r="AM397" i="10"/>
  <c r="AM398" i="10"/>
  <c r="AM399" i="10"/>
  <c r="AM400" i="10"/>
  <c r="AM401" i="10"/>
  <c r="AM402" i="10"/>
  <c r="AM403" i="10"/>
  <c r="AM404" i="10"/>
  <c r="AM405" i="10"/>
  <c r="AM406" i="10"/>
  <c r="AM407" i="10"/>
  <c r="AM408" i="10"/>
  <c r="AM409" i="10"/>
  <c r="AM410" i="10"/>
  <c r="AM411" i="10"/>
  <c r="AM412" i="10"/>
  <c r="AM413" i="10"/>
  <c r="AM414" i="10"/>
  <c r="AM415" i="10"/>
  <c r="AM417" i="10"/>
  <c r="AM418" i="10"/>
  <c r="AM419" i="10"/>
  <c r="AM420" i="10"/>
  <c r="AM421" i="10"/>
  <c r="AM422" i="10"/>
  <c r="AM423" i="10"/>
  <c r="AM424" i="10"/>
  <c r="AM425" i="10"/>
  <c r="AM426" i="10"/>
  <c r="AM427" i="10"/>
  <c r="AM428" i="10"/>
  <c r="AM429" i="10"/>
  <c r="AM430" i="10"/>
  <c r="AM431" i="10"/>
  <c r="AM432" i="10"/>
  <c r="AM433" i="10"/>
  <c r="AM434" i="10"/>
  <c r="AM435" i="10"/>
  <c r="AM436" i="10"/>
  <c r="AM437" i="10"/>
  <c r="AM438" i="10"/>
  <c r="AM439" i="10"/>
  <c r="AM440" i="10"/>
  <c r="AM441" i="10"/>
  <c r="AM442" i="10"/>
  <c r="AM443" i="10"/>
  <c r="AM444" i="10"/>
  <c r="AM445" i="10"/>
  <c r="AM446" i="10"/>
  <c r="AM447" i="10"/>
  <c r="AM448" i="10"/>
  <c r="AM449" i="10"/>
  <c r="AM450" i="10"/>
  <c r="AM451" i="10"/>
  <c r="AM452" i="10"/>
  <c r="AM453" i="10"/>
  <c r="AM454" i="10"/>
  <c r="AM455" i="10"/>
  <c r="AM456" i="10"/>
  <c r="AM457" i="10"/>
  <c r="AM458" i="10"/>
  <c r="AM459" i="10"/>
  <c r="AM460" i="10"/>
  <c r="AM461" i="10"/>
  <c r="AM462" i="10"/>
  <c r="AM463" i="10"/>
  <c r="AM464" i="10"/>
  <c r="AM465" i="10"/>
  <c r="AM466" i="10"/>
  <c r="AM467" i="10"/>
  <c r="AN4" i="10"/>
  <c r="AN5" i="10"/>
  <c r="AN6" i="10"/>
  <c r="AN7" i="10"/>
  <c r="AN8" i="10"/>
  <c r="AN9" i="10"/>
  <c r="AN10" i="10"/>
  <c r="AN11" i="10"/>
  <c r="AN12" i="10"/>
  <c r="AN13" i="10"/>
  <c r="AN14" i="10"/>
  <c r="AN15" i="10"/>
  <c r="AN16" i="10"/>
  <c r="AN17" i="10"/>
  <c r="AN18" i="10"/>
  <c r="AN19" i="10"/>
  <c r="AN20" i="10"/>
  <c r="AN21" i="10"/>
  <c r="AN22" i="10"/>
  <c r="AN23" i="10"/>
  <c r="AN24" i="10"/>
  <c r="AN25" i="10"/>
  <c r="AN26" i="10"/>
  <c r="AN27" i="10"/>
  <c r="AN28" i="10"/>
  <c r="AN29"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6"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5" i="10"/>
  <c r="AN96" i="10"/>
  <c r="AN97" i="10"/>
  <c r="AN98" i="10"/>
  <c r="AN99" i="10"/>
  <c r="AN100" i="10"/>
  <c r="AN101" i="10"/>
  <c r="AN102" i="10"/>
  <c r="AN103" i="10"/>
  <c r="AN104" i="10"/>
  <c r="AN105" i="10"/>
  <c r="AN106" i="10"/>
  <c r="AN107" i="10"/>
  <c r="AN108"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163" i="10"/>
  <c r="AN164" i="10"/>
  <c r="AN165" i="10"/>
  <c r="AN166" i="10"/>
  <c r="AN168" i="10"/>
  <c r="AN169" i="10"/>
  <c r="AN170" i="10"/>
  <c r="AN171" i="10"/>
  <c r="AN172" i="10"/>
  <c r="AN173" i="10"/>
  <c r="AN178" i="10"/>
  <c r="AN179" i="10"/>
  <c r="AN180" i="10"/>
  <c r="AN181" i="10"/>
  <c r="AN183" i="10"/>
  <c r="AN184" i="10"/>
  <c r="AN185" i="10"/>
  <c r="AN186" i="10"/>
  <c r="AN188" i="10"/>
  <c r="AN190" i="10"/>
  <c r="AN192" i="10"/>
  <c r="AN193" i="10"/>
  <c r="AN194" i="10"/>
  <c r="AN195" i="10"/>
  <c r="AN196" i="10"/>
  <c r="AN198" i="10"/>
  <c r="AN199" i="10"/>
  <c r="AN200" i="10"/>
  <c r="AN201" i="10"/>
  <c r="AN202" i="10"/>
  <c r="AN203" i="10"/>
  <c r="AN204" i="10"/>
  <c r="AN205" i="10"/>
  <c r="AN206" i="10"/>
  <c r="AN207" i="10"/>
  <c r="AN208" i="10"/>
  <c r="AN209" i="10"/>
  <c r="AN211" i="10"/>
  <c r="AN213" i="10"/>
  <c r="AN214" i="10"/>
  <c r="AN215" i="10"/>
  <c r="AN216" i="10"/>
  <c r="AN217" i="10"/>
  <c r="AN218" i="10"/>
  <c r="AN219" i="10"/>
  <c r="AN221" i="10"/>
  <c r="AN222" i="10"/>
  <c r="AN223" i="10"/>
  <c r="AN224" i="10"/>
  <c r="AN225" i="10"/>
  <c r="AN226" i="10"/>
  <c r="AN227" i="10"/>
  <c r="AN228" i="10"/>
  <c r="AN229" i="10"/>
  <c r="AN230" i="10"/>
  <c r="AN231" i="10"/>
  <c r="AN232" i="10"/>
  <c r="AN233" i="10"/>
  <c r="AN234" i="10"/>
  <c r="AN235" i="10"/>
  <c r="AN236" i="10"/>
  <c r="AN237" i="10"/>
  <c r="AN238" i="10"/>
  <c r="AN239" i="10"/>
  <c r="AN240" i="10"/>
  <c r="AN241" i="10"/>
  <c r="AN242" i="10"/>
  <c r="AN243" i="10"/>
  <c r="AN244" i="10"/>
  <c r="AN245" i="10"/>
  <c r="AN246" i="10"/>
  <c r="AN247" i="10"/>
  <c r="AN248" i="10"/>
  <c r="AN249" i="10"/>
  <c r="AN250" i="10"/>
  <c r="AN251" i="10"/>
  <c r="AN252" i="10"/>
  <c r="AN253" i="10"/>
  <c r="AN254" i="10"/>
  <c r="AN255" i="10"/>
  <c r="AN256" i="10"/>
  <c r="AN257" i="10"/>
  <c r="AN258" i="10"/>
  <c r="AN259" i="10"/>
  <c r="AN260" i="10"/>
  <c r="AN261" i="10"/>
  <c r="AN262" i="10"/>
  <c r="AN263" i="10"/>
  <c r="AN264" i="10"/>
  <c r="AN265" i="10"/>
  <c r="AN266" i="10"/>
  <c r="AN267" i="10"/>
  <c r="AN268" i="10"/>
  <c r="AN269" i="10"/>
  <c r="AN271" i="10"/>
  <c r="AN272" i="10"/>
  <c r="AN274" i="10"/>
  <c r="AN275" i="10"/>
  <c r="AN276" i="10"/>
  <c r="AN278" i="10"/>
  <c r="AN279" i="10"/>
  <c r="AN280" i="10"/>
  <c r="AN282" i="10"/>
  <c r="AN283" i="10"/>
  <c r="AN284" i="10"/>
  <c r="AN285" i="10"/>
  <c r="AN286" i="10"/>
  <c r="AN287" i="10"/>
  <c r="AN288" i="10"/>
  <c r="AN289" i="10"/>
  <c r="AN291" i="10"/>
  <c r="AN292" i="10"/>
  <c r="AN294" i="10"/>
  <c r="AN296" i="10"/>
  <c r="AN297" i="10"/>
  <c r="AN298" i="10"/>
  <c r="AN301" i="10"/>
  <c r="AN302" i="10"/>
  <c r="AN304" i="10"/>
  <c r="AN305" i="10"/>
  <c r="AN307" i="10"/>
  <c r="AN308" i="10"/>
  <c r="AN309" i="10"/>
  <c r="AN310" i="10"/>
  <c r="AN311" i="10"/>
  <c r="AN312" i="10"/>
  <c r="AN316" i="10"/>
  <c r="AN317" i="10"/>
  <c r="AN320" i="10"/>
  <c r="AN322" i="10"/>
  <c r="AN323" i="10"/>
  <c r="AN324" i="10"/>
  <c r="AN325" i="10"/>
  <c r="AN327" i="10"/>
  <c r="AN328" i="10"/>
  <c r="AN329" i="10"/>
  <c r="AN330" i="10"/>
  <c r="AN333" i="10"/>
  <c r="AN334" i="10"/>
  <c r="AN335" i="10"/>
  <c r="AN336" i="10"/>
  <c r="AN337" i="10"/>
  <c r="AN338" i="10"/>
  <c r="AN339" i="10"/>
  <c r="AN340" i="10"/>
  <c r="AN341" i="10"/>
  <c r="AN342" i="10"/>
  <c r="AN343" i="10"/>
  <c r="AN344" i="10"/>
  <c r="AN345" i="10"/>
  <c r="AN346" i="10"/>
  <c r="AN347" i="10"/>
  <c r="AN348" i="10"/>
  <c r="AN349" i="10"/>
  <c r="AN350" i="10"/>
  <c r="AN351" i="10"/>
  <c r="AN352" i="10"/>
  <c r="AN353" i="10"/>
  <c r="AN354" i="10"/>
  <c r="AN355" i="10"/>
  <c r="AN356" i="10"/>
  <c r="AN357" i="10"/>
  <c r="AN358" i="10"/>
  <c r="AN359" i="10"/>
  <c r="AN360" i="10"/>
  <c r="AN361" i="10"/>
  <c r="AN362" i="10"/>
  <c r="AN363" i="10"/>
  <c r="AN364" i="10"/>
  <c r="AN365" i="10"/>
  <c r="AN366" i="10"/>
  <c r="AN367" i="10"/>
  <c r="AN368" i="10"/>
  <c r="AN369" i="10"/>
  <c r="AN370" i="10"/>
  <c r="AN371" i="10"/>
  <c r="AN372" i="10"/>
  <c r="AN373" i="10"/>
  <c r="AN374" i="10"/>
  <c r="AN375" i="10"/>
  <c r="AN376" i="10"/>
  <c r="AN377" i="10"/>
  <c r="AN378" i="10"/>
  <c r="AN379" i="10"/>
  <c r="AN380" i="10"/>
  <c r="AN381" i="10"/>
  <c r="AN382" i="10"/>
  <c r="AN383" i="10"/>
  <c r="AN384" i="10"/>
  <c r="AN385" i="10"/>
  <c r="AN386" i="10"/>
  <c r="AN387" i="10"/>
  <c r="AN388" i="10"/>
  <c r="AN389" i="10"/>
  <c r="AN390" i="10"/>
  <c r="AN391" i="10"/>
  <c r="AN392" i="10"/>
  <c r="AN393" i="10"/>
  <c r="AN394" i="10"/>
  <c r="AN395" i="10"/>
  <c r="AN396" i="10"/>
  <c r="AN397" i="10"/>
  <c r="AN398" i="10"/>
  <c r="AN399" i="10"/>
  <c r="AN400" i="10"/>
  <c r="AN401" i="10"/>
  <c r="AN402" i="10"/>
  <c r="AN403" i="10"/>
  <c r="AN404" i="10"/>
  <c r="AN405" i="10"/>
  <c r="AN406" i="10"/>
  <c r="AN407" i="10"/>
  <c r="AN408" i="10"/>
  <c r="AN409" i="10"/>
  <c r="AN410" i="10"/>
  <c r="AN411" i="10"/>
  <c r="AN412" i="10"/>
  <c r="AN413" i="10"/>
  <c r="AN414" i="10"/>
  <c r="AN415" i="10"/>
  <c r="AN417" i="10"/>
  <c r="AN418" i="10"/>
  <c r="AN419" i="10"/>
  <c r="AN420" i="10"/>
  <c r="AN421" i="10"/>
  <c r="AN422" i="10"/>
  <c r="AN423" i="10"/>
  <c r="AN424" i="10"/>
  <c r="AN425" i="10"/>
  <c r="AN426" i="10"/>
  <c r="AN427" i="10"/>
  <c r="AN428" i="10"/>
  <c r="AN429" i="10"/>
  <c r="AN430" i="10"/>
  <c r="AN431" i="10"/>
  <c r="AN432" i="10"/>
  <c r="AN433" i="10"/>
  <c r="AN434" i="10"/>
  <c r="AN435" i="10"/>
  <c r="AN436" i="10"/>
  <c r="AN437" i="10"/>
  <c r="AN438" i="10"/>
  <c r="AN439" i="10"/>
  <c r="AN440" i="10"/>
  <c r="AN441" i="10"/>
  <c r="AN442" i="10"/>
  <c r="AN443" i="10"/>
  <c r="AN444" i="10"/>
  <c r="AN445" i="10"/>
  <c r="AN446" i="10"/>
  <c r="AN447" i="10"/>
  <c r="AN448" i="10"/>
  <c r="AN449" i="10"/>
  <c r="AN450" i="10"/>
  <c r="AN451" i="10"/>
  <c r="AN452" i="10"/>
  <c r="AN453" i="10"/>
  <c r="AN454" i="10"/>
  <c r="AN455" i="10"/>
  <c r="AN456" i="10"/>
  <c r="AN457" i="10"/>
  <c r="AN458" i="10"/>
  <c r="AN459" i="10"/>
  <c r="AN460" i="10"/>
  <c r="AN461" i="10"/>
  <c r="AN462" i="10"/>
  <c r="AN463" i="10"/>
  <c r="AN464" i="10"/>
  <c r="AN465" i="10"/>
  <c r="AN466" i="10"/>
  <c r="AN467" i="10"/>
  <c r="AO4" i="10"/>
  <c r="AO5" i="10"/>
  <c r="AO6" i="10"/>
  <c r="AO7" i="10"/>
  <c r="AO8" i="10"/>
  <c r="AO9" i="10"/>
  <c r="AO10" i="10"/>
  <c r="AO11" i="10"/>
  <c r="AO12" i="10"/>
  <c r="AO13" i="10"/>
  <c r="AO14" i="10"/>
  <c r="AO15" i="10"/>
  <c r="AO16" i="10"/>
  <c r="AO17" i="10"/>
  <c r="AO18" i="10"/>
  <c r="AO19" i="10"/>
  <c r="AO20" i="10"/>
  <c r="AO21" i="10"/>
  <c r="AO22" i="10"/>
  <c r="AO23" i="10"/>
  <c r="AO24" i="10"/>
  <c r="AO25" i="10"/>
  <c r="AO26" i="10"/>
  <c r="AO27" i="10"/>
  <c r="AO28" i="10"/>
  <c r="AO29" i="10"/>
  <c r="AO30" i="10"/>
  <c r="AO31" i="10"/>
  <c r="AO32" i="10"/>
  <c r="AO33" i="10"/>
  <c r="AO34" i="10"/>
  <c r="AO35" i="10"/>
  <c r="AO36" i="10"/>
  <c r="AO37" i="10"/>
  <c r="AO38" i="10"/>
  <c r="AO39" i="10"/>
  <c r="AO40" i="10"/>
  <c r="AO41" i="10"/>
  <c r="AO42" i="10"/>
  <c r="AO43" i="10"/>
  <c r="AO44" i="10"/>
  <c r="AO45" i="10"/>
  <c r="AO46" i="10"/>
  <c r="AO47" i="10"/>
  <c r="AO48" i="10"/>
  <c r="AO49" i="10"/>
  <c r="AO50" i="10"/>
  <c r="AO51" i="10"/>
  <c r="AO52" i="10"/>
  <c r="AO53" i="10"/>
  <c r="AO54" i="10"/>
  <c r="AO55" i="10"/>
  <c r="AO56" i="10"/>
  <c r="AO57" i="10"/>
  <c r="AO58" i="10"/>
  <c r="AO59" i="10"/>
  <c r="AO60" i="10"/>
  <c r="AO61" i="10"/>
  <c r="AO62" i="10"/>
  <c r="AO63" i="10"/>
  <c r="AO64" i="10"/>
  <c r="AO65" i="10"/>
  <c r="AO66" i="10"/>
  <c r="AO67" i="10"/>
  <c r="AO68" i="10"/>
  <c r="AO69" i="10"/>
  <c r="AO70" i="10"/>
  <c r="AO71" i="10"/>
  <c r="AO72" i="10"/>
  <c r="AO73" i="10"/>
  <c r="AO74" i="10"/>
  <c r="AO75" i="10"/>
  <c r="AO76" i="10"/>
  <c r="AO77" i="10"/>
  <c r="AO78" i="10"/>
  <c r="AO79" i="10"/>
  <c r="AO80" i="10"/>
  <c r="AO81" i="10"/>
  <c r="AO82" i="10"/>
  <c r="AO83" i="10"/>
  <c r="AO84" i="10"/>
  <c r="AO85" i="10"/>
  <c r="AO86" i="10"/>
  <c r="AO87" i="10"/>
  <c r="AO88" i="10"/>
  <c r="AO89" i="10"/>
  <c r="AO90" i="10"/>
  <c r="AO91" i="10"/>
  <c r="AO92" i="10"/>
  <c r="AO93" i="10"/>
  <c r="AO94" i="10"/>
  <c r="AO95" i="10"/>
  <c r="AO96" i="10"/>
  <c r="AO97" i="10"/>
  <c r="AO98" i="10"/>
  <c r="AO99" i="10"/>
  <c r="AO100" i="10"/>
  <c r="AO101" i="10"/>
  <c r="AO102" i="10"/>
  <c r="AO103" i="10"/>
  <c r="AO104" i="10"/>
  <c r="AO105" i="10"/>
  <c r="AO106" i="10"/>
  <c r="AO107" i="10"/>
  <c r="AO108" i="10"/>
  <c r="AO109" i="10"/>
  <c r="AO110" i="10"/>
  <c r="AO111" i="10"/>
  <c r="AO112" i="10"/>
  <c r="AO113" i="10"/>
  <c r="AO114" i="10"/>
  <c r="AO115" i="10"/>
  <c r="AO116" i="10"/>
  <c r="AO117" i="10"/>
  <c r="AO118" i="10"/>
  <c r="AO119" i="10"/>
  <c r="AO120" i="10"/>
  <c r="AO121" i="10"/>
  <c r="AO122" i="10"/>
  <c r="AO123" i="10"/>
  <c r="AO124" i="10"/>
  <c r="AO125" i="10"/>
  <c r="AO126" i="10"/>
  <c r="AO127" i="10"/>
  <c r="AO128" i="10"/>
  <c r="AO129" i="10"/>
  <c r="AO130" i="10"/>
  <c r="AO131" i="10"/>
  <c r="AO132" i="10"/>
  <c r="AO133" i="10"/>
  <c r="AO134" i="10"/>
  <c r="AO135" i="10"/>
  <c r="AO136" i="10"/>
  <c r="AO137" i="10"/>
  <c r="AO138" i="10"/>
  <c r="AO139" i="10"/>
  <c r="AO140" i="10"/>
  <c r="AO141" i="10"/>
  <c r="AO142" i="10"/>
  <c r="AO143" i="10"/>
  <c r="AO144" i="10"/>
  <c r="AO145" i="10"/>
  <c r="AO146" i="10"/>
  <c r="AO147" i="10"/>
  <c r="AO148" i="10"/>
  <c r="AO149" i="10"/>
  <c r="AO150" i="10"/>
  <c r="AO151" i="10"/>
  <c r="AO152" i="10"/>
  <c r="AO153" i="10"/>
  <c r="AO154" i="10"/>
  <c r="AO155" i="10"/>
  <c r="AO156" i="10"/>
  <c r="AO157" i="10"/>
  <c r="AO158" i="10"/>
  <c r="AO159" i="10"/>
  <c r="AO160" i="10"/>
  <c r="AO161" i="10"/>
  <c r="AO162" i="10"/>
  <c r="AO163" i="10"/>
  <c r="AO164" i="10"/>
  <c r="AO165" i="10"/>
  <c r="AO166" i="10"/>
  <c r="AO168" i="10"/>
  <c r="AO169" i="10"/>
  <c r="AO170" i="10"/>
  <c r="AO171" i="10"/>
  <c r="AO172" i="10"/>
  <c r="AO173" i="10"/>
  <c r="AO178" i="10"/>
  <c r="AO179" i="10"/>
  <c r="AO180" i="10"/>
  <c r="AO181" i="10"/>
  <c r="AO183" i="10"/>
  <c r="AO184" i="10"/>
  <c r="AO185" i="10"/>
  <c r="AO186" i="10"/>
  <c r="AO188" i="10"/>
  <c r="AO190" i="10"/>
  <c r="AO192" i="10"/>
  <c r="AO193" i="10"/>
  <c r="AO194" i="10"/>
  <c r="AO195" i="10"/>
  <c r="AO196" i="10"/>
  <c r="AO198" i="10"/>
  <c r="AO199" i="10"/>
  <c r="AO200" i="10"/>
  <c r="AO201" i="10"/>
  <c r="AO202" i="10"/>
  <c r="AO203" i="10"/>
  <c r="AO204" i="10"/>
  <c r="AO205" i="10"/>
  <c r="AO206" i="10"/>
  <c r="AO207" i="10"/>
  <c r="AO208" i="10"/>
  <c r="AO209" i="10"/>
  <c r="AO211" i="10"/>
  <c r="AO213" i="10"/>
  <c r="AO214" i="10"/>
  <c r="AO215" i="10"/>
  <c r="AO216" i="10"/>
  <c r="AO217" i="10"/>
  <c r="AO218" i="10"/>
  <c r="AO219" i="10"/>
  <c r="AO221" i="10"/>
  <c r="AO222" i="10"/>
  <c r="AO223" i="10"/>
  <c r="AO224" i="10"/>
  <c r="AO225" i="10"/>
  <c r="AO226" i="10"/>
  <c r="AO227" i="10"/>
  <c r="AO228" i="10"/>
  <c r="AO229" i="10"/>
  <c r="AO230" i="10"/>
  <c r="AO231" i="10"/>
  <c r="AO232" i="10"/>
  <c r="AO233" i="10"/>
  <c r="AO234" i="10"/>
  <c r="AO235" i="10"/>
  <c r="AO236" i="10"/>
  <c r="AO237" i="10"/>
  <c r="AO238" i="10"/>
  <c r="AO239" i="10"/>
  <c r="AO240" i="10"/>
  <c r="AO241" i="10"/>
  <c r="AO242" i="10"/>
  <c r="AO243" i="10"/>
  <c r="AO244" i="10"/>
  <c r="AO245" i="10"/>
  <c r="AO246" i="10"/>
  <c r="AO247" i="10"/>
  <c r="AO248" i="10"/>
  <c r="AO249" i="10"/>
  <c r="AO250" i="10"/>
  <c r="AO251" i="10"/>
  <c r="AO252" i="10"/>
  <c r="AO253" i="10"/>
  <c r="AO254" i="10"/>
  <c r="AO255" i="10"/>
  <c r="AO256" i="10"/>
  <c r="AO257" i="10"/>
  <c r="AO258" i="10"/>
  <c r="AO259" i="10"/>
  <c r="AO260" i="10"/>
  <c r="AO261" i="10"/>
  <c r="AO262" i="10"/>
  <c r="AO263" i="10"/>
  <c r="AO264" i="10"/>
  <c r="AO265" i="10"/>
  <c r="AO266" i="10"/>
  <c r="AO267" i="10"/>
  <c r="AO268" i="10"/>
  <c r="AO269" i="10"/>
  <c r="AO271" i="10"/>
  <c r="AO272" i="10"/>
  <c r="AO274" i="10"/>
  <c r="AO275" i="10"/>
  <c r="AO276" i="10"/>
  <c r="AO278" i="10"/>
  <c r="AO279" i="10"/>
  <c r="AO280" i="10"/>
  <c r="AO282" i="10"/>
  <c r="AO283" i="10"/>
  <c r="AO284" i="10"/>
  <c r="AO285" i="10"/>
  <c r="AO286" i="10"/>
  <c r="AO287" i="10"/>
  <c r="AO288" i="10"/>
  <c r="AO289" i="10"/>
  <c r="AO291" i="10"/>
  <c r="AO292" i="10"/>
  <c r="AO294" i="10"/>
  <c r="AO296" i="10"/>
  <c r="AO297" i="10"/>
  <c r="AO298" i="10"/>
  <c r="AO301" i="10"/>
  <c r="AO302" i="10"/>
  <c r="AO304" i="10"/>
  <c r="AO305" i="10"/>
  <c r="AO307" i="10"/>
  <c r="AO308" i="10"/>
  <c r="AO309" i="10"/>
  <c r="AO310" i="10"/>
  <c r="AO311" i="10"/>
  <c r="AO312" i="10"/>
  <c r="AO316" i="10"/>
  <c r="AO317" i="10"/>
  <c r="AO320" i="10"/>
  <c r="AO322" i="10"/>
  <c r="AO323" i="10"/>
  <c r="AO324" i="10"/>
  <c r="AO325" i="10"/>
  <c r="AO327" i="10"/>
  <c r="AO328" i="10"/>
  <c r="AO329" i="10"/>
  <c r="AO330" i="10"/>
  <c r="AO333" i="10"/>
  <c r="AO334" i="10"/>
  <c r="AO335" i="10"/>
  <c r="AO336" i="10"/>
  <c r="AO337" i="10"/>
  <c r="AO338" i="10"/>
  <c r="AO339" i="10"/>
  <c r="AO340" i="10"/>
  <c r="AO341" i="10"/>
  <c r="AO342" i="10"/>
  <c r="AO343" i="10"/>
  <c r="AO344" i="10"/>
  <c r="AO345" i="10"/>
  <c r="AO346" i="10"/>
  <c r="AO347" i="10"/>
  <c r="AO348" i="10"/>
  <c r="AO349" i="10"/>
  <c r="AO350" i="10"/>
  <c r="AO351" i="10"/>
  <c r="AO352" i="10"/>
  <c r="AO353" i="10"/>
  <c r="AO354" i="10"/>
  <c r="AO355" i="10"/>
  <c r="AO356" i="10"/>
  <c r="AO357" i="10"/>
  <c r="AO358" i="10"/>
  <c r="AO359" i="10"/>
  <c r="AO360" i="10"/>
  <c r="AO361" i="10"/>
  <c r="AO362" i="10"/>
  <c r="AO363" i="10"/>
  <c r="AO364" i="10"/>
  <c r="AO365" i="10"/>
  <c r="AO366" i="10"/>
  <c r="AO367" i="10"/>
  <c r="AO368" i="10"/>
  <c r="AO369" i="10"/>
  <c r="AO370" i="10"/>
  <c r="AO371" i="10"/>
  <c r="AO372" i="10"/>
  <c r="AO373" i="10"/>
  <c r="AO374" i="10"/>
  <c r="AO375" i="10"/>
  <c r="AO376" i="10"/>
  <c r="AO377" i="10"/>
  <c r="AO378" i="10"/>
  <c r="AO379" i="10"/>
  <c r="AO380" i="10"/>
  <c r="AO381" i="10"/>
  <c r="AO382" i="10"/>
  <c r="AO383" i="10"/>
  <c r="AO384" i="10"/>
  <c r="AO385" i="10"/>
  <c r="AO386" i="10"/>
  <c r="AO387" i="10"/>
  <c r="AO388" i="10"/>
  <c r="AO389" i="10"/>
  <c r="AO390" i="10"/>
  <c r="AO391" i="10"/>
  <c r="AO392" i="10"/>
  <c r="AO393" i="10"/>
  <c r="AO394" i="10"/>
  <c r="AO395" i="10"/>
  <c r="AO396" i="10"/>
  <c r="AO397" i="10"/>
  <c r="AO398" i="10"/>
  <c r="AO399" i="10"/>
  <c r="AO400" i="10"/>
  <c r="AO401" i="10"/>
  <c r="AO402" i="10"/>
  <c r="AO403" i="10"/>
  <c r="AO404" i="10"/>
  <c r="AO405" i="10"/>
  <c r="AO406" i="10"/>
  <c r="AO407" i="10"/>
  <c r="AO408" i="10"/>
  <c r="AO409" i="10"/>
  <c r="AO410" i="10"/>
  <c r="AO411" i="10"/>
  <c r="AO412" i="10"/>
  <c r="AO413" i="10"/>
  <c r="AO414" i="10"/>
  <c r="AO415" i="10"/>
  <c r="AO417" i="10"/>
  <c r="AO418" i="10"/>
  <c r="AO419" i="10"/>
  <c r="AO420" i="10"/>
  <c r="AO421" i="10"/>
  <c r="AO422" i="10"/>
  <c r="AO423" i="10"/>
  <c r="AO424" i="10"/>
  <c r="AO425" i="10"/>
  <c r="AO426" i="10"/>
  <c r="AO427" i="10"/>
  <c r="AO428" i="10"/>
  <c r="AO429" i="10"/>
  <c r="AO430" i="10"/>
  <c r="AO431" i="10"/>
  <c r="AO432" i="10"/>
  <c r="AO433" i="10"/>
  <c r="AO434" i="10"/>
  <c r="AO435" i="10"/>
  <c r="AO436" i="10"/>
  <c r="AO437" i="10"/>
  <c r="AO438" i="10"/>
  <c r="AO439" i="10"/>
  <c r="AO440" i="10"/>
  <c r="AO441" i="10"/>
  <c r="AO442" i="10"/>
  <c r="AO443" i="10"/>
  <c r="AO444" i="10"/>
  <c r="AO445" i="10"/>
  <c r="AO446" i="10"/>
  <c r="AO447" i="10"/>
  <c r="AO448" i="10"/>
  <c r="AO449" i="10"/>
  <c r="AO450" i="10"/>
  <c r="AO451" i="10"/>
  <c r="AO452" i="10"/>
  <c r="AO453" i="10"/>
  <c r="AO454" i="10"/>
  <c r="AO455" i="10"/>
  <c r="AO456" i="10"/>
  <c r="AO457" i="10"/>
  <c r="AO458" i="10"/>
  <c r="AO459" i="10"/>
  <c r="AO460" i="10"/>
  <c r="AO461" i="10"/>
  <c r="AO462" i="10"/>
  <c r="AO463" i="10"/>
  <c r="AO464" i="10"/>
  <c r="AO465" i="10"/>
  <c r="AO466" i="10"/>
  <c r="AO467" i="10"/>
  <c r="AP29" i="10"/>
  <c r="AP33" i="10"/>
  <c r="AP56" i="10"/>
  <c r="AP73" i="10"/>
  <c r="AP74" i="10"/>
  <c r="AP75" i="10"/>
  <c r="AP76" i="10"/>
  <c r="AP77" i="10"/>
  <c r="AP125" i="10"/>
  <c r="AP126" i="10"/>
  <c r="AP127" i="10"/>
  <c r="AP128" i="10"/>
  <c r="AP129" i="10"/>
  <c r="AP130" i="10"/>
  <c r="AP131" i="10"/>
  <c r="AP132" i="10"/>
  <c r="AP133" i="10"/>
  <c r="AP134" i="10"/>
  <c r="AP136" i="10"/>
  <c r="AP137" i="10"/>
  <c r="AP138" i="10"/>
  <c r="AP139" i="10"/>
  <c r="AP140" i="10"/>
  <c r="AP141" i="10"/>
  <c r="AP142" i="10"/>
  <c r="AP143" i="10"/>
  <c r="AP144" i="10"/>
  <c r="AP145" i="10"/>
  <c r="AP146" i="10"/>
  <c r="AP147" i="10"/>
  <c r="AP148" i="10"/>
  <c r="AP151" i="10"/>
  <c r="AP152" i="10"/>
  <c r="AP153" i="10"/>
  <c r="AP154" i="10"/>
  <c r="AP155" i="10"/>
  <c r="AP156" i="10"/>
  <c r="AP157" i="10"/>
  <c r="AP158" i="10"/>
  <c r="AP159" i="10"/>
  <c r="AP160" i="10"/>
  <c r="AP161" i="10"/>
  <c r="AP162" i="10"/>
  <c r="AP163" i="10"/>
  <c r="AP164" i="10"/>
  <c r="AP165" i="10"/>
  <c r="AP166" i="10"/>
  <c r="AP168" i="10"/>
  <c r="AP169" i="10"/>
  <c r="AP170" i="10"/>
  <c r="AP171" i="10"/>
  <c r="AP172" i="10"/>
  <c r="AP173" i="10"/>
  <c r="AP178" i="10"/>
  <c r="AP179" i="10"/>
  <c r="AP180" i="10"/>
  <c r="AP181" i="10"/>
  <c r="AP183" i="10"/>
  <c r="AP184" i="10"/>
  <c r="AP185" i="10"/>
  <c r="AP186" i="10"/>
  <c r="AP188" i="10"/>
  <c r="AP190" i="10"/>
  <c r="AP192" i="10"/>
  <c r="AP193" i="10"/>
  <c r="AP194" i="10"/>
  <c r="AP195" i="10"/>
  <c r="AP196" i="10"/>
  <c r="AP198" i="10"/>
  <c r="AP199" i="10"/>
  <c r="AP200" i="10"/>
  <c r="AP201" i="10"/>
  <c r="AP202" i="10"/>
  <c r="AP203" i="10"/>
  <c r="AP204" i="10"/>
  <c r="AP205" i="10"/>
  <c r="AP206" i="10"/>
  <c r="AP207" i="10"/>
  <c r="AP208" i="10"/>
  <c r="AP209" i="10"/>
  <c r="AP211" i="10"/>
  <c r="AP213" i="10"/>
  <c r="AP214" i="10"/>
  <c r="AP215" i="10"/>
  <c r="AP216" i="10"/>
  <c r="AP217" i="10"/>
  <c r="AP218" i="10"/>
  <c r="AP219" i="10"/>
  <c r="AP221" i="10"/>
  <c r="AP222" i="10"/>
  <c r="AP223" i="10"/>
  <c r="AP224" i="10"/>
  <c r="AP225" i="10"/>
  <c r="AP226" i="10"/>
  <c r="AP227" i="10"/>
  <c r="AP228" i="10"/>
  <c r="AP229" i="10"/>
  <c r="AP230" i="10"/>
  <c r="AP231" i="10"/>
  <c r="AP232" i="10"/>
  <c r="AP233" i="10"/>
  <c r="AP234" i="10"/>
  <c r="AP235" i="10"/>
  <c r="AP236" i="10"/>
  <c r="AP237" i="10"/>
  <c r="AP238" i="10"/>
  <c r="AP239" i="10"/>
  <c r="AP240" i="10"/>
  <c r="AP241" i="10"/>
  <c r="AP242" i="10"/>
  <c r="AP243" i="10"/>
  <c r="AP244" i="10"/>
  <c r="AP245" i="10"/>
  <c r="AP246" i="10"/>
  <c r="AP247" i="10"/>
  <c r="AP248" i="10"/>
  <c r="AP249" i="10"/>
  <c r="AP250" i="10"/>
  <c r="AP251" i="10"/>
  <c r="AP252" i="10"/>
  <c r="AP253" i="10"/>
  <c r="AP254" i="10"/>
  <c r="AP255" i="10"/>
  <c r="AP256" i="10"/>
  <c r="AP257" i="10"/>
  <c r="AP258" i="10"/>
  <c r="AP259" i="10"/>
  <c r="AP260" i="10"/>
  <c r="AP261" i="10"/>
  <c r="AP262" i="10"/>
  <c r="AP263" i="10"/>
  <c r="AP264" i="10"/>
  <c r="AP265" i="10"/>
  <c r="AP266" i="10"/>
  <c r="AP267" i="10"/>
  <c r="AP268" i="10"/>
  <c r="AP269" i="10"/>
  <c r="AP271" i="10"/>
  <c r="AP272" i="10"/>
  <c r="AP274" i="10"/>
  <c r="AP275" i="10"/>
  <c r="AP276" i="10"/>
  <c r="AP278" i="10"/>
  <c r="AP279" i="10"/>
  <c r="AP280" i="10"/>
  <c r="AP282" i="10"/>
  <c r="AP283" i="10"/>
  <c r="AP284" i="10"/>
  <c r="AP285" i="10"/>
  <c r="AP286" i="10"/>
  <c r="AP287" i="10"/>
  <c r="AP288" i="10"/>
  <c r="AP289" i="10"/>
  <c r="AP291" i="10"/>
  <c r="AP292" i="10"/>
  <c r="AP294" i="10"/>
  <c r="AP296" i="10"/>
  <c r="AP297" i="10"/>
  <c r="AP298" i="10"/>
  <c r="AP301" i="10"/>
  <c r="AP302" i="10"/>
  <c r="AP304" i="10"/>
  <c r="AP305" i="10"/>
  <c r="AP307" i="10"/>
  <c r="AP308" i="10"/>
  <c r="AP309" i="10"/>
  <c r="AP310" i="10"/>
  <c r="AP311" i="10"/>
  <c r="AP312" i="10"/>
  <c r="AP316" i="10"/>
  <c r="AP317" i="10"/>
  <c r="AP320" i="10"/>
  <c r="AP322" i="10"/>
  <c r="AP323" i="10"/>
  <c r="AP324" i="10"/>
  <c r="AP325" i="10"/>
  <c r="AP327" i="10"/>
  <c r="AP328" i="10"/>
  <c r="AP329" i="10"/>
  <c r="AP330" i="10"/>
  <c r="AP333" i="10"/>
  <c r="AP334" i="10"/>
  <c r="AP335" i="10"/>
  <c r="AP336" i="10"/>
  <c r="AP337" i="10"/>
  <c r="AP338" i="10"/>
  <c r="AP339" i="10"/>
  <c r="AP340" i="10"/>
  <c r="AP341" i="10"/>
  <c r="AP342" i="10"/>
  <c r="AP343" i="10"/>
  <c r="AP344" i="10"/>
  <c r="AP345" i="10"/>
  <c r="AP346" i="10"/>
  <c r="AP347" i="10"/>
  <c r="AP348" i="10"/>
  <c r="AP349" i="10"/>
  <c r="AP350" i="10"/>
  <c r="AP351" i="10"/>
  <c r="AP352" i="10"/>
  <c r="AP353" i="10"/>
  <c r="AP354" i="10"/>
  <c r="AP355" i="10"/>
  <c r="AP356" i="10"/>
  <c r="AP357" i="10"/>
  <c r="AP358" i="10"/>
  <c r="AP359" i="10"/>
  <c r="AP360" i="10"/>
  <c r="AP361" i="10"/>
  <c r="AP362" i="10"/>
  <c r="AP363" i="10"/>
  <c r="AP364" i="10"/>
  <c r="AP365" i="10"/>
  <c r="AP366" i="10"/>
  <c r="AP367" i="10"/>
  <c r="AP368" i="10"/>
  <c r="AP369" i="10"/>
  <c r="AP370" i="10"/>
  <c r="AP371" i="10"/>
  <c r="AP372" i="10"/>
  <c r="AP373" i="10"/>
  <c r="AP374" i="10"/>
  <c r="AP375" i="10"/>
  <c r="AP376" i="10"/>
  <c r="AP377" i="10"/>
  <c r="AP378" i="10"/>
  <c r="AP379" i="10"/>
  <c r="AP380" i="10"/>
  <c r="AP381" i="10"/>
  <c r="AP382" i="10"/>
  <c r="AP383" i="10"/>
  <c r="AP384" i="10"/>
  <c r="AP385" i="10"/>
  <c r="AP386" i="10"/>
  <c r="AP387" i="10"/>
  <c r="AP388" i="10"/>
  <c r="AP389" i="10"/>
  <c r="AP390" i="10"/>
  <c r="AP391" i="10"/>
  <c r="AP392" i="10"/>
  <c r="AP393" i="10"/>
  <c r="AP394" i="10"/>
  <c r="AP395" i="10"/>
  <c r="AP396" i="10"/>
  <c r="AP397" i="10"/>
  <c r="AP398" i="10"/>
  <c r="AP399" i="10"/>
  <c r="AP400" i="10"/>
  <c r="AP401" i="10"/>
  <c r="AP402" i="10"/>
  <c r="AP403" i="10"/>
  <c r="AP404" i="10"/>
  <c r="AP405" i="10"/>
  <c r="AP406" i="10"/>
  <c r="AP407" i="10"/>
  <c r="AP408" i="10"/>
  <c r="AP409" i="10"/>
  <c r="AP410" i="10"/>
  <c r="AP411" i="10"/>
  <c r="AP412" i="10"/>
  <c r="AP413" i="10"/>
  <c r="AP414" i="10"/>
  <c r="AP415" i="10"/>
  <c r="AP417" i="10"/>
  <c r="AP418" i="10"/>
  <c r="AP419" i="10"/>
  <c r="AP420" i="10"/>
  <c r="AP421" i="10"/>
  <c r="AP422" i="10"/>
  <c r="AP423" i="10"/>
  <c r="AP424" i="10"/>
  <c r="AP425" i="10"/>
  <c r="AP426" i="10"/>
  <c r="AP427" i="10"/>
  <c r="AP428" i="10"/>
  <c r="AP429" i="10"/>
  <c r="AP430" i="10"/>
  <c r="AP431" i="10"/>
  <c r="AP432" i="10"/>
  <c r="AP433" i="10"/>
  <c r="AP434" i="10"/>
  <c r="AP435" i="10"/>
  <c r="AP436" i="10"/>
  <c r="AP437" i="10"/>
  <c r="AP438" i="10"/>
  <c r="AP439" i="10"/>
  <c r="AP440" i="10"/>
  <c r="AP441" i="10"/>
  <c r="AP442" i="10"/>
  <c r="AP443" i="10"/>
  <c r="AP444" i="10"/>
  <c r="AP445" i="10"/>
  <c r="AP446" i="10"/>
  <c r="AP447" i="10"/>
  <c r="AP448" i="10"/>
  <c r="AP449" i="10"/>
  <c r="AP450" i="10"/>
  <c r="AP451" i="10"/>
  <c r="AP452" i="10"/>
  <c r="AP453" i="10"/>
  <c r="AP454" i="10"/>
  <c r="AP455" i="10"/>
  <c r="AP456" i="10"/>
  <c r="AP457" i="10"/>
  <c r="AP458" i="10"/>
  <c r="AP459" i="10"/>
  <c r="AP460" i="10"/>
  <c r="AP461" i="10"/>
  <c r="AP462" i="10"/>
  <c r="AP463" i="10"/>
  <c r="AP464" i="10"/>
  <c r="AP465" i="10"/>
  <c r="AP466" i="10"/>
  <c r="AP467"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197" i="10"/>
  <c r="AJ198" i="10"/>
  <c r="AJ199" i="10"/>
  <c r="AJ200" i="10"/>
  <c r="AJ201" i="10"/>
  <c r="AJ202" i="10"/>
  <c r="AJ203" i="10"/>
  <c r="AJ204" i="10"/>
  <c r="AJ205" i="10"/>
  <c r="AJ206" i="10"/>
  <c r="AJ207" i="10"/>
  <c r="AJ208" i="10"/>
  <c r="AJ209" i="10"/>
  <c r="AJ210" i="10"/>
  <c r="AJ211" i="10"/>
  <c r="AJ212" i="10"/>
  <c r="AJ213" i="10"/>
  <c r="AJ214" i="10"/>
  <c r="AJ215" i="10"/>
  <c r="AJ216" i="10"/>
  <c r="AJ217" i="10"/>
  <c r="AJ218" i="10"/>
  <c r="AJ219" i="10"/>
  <c r="AJ220" i="10"/>
  <c r="AJ221" i="10"/>
  <c r="AJ222" i="10"/>
  <c r="AJ223" i="10"/>
  <c r="AJ224" i="10"/>
  <c r="AJ225" i="10"/>
  <c r="AJ226" i="10"/>
  <c r="AJ227" i="10"/>
  <c r="AJ228" i="10"/>
  <c r="AJ229" i="10"/>
  <c r="AJ230" i="10"/>
  <c r="AJ231" i="10"/>
  <c r="AJ232" i="10"/>
  <c r="AJ233" i="10"/>
  <c r="AJ234" i="10"/>
  <c r="AJ235" i="10"/>
  <c r="AJ236" i="10"/>
  <c r="AJ237" i="10"/>
  <c r="AJ238" i="10"/>
  <c r="AJ239" i="10"/>
  <c r="AJ240" i="10"/>
  <c r="AJ241" i="10"/>
  <c r="AJ242" i="10"/>
  <c r="AJ243" i="10"/>
  <c r="AJ244" i="10"/>
  <c r="AJ245" i="10"/>
  <c r="AJ246" i="10"/>
  <c r="AJ247" i="10"/>
  <c r="AJ248" i="10"/>
  <c r="AJ249" i="10"/>
  <c r="AJ250" i="10"/>
  <c r="AJ251" i="10"/>
  <c r="AJ252" i="10"/>
  <c r="AJ253" i="10"/>
  <c r="AJ254" i="10"/>
  <c r="AJ255" i="10"/>
  <c r="AJ256" i="10"/>
  <c r="AJ257" i="10"/>
  <c r="AJ258" i="10"/>
  <c r="AJ259" i="10"/>
  <c r="AJ260" i="10"/>
  <c r="AJ261" i="10"/>
  <c r="AJ262" i="10"/>
  <c r="AJ263" i="10"/>
  <c r="AJ264" i="10"/>
  <c r="AJ265" i="10"/>
  <c r="AJ266" i="10"/>
  <c r="AJ267" i="10"/>
  <c r="AJ268" i="10"/>
  <c r="AJ269" i="10"/>
  <c r="AJ270" i="10"/>
  <c r="AJ271" i="10"/>
  <c r="AJ272" i="10"/>
  <c r="AJ273" i="10"/>
  <c r="AJ274" i="10"/>
  <c r="AJ275" i="10"/>
  <c r="AJ276" i="10"/>
  <c r="AJ277" i="10"/>
  <c r="AJ278" i="10"/>
  <c r="AJ279" i="10"/>
  <c r="AJ280" i="10"/>
  <c r="AJ281" i="10"/>
  <c r="AJ282" i="10"/>
  <c r="AJ283" i="10"/>
  <c r="AJ284" i="10"/>
  <c r="AJ285" i="10"/>
  <c r="AJ286" i="10"/>
  <c r="AJ287" i="10"/>
  <c r="AJ288" i="10"/>
  <c r="AJ289" i="10"/>
  <c r="AJ290" i="10"/>
  <c r="AJ291" i="10"/>
  <c r="AJ292" i="10"/>
  <c r="AJ293" i="10"/>
  <c r="AJ294" i="10"/>
  <c r="AJ295" i="10"/>
  <c r="AJ296" i="10"/>
  <c r="AJ297" i="10"/>
  <c r="AJ298" i="10"/>
  <c r="AJ299" i="10"/>
  <c r="AJ300" i="10"/>
  <c r="AJ301" i="10"/>
  <c r="AJ302" i="10"/>
  <c r="AJ303" i="10"/>
  <c r="AJ304" i="10"/>
  <c r="AJ305" i="10"/>
  <c r="AJ306" i="10"/>
  <c r="AJ307" i="10"/>
  <c r="AJ308" i="10"/>
  <c r="AJ309" i="10"/>
  <c r="AJ310" i="10"/>
  <c r="AJ311" i="10"/>
  <c r="AJ312" i="10"/>
  <c r="AJ313" i="10"/>
  <c r="AJ314" i="10"/>
  <c r="AJ315" i="10"/>
  <c r="AJ316" i="10"/>
  <c r="AJ317" i="10"/>
  <c r="AJ318" i="10"/>
  <c r="AJ319" i="10"/>
  <c r="AJ320" i="10"/>
  <c r="AJ321" i="10"/>
  <c r="AJ322" i="10"/>
  <c r="AJ323" i="10"/>
  <c r="AJ324" i="10"/>
  <c r="AJ325" i="10"/>
  <c r="AJ326" i="10"/>
  <c r="AJ327" i="10"/>
  <c r="AJ328" i="10"/>
  <c r="AJ329" i="10"/>
  <c r="AJ330" i="10"/>
  <c r="AJ331" i="10"/>
  <c r="AJ332" i="10"/>
  <c r="AJ333" i="10"/>
  <c r="AJ334" i="10"/>
  <c r="AJ335" i="10"/>
  <c r="AJ336" i="10"/>
  <c r="AJ337" i="10"/>
  <c r="AJ338" i="10"/>
  <c r="AJ339" i="10"/>
  <c r="AJ340" i="10"/>
  <c r="AJ341" i="10"/>
  <c r="AJ342" i="10"/>
  <c r="AJ343" i="10"/>
  <c r="AJ344" i="10"/>
  <c r="AJ345" i="10"/>
  <c r="AJ346" i="10"/>
  <c r="AJ347" i="10"/>
  <c r="AJ348" i="10"/>
  <c r="AJ349" i="10"/>
  <c r="AJ350" i="10"/>
  <c r="AJ351" i="10"/>
  <c r="AJ352" i="10"/>
  <c r="AJ353" i="10"/>
  <c r="AJ354" i="10"/>
  <c r="AJ355" i="10"/>
  <c r="AJ356" i="10"/>
  <c r="AJ357" i="10"/>
  <c r="AJ358" i="10"/>
  <c r="AJ359" i="10"/>
  <c r="AJ360" i="10"/>
  <c r="AJ361" i="10"/>
  <c r="AJ362" i="10"/>
  <c r="AJ363" i="10"/>
  <c r="AJ364" i="10"/>
  <c r="AJ365" i="10"/>
  <c r="AJ366" i="10"/>
  <c r="AJ367" i="10"/>
  <c r="AJ368" i="10"/>
  <c r="AJ369" i="10"/>
  <c r="AJ370" i="10"/>
  <c r="AJ371" i="10"/>
  <c r="AJ372" i="10"/>
  <c r="AJ373" i="10"/>
  <c r="AJ374" i="10"/>
  <c r="AJ375" i="10"/>
  <c r="AJ376" i="10"/>
  <c r="AJ377" i="10"/>
  <c r="AJ378" i="10"/>
  <c r="AJ379" i="10"/>
  <c r="AJ380" i="10"/>
  <c r="AJ381" i="10"/>
  <c r="AJ382" i="10"/>
  <c r="AJ383" i="10"/>
  <c r="AJ384" i="10"/>
  <c r="AJ385" i="10"/>
  <c r="AJ386" i="10"/>
  <c r="AJ387" i="10"/>
  <c r="AJ388" i="10"/>
  <c r="AJ389" i="10"/>
  <c r="AJ390" i="10"/>
  <c r="AJ391" i="10"/>
  <c r="AJ392" i="10"/>
  <c r="AJ393" i="10"/>
  <c r="AJ394" i="10"/>
  <c r="AJ395" i="10"/>
  <c r="AJ396" i="10"/>
  <c r="AJ397" i="10"/>
  <c r="AJ398" i="10"/>
  <c r="AJ399" i="10"/>
  <c r="AJ400" i="10"/>
  <c r="AJ401" i="10"/>
  <c r="AJ402" i="10"/>
  <c r="AJ403" i="10"/>
  <c r="AJ404" i="10"/>
  <c r="AJ405" i="10"/>
  <c r="AJ406" i="10"/>
  <c r="AJ407" i="10"/>
  <c r="AJ408" i="10"/>
  <c r="AJ409" i="10"/>
  <c r="AJ410" i="10"/>
  <c r="AJ411" i="10"/>
  <c r="AJ412" i="10"/>
  <c r="AJ413" i="10"/>
  <c r="AJ414" i="10"/>
  <c r="AJ415" i="10"/>
  <c r="AJ416" i="10"/>
  <c r="AJ417" i="10"/>
  <c r="AJ418" i="10"/>
  <c r="AJ419" i="10"/>
  <c r="AJ420" i="10"/>
  <c r="AJ421" i="10"/>
  <c r="AJ422" i="10"/>
  <c r="AJ423" i="10"/>
  <c r="AJ424" i="10"/>
  <c r="AJ425" i="10"/>
  <c r="AJ426" i="10"/>
  <c r="AJ427" i="10"/>
  <c r="AJ428" i="10"/>
  <c r="AJ429" i="10"/>
  <c r="AJ430" i="10"/>
  <c r="AJ431" i="10"/>
  <c r="AJ432" i="10"/>
  <c r="AJ433" i="10"/>
  <c r="AJ434" i="10"/>
  <c r="AJ435" i="10"/>
  <c r="AJ436" i="10"/>
  <c r="AJ437" i="10"/>
  <c r="AJ438" i="10"/>
  <c r="AJ439" i="10"/>
  <c r="AJ440" i="10"/>
  <c r="AJ441" i="10"/>
  <c r="AJ442" i="10"/>
  <c r="AJ443" i="10"/>
  <c r="AJ444" i="10"/>
  <c r="AJ445" i="10"/>
  <c r="AJ446" i="10"/>
  <c r="AJ447" i="10"/>
  <c r="AJ448" i="10"/>
  <c r="AJ449" i="10"/>
  <c r="AJ450" i="10"/>
  <c r="AJ451" i="10"/>
  <c r="AJ452" i="10"/>
  <c r="AJ453" i="10"/>
  <c r="AJ454" i="10"/>
  <c r="AJ455" i="10"/>
  <c r="AJ456" i="10"/>
  <c r="AJ457" i="10"/>
  <c r="AJ458" i="10"/>
  <c r="AJ459" i="10"/>
  <c r="AJ460" i="10"/>
  <c r="AJ461" i="10"/>
  <c r="AJ462" i="10"/>
  <c r="AJ463" i="10"/>
  <c r="AJ464" i="10"/>
  <c r="AJ465" i="10"/>
  <c r="AJ466" i="10"/>
  <c r="AJ467" i="10"/>
  <c r="AG128" i="10"/>
  <c r="AG4" i="10"/>
  <c r="AG5" i="10"/>
  <c r="AG6" i="10"/>
  <c r="AG7" i="10"/>
  <c r="AG8" i="10"/>
  <c r="AG9" i="10"/>
  <c r="AG10" i="10"/>
  <c r="AG11" i="10"/>
  <c r="AG12" i="10"/>
  <c r="AG13" i="10"/>
  <c r="AG14" i="10"/>
  <c r="AG15" i="10"/>
  <c r="AG16" i="10"/>
  <c r="AG17" i="10"/>
  <c r="AG18" i="10"/>
  <c r="AG19" i="10"/>
  <c r="AG20" i="10"/>
  <c r="AG21" i="10"/>
  <c r="AG22" i="10"/>
  <c r="AG23" i="10"/>
  <c r="AG24" i="10"/>
  <c r="AG25" i="10"/>
  <c r="AG26" i="10"/>
  <c r="AG27" i="10"/>
  <c r="AG28" i="10"/>
  <c r="AG29" i="10"/>
  <c r="AG30" i="10"/>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6"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5" i="10"/>
  <c r="AG96" i="10"/>
  <c r="AG97" i="10"/>
  <c r="AG98" i="10"/>
  <c r="AG99" i="10"/>
  <c r="AG100" i="10"/>
  <c r="AG101" i="10"/>
  <c r="AG102" i="10"/>
  <c r="AG103" i="10"/>
  <c r="AG104" i="10"/>
  <c r="AG105" i="10"/>
  <c r="AG106" i="10"/>
  <c r="AG107" i="10"/>
  <c r="AG108" i="10"/>
  <c r="AG109" i="10"/>
  <c r="AG110" i="10"/>
  <c r="AG111" i="10"/>
  <c r="AG112" i="10"/>
  <c r="AG113" i="10"/>
  <c r="AG114" i="10"/>
  <c r="AG115" i="10"/>
  <c r="AG116" i="10"/>
  <c r="AG117" i="10"/>
  <c r="AG118" i="10"/>
  <c r="AG119" i="10"/>
  <c r="AG120" i="10"/>
  <c r="AG121" i="10"/>
  <c r="AG122" i="10"/>
  <c r="AG123" i="10"/>
  <c r="AG124" i="10"/>
  <c r="AG125" i="10"/>
  <c r="AG126" i="10"/>
  <c r="AG127"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163" i="10"/>
  <c r="AG164" i="10"/>
  <c r="AG165" i="10"/>
  <c r="AG166" i="10"/>
  <c r="AG168" i="10"/>
  <c r="AG169" i="10"/>
  <c r="AG170" i="10"/>
  <c r="AG171" i="10"/>
  <c r="AG172" i="10"/>
  <c r="AG173" i="10"/>
  <c r="AG178" i="10"/>
  <c r="AG179" i="10"/>
  <c r="AG180" i="10"/>
  <c r="AG181" i="10"/>
  <c r="AG183" i="10"/>
  <c r="AG184" i="10"/>
  <c r="AG185" i="10"/>
  <c r="AG186" i="10"/>
  <c r="AG188" i="10"/>
  <c r="AG190" i="10"/>
  <c r="AG192" i="10"/>
  <c r="AG193" i="10"/>
  <c r="AG194" i="10"/>
  <c r="AG195" i="10"/>
  <c r="AG196" i="10"/>
  <c r="AG198" i="10"/>
  <c r="AG199" i="10"/>
  <c r="AG200" i="10"/>
  <c r="AG201" i="10"/>
  <c r="AG202" i="10"/>
  <c r="AG203" i="10"/>
  <c r="AG204" i="10"/>
  <c r="AG205" i="10"/>
  <c r="AG206" i="10"/>
  <c r="AG207" i="10"/>
  <c r="AG208" i="10"/>
  <c r="AG209" i="10"/>
  <c r="AG211" i="10"/>
  <c r="AG213" i="10"/>
  <c r="AG214" i="10"/>
  <c r="AG215" i="10"/>
  <c r="AG216" i="10"/>
  <c r="AG217" i="10"/>
  <c r="AG218" i="10"/>
  <c r="AG219" i="10"/>
  <c r="AG221" i="10"/>
  <c r="AG222" i="10"/>
  <c r="AG223" i="10"/>
  <c r="AG224" i="10"/>
  <c r="AG225" i="10"/>
  <c r="AG226" i="10"/>
  <c r="AG227" i="10"/>
  <c r="AG228" i="10"/>
  <c r="AG229" i="10"/>
  <c r="AG230" i="10"/>
  <c r="AG231" i="10"/>
  <c r="AG232" i="10"/>
  <c r="AG233" i="10"/>
  <c r="AG234" i="10"/>
  <c r="AG235" i="10"/>
  <c r="AG236" i="10"/>
  <c r="AG237" i="10"/>
  <c r="AG238" i="10"/>
  <c r="AG239" i="10"/>
  <c r="AG240" i="10"/>
  <c r="AG241" i="10"/>
  <c r="AG242" i="10"/>
  <c r="AG243" i="10"/>
  <c r="AG244" i="10"/>
  <c r="AG245" i="10"/>
  <c r="AG246" i="10"/>
  <c r="AG247" i="10"/>
  <c r="AG248" i="10"/>
  <c r="AG249" i="10"/>
  <c r="AG250" i="10"/>
  <c r="AG251" i="10"/>
  <c r="AG252" i="10"/>
  <c r="AG253" i="10"/>
  <c r="AG254" i="10"/>
  <c r="AG255" i="10"/>
  <c r="AG256" i="10"/>
  <c r="AG257" i="10"/>
  <c r="AG258" i="10"/>
  <c r="AG259" i="10"/>
  <c r="AG260" i="10"/>
  <c r="AG261" i="10"/>
  <c r="AG262" i="10"/>
  <c r="AG263" i="10"/>
  <c r="AG264" i="10"/>
  <c r="AG265" i="10"/>
  <c r="AG266" i="10"/>
  <c r="AG267" i="10"/>
  <c r="AG268" i="10"/>
  <c r="AG269" i="10"/>
  <c r="AG271" i="10"/>
  <c r="AG272" i="10"/>
  <c r="AG274" i="10"/>
  <c r="AG275" i="10"/>
  <c r="AG276" i="10"/>
  <c r="AG278" i="10"/>
  <c r="AG279" i="10"/>
  <c r="AG280" i="10"/>
  <c r="AG282" i="10"/>
  <c r="AG283" i="10"/>
  <c r="AG284" i="10"/>
  <c r="AG285" i="10"/>
  <c r="AG286" i="10"/>
  <c r="AG287" i="10"/>
  <c r="AG288" i="10"/>
  <c r="AG289" i="10"/>
  <c r="AG291" i="10"/>
  <c r="AG292" i="10"/>
  <c r="AG294" i="10"/>
  <c r="AG296" i="10"/>
  <c r="AG297" i="10"/>
  <c r="AG298" i="10"/>
  <c r="AG301" i="10"/>
  <c r="AG302" i="10"/>
  <c r="AG304" i="10"/>
  <c r="AG305" i="10"/>
  <c r="AG307" i="10"/>
  <c r="AG308" i="10"/>
  <c r="AG309" i="10"/>
  <c r="AG310" i="10"/>
  <c r="AG311" i="10"/>
  <c r="AG312" i="10"/>
  <c r="AG316" i="10"/>
  <c r="AG317" i="10"/>
  <c r="AG320" i="10"/>
  <c r="AG322" i="10"/>
  <c r="AG323" i="10"/>
  <c r="AG324" i="10"/>
  <c r="AG325" i="10"/>
  <c r="AG327" i="10"/>
  <c r="AG328" i="10"/>
  <c r="AG329" i="10"/>
  <c r="AG330" i="10"/>
  <c r="AG333" i="10"/>
  <c r="AG334" i="10"/>
  <c r="AG335" i="10"/>
  <c r="AG336" i="10"/>
  <c r="AG337" i="10"/>
  <c r="AG338" i="10"/>
  <c r="AG339" i="10"/>
  <c r="AG340" i="10"/>
  <c r="AG341" i="10"/>
  <c r="AG342" i="10"/>
  <c r="AG343" i="10"/>
  <c r="AG344" i="10"/>
  <c r="AG345" i="10"/>
  <c r="AG346" i="10"/>
  <c r="AG347" i="10"/>
  <c r="AG348" i="10"/>
  <c r="AG349" i="10"/>
  <c r="AG350" i="10"/>
  <c r="AG351" i="10"/>
  <c r="AG352" i="10"/>
  <c r="AG353" i="10"/>
  <c r="AG354" i="10"/>
  <c r="AG355" i="10"/>
  <c r="AG356" i="10"/>
  <c r="AG357" i="10"/>
  <c r="AG358" i="10"/>
  <c r="AG359" i="10"/>
  <c r="AG360" i="10"/>
  <c r="AG361" i="10"/>
  <c r="AG362" i="10"/>
  <c r="AG363" i="10"/>
  <c r="AG364" i="10"/>
  <c r="AG365" i="10"/>
  <c r="AG366" i="10"/>
  <c r="AG367" i="10"/>
  <c r="AG368" i="10"/>
  <c r="AG369" i="10"/>
  <c r="AG370" i="10"/>
  <c r="AG371" i="10"/>
  <c r="AG372" i="10"/>
  <c r="AG373" i="10"/>
  <c r="AG374" i="10"/>
  <c r="AG375" i="10"/>
  <c r="AG376" i="10"/>
  <c r="AG377" i="10"/>
  <c r="AG378" i="10"/>
  <c r="AG379" i="10"/>
  <c r="AG380" i="10"/>
  <c r="AG381" i="10"/>
  <c r="AG382" i="10"/>
  <c r="AG383" i="10"/>
  <c r="AG384" i="10"/>
  <c r="AG385" i="10"/>
  <c r="AG386" i="10"/>
  <c r="AG387" i="10"/>
  <c r="AG388" i="10"/>
  <c r="AG389" i="10"/>
  <c r="AG390" i="10"/>
  <c r="AG391" i="10"/>
  <c r="AG392" i="10"/>
  <c r="AG393" i="10"/>
  <c r="AG394" i="10"/>
  <c r="AG395" i="10"/>
  <c r="AG396" i="10"/>
  <c r="AG397" i="10"/>
  <c r="AG398" i="10"/>
  <c r="AG399" i="10"/>
  <c r="AG400" i="10"/>
  <c r="AG401" i="10"/>
  <c r="AG402" i="10"/>
  <c r="AG403" i="10"/>
  <c r="AG404" i="10"/>
  <c r="AG405" i="10"/>
  <c r="AG406" i="10"/>
  <c r="AG407" i="10"/>
  <c r="AG408" i="10"/>
  <c r="AG409" i="10"/>
  <c r="AG410" i="10"/>
  <c r="AG411" i="10"/>
  <c r="AG412" i="10"/>
  <c r="AG413" i="10"/>
  <c r="AG414" i="10"/>
  <c r="AG415" i="10"/>
  <c r="AG417" i="10"/>
  <c r="AG418" i="10"/>
  <c r="AG419" i="10"/>
  <c r="AG420" i="10"/>
  <c r="AG421" i="10"/>
  <c r="AG422" i="10"/>
  <c r="AG423" i="10"/>
  <c r="AG424" i="10"/>
  <c r="AG425" i="10"/>
  <c r="AG426" i="10"/>
  <c r="AG427" i="10"/>
  <c r="AG428" i="10"/>
  <c r="AG429" i="10"/>
  <c r="AG430" i="10"/>
  <c r="AG431" i="10"/>
  <c r="AG432" i="10"/>
  <c r="AG433" i="10"/>
  <c r="AG434" i="10"/>
  <c r="AG435" i="10"/>
  <c r="AG436" i="10"/>
  <c r="AG437" i="10"/>
  <c r="AG438" i="10"/>
  <c r="AG439" i="10"/>
  <c r="AG440" i="10"/>
  <c r="AG441" i="10"/>
  <c r="AG442" i="10"/>
  <c r="AG443" i="10"/>
  <c r="AG444" i="10"/>
  <c r="AG445" i="10"/>
  <c r="AG446" i="10"/>
  <c r="AG447" i="10"/>
  <c r="AG448" i="10"/>
  <c r="AG449" i="10"/>
  <c r="AG450" i="10"/>
  <c r="AG451" i="10"/>
  <c r="AG452" i="10"/>
  <c r="AG453" i="10"/>
  <c r="AG454" i="10"/>
  <c r="AG455" i="10"/>
  <c r="AG456" i="10"/>
  <c r="AG457" i="10"/>
  <c r="AG458" i="10"/>
  <c r="AG459" i="10"/>
  <c r="AG460" i="10"/>
  <c r="AG461" i="10"/>
  <c r="AG462" i="10"/>
  <c r="AG463" i="10"/>
  <c r="AG464" i="10"/>
  <c r="AG465" i="10"/>
  <c r="AG466" i="10"/>
  <c r="AG467" i="10"/>
  <c r="AF4" i="10"/>
  <c r="AF5" i="10"/>
  <c r="AF6" i="10"/>
  <c r="AF7" i="10"/>
  <c r="AF8" i="10"/>
  <c r="AF9" i="10"/>
  <c r="AF10" i="10"/>
  <c r="AF11" i="10"/>
  <c r="AF12" i="10"/>
  <c r="AF13" i="10"/>
  <c r="AF14" i="10"/>
  <c r="AF15" i="10"/>
  <c r="AF16" i="10"/>
  <c r="AF17" i="10"/>
  <c r="AF18" i="10"/>
  <c r="AF19" i="10"/>
  <c r="AF20" i="10"/>
  <c r="AF21" i="10"/>
  <c r="AF22" i="10"/>
  <c r="AF23" i="10"/>
  <c r="AF24" i="10"/>
  <c r="AF25" i="10"/>
  <c r="AF26" i="10"/>
  <c r="AF27" i="10"/>
  <c r="AF28" i="10"/>
  <c r="AF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6"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5" i="10"/>
  <c r="AF96" i="10"/>
  <c r="AF97" i="10"/>
  <c r="AF98" i="10"/>
  <c r="AF99" i="10"/>
  <c r="AF100" i="10"/>
  <c r="AF101" i="10"/>
  <c r="AF102" i="10"/>
  <c r="AF103" i="10"/>
  <c r="AF104" i="10"/>
  <c r="AF105" i="10"/>
  <c r="AF106" i="10"/>
  <c r="AF107" i="10"/>
  <c r="AF108"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163" i="10"/>
  <c r="AF164" i="10"/>
  <c r="AF165" i="10"/>
  <c r="AF166" i="10"/>
  <c r="AF168" i="10"/>
  <c r="AF169" i="10"/>
  <c r="AF170" i="10"/>
  <c r="AF171" i="10"/>
  <c r="AF172" i="10"/>
  <c r="AF173" i="10"/>
  <c r="AF178" i="10"/>
  <c r="AF179" i="10"/>
  <c r="AF180" i="10"/>
  <c r="AF181" i="10"/>
  <c r="AF183" i="10"/>
  <c r="AF184" i="10"/>
  <c r="AF185" i="10"/>
  <c r="AF186" i="10"/>
  <c r="AF188" i="10"/>
  <c r="AF190" i="10"/>
  <c r="AF192" i="10"/>
  <c r="AF193" i="10"/>
  <c r="AF194" i="10"/>
  <c r="AF195" i="10"/>
  <c r="AF196" i="10"/>
  <c r="AF198" i="10"/>
  <c r="AF199" i="10"/>
  <c r="AF200" i="10"/>
  <c r="AF201" i="10"/>
  <c r="AF202" i="10"/>
  <c r="AF203" i="10"/>
  <c r="AF204" i="10"/>
  <c r="AF205" i="10"/>
  <c r="AF206" i="10"/>
  <c r="AF207" i="10"/>
  <c r="AF208" i="10"/>
  <c r="AF209" i="10"/>
  <c r="AF211" i="10"/>
  <c r="AF213" i="10"/>
  <c r="AF214" i="10"/>
  <c r="AF215" i="10"/>
  <c r="AF216" i="10"/>
  <c r="AF217" i="10"/>
  <c r="AF218" i="10"/>
  <c r="AF219" i="10"/>
  <c r="AF221" i="10"/>
  <c r="AF222" i="10"/>
  <c r="AF223" i="10"/>
  <c r="AF224" i="10"/>
  <c r="AF225" i="10"/>
  <c r="AF226" i="10"/>
  <c r="AF227" i="10"/>
  <c r="AF228" i="10"/>
  <c r="AF229" i="10"/>
  <c r="AF230" i="10"/>
  <c r="AF231" i="10"/>
  <c r="AF232" i="10"/>
  <c r="AF233" i="10"/>
  <c r="AF234" i="10"/>
  <c r="AF235" i="10"/>
  <c r="AF236" i="10"/>
  <c r="AF237" i="10"/>
  <c r="AF238" i="10"/>
  <c r="AF239" i="10"/>
  <c r="AF240" i="10"/>
  <c r="AF241" i="10"/>
  <c r="AF242" i="10"/>
  <c r="AF243" i="10"/>
  <c r="AF244" i="10"/>
  <c r="AF245" i="10"/>
  <c r="AF246" i="10"/>
  <c r="AF247" i="10"/>
  <c r="AF248" i="10"/>
  <c r="AF249" i="10"/>
  <c r="AF250" i="10"/>
  <c r="AF251" i="10"/>
  <c r="AF252" i="10"/>
  <c r="AF253" i="10"/>
  <c r="AF254" i="10"/>
  <c r="AF255" i="10"/>
  <c r="AF256" i="10"/>
  <c r="AF257" i="10"/>
  <c r="AF258" i="10"/>
  <c r="AF259" i="10"/>
  <c r="AF260" i="10"/>
  <c r="AF261" i="10"/>
  <c r="AF262" i="10"/>
  <c r="AF263" i="10"/>
  <c r="AF264" i="10"/>
  <c r="AF265" i="10"/>
  <c r="AF266" i="10"/>
  <c r="AF267" i="10"/>
  <c r="AF268" i="10"/>
  <c r="AF269" i="10"/>
  <c r="AF271" i="10"/>
  <c r="AF272" i="10"/>
  <c r="AF274" i="10"/>
  <c r="AF275" i="10"/>
  <c r="AF276" i="10"/>
  <c r="AF278" i="10"/>
  <c r="AF279" i="10"/>
  <c r="AF280" i="10"/>
  <c r="AF282" i="10"/>
  <c r="AF283" i="10"/>
  <c r="AF284" i="10"/>
  <c r="AF285" i="10"/>
  <c r="AF286" i="10"/>
  <c r="AF287" i="10"/>
  <c r="AF288" i="10"/>
  <c r="AF289" i="10"/>
  <c r="AF291" i="10"/>
  <c r="AF292" i="10"/>
  <c r="AF294" i="10"/>
  <c r="AF296" i="10"/>
  <c r="AF297" i="10"/>
  <c r="AF298" i="10"/>
  <c r="AF301" i="10"/>
  <c r="AF302" i="10"/>
  <c r="AF304" i="10"/>
  <c r="AF305" i="10"/>
  <c r="AF307" i="10"/>
  <c r="AF308" i="10"/>
  <c r="AF309" i="10"/>
  <c r="AF310" i="10"/>
  <c r="AF311" i="10"/>
  <c r="AF312" i="10"/>
  <c r="AF316" i="10"/>
  <c r="AF317" i="10"/>
  <c r="AF320" i="10"/>
  <c r="AF322" i="10"/>
  <c r="AF323" i="10"/>
  <c r="AF324" i="10"/>
  <c r="AF325" i="10"/>
  <c r="AF327" i="10"/>
  <c r="AF328" i="10"/>
  <c r="AF329" i="10"/>
  <c r="AF330" i="10"/>
  <c r="AF333" i="10"/>
  <c r="AF334" i="10"/>
  <c r="AF335" i="10"/>
  <c r="AF336" i="10"/>
  <c r="AF337" i="10"/>
  <c r="AF338" i="10"/>
  <c r="AF339" i="10"/>
  <c r="AF340" i="10"/>
  <c r="AF341" i="10"/>
  <c r="AF342" i="10"/>
  <c r="AF343" i="10"/>
  <c r="AF344" i="10"/>
  <c r="AF345" i="10"/>
  <c r="AF346" i="10"/>
  <c r="AF347" i="10"/>
  <c r="AF348" i="10"/>
  <c r="AF349" i="10"/>
  <c r="AF350" i="10"/>
  <c r="AF351" i="10"/>
  <c r="AF352" i="10"/>
  <c r="AF353" i="10"/>
  <c r="AF354" i="10"/>
  <c r="AF355" i="10"/>
  <c r="AF356" i="10"/>
  <c r="AF357" i="10"/>
  <c r="AF358" i="10"/>
  <c r="AF359" i="10"/>
  <c r="AF360" i="10"/>
  <c r="AF361" i="10"/>
  <c r="AF362" i="10"/>
  <c r="AF363" i="10"/>
  <c r="AF364" i="10"/>
  <c r="AF365" i="10"/>
  <c r="AF366" i="10"/>
  <c r="AF367" i="10"/>
  <c r="AF368" i="10"/>
  <c r="AF369" i="10"/>
  <c r="AF370" i="10"/>
  <c r="AF371" i="10"/>
  <c r="AF372" i="10"/>
  <c r="AF373" i="10"/>
  <c r="AF374" i="10"/>
  <c r="AF375" i="10"/>
  <c r="AF376" i="10"/>
  <c r="AF377" i="10"/>
  <c r="AF378" i="10"/>
  <c r="AF379" i="10"/>
  <c r="AF380" i="10"/>
  <c r="AF381" i="10"/>
  <c r="AF382" i="10"/>
  <c r="AF383" i="10"/>
  <c r="AF384" i="10"/>
  <c r="AF385" i="10"/>
  <c r="AF386" i="10"/>
  <c r="AF387" i="10"/>
  <c r="AF388" i="10"/>
  <c r="AF389" i="10"/>
  <c r="AF390" i="10"/>
  <c r="AF391" i="10"/>
  <c r="AF392" i="10"/>
  <c r="AF393" i="10"/>
  <c r="AF394" i="10"/>
  <c r="AF395" i="10"/>
  <c r="AF396" i="10"/>
  <c r="AF397" i="10"/>
  <c r="AF398" i="10"/>
  <c r="AF399" i="10"/>
  <c r="AF400" i="10"/>
  <c r="AF401" i="10"/>
  <c r="AF402" i="10"/>
  <c r="AF403" i="10"/>
  <c r="AF404" i="10"/>
  <c r="AF405" i="10"/>
  <c r="AF406" i="10"/>
  <c r="AF407" i="10"/>
  <c r="AF408" i="10"/>
  <c r="AF409" i="10"/>
  <c r="AF410" i="10"/>
  <c r="AF411" i="10"/>
  <c r="AF412" i="10"/>
  <c r="AF413" i="10"/>
  <c r="AF414" i="10"/>
  <c r="AF415" i="10"/>
  <c r="AF417" i="10"/>
  <c r="AF418" i="10"/>
  <c r="AF419" i="10"/>
  <c r="AF420" i="10"/>
  <c r="AF421" i="10"/>
  <c r="AF422" i="10"/>
  <c r="AF423" i="10"/>
  <c r="AF424" i="10"/>
  <c r="AF425" i="10"/>
  <c r="AF426" i="10"/>
  <c r="AF427" i="10"/>
  <c r="AF428" i="10"/>
  <c r="AF429" i="10"/>
  <c r="AF430" i="10"/>
  <c r="AF431" i="10"/>
  <c r="AF432" i="10"/>
  <c r="AF433" i="10"/>
  <c r="AF434" i="10"/>
  <c r="AF435" i="10"/>
  <c r="AF436" i="10"/>
  <c r="AF437" i="10"/>
  <c r="AF438" i="10"/>
  <c r="AF439" i="10"/>
  <c r="AF440" i="10"/>
  <c r="AF441" i="10"/>
  <c r="AF442" i="10"/>
  <c r="AF443" i="10"/>
  <c r="AF444" i="10"/>
  <c r="AF445" i="10"/>
  <c r="AF446" i="10"/>
  <c r="AF447" i="10"/>
  <c r="AF448" i="10"/>
  <c r="AF449" i="10"/>
  <c r="AF450" i="10"/>
  <c r="AF451" i="10"/>
  <c r="AF452" i="10"/>
  <c r="AF453" i="10"/>
  <c r="AF454" i="10"/>
  <c r="AF455" i="10"/>
  <c r="AF456" i="10"/>
  <c r="AF457" i="10"/>
  <c r="AF458" i="10"/>
  <c r="AF459" i="10"/>
  <c r="AF460" i="10"/>
  <c r="AF461" i="10"/>
  <c r="AF462" i="10"/>
  <c r="AF463" i="10"/>
  <c r="AF464" i="10"/>
  <c r="AF465" i="10"/>
  <c r="AF466" i="10"/>
  <c r="AF467" i="10"/>
  <c r="AE4" i="10"/>
  <c r="AE5" i="10"/>
  <c r="AE6" i="10"/>
  <c r="AE7" i="10"/>
  <c r="AE8" i="10"/>
  <c r="AE9" i="10"/>
  <c r="AE10" i="10"/>
  <c r="AE11" i="10"/>
  <c r="AE12" i="10"/>
  <c r="AE13" i="10"/>
  <c r="AE14" i="10"/>
  <c r="AE15" i="10"/>
  <c r="AE16" i="10"/>
  <c r="AE17" i="10"/>
  <c r="AE18"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163" i="10"/>
  <c r="AE164" i="10"/>
  <c r="AE165" i="10"/>
  <c r="AE166" i="10"/>
  <c r="AE168" i="10"/>
  <c r="AE169" i="10"/>
  <c r="AE170" i="10"/>
  <c r="AE171" i="10"/>
  <c r="AE172" i="10"/>
  <c r="AE173" i="10"/>
  <c r="AE178" i="10"/>
  <c r="AE179" i="10"/>
  <c r="AE180" i="10"/>
  <c r="AE181" i="10"/>
  <c r="AE183" i="10"/>
  <c r="AE184" i="10"/>
  <c r="AE185" i="10"/>
  <c r="AE186" i="10"/>
  <c r="AE188" i="10"/>
  <c r="AE190" i="10"/>
  <c r="AE192" i="10"/>
  <c r="AE193" i="10"/>
  <c r="AE194" i="10"/>
  <c r="AE195" i="10"/>
  <c r="AE196" i="10"/>
  <c r="AE198" i="10"/>
  <c r="AE199" i="10"/>
  <c r="AE200" i="10"/>
  <c r="AE201" i="10"/>
  <c r="AE202" i="10"/>
  <c r="AE203" i="10"/>
  <c r="AE204" i="10"/>
  <c r="AE205" i="10"/>
  <c r="AE206" i="10"/>
  <c r="AE207" i="10"/>
  <c r="AE208" i="10"/>
  <c r="AE209" i="10"/>
  <c r="AE211" i="10"/>
  <c r="AE213" i="10"/>
  <c r="AE214" i="10"/>
  <c r="AE215" i="10"/>
  <c r="AE216" i="10"/>
  <c r="AE217" i="10"/>
  <c r="AE218" i="10"/>
  <c r="AE219" i="10"/>
  <c r="AE221" i="10"/>
  <c r="AE222" i="10"/>
  <c r="AE223" i="10"/>
  <c r="AE224" i="10"/>
  <c r="AE225" i="10"/>
  <c r="AE226" i="10"/>
  <c r="AE227" i="10"/>
  <c r="AE228" i="10"/>
  <c r="AE229" i="10"/>
  <c r="AE230" i="10"/>
  <c r="AE231" i="10"/>
  <c r="AE232" i="10"/>
  <c r="AE233" i="10"/>
  <c r="AE234" i="10"/>
  <c r="AE235" i="10"/>
  <c r="AE236" i="10"/>
  <c r="AE237" i="10"/>
  <c r="AE238" i="10"/>
  <c r="AE239" i="10"/>
  <c r="AE240" i="10"/>
  <c r="AE241" i="10"/>
  <c r="AE242" i="10"/>
  <c r="AE243" i="10"/>
  <c r="AE244" i="10"/>
  <c r="AE245" i="10"/>
  <c r="AE246" i="10"/>
  <c r="AE247" i="10"/>
  <c r="AE248" i="10"/>
  <c r="AE249" i="10"/>
  <c r="AE250" i="10"/>
  <c r="AE251" i="10"/>
  <c r="AE252" i="10"/>
  <c r="AE253" i="10"/>
  <c r="AE254" i="10"/>
  <c r="AE255" i="10"/>
  <c r="AE256" i="10"/>
  <c r="AE257" i="10"/>
  <c r="AE258" i="10"/>
  <c r="AE259" i="10"/>
  <c r="AE260" i="10"/>
  <c r="AE261" i="10"/>
  <c r="AE262" i="10"/>
  <c r="AE263" i="10"/>
  <c r="AE264" i="10"/>
  <c r="AE265" i="10"/>
  <c r="AE266" i="10"/>
  <c r="AE267" i="10"/>
  <c r="AE268" i="10"/>
  <c r="AE269" i="10"/>
  <c r="AE271" i="10"/>
  <c r="AE272" i="10"/>
  <c r="AE274" i="10"/>
  <c r="AE275" i="10"/>
  <c r="AE276" i="10"/>
  <c r="AE278" i="10"/>
  <c r="AE279" i="10"/>
  <c r="AE280" i="10"/>
  <c r="AE282" i="10"/>
  <c r="AE283" i="10"/>
  <c r="AE284" i="10"/>
  <c r="AE285" i="10"/>
  <c r="AE286" i="10"/>
  <c r="AE287" i="10"/>
  <c r="AE288" i="10"/>
  <c r="AE289" i="10"/>
  <c r="AE291" i="10"/>
  <c r="AE292" i="10"/>
  <c r="AE294" i="10"/>
  <c r="AE296" i="10"/>
  <c r="AE297" i="10"/>
  <c r="AE298" i="10"/>
  <c r="AE301" i="10"/>
  <c r="AE302" i="10"/>
  <c r="AE304" i="10"/>
  <c r="AE305" i="10"/>
  <c r="AE307" i="10"/>
  <c r="AE308" i="10"/>
  <c r="AE309" i="10"/>
  <c r="AE310" i="10"/>
  <c r="AE311" i="10"/>
  <c r="AE312" i="10"/>
  <c r="AE316" i="10"/>
  <c r="AE317" i="10"/>
  <c r="AE320" i="10"/>
  <c r="AE322" i="10"/>
  <c r="AE323" i="10"/>
  <c r="AE324" i="10"/>
  <c r="AE325" i="10"/>
  <c r="AE327" i="10"/>
  <c r="AE328" i="10"/>
  <c r="AE329" i="10"/>
  <c r="AE330" i="10"/>
  <c r="AE333" i="10"/>
  <c r="AE334" i="10"/>
  <c r="AE335" i="10"/>
  <c r="AE336" i="10"/>
  <c r="AE337" i="10"/>
  <c r="AE338" i="10"/>
  <c r="AE339" i="10"/>
  <c r="AE340" i="10"/>
  <c r="AE341" i="10"/>
  <c r="AE342" i="10"/>
  <c r="AE343" i="10"/>
  <c r="AE344" i="10"/>
  <c r="AE345" i="10"/>
  <c r="AE346" i="10"/>
  <c r="AE347" i="10"/>
  <c r="AE348" i="10"/>
  <c r="AE349" i="10"/>
  <c r="AE350" i="10"/>
  <c r="AE351" i="10"/>
  <c r="AE352" i="10"/>
  <c r="AE353" i="10"/>
  <c r="AE354" i="10"/>
  <c r="AE355" i="10"/>
  <c r="AE356" i="10"/>
  <c r="AE357" i="10"/>
  <c r="AE358" i="10"/>
  <c r="AE359" i="10"/>
  <c r="AE360" i="10"/>
  <c r="AE361" i="10"/>
  <c r="AE362" i="10"/>
  <c r="AE363" i="10"/>
  <c r="AE364" i="10"/>
  <c r="AE365" i="10"/>
  <c r="AE366" i="10"/>
  <c r="AE367" i="10"/>
  <c r="AE368" i="10"/>
  <c r="AE369" i="10"/>
  <c r="AE370" i="10"/>
  <c r="AE371" i="10"/>
  <c r="AE372" i="10"/>
  <c r="AE373" i="10"/>
  <c r="AE374" i="10"/>
  <c r="AE375" i="10"/>
  <c r="AE376" i="10"/>
  <c r="AE377" i="10"/>
  <c r="AE378" i="10"/>
  <c r="AE379" i="10"/>
  <c r="AE380" i="10"/>
  <c r="AE381" i="10"/>
  <c r="AE382" i="10"/>
  <c r="AE383" i="10"/>
  <c r="AE384" i="10"/>
  <c r="AE385" i="10"/>
  <c r="AE386" i="10"/>
  <c r="AE387" i="10"/>
  <c r="AE388" i="10"/>
  <c r="AE389" i="10"/>
  <c r="AE390" i="10"/>
  <c r="AE391" i="10"/>
  <c r="AE392" i="10"/>
  <c r="AE393" i="10"/>
  <c r="AE394" i="10"/>
  <c r="AE395" i="10"/>
  <c r="AE396" i="10"/>
  <c r="AE397" i="10"/>
  <c r="AE398" i="10"/>
  <c r="AE399" i="10"/>
  <c r="AE400" i="10"/>
  <c r="AE401" i="10"/>
  <c r="AE402" i="10"/>
  <c r="AE403" i="10"/>
  <c r="AE404" i="10"/>
  <c r="AE405" i="10"/>
  <c r="AE406" i="10"/>
  <c r="AE407" i="10"/>
  <c r="AE408" i="10"/>
  <c r="AE409" i="10"/>
  <c r="AE410" i="10"/>
  <c r="AE411" i="10"/>
  <c r="AE412" i="10"/>
  <c r="AE413" i="10"/>
  <c r="AE414" i="10"/>
  <c r="AE415" i="10"/>
  <c r="AE417" i="10"/>
  <c r="AE418" i="10"/>
  <c r="AE419" i="10"/>
  <c r="AE420" i="10"/>
  <c r="AE421" i="10"/>
  <c r="AE422" i="10"/>
  <c r="AE423" i="10"/>
  <c r="AE424" i="10"/>
  <c r="AE425" i="10"/>
  <c r="AE426" i="10"/>
  <c r="AE427" i="10"/>
  <c r="AE428" i="10"/>
  <c r="AE429" i="10"/>
  <c r="AE430" i="10"/>
  <c r="AE431" i="10"/>
  <c r="AE432" i="10"/>
  <c r="AE433" i="10"/>
  <c r="AE434" i="10"/>
  <c r="AE435" i="10"/>
  <c r="AE436" i="10"/>
  <c r="AE437" i="10"/>
  <c r="AE438" i="10"/>
  <c r="AE439" i="10"/>
  <c r="AE440" i="10"/>
  <c r="AE441" i="10"/>
  <c r="AE442" i="10"/>
  <c r="AE443" i="10"/>
  <c r="AE444" i="10"/>
  <c r="AE445" i="10"/>
  <c r="AE446" i="10"/>
  <c r="AE447" i="10"/>
  <c r="AE448" i="10"/>
  <c r="AE449" i="10"/>
  <c r="AE450" i="10"/>
  <c r="AE451" i="10"/>
  <c r="AE452" i="10"/>
  <c r="AE453" i="10"/>
  <c r="AE454" i="10"/>
  <c r="AE455" i="10"/>
  <c r="AE456" i="10"/>
  <c r="AE457" i="10"/>
  <c r="AE458" i="10"/>
  <c r="AE459" i="10"/>
  <c r="AE460" i="10"/>
  <c r="AE461" i="10"/>
  <c r="AE462" i="10"/>
  <c r="AE463" i="10"/>
  <c r="AE464" i="10"/>
  <c r="AE465" i="10"/>
  <c r="AE466" i="10"/>
  <c r="AE467" i="10"/>
  <c r="AD4" i="10"/>
  <c r="AD5" i="10"/>
  <c r="AD6" i="10"/>
  <c r="AD7" i="10"/>
  <c r="AD8" i="10"/>
  <c r="AD9" i="10"/>
  <c r="AD10" i="10"/>
  <c r="AD11" i="10"/>
  <c r="AD12" i="10"/>
  <c r="AD13" i="10"/>
  <c r="AD14" i="10"/>
  <c r="AD15" i="10"/>
  <c r="AD16" i="10"/>
  <c r="AD17" i="10"/>
  <c r="AD18" i="10"/>
  <c r="AD19" i="10"/>
  <c r="AD20" i="10"/>
  <c r="AD21" i="10"/>
  <c r="AD22" i="10"/>
  <c r="AD23" i="10"/>
  <c r="AD24" i="10"/>
  <c r="AD25" i="10"/>
  <c r="AD26" i="10"/>
  <c r="AD27" i="10"/>
  <c r="AD28" i="10"/>
  <c r="AD29"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6"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5" i="10"/>
  <c r="AD96" i="10"/>
  <c r="AD97" i="10"/>
  <c r="AD98" i="10"/>
  <c r="AD99" i="10"/>
  <c r="AD100" i="10"/>
  <c r="AD101" i="10"/>
  <c r="AD102" i="10"/>
  <c r="AD103" i="10"/>
  <c r="AD104" i="10"/>
  <c r="AD105" i="10"/>
  <c r="AD106" i="10"/>
  <c r="AD107" i="10"/>
  <c r="AD108"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163" i="10"/>
  <c r="AD164" i="10"/>
  <c r="AD165" i="10"/>
  <c r="AD166" i="10"/>
  <c r="AD168" i="10"/>
  <c r="AD169" i="10"/>
  <c r="AD170" i="10"/>
  <c r="AD171" i="10"/>
  <c r="AD172" i="10"/>
  <c r="AD173" i="10"/>
  <c r="AD178" i="10"/>
  <c r="AD179" i="10"/>
  <c r="AD180" i="10"/>
  <c r="AD181" i="10"/>
  <c r="AD183" i="10"/>
  <c r="AD184" i="10"/>
  <c r="AD185" i="10"/>
  <c r="AD186" i="10"/>
  <c r="AD188" i="10"/>
  <c r="AD190" i="10"/>
  <c r="AD192" i="10"/>
  <c r="AD193" i="10"/>
  <c r="AD194" i="10"/>
  <c r="AD195" i="10"/>
  <c r="AD196" i="10"/>
  <c r="AD198" i="10"/>
  <c r="AD199" i="10"/>
  <c r="AD200" i="10"/>
  <c r="AD201" i="10"/>
  <c r="AD202" i="10"/>
  <c r="AD203" i="10"/>
  <c r="AD204" i="10"/>
  <c r="AD205" i="10"/>
  <c r="AD206" i="10"/>
  <c r="AD207" i="10"/>
  <c r="AD208" i="10"/>
  <c r="AD209" i="10"/>
  <c r="AD211" i="10"/>
  <c r="AD213" i="10"/>
  <c r="AD214" i="10"/>
  <c r="AD215" i="10"/>
  <c r="AD216" i="10"/>
  <c r="AD217" i="10"/>
  <c r="AD218" i="10"/>
  <c r="AD219" i="10"/>
  <c r="AD221" i="10"/>
  <c r="AD222" i="10"/>
  <c r="AD223" i="10"/>
  <c r="AD224" i="10"/>
  <c r="AD225" i="10"/>
  <c r="AD226" i="10"/>
  <c r="AD227" i="10"/>
  <c r="AD228" i="10"/>
  <c r="AD229" i="10"/>
  <c r="AD230" i="10"/>
  <c r="AD231" i="10"/>
  <c r="AD232" i="10"/>
  <c r="AD233" i="10"/>
  <c r="AD234" i="10"/>
  <c r="AD235" i="10"/>
  <c r="AD236" i="10"/>
  <c r="AD237" i="10"/>
  <c r="AD238" i="10"/>
  <c r="AD239" i="10"/>
  <c r="AD240" i="10"/>
  <c r="AD241" i="10"/>
  <c r="AD242" i="10"/>
  <c r="AD243" i="10"/>
  <c r="AD244" i="10"/>
  <c r="AD245" i="10"/>
  <c r="AD246" i="10"/>
  <c r="AD247" i="10"/>
  <c r="AD248" i="10"/>
  <c r="AD249" i="10"/>
  <c r="AD250" i="10"/>
  <c r="AD251" i="10"/>
  <c r="AD252" i="10"/>
  <c r="AD253" i="10"/>
  <c r="AD254" i="10"/>
  <c r="AD255" i="10"/>
  <c r="AD256" i="10"/>
  <c r="AD257" i="10"/>
  <c r="AD258" i="10"/>
  <c r="AD259" i="10"/>
  <c r="AD260" i="10"/>
  <c r="AD261" i="10"/>
  <c r="AD262" i="10"/>
  <c r="AD263" i="10"/>
  <c r="AD264" i="10"/>
  <c r="AD265" i="10"/>
  <c r="AD266" i="10"/>
  <c r="AD267" i="10"/>
  <c r="AD268" i="10"/>
  <c r="AD269" i="10"/>
  <c r="AD271" i="10"/>
  <c r="AD272" i="10"/>
  <c r="AD274" i="10"/>
  <c r="AD275" i="10"/>
  <c r="AD276" i="10"/>
  <c r="AD278" i="10"/>
  <c r="AD279" i="10"/>
  <c r="AD280" i="10"/>
  <c r="AD282" i="10"/>
  <c r="AD283" i="10"/>
  <c r="AD284" i="10"/>
  <c r="AD285" i="10"/>
  <c r="AD286" i="10"/>
  <c r="AD287" i="10"/>
  <c r="AD288" i="10"/>
  <c r="AD289" i="10"/>
  <c r="AD291" i="10"/>
  <c r="AD292" i="10"/>
  <c r="AD294" i="10"/>
  <c r="AD296" i="10"/>
  <c r="AD297" i="10"/>
  <c r="AD298" i="10"/>
  <c r="AD301" i="10"/>
  <c r="AD302" i="10"/>
  <c r="AD304" i="10"/>
  <c r="AD305" i="10"/>
  <c r="AD307" i="10"/>
  <c r="AD308" i="10"/>
  <c r="AD309" i="10"/>
  <c r="AD310" i="10"/>
  <c r="AD311" i="10"/>
  <c r="AD312" i="10"/>
  <c r="AD316" i="10"/>
  <c r="AD317" i="10"/>
  <c r="AD320" i="10"/>
  <c r="AD322" i="10"/>
  <c r="AD323" i="10"/>
  <c r="AD324" i="10"/>
  <c r="AD325" i="10"/>
  <c r="AD327" i="10"/>
  <c r="AD328" i="10"/>
  <c r="AD329" i="10"/>
  <c r="AD330" i="10"/>
  <c r="AD333" i="10"/>
  <c r="AD334" i="10"/>
  <c r="AD335" i="10"/>
  <c r="AD336" i="10"/>
  <c r="AD337" i="10"/>
  <c r="AD338" i="10"/>
  <c r="AD339" i="10"/>
  <c r="AD340" i="10"/>
  <c r="AD341" i="10"/>
  <c r="AD342" i="10"/>
  <c r="AD343" i="10"/>
  <c r="AD344" i="10"/>
  <c r="AD345" i="10"/>
  <c r="AD346" i="10"/>
  <c r="AD347" i="10"/>
  <c r="AD348" i="10"/>
  <c r="AD349" i="10"/>
  <c r="AD350" i="10"/>
  <c r="AD351" i="10"/>
  <c r="AD352" i="10"/>
  <c r="AD353" i="10"/>
  <c r="AD354" i="10"/>
  <c r="AD355" i="10"/>
  <c r="AD356" i="10"/>
  <c r="AD357" i="10"/>
  <c r="AD358" i="10"/>
  <c r="AD359" i="10"/>
  <c r="AD360" i="10"/>
  <c r="AD361" i="10"/>
  <c r="AD362" i="10"/>
  <c r="AD363" i="10"/>
  <c r="AD364" i="10"/>
  <c r="AD365" i="10"/>
  <c r="AD366" i="10"/>
  <c r="AD367" i="10"/>
  <c r="AD368" i="10"/>
  <c r="AD369" i="10"/>
  <c r="AD370" i="10"/>
  <c r="AD371" i="10"/>
  <c r="AD372" i="10"/>
  <c r="AD373" i="10"/>
  <c r="AD374" i="10"/>
  <c r="AD375" i="10"/>
  <c r="AD376" i="10"/>
  <c r="AD377" i="10"/>
  <c r="AD378" i="10"/>
  <c r="AD379" i="10"/>
  <c r="AD380" i="10"/>
  <c r="AD381" i="10"/>
  <c r="AD382" i="10"/>
  <c r="AD383" i="10"/>
  <c r="AD384" i="10"/>
  <c r="AD385" i="10"/>
  <c r="AD386" i="10"/>
  <c r="AD387" i="10"/>
  <c r="AD388" i="10"/>
  <c r="AD389" i="10"/>
  <c r="AD390" i="10"/>
  <c r="AD391" i="10"/>
  <c r="AD392" i="10"/>
  <c r="AD393" i="10"/>
  <c r="AD394" i="10"/>
  <c r="AD395" i="10"/>
  <c r="AD396" i="10"/>
  <c r="AD397" i="10"/>
  <c r="AD398" i="10"/>
  <c r="AD399" i="10"/>
  <c r="AD400" i="10"/>
  <c r="AD401" i="10"/>
  <c r="AD402" i="10"/>
  <c r="AD403" i="10"/>
  <c r="AD404" i="10"/>
  <c r="AD405" i="10"/>
  <c r="AD406" i="10"/>
  <c r="AD407" i="10"/>
  <c r="AD408" i="10"/>
  <c r="AD409" i="10"/>
  <c r="AD410" i="10"/>
  <c r="AD411" i="10"/>
  <c r="AD412" i="10"/>
  <c r="AD413" i="10"/>
  <c r="AD414" i="10"/>
  <c r="AD415" i="10"/>
  <c r="AD417" i="10"/>
  <c r="AD418" i="10"/>
  <c r="AD419" i="10"/>
  <c r="AD420" i="10"/>
  <c r="AD421" i="10"/>
  <c r="AD422" i="10"/>
  <c r="AD423" i="10"/>
  <c r="AD424" i="10"/>
  <c r="AD425" i="10"/>
  <c r="AD426" i="10"/>
  <c r="AD427" i="10"/>
  <c r="AD428" i="10"/>
  <c r="AD429" i="10"/>
  <c r="AD430" i="10"/>
  <c r="AD431" i="10"/>
  <c r="AD432" i="10"/>
  <c r="AD433" i="10"/>
  <c r="AD434" i="10"/>
  <c r="AD435" i="10"/>
  <c r="AD436" i="10"/>
  <c r="AD437" i="10"/>
  <c r="AD438" i="10"/>
  <c r="AD439" i="10"/>
  <c r="AD440" i="10"/>
  <c r="AD441" i="10"/>
  <c r="AD442" i="10"/>
  <c r="AD443" i="10"/>
  <c r="AD444" i="10"/>
  <c r="AD445" i="10"/>
  <c r="AD446" i="10"/>
  <c r="AD447" i="10"/>
  <c r="AD448" i="10"/>
  <c r="AD449" i="10"/>
  <c r="AD450" i="10"/>
  <c r="AD451" i="10"/>
  <c r="AD452" i="10"/>
  <c r="AD453" i="10"/>
  <c r="AD454" i="10"/>
  <c r="AD455" i="10"/>
  <c r="AD456" i="10"/>
  <c r="AD457" i="10"/>
  <c r="AD458" i="10"/>
  <c r="AD459" i="10"/>
  <c r="AD460" i="10"/>
  <c r="AD461" i="10"/>
  <c r="AD462" i="10"/>
  <c r="AD463" i="10"/>
  <c r="AD464" i="10"/>
  <c r="AD465" i="10"/>
  <c r="AD466" i="10"/>
  <c r="AD467" i="10"/>
  <c r="AC4" i="10"/>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C163" i="10"/>
  <c r="AC164" i="10"/>
  <c r="AC165" i="10"/>
  <c r="AC166" i="10"/>
  <c r="AC168" i="10"/>
  <c r="AC169" i="10"/>
  <c r="AC170" i="10"/>
  <c r="AC171" i="10"/>
  <c r="AC172" i="10"/>
  <c r="AC173" i="10"/>
  <c r="AC178" i="10"/>
  <c r="AC179" i="10"/>
  <c r="AC180" i="10"/>
  <c r="AC181" i="10"/>
  <c r="AC183" i="10"/>
  <c r="AC184" i="10"/>
  <c r="AC185" i="10"/>
  <c r="AC186" i="10"/>
  <c r="AC188" i="10"/>
  <c r="AC190" i="10"/>
  <c r="AC192" i="10"/>
  <c r="AC193" i="10"/>
  <c r="AC194" i="10"/>
  <c r="AC195" i="10"/>
  <c r="AC196" i="10"/>
  <c r="AC198" i="10"/>
  <c r="AC199" i="10"/>
  <c r="AC200" i="10"/>
  <c r="AC201" i="10"/>
  <c r="AC202" i="10"/>
  <c r="AC203" i="10"/>
  <c r="AC204" i="10"/>
  <c r="AC205" i="10"/>
  <c r="AC206" i="10"/>
  <c r="AC207" i="10"/>
  <c r="AC208" i="10"/>
  <c r="AC209" i="10"/>
  <c r="AC211" i="10"/>
  <c r="AC213" i="10"/>
  <c r="AC214" i="10"/>
  <c r="AC215" i="10"/>
  <c r="AC216" i="10"/>
  <c r="AC217" i="10"/>
  <c r="AC218" i="10"/>
  <c r="AC219" i="10"/>
  <c r="AC221" i="10"/>
  <c r="AC222" i="10"/>
  <c r="AC223" i="10"/>
  <c r="AC224" i="10"/>
  <c r="AC225" i="10"/>
  <c r="AC226" i="10"/>
  <c r="AC227" i="10"/>
  <c r="AC228" i="10"/>
  <c r="AC229" i="10"/>
  <c r="AC230" i="10"/>
  <c r="AC231" i="10"/>
  <c r="AC232" i="10"/>
  <c r="AC233" i="10"/>
  <c r="AC234" i="10"/>
  <c r="AC235" i="10"/>
  <c r="AC236" i="10"/>
  <c r="AC237" i="10"/>
  <c r="AC238" i="10"/>
  <c r="AC239" i="10"/>
  <c r="AC240" i="10"/>
  <c r="AC241" i="10"/>
  <c r="AC242" i="10"/>
  <c r="AC243" i="10"/>
  <c r="AC244" i="10"/>
  <c r="AC245" i="10"/>
  <c r="AC246" i="10"/>
  <c r="AC247" i="10"/>
  <c r="AC248" i="10"/>
  <c r="AC249" i="10"/>
  <c r="AC250" i="10"/>
  <c r="AC251" i="10"/>
  <c r="AC252" i="10"/>
  <c r="AC253" i="10"/>
  <c r="AC254" i="10"/>
  <c r="AC255" i="10"/>
  <c r="AC256" i="10"/>
  <c r="AC257" i="10"/>
  <c r="AC258" i="10"/>
  <c r="AC259" i="10"/>
  <c r="AC260" i="10"/>
  <c r="AC261" i="10"/>
  <c r="AC262" i="10"/>
  <c r="AC263" i="10"/>
  <c r="AC264" i="10"/>
  <c r="AC265" i="10"/>
  <c r="AC266" i="10"/>
  <c r="AC267" i="10"/>
  <c r="AC268" i="10"/>
  <c r="AC269" i="10"/>
  <c r="AC271" i="10"/>
  <c r="AC272" i="10"/>
  <c r="AC274" i="10"/>
  <c r="AC275" i="10"/>
  <c r="AC276" i="10"/>
  <c r="AC278" i="10"/>
  <c r="AC279" i="10"/>
  <c r="AC280" i="10"/>
  <c r="AC282" i="10"/>
  <c r="AC283" i="10"/>
  <c r="AC284" i="10"/>
  <c r="AC285" i="10"/>
  <c r="AC286" i="10"/>
  <c r="AC287" i="10"/>
  <c r="AC288" i="10"/>
  <c r="AC289" i="10"/>
  <c r="AC291" i="10"/>
  <c r="AC292" i="10"/>
  <c r="AC294" i="10"/>
  <c r="AC296" i="10"/>
  <c r="AC297" i="10"/>
  <c r="AC298" i="10"/>
  <c r="AC301" i="10"/>
  <c r="AC302" i="10"/>
  <c r="AC304" i="10"/>
  <c r="AC305" i="10"/>
  <c r="AC307" i="10"/>
  <c r="AC308" i="10"/>
  <c r="AC309" i="10"/>
  <c r="AC310" i="10"/>
  <c r="AC311" i="10"/>
  <c r="AC312" i="10"/>
  <c r="AC316" i="10"/>
  <c r="AC317" i="10"/>
  <c r="AC320" i="10"/>
  <c r="AC322" i="10"/>
  <c r="AC323" i="10"/>
  <c r="AC324" i="10"/>
  <c r="AC325" i="10"/>
  <c r="AC327" i="10"/>
  <c r="AC328" i="10"/>
  <c r="AC329" i="10"/>
  <c r="AC330" i="10"/>
  <c r="AC333" i="10"/>
  <c r="AC334" i="10"/>
  <c r="AC335" i="10"/>
  <c r="AC336" i="10"/>
  <c r="AC337" i="10"/>
  <c r="AC338" i="10"/>
  <c r="AC339" i="10"/>
  <c r="AC340" i="10"/>
  <c r="AC341" i="10"/>
  <c r="AC342" i="10"/>
  <c r="AC343" i="10"/>
  <c r="AC344" i="10"/>
  <c r="AC345" i="10"/>
  <c r="AC346" i="10"/>
  <c r="AC347" i="10"/>
  <c r="AC348" i="10"/>
  <c r="AC349" i="10"/>
  <c r="AC350" i="10"/>
  <c r="AC351" i="10"/>
  <c r="AC352" i="10"/>
  <c r="AC353" i="10"/>
  <c r="AC354" i="10"/>
  <c r="AC355" i="10"/>
  <c r="AC356" i="10"/>
  <c r="AC357" i="10"/>
  <c r="AC358" i="10"/>
  <c r="AC359" i="10"/>
  <c r="AC360" i="10"/>
  <c r="AC361" i="10"/>
  <c r="AC362" i="10"/>
  <c r="AC363" i="10"/>
  <c r="AC364" i="10"/>
  <c r="AC365" i="10"/>
  <c r="AC366" i="10"/>
  <c r="AC367" i="10"/>
  <c r="AC368" i="10"/>
  <c r="AC369" i="10"/>
  <c r="AC370" i="10"/>
  <c r="AC371" i="10"/>
  <c r="AC372" i="10"/>
  <c r="AC373" i="10"/>
  <c r="AC374" i="10"/>
  <c r="AC375" i="10"/>
  <c r="AC376" i="10"/>
  <c r="AC377" i="10"/>
  <c r="AC378" i="10"/>
  <c r="AC379" i="10"/>
  <c r="AC380" i="10"/>
  <c r="AC381" i="10"/>
  <c r="AC382" i="10"/>
  <c r="AC383" i="10"/>
  <c r="AC384" i="10"/>
  <c r="AC385" i="10"/>
  <c r="AC386" i="10"/>
  <c r="AC387" i="10"/>
  <c r="AC388" i="10"/>
  <c r="AC389" i="10"/>
  <c r="AC390" i="10"/>
  <c r="AC391" i="10"/>
  <c r="AC392" i="10"/>
  <c r="AC393" i="10"/>
  <c r="AC394" i="10"/>
  <c r="AC395" i="10"/>
  <c r="AC396" i="10"/>
  <c r="AC397" i="10"/>
  <c r="AC398" i="10"/>
  <c r="AC399" i="10"/>
  <c r="AC400" i="10"/>
  <c r="AC401" i="10"/>
  <c r="AC402" i="10"/>
  <c r="AC403" i="10"/>
  <c r="AC404" i="10"/>
  <c r="AC405" i="10"/>
  <c r="AC406" i="10"/>
  <c r="AC407" i="10"/>
  <c r="AC408" i="10"/>
  <c r="AC409" i="10"/>
  <c r="AC410" i="10"/>
  <c r="AC411" i="10"/>
  <c r="AC412" i="10"/>
  <c r="AC413" i="10"/>
  <c r="AC414" i="10"/>
  <c r="AC415" i="10"/>
  <c r="AC417" i="10"/>
  <c r="AC418" i="10"/>
  <c r="AC419" i="10"/>
  <c r="AC420" i="10"/>
  <c r="AC421" i="10"/>
  <c r="AC422" i="10"/>
  <c r="AC423" i="10"/>
  <c r="AC424" i="10"/>
  <c r="AC425" i="10"/>
  <c r="AC426" i="10"/>
  <c r="AC427" i="10"/>
  <c r="AC428" i="10"/>
  <c r="AC429" i="10"/>
  <c r="AC430" i="10"/>
  <c r="AC431" i="10"/>
  <c r="AC432" i="10"/>
  <c r="AC433" i="10"/>
  <c r="AC434" i="10"/>
  <c r="AC435" i="10"/>
  <c r="AC436" i="10"/>
  <c r="AC437" i="10"/>
  <c r="AC438" i="10"/>
  <c r="AC439" i="10"/>
  <c r="AC440" i="10"/>
  <c r="AC441" i="10"/>
  <c r="AC442" i="10"/>
  <c r="AC443" i="10"/>
  <c r="AC444" i="10"/>
  <c r="AC445" i="10"/>
  <c r="AC446" i="10"/>
  <c r="AC447" i="10"/>
  <c r="AC448" i="10"/>
  <c r="AC449" i="10"/>
  <c r="AC450" i="10"/>
  <c r="AC451" i="10"/>
  <c r="AC452" i="10"/>
  <c r="AC453" i="10"/>
  <c r="AC454" i="10"/>
  <c r="AC455" i="10"/>
  <c r="AC456" i="10"/>
  <c r="AC457" i="10"/>
  <c r="AC458" i="10"/>
  <c r="AC459" i="10"/>
  <c r="AC460" i="10"/>
  <c r="AC461" i="10"/>
  <c r="AC462" i="10"/>
  <c r="AC463" i="10"/>
  <c r="AC464" i="10"/>
  <c r="AC465" i="10"/>
  <c r="AC466" i="10"/>
  <c r="AC467" i="10"/>
  <c r="ET468" i="2"/>
  <c r="ET467" i="2"/>
  <c r="ET466" i="2"/>
  <c r="ET465" i="2"/>
  <c r="ET464" i="2"/>
  <c r="ET463" i="2"/>
  <c r="ET462" i="2"/>
  <c r="ET461" i="2"/>
  <c r="ET460" i="2"/>
  <c r="ET459" i="2"/>
  <c r="ET458" i="2"/>
  <c r="ET457" i="2"/>
  <c r="ET456" i="2"/>
  <c r="ET455" i="2"/>
  <c r="ET454" i="2"/>
  <c r="ET453" i="2"/>
  <c r="U452" i="10" s="1"/>
  <c r="ET452" i="2"/>
  <c r="U451" i="10" s="1"/>
  <c r="ET451" i="2"/>
  <c r="ET450" i="2"/>
  <c r="ET449" i="2"/>
  <c r="ET448" i="2"/>
  <c r="ET447" i="2"/>
  <c r="ET446" i="2"/>
  <c r="ET445" i="2"/>
  <c r="ET444" i="2"/>
  <c r="ET443" i="2"/>
  <c r="ET442" i="2"/>
  <c r="ET441" i="2"/>
  <c r="ET440" i="2"/>
  <c r="ET439" i="2"/>
  <c r="ET438" i="2"/>
  <c r="ET437" i="2"/>
  <c r="ET436" i="2"/>
  <c r="ET435" i="2"/>
  <c r="ET434" i="2"/>
  <c r="U433" i="10" s="1"/>
  <c r="ET433" i="2"/>
  <c r="U432" i="10" s="1"/>
  <c r="ET432" i="2"/>
  <c r="U431" i="10" s="1"/>
  <c r="ET431" i="2"/>
  <c r="ET430" i="2"/>
  <c r="ET429" i="2"/>
  <c r="ET428" i="2"/>
  <c r="ET427" i="2"/>
  <c r="ET426" i="2"/>
  <c r="ET425" i="2"/>
  <c r="ET424" i="2"/>
  <c r="ET423" i="2"/>
  <c r="ET422" i="2"/>
  <c r="ET421" i="2"/>
  <c r="ET420" i="2"/>
  <c r="ET419" i="2"/>
  <c r="ET418" i="2"/>
  <c r="ET417" i="2"/>
  <c r="ET416" i="2"/>
  <c r="ET415" i="2"/>
  <c r="ET414" i="2"/>
  <c r="ET413" i="2"/>
  <c r="ET412" i="2"/>
  <c r="ET411" i="2"/>
  <c r="ET410" i="2"/>
  <c r="ET409" i="2"/>
  <c r="ET408" i="2"/>
  <c r="ET407" i="2"/>
  <c r="ET406" i="2"/>
  <c r="ET405" i="2"/>
  <c r="ET404" i="2"/>
  <c r="ET403" i="2"/>
  <c r="ET402" i="2"/>
  <c r="ET401" i="2"/>
  <c r="ET400" i="2"/>
  <c r="ET399" i="2"/>
  <c r="ET398" i="2"/>
  <c r="ET397" i="2"/>
  <c r="ET396" i="2"/>
  <c r="ET395" i="2"/>
  <c r="ET394" i="2"/>
  <c r="ET393" i="2"/>
  <c r="ET392" i="2"/>
  <c r="ET391" i="2"/>
  <c r="ET390" i="2"/>
  <c r="ET389" i="2"/>
  <c r="ET388" i="2"/>
  <c r="ET387" i="2"/>
  <c r="ET386" i="2"/>
  <c r="ET385" i="2"/>
  <c r="ET384" i="2"/>
  <c r="ET383" i="2"/>
  <c r="ET382" i="2"/>
  <c r="ET381" i="2"/>
  <c r="ET380" i="2"/>
  <c r="ET379" i="2"/>
  <c r="ET378" i="2"/>
  <c r="ET377" i="2"/>
  <c r="ET376" i="2"/>
  <c r="ET375" i="2"/>
  <c r="ET374" i="2"/>
  <c r="ET373" i="2"/>
  <c r="ET372" i="2"/>
  <c r="ET371" i="2"/>
  <c r="ET370" i="2"/>
  <c r="ET369" i="2"/>
  <c r="ET368" i="2"/>
  <c r="ET367" i="2"/>
  <c r="ET366" i="2"/>
  <c r="ET365" i="2"/>
  <c r="ET364" i="2"/>
  <c r="ET363" i="2"/>
  <c r="ET362" i="2"/>
  <c r="ET361" i="2"/>
  <c r="ET360" i="2"/>
  <c r="ET359" i="2"/>
  <c r="ET358" i="2"/>
  <c r="ET357" i="2"/>
  <c r="ET356" i="2"/>
  <c r="ET355" i="2"/>
  <c r="ET354" i="2"/>
  <c r="ET353" i="2"/>
  <c r="ET352" i="2"/>
  <c r="ET351" i="2"/>
  <c r="ET350" i="2"/>
  <c r="ET349" i="2"/>
  <c r="ET348" i="2"/>
  <c r="ET347" i="2"/>
  <c r="ET346" i="2"/>
  <c r="ET345" i="2"/>
  <c r="ET344" i="2"/>
  <c r="ET343" i="2"/>
  <c r="ET342" i="2"/>
  <c r="ET341" i="2"/>
  <c r="ET340" i="2"/>
  <c r="ET339" i="2"/>
  <c r="ET338" i="2"/>
  <c r="ET337" i="2"/>
  <c r="ET336" i="2"/>
  <c r="ET335" i="2"/>
  <c r="ET334" i="2"/>
  <c r="ET333" i="2"/>
  <c r="U332" i="10" s="1"/>
  <c r="ET332" i="2"/>
  <c r="U331" i="10" s="1"/>
  <c r="ET331" i="2"/>
  <c r="ET330" i="2"/>
  <c r="ET329" i="2"/>
  <c r="ET328" i="2"/>
  <c r="ET327" i="2"/>
  <c r="U326" i="10" s="1"/>
  <c r="ET326" i="2"/>
  <c r="ET325" i="2"/>
  <c r="ET324" i="2"/>
  <c r="ET323" i="2"/>
  <c r="ET322" i="2"/>
  <c r="U321" i="10" s="1"/>
  <c r="ET321" i="2"/>
  <c r="ET320" i="2"/>
  <c r="U319" i="10" s="1"/>
  <c r="ET319" i="2"/>
  <c r="U318" i="10" s="1"/>
  <c r="ET318" i="2"/>
  <c r="ET317" i="2"/>
  <c r="ET316" i="2"/>
  <c r="U315" i="10" s="1"/>
  <c r="ET315" i="2"/>
  <c r="U314" i="10" s="1"/>
  <c r="ET314" i="2"/>
  <c r="U313" i="10" s="1"/>
  <c r="ET313" i="2"/>
  <c r="ET312" i="2"/>
  <c r="ET311" i="2"/>
  <c r="ET310" i="2"/>
  <c r="ET309" i="2"/>
  <c r="ET308" i="2"/>
  <c r="ET307" i="2"/>
  <c r="U306" i="10" s="1"/>
  <c r="ET306" i="2"/>
  <c r="ET305" i="2"/>
  <c r="ET304" i="2"/>
  <c r="U303" i="10" s="1"/>
  <c r="ET303" i="2"/>
  <c r="ET302" i="2"/>
  <c r="ET301" i="2"/>
  <c r="U300" i="10" s="1"/>
  <c r="ET300" i="2"/>
  <c r="U299" i="10" s="1"/>
  <c r="ET299" i="2"/>
  <c r="ET298" i="2"/>
  <c r="ET297" i="2"/>
  <c r="ET296" i="2"/>
  <c r="U295" i="10" s="1"/>
  <c r="ET295" i="2"/>
  <c r="ET294" i="2"/>
  <c r="U293" i="10" s="1"/>
  <c r="ET293" i="2"/>
  <c r="ET292" i="2"/>
  <c r="ET291" i="2"/>
  <c r="U290" i="10" s="1"/>
  <c r="ET290" i="2"/>
  <c r="ET289" i="2"/>
  <c r="ET288" i="2"/>
  <c r="ET287" i="2"/>
  <c r="ET286" i="2"/>
  <c r="ET285" i="2"/>
  <c r="ET284" i="2"/>
  <c r="ET283" i="2"/>
  <c r="ET282" i="2"/>
  <c r="U281" i="10" s="1"/>
  <c r="ET281" i="2"/>
  <c r="ET280" i="2"/>
  <c r="ET279" i="2"/>
  <c r="ET278" i="2"/>
  <c r="U277" i="10" s="1"/>
  <c r="ET277" i="2"/>
  <c r="ET276" i="2"/>
  <c r="ET275" i="2"/>
  <c r="ET274" i="2"/>
  <c r="U273" i="10" s="1"/>
  <c r="ET273" i="2"/>
  <c r="ET272" i="2"/>
  <c r="ET271" i="2"/>
  <c r="U270" i="10" s="1"/>
  <c r="ET6" i="2"/>
  <c r="U5" i="10" s="1"/>
  <c r="ET7" i="2"/>
  <c r="U6" i="10" s="1"/>
  <c r="ET8" i="2"/>
  <c r="U7" i="10" s="1"/>
  <c r="ET9" i="2"/>
  <c r="U8" i="10" s="1"/>
  <c r="ET10" i="2"/>
  <c r="U9" i="10" s="1"/>
  <c r="ET11" i="2"/>
  <c r="U10" i="10" s="1"/>
  <c r="ET12" i="2"/>
  <c r="U11" i="10" s="1"/>
  <c r="ET13" i="2"/>
  <c r="U12" i="10" s="1"/>
  <c r="ET14" i="2"/>
  <c r="U13" i="10" s="1"/>
  <c r="ET15" i="2"/>
  <c r="U14" i="10" s="1"/>
  <c r="ET16" i="2"/>
  <c r="U15" i="10" s="1"/>
  <c r="ET17" i="2"/>
  <c r="U16" i="10" s="1"/>
  <c r="ET18" i="2"/>
  <c r="U17" i="10" s="1"/>
  <c r="ET19" i="2"/>
  <c r="U18" i="10" s="1"/>
  <c r="ET20" i="2"/>
  <c r="U19" i="10" s="1"/>
  <c r="ET21" i="2"/>
  <c r="U20" i="10" s="1"/>
  <c r="ET22" i="2"/>
  <c r="U21" i="10" s="1"/>
  <c r="ET23" i="2"/>
  <c r="U22" i="10" s="1"/>
  <c r="ET24" i="2"/>
  <c r="U23" i="10" s="1"/>
  <c r="ET25" i="2"/>
  <c r="U24" i="10" s="1"/>
  <c r="ET26" i="2"/>
  <c r="U25" i="10" s="1"/>
  <c r="ET27" i="2"/>
  <c r="U26" i="10" s="1"/>
  <c r="ET28" i="2"/>
  <c r="U27" i="10" s="1"/>
  <c r="ET29" i="2"/>
  <c r="U28" i="10" s="1"/>
  <c r="ET30" i="2"/>
  <c r="U29" i="10" s="1"/>
  <c r="ET31" i="2"/>
  <c r="U30" i="10" s="1"/>
  <c r="ET32" i="2"/>
  <c r="U31" i="10" s="1"/>
  <c r="ET33" i="2"/>
  <c r="U32" i="10" s="1"/>
  <c r="ET34" i="2"/>
  <c r="U33" i="10" s="1"/>
  <c r="ET35" i="2"/>
  <c r="U34" i="10" s="1"/>
  <c r="ET36" i="2"/>
  <c r="U35" i="10" s="1"/>
  <c r="ET37" i="2"/>
  <c r="U36" i="10" s="1"/>
  <c r="ET38" i="2"/>
  <c r="U37" i="10" s="1"/>
  <c r="ET39" i="2"/>
  <c r="U38" i="10" s="1"/>
  <c r="ET40" i="2"/>
  <c r="U39" i="10" s="1"/>
  <c r="ET41" i="2"/>
  <c r="U40" i="10" s="1"/>
  <c r="ET42" i="2"/>
  <c r="U41" i="10" s="1"/>
  <c r="ET43" i="2"/>
  <c r="U42" i="10" s="1"/>
  <c r="ET44" i="2"/>
  <c r="U43" i="10" s="1"/>
  <c r="ET45" i="2"/>
  <c r="U44" i="10" s="1"/>
  <c r="ET46" i="2"/>
  <c r="U45" i="10" s="1"/>
  <c r="ET47" i="2"/>
  <c r="U46" i="10" s="1"/>
  <c r="ET48" i="2"/>
  <c r="U47" i="10" s="1"/>
  <c r="ET49" i="2"/>
  <c r="U48" i="10" s="1"/>
  <c r="ET50" i="2"/>
  <c r="U49" i="10" s="1"/>
  <c r="ET51" i="2"/>
  <c r="U50" i="10" s="1"/>
  <c r="ET52" i="2"/>
  <c r="U51" i="10" s="1"/>
  <c r="ET53" i="2"/>
  <c r="U52" i="10" s="1"/>
  <c r="ET54" i="2"/>
  <c r="U53" i="10" s="1"/>
  <c r="ET55" i="2"/>
  <c r="U54" i="10" s="1"/>
  <c r="ET56" i="2"/>
  <c r="U55" i="10" s="1"/>
  <c r="ET57" i="2"/>
  <c r="U56" i="10" s="1"/>
  <c r="ET58" i="2"/>
  <c r="U57" i="10" s="1"/>
  <c r="ET59" i="2"/>
  <c r="U58" i="10" s="1"/>
  <c r="ET60" i="2"/>
  <c r="U59" i="10" s="1"/>
  <c r="ET61" i="2"/>
  <c r="U60" i="10" s="1"/>
  <c r="ET62" i="2"/>
  <c r="U61" i="10" s="1"/>
  <c r="ET63" i="2"/>
  <c r="U62" i="10" s="1"/>
  <c r="ET64" i="2"/>
  <c r="U63" i="10" s="1"/>
  <c r="ET65" i="2"/>
  <c r="U64" i="10" s="1"/>
  <c r="ET66" i="2"/>
  <c r="U65" i="10" s="1"/>
  <c r="ET67" i="2"/>
  <c r="U66" i="10" s="1"/>
  <c r="ET68" i="2"/>
  <c r="U67" i="10" s="1"/>
  <c r="ET69" i="2"/>
  <c r="U68" i="10" s="1"/>
  <c r="ET70" i="2"/>
  <c r="U69" i="10" s="1"/>
  <c r="ET71" i="2"/>
  <c r="U70" i="10" s="1"/>
  <c r="ET72" i="2"/>
  <c r="U71" i="10" s="1"/>
  <c r="ET73" i="2"/>
  <c r="U72" i="10" s="1"/>
  <c r="ET74" i="2"/>
  <c r="U73" i="10" s="1"/>
  <c r="ET75" i="2"/>
  <c r="U74" i="10" s="1"/>
  <c r="ET76" i="2"/>
  <c r="U75" i="10" s="1"/>
  <c r="ET77" i="2"/>
  <c r="U76" i="10" s="1"/>
  <c r="ET78" i="2"/>
  <c r="U77" i="10" s="1"/>
  <c r="ET79" i="2"/>
  <c r="U78" i="10" s="1"/>
  <c r="ET80" i="2"/>
  <c r="U79" i="10" s="1"/>
  <c r="ET81" i="2"/>
  <c r="U80" i="10" s="1"/>
  <c r="ET82" i="2"/>
  <c r="U81" i="10" s="1"/>
  <c r="ET83" i="2"/>
  <c r="U82" i="10" s="1"/>
  <c r="ET84" i="2"/>
  <c r="U83" i="10" s="1"/>
  <c r="ET85" i="2"/>
  <c r="U84" i="10" s="1"/>
  <c r="ET86" i="2"/>
  <c r="U85" i="10" s="1"/>
  <c r="ET87" i="2"/>
  <c r="U86" i="10" s="1"/>
  <c r="ET88" i="2"/>
  <c r="U87" i="10" s="1"/>
  <c r="ET89" i="2"/>
  <c r="U88" i="10" s="1"/>
  <c r="ET90" i="2"/>
  <c r="U89" i="10" s="1"/>
  <c r="ET91" i="2"/>
  <c r="U90" i="10" s="1"/>
  <c r="ET92" i="2"/>
  <c r="U91" i="10" s="1"/>
  <c r="ET93" i="2"/>
  <c r="U92" i="10" s="1"/>
  <c r="ET94" i="2"/>
  <c r="U93" i="10" s="1"/>
  <c r="ET95" i="2"/>
  <c r="U94" i="10" s="1"/>
  <c r="ET96" i="2"/>
  <c r="U95" i="10" s="1"/>
  <c r="ET97" i="2"/>
  <c r="U96" i="10" s="1"/>
  <c r="ET98" i="2"/>
  <c r="U97" i="10" s="1"/>
  <c r="ET99" i="2"/>
  <c r="U98" i="10" s="1"/>
  <c r="ET100" i="2"/>
  <c r="U99" i="10" s="1"/>
  <c r="ET101" i="2"/>
  <c r="U100" i="10" s="1"/>
  <c r="ET102" i="2"/>
  <c r="U101" i="10" s="1"/>
  <c r="ET103" i="2"/>
  <c r="U102" i="10" s="1"/>
  <c r="ET104" i="2"/>
  <c r="U103" i="10" s="1"/>
  <c r="ET105" i="2"/>
  <c r="U104" i="10" s="1"/>
  <c r="ET106" i="2"/>
  <c r="U105" i="10" s="1"/>
  <c r="ET107" i="2"/>
  <c r="U106" i="10" s="1"/>
  <c r="ET108" i="2"/>
  <c r="U107" i="10" s="1"/>
  <c r="ET109" i="2"/>
  <c r="U108" i="10" s="1"/>
  <c r="ET110" i="2"/>
  <c r="U109" i="10" s="1"/>
  <c r="ET111" i="2"/>
  <c r="U110" i="10" s="1"/>
  <c r="ET112" i="2"/>
  <c r="U111" i="10" s="1"/>
  <c r="ET113" i="2"/>
  <c r="U112" i="10" s="1"/>
  <c r="ET114" i="2"/>
  <c r="U113" i="10" s="1"/>
  <c r="ET115" i="2"/>
  <c r="U114" i="10" s="1"/>
  <c r="ET116" i="2"/>
  <c r="U115" i="10" s="1"/>
  <c r="ET117" i="2"/>
  <c r="U116" i="10" s="1"/>
  <c r="ET118" i="2"/>
  <c r="U117" i="10" s="1"/>
  <c r="ET119" i="2"/>
  <c r="U118" i="10" s="1"/>
  <c r="ET120" i="2"/>
  <c r="U119" i="10" s="1"/>
  <c r="ET121" i="2"/>
  <c r="U120" i="10" s="1"/>
  <c r="ET122" i="2"/>
  <c r="U121" i="10" s="1"/>
  <c r="ET123" i="2"/>
  <c r="U122" i="10" s="1"/>
  <c r="ET124" i="2"/>
  <c r="U123" i="10" s="1"/>
  <c r="ET125" i="2"/>
  <c r="U124" i="10" s="1"/>
  <c r="ET126" i="2"/>
  <c r="U125" i="10" s="1"/>
  <c r="ET127" i="2"/>
  <c r="U126" i="10" s="1"/>
  <c r="ET128" i="2"/>
  <c r="U127" i="10" s="1"/>
  <c r="ET129" i="2"/>
  <c r="U128" i="10" s="1"/>
  <c r="ET130" i="2"/>
  <c r="U129" i="10" s="1"/>
  <c r="ET131" i="2"/>
  <c r="U130" i="10" s="1"/>
  <c r="ET132" i="2"/>
  <c r="U131" i="10" s="1"/>
  <c r="ET133" i="2"/>
  <c r="U132" i="10" s="1"/>
  <c r="ET134" i="2"/>
  <c r="U133" i="10" s="1"/>
  <c r="ET135" i="2"/>
  <c r="U134" i="10" s="1"/>
  <c r="ET136" i="2"/>
  <c r="U135" i="10" s="1"/>
  <c r="ET137" i="2"/>
  <c r="U136" i="10" s="1"/>
  <c r="ET138" i="2"/>
  <c r="U137" i="10" s="1"/>
  <c r="ET139" i="2"/>
  <c r="U138" i="10" s="1"/>
  <c r="ET140" i="2"/>
  <c r="U139" i="10" s="1"/>
  <c r="ET141" i="2"/>
  <c r="U140" i="10" s="1"/>
  <c r="ET142" i="2"/>
  <c r="U141" i="10" s="1"/>
  <c r="ET143" i="2"/>
  <c r="U142" i="10" s="1"/>
  <c r="ET144" i="2"/>
  <c r="U143" i="10" s="1"/>
  <c r="ET145" i="2"/>
  <c r="U144" i="10" s="1"/>
  <c r="ET146" i="2"/>
  <c r="U145" i="10" s="1"/>
  <c r="ET147" i="2"/>
  <c r="U146" i="10" s="1"/>
  <c r="ET148" i="2"/>
  <c r="U147" i="10" s="1"/>
  <c r="ET149" i="2"/>
  <c r="U148" i="10" s="1"/>
  <c r="ET150" i="2"/>
  <c r="U149" i="10" s="1"/>
  <c r="ET151" i="2"/>
  <c r="U150" i="10" s="1"/>
  <c r="ET152" i="2"/>
  <c r="U151" i="10" s="1"/>
  <c r="ET153" i="2"/>
  <c r="U152" i="10" s="1"/>
  <c r="ET154" i="2"/>
  <c r="U153" i="10" s="1"/>
  <c r="ET155" i="2"/>
  <c r="U154" i="10" s="1"/>
  <c r="ET156" i="2"/>
  <c r="U155" i="10" s="1"/>
  <c r="ET157" i="2"/>
  <c r="U156" i="10" s="1"/>
  <c r="ET158" i="2"/>
  <c r="U157" i="10" s="1"/>
  <c r="ET159" i="2"/>
  <c r="U158" i="10" s="1"/>
  <c r="ET160" i="2"/>
  <c r="U159" i="10" s="1"/>
  <c r="ET161" i="2"/>
  <c r="U160" i="10" s="1"/>
  <c r="ET162" i="2"/>
  <c r="U161" i="10" s="1"/>
  <c r="ET163" i="2"/>
  <c r="U162" i="10" s="1"/>
  <c r="ET164" i="2"/>
  <c r="U163" i="10" s="1"/>
  <c r="ET165" i="2"/>
  <c r="U164" i="10" s="1"/>
  <c r="ET166" i="2"/>
  <c r="U165" i="10" s="1"/>
  <c r="ET167" i="2"/>
  <c r="U166" i="10" s="1"/>
  <c r="ET168" i="2"/>
  <c r="U167" i="10" s="1"/>
  <c r="ET169" i="2"/>
  <c r="U168" i="10" s="1"/>
  <c r="ET170" i="2"/>
  <c r="U169" i="10" s="1"/>
  <c r="ET171" i="2"/>
  <c r="U170" i="10" s="1"/>
  <c r="ET172" i="2"/>
  <c r="U171" i="10" s="1"/>
  <c r="ET173" i="2"/>
  <c r="U172" i="10" s="1"/>
  <c r="ET174" i="2"/>
  <c r="U173" i="10" s="1"/>
  <c r="ET175" i="2"/>
  <c r="U174" i="10" s="1"/>
  <c r="ET176" i="2"/>
  <c r="U175" i="10" s="1"/>
  <c r="ET177" i="2"/>
  <c r="U176" i="10" s="1"/>
  <c r="ET178" i="2"/>
  <c r="U177" i="10" s="1"/>
  <c r="ET179" i="2"/>
  <c r="U178" i="10" s="1"/>
  <c r="ET180" i="2"/>
  <c r="U179" i="10" s="1"/>
  <c r="ET181" i="2"/>
  <c r="U180" i="10" s="1"/>
  <c r="ET182" i="2"/>
  <c r="U181" i="10" s="1"/>
  <c r="ET183" i="2"/>
  <c r="U182" i="10" s="1"/>
  <c r="ET184" i="2"/>
  <c r="U183" i="10" s="1"/>
  <c r="ET185" i="2"/>
  <c r="U184" i="10" s="1"/>
  <c r="ET186" i="2"/>
  <c r="U185" i="10" s="1"/>
  <c r="ET187" i="2"/>
  <c r="U186" i="10" s="1"/>
  <c r="ET188" i="2"/>
  <c r="U187" i="10" s="1"/>
  <c r="ET189" i="2"/>
  <c r="U188" i="10" s="1"/>
  <c r="ET190" i="2"/>
  <c r="U189" i="10" s="1"/>
  <c r="ET191" i="2"/>
  <c r="U190" i="10" s="1"/>
  <c r="ET192" i="2"/>
  <c r="U191" i="10" s="1"/>
  <c r="ET193" i="2"/>
  <c r="U192" i="10" s="1"/>
  <c r="ET194" i="2"/>
  <c r="U193" i="10" s="1"/>
  <c r="ET195" i="2"/>
  <c r="U194" i="10" s="1"/>
  <c r="ET196" i="2"/>
  <c r="U195" i="10" s="1"/>
  <c r="ET197" i="2"/>
  <c r="U196" i="10" s="1"/>
  <c r="ET198" i="2"/>
  <c r="U197" i="10" s="1"/>
  <c r="ET199" i="2"/>
  <c r="U198" i="10" s="1"/>
  <c r="ET200" i="2"/>
  <c r="U199" i="10" s="1"/>
  <c r="ET201" i="2"/>
  <c r="U200" i="10" s="1"/>
  <c r="ET202" i="2"/>
  <c r="U201" i="10" s="1"/>
  <c r="ET203" i="2"/>
  <c r="U202" i="10" s="1"/>
  <c r="ET204" i="2"/>
  <c r="U203" i="10" s="1"/>
  <c r="ET205" i="2"/>
  <c r="U204" i="10" s="1"/>
  <c r="ET206" i="2"/>
  <c r="U205" i="10" s="1"/>
  <c r="ET207" i="2"/>
  <c r="U206" i="10" s="1"/>
  <c r="ET208" i="2"/>
  <c r="U207" i="10" s="1"/>
  <c r="ET209" i="2"/>
  <c r="U208" i="10" s="1"/>
  <c r="ET210" i="2"/>
  <c r="U209" i="10" s="1"/>
  <c r="ET211" i="2"/>
  <c r="U210" i="10" s="1"/>
  <c r="ET212" i="2"/>
  <c r="U211" i="10" s="1"/>
  <c r="ET213" i="2"/>
  <c r="U212" i="10" s="1"/>
  <c r="ET214" i="2"/>
  <c r="U213" i="10" s="1"/>
  <c r="ET215" i="2"/>
  <c r="U214" i="10" s="1"/>
  <c r="ET216" i="2"/>
  <c r="U215" i="10" s="1"/>
  <c r="ET217" i="2"/>
  <c r="U216" i="10" s="1"/>
  <c r="ET218" i="2"/>
  <c r="U217" i="10" s="1"/>
  <c r="ET219" i="2"/>
  <c r="U218" i="10" s="1"/>
  <c r="ET220" i="2"/>
  <c r="U219" i="10" s="1"/>
  <c r="ET221" i="2"/>
  <c r="U220" i="10" s="1"/>
  <c r="ET222" i="2"/>
  <c r="U221" i="10" s="1"/>
  <c r="ET223" i="2"/>
  <c r="U222" i="10" s="1"/>
  <c r="ET224" i="2"/>
  <c r="U223" i="10" s="1"/>
  <c r="ET225" i="2"/>
  <c r="U224" i="10" s="1"/>
  <c r="ET226" i="2"/>
  <c r="U225" i="10" s="1"/>
  <c r="ET227" i="2"/>
  <c r="U226" i="10" s="1"/>
  <c r="ET228" i="2"/>
  <c r="U227" i="10" s="1"/>
  <c r="ET229" i="2"/>
  <c r="U228" i="10" s="1"/>
  <c r="ET230" i="2"/>
  <c r="U229" i="10" s="1"/>
  <c r="ET231" i="2"/>
  <c r="U230" i="10" s="1"/>
  <c r="ET232" i="2"/>
  <c r="U231" i="10" s="1"/>
  <c r="ET233" i="2"/>
  <c r="U232" i="10" s="1"/>
  <c r="ET234" i="2"/>
  <c r="U233" i="10" s="1"/>
  <c r="ET235" i="2"/>
  <c r="U234" i="10" s="1"/>
  <c r="ET236" i="2"/>
  <c r="U235" i="10" s="1"/>
  <c r="ET237" i="2"/>
  <c r="U236" i="10" s="1"/>
  <c r="ET238" i="2"/>
  <c r="U237" i="10" s="1"/>
  <c r="ET239" i="2"/>
  <c r="U238" i="10" s="1"/>
  <c r="ET240" i="2"/>
  <c r="U239" i="10" s="1"/>
  <c r="ET241" i="2"/>
  <c r="U240" i="10" s="1"/>
  <c r="ET242" i="2"/>
  <c r="U241" i="10" s="1"/>
  <c r="ET243" i="2"/>
  <c r="U242" i="10" s="1"/>
  <c r="ET244" i="2"/>
  <c r="U243" i="10" s="1"/>
  <c r="ET245" i="2"/>
  <c r="U244" i="10" s="1"/>
  <c r="ET246" i="2"/>
  <c r="U245" i="10" s="1"/>
  <c r="ET247" i="2"/>
  <c r="U246" i="10" s="1"/>
  <c r="ET248" i="2"/>
  <c r="U247" i="10" s="1"/>
  <c r="ET249" i="2"/>
  <c r="U248" i="10" s="1"/>
  <c r="ET250" i="2"/>
  <c r="U249" i="10" s="1"/>
  <c r="ET251" i="2"/>
  <c r="U250" i="10" s="1"/>
  <c r="ET252" i="2"/>
  <c r="U251" i="10" s="1"/>
  <c r="ET253" i="2"/>
  <c r="U252" i="10" s="1"/>
  <c r="ET254" i="2"/>
  <c r="U253" i="10" s="1"/>
  <c r="ET255" i="2"/>
  <c r="U254" i="10" s="1"/>
  <c r="ET256" i="2"/>
  <c r="U255" i="10" s="1"/>
  <c r="ET257" i="2"/>
  <c r="U256" i="10" s="1"/>
  <c r="ET258" i="2"/>
  <c r="U257" i="10" s="1"/>
  <c r="ET259" i="2"/>
  <c r="U258" i="10" s="1"/>
  <c r="ET260" i="2"/>
  <c r="U259" i="10" s="1"/>
  <c r="ET261" i="2"/>
  <c r="U260" i="10" s="1"/>
  <c r="ET262" i="2"/>
  <c r="U261" i="10" s="1"/>
  <c r="ET263" i="2"/>
  <c r="U262" i="10" s="1"/>
  <c r="ET264" i="2"/>
  <c r="U263" i="10" s="1"/>
  <c r="ET265" i="2"/>
  <c r="U264" i="10" s="1"/>
  <c r="ET266" i="2"/>
  <c r="U265" i="10" s="1"/>
  <c r="ET267" i="2"/>
  <c r="U266" i="10" s="1"/>
  <c r="ET268" i="2"/>
  <c r="U267" i="10" s="1"/>
  <c r="ET269" i="2"/>
  <c r="U268" i="10" s="1"/>
  <c r="ET270" i="2"/>
  <c r="U269" i="10" s="1"/>
  <c r="DE468" i="2"/>
  <c r="DE467" i="2"/>
  <c r="DE466" i="2"/>
  <c r="DE465" i="2"/>
  <c r="DE464" i="2"/>
  <c r="DE463" i="2"/>
  <c r="DE462" i="2"/>
  <c r="DE461" i="2"/>
  <c r="DE460" i="2"/>
  <c r="DE459" i="2"/>
  <c r="DE458" i="2"/>
  <c r="DE457" i="2"/>
  <c r="DE456" i="2"/>
  <c r="DE455" i="2"/>
  <c r="DE454" i="2"/>
  <c r="DE453" i="2"/>
  <c r="O452" i="10" s="1"/>
  <c r="DE452" i="2"/>
  <c r="O451" i="10" s="1"/>
  <c r="DE451" i="2"/>
  <c r="DE450" i="2"/>
  <c r="DE449" i="2"/>
  <c r="DE448" i="2"/>
  <c r="DE447" i="2"/>
  <c r="DE446" i="2"/>
  <c r="DE445" i="2"/>
  <c r="DE444" i="2"/>
  <c r="DE443" i="2"/>
  <c r="DE442" i="2"/>
  <c r="DE441" i="2"/>
  <c r="DE440" i="2"/>
  <c r="DE439" i="2"/>
  <c r="DE438" i="2"/>
  <c r="DE437" i="2"/>
  <c r="DE436" i="2"/>
  <c r="DE435" i="2"/>
  <c r="DE434" i="2"/>
  <c r="O433" i="10" s="1"/>
  <c r="DE433" i="2"/>
  <c r="O432" i="10" s="1"/>
  <c r="DE432" i="2"/>
  <c r="O431" i="10" s="1"/>
  <c r="DE431" i="2"/>
  <c r="DE430" i="2"/>
  <c r="DE429" i="2"/>
  <c r="DE428" i="2"/>
  <c r="DE427" i="2"/>
  <c r="DE426" i="2"/>
  <c r="DE425" i="2"/>
  <c r="DE424" i="2"/>
  <c r="DE423" i="2"/>
  <c r="DE422" i="2"/>
  <c r="DE421" i="2"/>
  <c r="DE420" i="2"/>
  <c r="DE419" i="2"/>
  <c r="DE418" i="2"/>
  <c r="DE417" i="2"/>
  <c r="DE416" i="2"/>
  <c r="DE415" i="2"/>
  <c r="DE414" i="2"/>
  <c r="DE413" i="2"/>
  <c r="DE412" i="2"/>
  <c r="DE411" i="2"/>
  <c r="DE410" i="2"/>
  <c r="DE409" i="2"/>
  <c r="DE408" i="2"/>
  <c r="DE407" i="2"/>
  <c r="DE406" i="2"/>
  <c r="DE405" i="2"/>
  <c r="DE404" i="2"/>
  <c r="DE403" i="2"/>
  <c r="DE402" i="2"/>
  <c r="DE401" i="2"/>
  <c r="DE400" i="2"/>
  <c r="DE399" i="2"/>
  <c r="DE398" i="2"/>
  <c r="DE397" i="2"/>
  <c r="DE396" i="2"/>
  <c r="DE395" i="2"/>
  <c r="DE394" i="2"/>
  <c r="DE393" i="2"/>
  <c r="DE392" i="2"/>
  <c r="DE391" i="2"/>
  <c r="DE390" i="2"/>
  <c r="DE389" i="2"/>
  <c r="DE388" i="2"/>
  <c r="DE387" i="2"/>
  <c r="DE386" i="2"/>
  <c r="DE385" i="2"/>
  <c r="DE384" i="2"/>
  <c r="DE383" i="2"/>
  <c r="DE382" i="2"/>
  <c r="DE381" i="2"/>
  <c r="DE380" i="2"/>
  <c r="DE379" i="2"/>
  <c r="DE378" i="2"/>
  <c r="DE377" i="2"/>
  <c r="DE376" i="2"/>
  <c r="DE375" i="2"/>
  <c r="DE374" i="2"/>
  <c r="DE373" i="2"/>
  <c r="DE372" i="2"/>
  <c r="DE371" i="2"/>
  <c r="DE370" i="2"/>
  <c r="DE369" i="2"/>
  <c r="DE368" i="2"/>
  <c r="DE367" i="2"/>
  <c r="DE366" i="2"/>
  <c r="DE365" i="2"/>
  <c r="DE364" i="2"/>
  <c r="DE363" i="2"/>
  <c r="DE362" i="2"/>
  <c r="DE361" i="2"/>
  <c r="DE360" i="2"/>
  <c r="DE359" i="2"/>
  <c r="DE358" i="2"/>
  <c r="DE357" i="2"/>
  <c r="DE356" i="2"/>
  <c r="DE355" i="2"/>
  <c r="DE354" i="2"/>
  <c r="DE353" i="2"/>
  <c r="DE352" i="2"/>
  <c r="DE351" i="2"/>
  <c r="DE350" i="2"/>
  <c r="DE349" i="2"/>
  <c r="DE348" i="2"/>
  <c r="DE347" i="2"/>
  <c r="DE346" i="2"/>
  <c r="DE345" i="2"/>
  <c r="DE344" i="2"/>
  <c r="DE343" i="2"/>
  <c r="DE342" i="2"/>
  <c r="DE341" i="2"/>
  <c r="DE340" i="2"/>
  <c r="DE339" i="2"/>
  <c r="DE338" i="2"/>
  <c r="DE337" i="2"/>
  <c r="DE336" i="2"/>
  <c r="DE335" i="2"/>
  <c r="DE334" i="2"/>
  <c r="DE333" i="2"/>
  <c r="DE332" i="2"/>
  <c r="O331" i="10" s="1"/>
  <c r="DE331" i="2"/>
  <c r="DE330" i="2"/>
  <c r="DE329" i="2"/>
  <c r="DE328" i="2"/>
  <c r="DE327" i="2"/>
  <c r="O326" i="10" s="1"/>
  <c r="DE326" i="2"/>
  <c r="DE325" i="2"/>
  <c r="DE324" i="2"/>
  <c r="DE323" i="2"/>
  <c r="DE322" i="2"/>
  <c r="O321" i="10" s="1"/>
  <c r="DE321" i="2"/>
  <c r="DE320" i="2"/>
  <c r="DE319" i="2"/>
  <c r="O318" i="10" s="1"/>
  <c r="DE318" i="2"/>
  <c r="DE317" i="2"/>
  <c r="DE316" i="2"/>
  <c r="O315" i="10" s="1"/>
  <c r="DE315" i="2"/>
  <c r="O314" i="10" s="1"/>
  <c r="DE314" i="2"/>
  <c r="O313" i="10" s="1"/>
  <c r="DE313" i="2"/>
  <c r="DE312" i="2"/>
  <c r="DE311" i="2"/>
  <c r="DE310" i="2"/>
  <c r="DE309" i="2"/>
  <c r="DE308" i="2"/>
  <c r="DE307" i="2"/>
  <c r="O306" i="10" s="1"/>
  <c r="DE306" i="2"/>
  <c r="DE305" i="2"/>
  <c r="DE304" i="2"/>
  <c r="O303" i="10" s="1"/>
  <c r="DE303" i="2"/>
  <c r="DE302" i="2"/>
  <c r="DE301" i="2"/>
  <c r="O300" i="10" s="1"/>
  <c r="DE300" i="2"/>
  <c r="O299" i="10" s="1"/>
  <c r="DE299" i="2"/>
  <c r="DE298" i="2"/>
  <c r="DE297" i="2"/>
  <c r="DE296" i="2"/>
  <c r="O295" i="10" s="1"/>
  <c r="DE295" i="2"/>
  <c r="DE294" i="2"/>
  <c r="O293" i="10" s="1"/>
  <c r="DE293" i="2"/>
  <c r="DE292" i="2"/>
  <c r="DE291" i="2"/>
  <c r="O290" i="10" s="1"/>
  <c r="DE290" i="2"/>
  <c r="DE289" i="2"/>
  <c r="DE288" i="2"/>
  <c r="DE287" i="2"/>
  <c r="DE286" i="2"/>
  <c r="DE285" i="2"/>
  <c r="DE284" i="2"/>
  <c r="DE283" i="2"/>
  <c r="DE282" i="2"/>
  <c r="O281" i="10" s="1"/>
  <c r="DE281" i="2"/>
  <c r="DE280" i="2"/>
  <c r="DE279" i="2"/>
  <c r="DE278" i="2"/>
  <c r="O277" i="10" s="1"/>
  <c r="DE277" i="2"/>
  <c r="DE276" i="2"/>
  <c r="DE275" i="2"/>
  <c r="DE274" i="2"/>
  <c r="O273" i="10" s="1"/>
  <c r="DE273" i="2"/>
  <c r="DE272" i="2"/>
  <c r="DE271" i="2"/>
  <c r="O270" i="10" s="1"/>
  <c r="DE270" i="2"/>
  <c r="DE269" i="2"/>
  <c r="DE268" i="2"/>
  <c r="DE267" i="2"/>
  <c r="DE266" i="2"/>
  <c r="DE265" i="2"/>
  <c r="DE264" i="2"/>
  <c r="DE263" i="2"/>
  <c r="DE262" i="2"/>
  <c r="DE261" i="2"/>
  <c r="DE260" i="2"/>
  <c r="DE259" i="2"/>
  <c r="DE258" i="2"/>
  <c r="DE257" i="2"/>
  <c r="DE256" i="2"/>
  <c r="DE255" i="2"/>
  <c r="DE254" i="2"/>
  <c r="DE253" i="2"/>
  <c r="DE252" i="2"/>
  <c r="DE251" i="2"/>
  <c r="DE250" i="2"/>
  <c r="DE249" i="2"/>
  <c r="DE248" i="2"/>
  <c r="DE247" i="2"/>
  <c r="DE246" i="2"/>
  <c r="DE245" i="2"/>
  <c r="DE244" i="2"/>
  <c r="DE243" i="2"/>
  <c r="DE242" i="2"/>
  <c r="DE241" i="2"/>
  <c r="DE240" i="2"/>
  <c r="DE239" i="2"/>
  <c r="DE238" i="2"/>
  <c r="DE237" i="2"/>
  <c r="DE236" i="2"/>
  <c r="DE235" i="2"/>
  <c r="DE234" i="2"/>
  <c r="DE233" i="2"/>
  <c r="DE232" i="2"/>
  <c r="DE231" i="2"/>
  <c r="DE230" i="2"/>
  <c r="DE229" i="2"/>
  <c r="DE228" i="2"/>
  <c r="DE227" i="2"/>
  <c r="DE226" i="2"/>
  <c r="DE225" i="2"/>
  <c r="DE224" i="2"/>
  <c r="DE223" i="2"/>
  <c r="DE222" i="2"/>
  <c r="DE221" i="2"/>
  <c r="DE220" i="2"/>
  <c r="DE219" i="2"/>
  <c r="DE218" i="2"/>
  <c r="DE217" i="2"/>
  <c r="DE215" i="2"/>
  <c r="DE214" i="2"/>
  <c r="DE213" i="2"/>
  <c r="DE212" i="2"/>
  <c r="DE211" i="2"/>
  <c r="DE210" i="2"/>
  <c r="DE209" i="2"/>
  <c r="DE208" i="2"/>
  <c r="DE207" i="2"/>
  <c r="DE206" i="2"/>
  <c r="DE205" i="2"/>
  <c r="DE204" i="2"/>
  <c r="DE203" i="2"/>
  <c r="DE202" i="2"/>
  <c r="DE201" i="2"/>
  <c r="DE200" i="2"/>
  <c r="DE199" i="2"/>
  <c r="DE198" i="2"/>
  <c r="DE197" i="2"/>
  <c r="DE196" i="2"/>
  <c r="DE195" i="2"/>
  <c r="DE194" i="2"/>
  <c r="DE193" i="2"/>
  <c r="DE192" i="2"/>
  <c r="DE191" i="2"/>
  <c r="DE190" i="2"/>
  <c r="DE189" i="2"/>
  <c r="DE188" i="2"/>
  <c r="DE187" i="2"/>
  <c r="DE186" i="2"/>
  <c r="DE185" i="2"/>
  <c r="DE184" i="2"/>
  <c r="DE183" i="2"/>
  <c r="DE182" i="2"/>
  <c r="DE181" i="2"/>
  <c r="DE180" i="2"/>
  <c r="DE179" i="2"/>
  <c r="DE178" i="2"/>
  <c r="DE177" i="2"/>
  <c r="DE176" i="2"/>
  <c r="DE175" i="2"/>
  <c r="DE174" i="2"/>
  <c r="DE173" i="2"/>
  <c r="DE172" i="2"/>
  <c r="DE171" i="2"/>
  <c r="DE170" i="2"/>
  <c r="DE169" i="2"/>
  <c r="DE168" i="2"/>
  <c r="DE167" i="2"/>
  <c r="DE166" i="2"/>
  <c r="DE165" i="2"/>
  <c r="DE164" i="2"/>
  <c r="DE163" i="2"/>
  <c r="DE162" i="2"/>
  <c r="DE161" i="2"/>
  <c r="DE160" i="2"/>
  <c r="DE159" i="2"/>
  <c r="DE158" i="2"/>
  <c r="DE157" i="2"/>
  <c r="DE156" i="2"/>
  <c r="DE155" i="2"/>
  <c r="DE154" i="2"/>
  <c r="DE153" i="2"/>
  <c r="DE152" i="2"/>
  <c r="DE151" i="2"/>
  <c r="DE150" i="2"/>
  <c r="DE149" i="2"/>
  <c r="DE148" i="2"/>
  <c r="DE147" i="2"/>
  <c r="DE146" i="2"/>
  <c r="DE145" i="2"/>
  <c r="DE144" i="2"/>
  <c r="DE143" i="2"/>
  <c r="DE142" i="2"/>
  <c r="DE141" i="2"/>
  <c r="DE140" i="2"/>
  <c r="DE139" i="2"/>
  <c r="DE138" i="2"/>
  <c r="DE137" i="2"/>
  <c r="DE136" i="2"/>
  <c r="DE135" i="2"/>
  <c r="DE134" i="2"/>
  <c r="DE133" i="2"/>
  <c r="DE132" i="2"/>
  <c r="DE131" i="2"/>
  <c r="DE130" i="2"/>
  <c r="DE129" i="2"/>
  <c r="DE128" i="2"/>
  <c r="DE127" i="2"/>
  <c r="DE126" i="2"/>
  <c r="DE125" i="2"/>
  <c r="DE124" i="2"/>
  <c r="DE123" i="2"/>
  <c r="DE122" i="2"/>
  <c r="DE121" i="2"/>
  <c r="DE120" i="2"/>
  <c r="DE119" i="2"/>
  <c r="DE118" i="2"/>
  <c r="DE117" i="2"/>
  <c r="DE116" i="2"/>
  <c r="DE115" i="2"/>
  <c r="DE114" i="2"/>
  <c r="DE113" i="2"/>
  <c r="DE112" i="2"/>
  <c r="DE111" i="2"/>
  <c r="DE110" i="2"/>
  <c r="DE109" i="2"/>
  <c r="DE108" i="2"/>
  <c r="DE107" i="2"/>
  <c r="DE106" i="2"/>
  <c r="DE105" i="2"/>
  <c r="DE104" i="2"/>
  <c r="DE103" i="2"/>
  <c r="DE102" i="2"/>
  <c r="DE101" i="2"/>
  <c r="DE100" i="2"/>
  <c r="DE99" i="2"/>
  <c r="DE98" i="2"/>
  <c r="DE97" i="2"/>
  <c r="DE96" i="2"/>
  <c r="DE95" i="2"/>
  <c r="DE94" i="2"/>
  <c r="DE93" i="2"/>
  <c r="DE92" i="2"/>
  <c r="DE91" i="2"/>
  <c r="DE90" i="2"/>
  <c r="DE89" i="2"/>
  <c r="DE88" i="2"/>
  <c r="DE87" i="2"/>
  <c r="DE86" i="2"/>
  <c r="DE85" i="2"/>
  <c r="DE84" i="2"/>
  <c r="DE83" i="2"/>
  <c r="DE82" i="2"/>
  <c r="DE81" i="2"/>
  <c r="DE80" i="2"/>
  <c r="DE79" i="2"/>
  <c r="DE78" i="2"/>
  <c r="DE77" i="2"/>
  <c r="DE76" i="2"/>
  <c r="DE75" i="2"/>
  <c r="DE74" i="2"/>
  <c r="DE73" i="2"/>
  <c r="DE72" i="2"/>
  <c r="DE71" i="2"/>
  <c r="DE70" i="2"/>
  <c r="DE69" i="2"/>
  <c r="DE68" i="2"/>
  <c r="DE67" i="2"/>
  <c r="DE66" i="2"/>
  <c r="DE65" i="2"/>
  <c r="DE64" i="2"/>
  <c r="DE63" i="2"/>
  <c r="DE62" i="2"/>
  <c r="DE61" i="2"/>
  <c r="DE60" i="2"/>
  <c r="DE59" i="2"/>
  <c r="DE58" i="2"/>
  <c r="DE57" i="2"/>
  <c r="DE56" i="2"/>
  <c r="DE55" i="2"/>
  <c r="DE54" i="2"/>
  <c r="DE53" i="2"/>
  <c r="DE52" i="2"/>
  <c r="DE51" i="2"/>
  <c r="DE50" i="2"/>
  <c r="DE49" i="2"/>
  <c r="DE48" i="2"/>
  <c r="DE47" i="2"/>
  <c r="DE46" i="2"/>
  <c r="DE45" i="2"/>
  <c r="DE44" i="2"/>
  <c r="DE43" i="2"/>
  <c r="DE42" i="2"/>
  <c r="DE41" i="2"/>
  <c r="DE40" i="2"/>
  <c r="DE39" i="2"/>
  <c r="DE38" i="2"/>
  <c r="DE37" i="2"/>
  <c r="DE36" i="2"/>
  <c r="DE35" i="2"/>
  <c r="DE34" i="2"/>
  <c r="DE33" i="2"/>
  <c r="DE32" i="2"/>
  <c r="DE31" i="2"/>
  <c r="DE30" i="2"/>
  <c r="DE29" i="2"/>
  <c r="DE28" i="2"/>
  <c r="DE27" i="2"/>
  <c r="DE26" i="2"/>
  <c r="DE25" i="2"/>
  <c r="DE24" i="2"/>
  <c r="DE23" i="2"/>
  <c r="DE22" i="2"/>
  <c r="DE21" i="2"/>
  <c r="DE20" i="2"/>
  <c r="DE19" i="2"/>
  <c r="DE18" i="2"/>
  <c r="DE17" i="2"/>
  <c r="DE16" i="2"/>
  <c r="DE15" i="2"/>
  <c r="DE14" i="2"/>
  <c r="DE13" i="2"/>
  <c r="DE12" i="2"/>
  <c r="DE11" i="2"/>
  <c r="DE10" i="2"/>
  <c r="DE9" i="2"/>
  <c r="DE8" i="2"/>
  <c r="DE7" i="2"/>
  <c r="DE6" i="2"/>
  <c r="DE5" i="2"/>
  <c r="DE216" i="2"/>
  <c r="O215" i="10" s="1"/>
  <c r="H29" i="10"/>
  <c r="H33" i="10"/>
  <c r="H56" i="10"/>
  <c r="H73" i="10"/>
  <c r="H74" i="10"/>
  <c r="H75" i="10"/>
  <c r="H76" i="10"/>
  <c r="H77" i="10"/>
  <c r="H126" i="10"/>
  <c r="H167" i="10"/>
  <c r="H174" i="10"/>
  <c r="H175" i="10"/>
  <c r="H176" i="10"/>
  <c r="H177" i="10"/>
  <c r="H182" i="10"/>
  <c r="H187" i="10"/>
  <c r="H189" i="10"/>
  <c r="H191" i="10"/>
  <c r="H197" i="10"/>
  <c r="H210" i="10"/>
  <c r="H212" i="10"/>
  <c r="H220" i="10"/>
  <c r="H270" i="10"/>
  <c r="H273" i="10"/>
  <c r="H277" i="10"/>
  <c r="H281" i="10"/>
  <c r="H290" i="10"/>
  <c r="H293" i="10"/>
  <c r="H295" i="10"/>
  <c r="H299" i="10"/>
  <c r="H300" i="10"/>
  <c r="H303" i="10"/>
  <c r="H306" i="10"/>
  <c r="H313" i="10"/>
  <c r="H314" i="10"/>
  <c r="H315" i="10"/>
  <c r="H318" i="10"/>
  <c r="H319" i="10"/>
  <c r="H321" i="10"/>
  <c r="H326" i="10"/>
  <c r="H331" i="10"/>
  <c r="H332" i="10"/>
  <c r="GA344" i="2"/>
  <c r="V343" i="10" s="1"/>
  <c r="GA343" i="2"/>
  <c r="V342" i="10" s="1"/>
  <c r="GA342" i="2"/>
  <c r="V341" i="10" s="1"/>
  <c r="GA341" i="2"/>
  <c r="V340" i="10" s="1"/>
  <c r="GA340" i="2"/>
  <c r="V339" i="10" s="1"/>
  <c r="GA339" i="2"/>
  <c r="V338" i="10" s="1"/>
  <c r="GA338" i="2"/>
  <c r="V337" i="10" s="1"/>
  <c r="GA337" i="2"/>
  <c r="V336" i="10" s="1"/>
  <c r="GA336" i="2"/>
  <c r="V335" i="10" s="1"/>
  <c r="GA335" i="2"/>
  <c r="V334" i="10" s="1"/>
  <c r="GA334" i="2"/>
  <c r="V333" i="10" s="1"/>
  <c r="GA333" i="2"/>
  <c r="V332" i="10" s="1"/>
  <c r="GA332" i="2"/>
  <c r="V331" i="10" s="1"/>
  <c r="GA331" i="2"/>
  <c r="V330" i="10" s="1"/>
  <c r="GA330" i="2"/>
  <c r="V329" i="10" s="1"/>
  <c r="GA329" i="2"/>
  <c r="V328" i="10" s="1"/>
  <c r="GA328" i="2"/>
  <c r="V327" i="10" s="1"/>
  <c r="GA327" i="2"/>
  <c r="V326" i="10" s="1"/>
  <c r="GA326" i="2"/>
  <c r="V325" i="10" s="1"/>
  <c r="GA325" i="2"/>
  <c r="V324" i="10" s="1"/>
  <c r="GA324" i="2"/>
  <c r="V323" i="10" s="1"/>
  <c r="GA323" i="2"/>
  <c r="V322" i="10" s="1"/>
  <c r="GA322" i="2"/>
  <c r="V321" i="10" s="1"/>
  <c r="GA321" i="2"/>
  <c r="V320" i="10" s="1"/>
  <c r="GA320" i="2"/>
  <c r="V319" i="10" s="1"/>
  <c r="GA319" i="2"/>
  <c r="V318" i="10" s="1"/>
  <c r="GA318" i="2"/>
  <c r="V317" i="10" s="1"/>
  <c r="GA317" i="2"/>
  <c r="V316" i="10" s="1"/>
  <c r="GA316" i="2"/>
  <c r="V315" i="10" s="1"/>
  <c r="GA315" i="2"/>
  <c r="V314" i="10" s="1"/>
  <c r="GA314" i="2"/>
  <c r="V313" i="10" s="1"/>
  <c r="GA313" i="2"/>
  <c r="V312" i="10" s="1"/>
  <c r="GA312" i="2"/>
  <c r="V311" i="10" s="1"/>
  <c r="GA311" i="2"/>
  <c r="V310" i="10" s="1"/>
  <c r="GA310" i="2"/>
  <c r="V309" i="10" s="1"/>
  <c r="GA309" i="2"/>
  <c r="V308" i="10" s="1"/>
  <c r="GA308" i="2"/>
  <c r="V307" i="10" s="1"/>
  <c r="GA307" i="2"/>
  <c r="V306" i="10" s="1"/>
  <c r="GA306" i="2"/>
  <c r="V305" i="10" s="1"/>
  <c r="GA305" i="2"/>
  <c r="V304" i="10" s="1"/>
  <c r="GA304" i="2"/>
  <c r="V303" i="10" s="1"/>
  <c r="GA303" i="2"/>
  <c r="V302" i="10" s="1"/>
  <c r="GA302" i="2"/>
  <c r="V301" i="10" s="1"/>
  <c r="GA301" i="2"/>
  <c r="V300" i="10" s="1"/>
  <c r="GA300" i="2"/>
  <c r="V299" i="10" s="1"/>
  <c r="GA299" i="2"/>
  <c r="V298" i="10" s="1"/>
  <c r="GA298" i="2"/>
  <c r="V297" i="10" s="1"/>
  <c r="GA297" i="2"/>
  <c r="V296" i="10" s="1"/>
  <c r="GA296" i="2"/>
  <c r="V295" i="10" s="1"/>
  <c r="GA295" i="2"/>
  <c r="V294" i="10" s="1"/>
  <c r="GA294" i="2"/>
  <c r="V293" i="10" s="1"/>
  <c r="GA293" i="2"/>
  <c r="V292" i="10" s="1"/>
  <c r="GA292" i="2"/>
  <c r="V291" i="10" s="1"/>
  <c r="GA291" i="2"/>
  <c r="V290" i="10" s="1"/>
  <c r="GA290" i="2"/>
  <c r="V289" i="10" s="1"/>
  <c r="GA289" i="2"/>
  <c r="V288" i="10" s="1"/>
  <c r="GA288" i="2"/>
  <c r="V287" i="10" s="1"/>
  <c r="GA287" i="2"/>
  <c r="V286" i="10" s="1"/>
  <c r="GA286" i="2"/>
  <c r="V285" i="10" s="1"/>
  <c r="GA285" i="2"/>
  <c r="V284" i="10" s="1"/>
  <c r="GA284" i="2"/>
  <c r="V283" i="10" s="1"/>
  <c r="GA283" i="2"/>
  <c r="V282" i="10" s="1"/>
  <c r="GA282" i="2"/>
  <c r="V281" i="10" s="1"/>
  <c r="GA281" i="2"/>
  <c r="V280" i="10" s="1"/>
  <c r="GA280" i="2"/>
  <c r="V279" i="10" s="1"/>
  <c r="GA279" i="2"/>
  <c r="V278" i="10" s="1"/>
  <c r="GA278" i="2"/>
  <c r="V277" i="10" s="1"/>
  <c r="GA277" i="2"/>
  <c r="V276" i="10" s="1"/>
  <c r="GA276" i="2"/>
  <c r="V275" i="10" s="1"/>
  <c r="GA275" i="2"/>
  <c r="V274" i="10" s="1"/>
  <c r="GA274" i="2"/>
  <c r="V273" i="10" s="1"/>
  <c r="GA273" i="2"/>
  <c r="V272" i="10" s="1"/>
  <c r="GA272" i="2"/>
  <c r="V271" i="10" s="1"/>
  <c r="GA271" i="2"/>
  <c r="V270" i="10" s="1"/>
  <c r="GA270" i="2"/>
  <c r="V269" i="10" s="1"/>
  <c r="GA269" i="2"/>
  <c r="V268" i="10" s="1"/>
  <c r="GA268" i="2"/>
  <c r="V267" i="10" s="1"/>
  <c r="GA267" i="2"/>
  <c r="V266" i="10" s="1"/>
  <c r="GA266" i="2"/>
  <c r="V265" i="10" s="1"/>
  <c r="GA265" i="2"/>
  <c r="V264" i="10" s="1"/>
  <c r="GA264" i="2"/>
  <c r="V263" i="10" s="1"/>
  <c r="GA263" i="2"/>
  <c r="V262" i="10" s="1"/>
  <c r="GA262" i="2"/>
  <c r="V261" i="10" s="1"/>
  <c r="GA261" i="2"/>
  <c r="V260" i="10" s="1"/>
  <c r="GA260" i="2"/>
  <c r="V259" i="10" s="1"/>
  <c r="GA259" i="2"/>
  <c r="V258" i="10" s="1"/>
  <c r="GA258" i="2"/>
  <c r="V257" i="10" s="1"/>
  <c r="GA257" i="2"/>
  <c r="V256" i="10" s="1"/>
  <c r="GA256" i="2"/>
  <c r="V255" i="10" s="1"/>
  <c r="GA255" i="2"/>
  <c r="V254" i="10" s="1"/>
  <c r="GA254" i="2"/>
  <c r="V253" i="10" s="1"/>
  <c r="GA253" i="2"/>
  <c r="V252" i="10" s="1"/>
  <c r="GA252" i="2"/>
  <c r="V251" i="10" s="1"/>
  <c r="GA251" i="2"/>
  <c r="V250" i="10" s="1"/>
  <c r="GA250" i="2"/>
  <c r="V249" i="10" s="1"/>
  <c r="GA249" i="2"/>
  <c r="V248" i="10" s="1"/>
  <c r="GA248" i="2"/>
  <c r="V247" i="10" s="1"/>
  <c r="GA247" i="2"/>
  <c r="V246" i="10" s="1"/>
  <c r="GA246" i="2"/>
  <c r="V245" i="10" s="1"/>
  <c r="GA245" i="2"/>
  <c r="V244" i="10" s="1"/>
  <c r="GA244" i="2"/>
  <c r="V243" i="10" s="1"/>
  <c r="GA243" i="2"/>
  <c r="V242" i="10" s="1"/>
  <c r="GA242" i="2"/>
  <c r="V241" i="10" s="1"/>
  <c r="GA241" i="2"/>
  <c r="V240" i="10" s="1"/>
  <c r="GA240" i="2"/>
  <c r="V239" i="10" s="1"/>
  <c r="GA239" i="2"/>
  <c r="V238" i="10" s="1"/>
  <c r="GA238" i="2"/>
  <c r="V237" i="10" s="1"/>
  <c r="GA237" i="2"/>
  <c r="V236" i="10" s="1"/>
  <c r="GA236" i="2"/>
  <c r="V235" i="10" s="1"/>
  <c r="GA235" i="2"/>
  <c r="V234" i="10" s="1"/>
  <c r="GA234" i="2"/>
  <c r="V233" i="10" s="1"/>
  <c r="GA233" i="2"/>
  <c r="V232" i="10" s="1"/>
  <c r="GA232" i="2"/>
  <c r="V231" i="10" s="1"/>
  <c r="GA231" i="2"/>
  <c r="V230" i="10" s="1"/>
  <c r="GA230" i="2"/>
  <c r="V229" i="10" s="1"/>
  <c r="GA229" i="2"/>
  <c r="V228" i="10" s="1"/>
  <c r="GA228" i="2"/>
  <c r="V227" i="10" s="1"/>
  <c r="GA227" i="2"/>
  <c r="V226" i="10" s="1"/>
  <c r="GA226" i="2"/>
  <c r="V225" i="10" s="1"/>
  <c r="GA225" i="2"/>
  <c r="V224" i="10" s="1"/>
  <c r="GA224" i="2"/>
  <c r="V223" i="10" s="1"/>
  <c r="GA223" i="2"/>
  <c r="V222" i="10" s="1"/>
  <c r="GA222" i="2"/>
  <c r="V221" i="10" s="1"/>
  <c r="GA221" i="2"/>
  <c r="V220" i="10" s="1"/>
  <c r="GA220" i="2"/>
  <c r="V219" i="10" s="1"/>
  <c r="GA219" i="2"/>
  <c r="V218" i="10" s="1"/>
  <c r="GA218" i="2"/>
  <c r="V217" i="10" s="1"/>
  <c r="GA217" i="2"/>
  <c r="V216" i="10" s="1"/>
  <c r="GA216" i="2"/>
  <c r="V215" i="10" s="1"/>
  <c r="GA215" i="2"/>
  <c r="V214" i="10" s="1"/>
  <c r="GA214" i="2"/>
  <c r="V213" i="10" s="1"/>
  <c r="GA213" i="2"/>
  <c r="V212" i="10" s="1"/>
  <c r="GA212" i="2"/>
  <c r="V211" i="10" s="1"/>
  <c r="GA211" i="2"/>
  <c r="V210" i="10" s="1"/>
  <c r="GA210" i="2"/>
  <c r="V209" i="10" s="1"/>
  <c r="GA209" i="2"/>
  <c r="V208" i="10" s="1"/>
  <c r="GA208" i="2"/>
  <c r="V207" i="10" s="1"/>
  <c r="GA207" i="2"/>
  <c r="V206" i="10" s="1"/>
  <c r="GA206" i="2"/>
  <c r="V205" i="10" s="1"/>
  <c r="GA205" i="2"/>
  <c r="V204" i="10" s="1"/>
  <c r="GA204" i="2"/>
  <c r="V203" i="10" s="1"/>
  <c r="GA203" i="2"/>
  <c r="V202" i="10" s="1"/>
  <c r="GA202" i="2"/>
  <c r="V201" i="10" s="1"/>
  <c r="GA201" i="2"/>
  <c r="V200" i="10" s="1"/>
  <c r="GA200" i="2"/>
  <c r="V199" i="10" s="1"/>
  <c r="GA199" i="2"/>
  <c r="V198" i="10" s="1"/>
  <c r="GA198" i="2"/>
  <c r="V197" i="10" s="1"/>
  <c r="GA197" i="2"/>
  <c r="V196" i="10" s="1"/>
  <c r="GA196" i="2"/>
  <c r="V195" i="10" s="1"/>
  <c r="GA195" i="2"/>
  <c r="V194" i="10" s="1"/>
  <c r="GA194" i="2"/>
  <c r="V193" i="10" s="1"/>
  <c r="GA193" i="2"/>
  <c r="V192" i="10" s="1"/>
  <c r="GA192" i="2"/>
  <c r="V191" i="10" s="1"/>
  <c r="GA191" i="2"/>
  <c r="V190" i="10" s="1"/>
  <c r="GA190" i="2"/>
  <c r="V189" i="10" s="1"/>
  <c r="GA189" i="2"/>
  <c r="V188" i="10" s="1"/>
  <c r="GA188" i="2"/>
  <c r="V187" i="10" s="1"/>
  <c r="GA187" i="2"/>
  <c r="V186" i="10" s="1"/>
  <c r="GA186" i="2"/>
  <c r="V185" i="10" s="1"/>
  <c r="GA185" i="2"/>
  <c r="V184" i="10" s="1"/>
  <c r="GA184" i="2"/>
  <c r="V183" i="10" s="1"/>
  <c r="GA183" i="2"/>
  <c r="V182" i="10" s="1"/>
  <c r="GA182" i="2"/>
  <c r="V181" i="10" s="1"/>
  <c r="GA181" i="2"/>
  <c r="V180" i="10" s="1"/>
  <c r="GA180" i="2"/>
  <c r="V179" i="10" s="1"/>
  <c r="GA179" i="2"/>
  <c r="V178" i="10" s="1"/>
  <c r="GA178" i="2"/>
  <c r="V177" i="10" s="1"/>
  <c r="GA177" i="2"/>
  <c r="V176" i="10" s="1"/>
  <c r="GA176" i="2"/>
  <c r="V175" i="10" s="1"/>
  <c r="GA175" i="2"/>
  <c r="V174" i="10" s="1"/>
  <c r="GA174" i="2"/>
  <c r="V173" i="10" s="1"/>
  <c r="GA173" i="2"/>
  <c r="V172" i="10" s="1"/>
  <c r="GA172" i="2"/>
  <c r="V171" i="10" s="1"/>
  <c r="GA171" i="2"/>
  <c r="V170" i="10" s="1"/>
  <c r="GA170" i="2"/>
  <c r="V169" i="10" s="1"/>
  <c r="GA169" i="2"/>
  <c r="V168" i="10" s="1"/>
  <c r="GA168" i="2"/>
  <c r="V167" i="10" s="1"/>
  <c r="GA167" i="2"/>
  <c r="V166" i="10" s="1"/>
  <c r="GA166" i="2"/>
  <c r="V165" i="10" s="1"/>
  <c r="GA165" i="2"/>
  <c r="V164" i="10" s="1"/>
  <c r="GA164" i="2"/>
  <c r="V163" i="10" s="1"/>
  <c r="GA163" i="2"/>
  <c r="V162" i="10" s="1"/>
  <c r="GA162" i="2"/>
  <c r="V161" i="10" s="1"/>
  <c r="GA161" i="2"/>
  <c r="V160" i="10" s="1"/>
  <c r="GA160" i="2"/>
  <c r="V159" i="10" s="1"/>
  <c r="GA159" i="2"/>
  <c r="V158" i="10" s="1"/>
  <c r="GA158" i="2"/>
  <c r="V157" i="10" s="1"/>
  <c r="GA157" i="2"/>
  <c r="V156" i="10" s="1"/>
  <c r="GA156" i="2"/>
  <c r="V155" i="10" s="1"/>
  <c r="GA155" i="2"/>
  <c r="V154" i="10" s="1"/>
  <c r="GA154" i="2"/>
  <c r="V153" i="10" s="1"/>
  <c r="GA153" i="2"/>
  <c r="V152" i="10" s="1"/>
  <c r="GA152" i="2"/>
  <c r="V151" i="10" s="1"/>
  <c r="GA151" i="2"/>
  <c r="V150" i="10" s="1"/>
  <c r="GA150" i="2"/>
  <c r="V149" i="10" s="1"/>
  <c r="GA149" i="2"/>
  <c r="V148" i="10" s="1"/>
  <c r="GA148" i="2"/>
  <c r="V147" i="10" s="1"/>
  <c r="GA147" i="2"/>
  <c r="V146" i="10" s="1"/>
  <c r="GA146" i="2"/>
  <c r="V145" i="10" s="1"/>
  <c r="GA145" i="2"/>
  <c r="V144" i="10" s="1"/>
  <c r="GA144" i="2"/>
  <c r="V143" i="10" s="1"/>
  <c r="GA143" i="2"/>
  <c r="V142" i="10" s="1"/>
  <c r="GA142" i="2"/>
  <c r="V141" i="10" s="1"/>
  <c r="GA141" i="2"/>
  <c r="V140" i="10" s="1"/>
  <c r="GA140" i="2"/>
  <c r="V139" i="10" s="1"/>
  <c r="GA139" i="2"/>
  <c r="V138" i="10" s="1"/>
  <c r="GA138" i="2"/>
  <c r="V137" i="10" s="1"/>
  <c r="GA137" i="2"/>
  <c r="V136" i="10" s="1"/>
  <c r="GA136" i="2"/>
  <c r="V135" i="10" s="1"/>
  <c r="GA135" i="2"/>
  <c r="V134" i="10" s="1"/>
  <c r="GA134" i="2"/>
  <c r="V133" i="10" s="1"/>
  <c r="GA133" i="2"/>
  <c r="V132" i="10" s="1"/>
  <c r="GA132" i="2"/>
  <c r="V131" i="10" s="1"/>
  <c r="GA131" i="2"/>
  <c r="V130" i="10" s="1"/>
  <c r="GA130" i="2"/>
  <c r="V129" i="10" s="1"/>
  <c r="GA129" i="2"/>
  <c r="V128" i="10" s="1"/>
  <c r="GA128" i="2"/>
  <c r="V127" i="10" s="1"/>
  <c r="GA127" i="2"/>
  <c r="V126" i="10" s="1"/>
  <c r="GA126" i="2"/>
  <c r="V125" i="10" s="1"/>
  <c r="GA125" i="2"/>
  <c r="V124" i="10" s="1"/>
  <c r="GA124" i="2"/>
  <c r="V123" i="10" s="1"/>
  <c r="GA123" i="2"/>
  <c r="V122" i="10" s="1"/>
  <c r="GA122" i="2"/>
  <c r="V121" i="10" s="1"/>
  <c r="GA121" i="2"/>
  <c r="V120" i="10" s="1"/>
  <c r="GA120" i="2"/>
  <c r="V119" i="10" s="1"/>
  <c r="GA119" i="2"/>
  <c r="V118" i="10" s="1"/>
  <c r="GA118" i="2"/>
  <c r="V117" i="10" s="1"/>
  <c r="GA117" i="2"/>
  <c r="V116" i="10" s="1"/>
  <c r="GA116" i="2"/>
  <c r="V115" i="10" s="1"/>
  <c r="GA115" i="2"/>
  <c r="V114" i="10" s="1"/>
  <c r="GA114" i="2"/>
  <c r="V113" i="10" s="1"/>
  <c r="GA113" i="2"/>
  <c r="V112" i="10" s="1"/>
  <c r="GA112" i="2"/>
  <c r="V111" i="10" s="1"/>
  <c r="GA111" i="2"/>
  <c r="V110" i="10" s="1"/>
  <c r="GA110" i="2"/>
  <c r="V109" i="10" s="1"/>
  <c r="GA109" i="2"/>
  <c r="V108" i="10" s="1"/>
  <c r="GA108" i="2"/>
  <c r="V107" i="10" s="1"/>
  <c r="GA107" i="2"/>
  <c r="V106" i="10" s="1"/>
  <c r="GA106" i="2"/>
  <c r="V105" i="10" s="1"/>
  <c r="GA105" i="2"/>
  <c r="V104" i="10" s="1"/>
  <c r="GA104" i="2"/>
  <c r="V103" i="10" s="1"/>
  <c r="GA103" i="2"/>
  <c r="V102" i="10" s="1"/>
  <c r="GA102" i="2"/>
  <c r="V101" i="10" s="1"/>
  <c r="GA101" i="2"/>
  <c r="V100" i="10" s="1"/>
  <c r="GA100" i="2"/>
  <c r="V99" i="10" s="1"/>
  <c r="GA99" i="2"/>
  <c r="V98" i="10" s="1"/>
  <c r="GA98" i="2"/>
  <c r="V97" i="10" s="1"/>
  <c r="GA97" i="2"/>
  <c r="V96" i="10" s="1"/>
  <c r="GA96" i="2"/>
  <c r="V95" i="10" s="1"/>
  <c r="GA95" i="2"/>
  <c r="V94" i="10" s="1"/>
  <c r="GA94" i="2"/>
  <c r="V93" i="10" s="1"/>
  <c r="GA93" i="2"/>
  <c r="V92" i="10" s="1"/>
  <c r="GA92" i="2"/>
  <c r="V91" i="10" s="1"/>
  <c r="GA91" i="2"/>
  <c r="V90" i="10" s="1"/>
  <c r="GA90" i="2"/>
  <c r="V89" i="10" s="1"/>
  <c r="GA89" i="2"/>
  <c r="V88" i="10" s="1"/>
  <c r="GA88" i="2"/>
  <c r="V87" i="10" s="1"/>
  <c r="GA87" i="2"/>
  <c r="V86" i="10" s="1"/>
  <c r="GA86" i="2"/>
  <c r="V85" i="10" s="1"/>
  <c r="GA85" i="2"/>
  <c r="V84" i="10" s="1"/>
  <c r="GA84" i="2"/>
  <c r="V83" i="10" s="1"/>
  <c r="GA83" i="2"/>
  <c r="V82" i="10" s="1"/>
  <c r="GA82" i="2"/>
  <c r="V81" i="10" s="1"/>
  <c r="GA81" i="2"/>
  <c r="V80" i="10" s="1"/>
  <c r="GA80" i="2"/>
  <c r="V79" i="10" s="1"/>
  <c r="GA79" i="2"/>
  <c r="V78" i="10" s="1"/>
  <c r="GA78" i="2"/>
  <c r="V77" i="10" s="1"/>
  <c r="GA77" i="2"/>
  <c r="V76" i="10" s="1"/>
  <c r="GA76" i="2"/>
  <c r="V75" i="10" s="1"/>
  <c r="GA75" i="2"/>
  <c r="V74" i="10" s="1"/>
  <c r="GA74" i="2"/>
  <c r="V73" i="10" s="1"/>
  <c r="GA73" i="2"/>
  <c r="V72" i="10" s="1"/>
  <c r="GA72" i="2"/>
  <c r="V71" i="10" s="1"/>
  <c r="GA71" i="2"/>
  <c r="V70" i="10" s="1"/>
  <c r="GA70" i="2"/>
  <c r="V69" i="10" s="1"/>
  <c r="GA69" i="2"/>
  <c r="V68" i="10" s="1"/>
  <c r="GA68" i="2"/>
  <c r="V67" i="10" s="1"/>
  <c r="GA67" i="2"/>
  <c r="V66" i="10" s="1"/>
  <c r="GA66" i="2"/>
  <c r="V65" i="10" s="1"/>
  <c r="GA65" i="2"/>
  <c r="V64" i="10" s="1"/>
  <c r="GA64" i="2"/>
  <c r="V63" i="10" s="1"/>
  <c r="GA63" i="2"/>
  <c r="V62" i="10" s="1"/>
  <c r="GA62" i="2"/>
  <c r="V61" i="10" s="1"/>
  <c r="GA61" i="2"/>
  <c r="V60" i="10" s="1"/>
  <c r="GA60" i="2"/>
  <c r="V59" i="10" s="1"/>
  <c r="GA59" i="2"/>
  <c r="V58" i="10" s="1"/>
  <c r="GA58" i="2"/>
  <c r="V57" i="10" s="1"/>
  <c r="GA57" i="2"/>
  <c r="V56" i="10" s="1"/>
  <c r="GA56" i="2"/>
  <c r="V55" i="10" s="1"/>
  <c r="GA55" i="2"/>
  <c r="V54" i="10" s="1"/>
  <c r="GA54" i="2"/>
  <c r="V53" i="10" s="1"/>
  <c r="GA53" i="2"/>
  <c r="V52" i="10" s="1"/>
  <c r="GA52" i="2"/>
  <c r="V51" i="10" s="1"/>
  <c r="GA51" i="2"/>
  <c r="V50" i="10" s="1"/>
  <c r="GA50" i="2"/>
  <c r="V49" i="10" s="1"/>
  <c r="GA49" i="2"/>
  <c r="V48" i="10" s="1"/>
  <c r="GA48" i="2"/>
  <c r="V47" i="10" s="1"/>
  <c r="GA47" i="2"/>
  <c r="V46" i="10" s="1"/>
  <c r="GA46" i="2"/>
  <c r="V45" i="10" s="1"/>
  <c r="GA45" i="2"/>
  <c r="V44" i="10" s="1"/>
  <c r="GA44" i="2"/>
  <c r="V43" i="10" s="1"/>
  <c r="GA43" i="2"/>
  <c r="V42" i="10" s="1"/>
  <c r="GA42" i="2"/>
  <c r="V41" i="10" s="1"/>
  <c r="GA41" i="2"/>
  <c r="V40" i="10" s="1"/>
  <c r="GA40" i="2"/>
  <c r="V39" i="10" s="1"/>
  <c r="GA39" i="2"/>
  <c r="V38" i="10" s="1"/>
  <c r="GA38" i="2"/>
  <c r="V37" i="10" s="1"/>
  <c r="GA37" i="2"/>
  <c r="V36" i="10" s="1"/>
  <c r="GA36" i="2"/>
  <c r="V35" i="10" s="1"/>
  <c r="GA35" i="2"/>
  <c r="V34" i="10" s="1"/>
  <c r="GA34" i="2"/>
  <c r="V33" i="10" s="1"/>
  <c r="GA33" i="2"/>
  <c r="V32" i="10" s="1"/>
  <c r="GA32" i="2"/>
  <c r="V31" i="10" s="1"/>
  <c r="GA31" i="2"/>
  <c r="V30" i="10" s="1"/>
  <c r="GA30" i="2"/>
  <c r="V29" i="10" s="1"/>
  <c r="GA29" i="2"/>
  <c r="V28" i="10" s="1"/>
  <c r="GA28" i="2"/>
  <c r="V27" i="10" s="1"/>
  <c r="GA27" i="2"/>
  <c r="V26" i="10" s="1"/>
  <c r="GA26" i="2"/>
  <c r="V25" i="10" s="1"/>
  <c r="GA25" i="2"/>
  <c r="V24" i="10" s="1"/>
  <c r="GA24" i="2"/>
  <c r="V23" i="10" s="1"/>
  <c r="GA23" i="2"/>
  <c r="V22" i="10" s="1"/>
  <c r="GA22" i="2"/>
  <c r="V21" i="10" s="1"/>
  <c r="GA21" i="2"/>
  <c r="V20" i="10" s="1"/>
  <c r="GA20" i="2"/>
  <c r="V19" i="10" s="1"/>
  <c r="GA19" i="2"/>
  <c r="V18" i="10" s="1"/>
  <c r="GA18" i="2"/>
  <c r="V17" i="10" s="1"/>
  <c r="GA17" i="2"/>
  <c r="V16" i="10" s="1"/>
  <c r="GA16" i="2"/>
  <c r="V15" i="10" s="1"/>
  <c r="GA15" i="2"/>
  <c r="V14" i="10" s="1"/>
  <c r="GA14" i="2"/>
  <c r="V13" i="10" s="1"/>
  <c r="GA13" i="2"/>
  <c r="V12" i="10" s="1"/>
  <c r="GA12" i="2"/>
  <c r="V11" i="10" s="1"/>
  <c r="GA11" i="2"/>
  <c r="V10" i="10" s="1"/>
  <c r="GA10" i="2"/>
  <c r="V9" i="10" s="1"/>
  <c r="GA9" i="2"/>
  <c r="V8" i="10" s="1"/>
  <c r="GA8" i="2"/>
  <c r="V7" i="10" s="1"/>
  <c r="GA7" i="2"/>
  <c r="V6" i="10" s="1"/>
  <c r="GA6" i="2"/>
  <c r="V5" i="10" s="1"/>
  <c r="GA5" i="2"/>
  <c r="V4" i="10" s="1"/>
  <c r="ET5" i="2"/>
  <c r="U4" i="10" s="1"/>
  <c r="S270" i="10"/>
  <c r="S273" i="10"/>
  <c r="S277" i="10"/>
  <c r="S281" i="10"/>
  <c r="S290" i="10"/>
  <c r="S293" i="10"/>
  <c r="S295" i="10"/>
  <c r="S299" i="10"/>
  <c r="S300" i="10"/>
  <c r="S303" i="10"/>
  <c r="S306" i="10"/>
  <c r="S313" i="10"/>
  <c r="S314" i="10"/>
  <c r="S315" i="10"/>
  <c r="S318" i="10"/>
  <c r="S321" i="10"/>
  <c r="S326" i="10"/>
  <c r="S331" i="10"/>
  <c r="R270" i="10"/>
  <c r="R273" i="10"/>
  <c r="R277" i="10"/>
  <c r="R281" i="10"/>
  <c r="R290" i="10"/>
  <c r="R293" i="10"/>
  <c r="R295" i="10"/>
  <c r="R299" i="10"/>
  <c r="R300" i="10"/>
  <c r="R303" i="10"/>
  <c r="R306" i="10"/>
  <c r="R313" i="10"/>
  <c r="R314" i="10"/>
  <c r="R315" i="10"/>
  <c r="R318" i="10"/>
  <c r="R321" i="10"/>
  <c r="R326" i="10"/>
  <c r="R331" i="10"/>
  <c r="Q270" i="10"/>
  <c r="Q273" i="10"/>
  <c r="Q277" i="10"/>
  <c r="Q281" i="10"/>
  <c r="Q290" i="10"/>
  <c r="Q293" i="10"/>
  <c r="Q295" i="10"/>
  <c r="Q299" i="10"/>
  <c r="Q300" i="10"/>
  <c r="Q303" i="10"/>
  <c r="Q306" i="10"/>
  <c r="Q313" i="10"/>
  <c r="Q314" i="10"/>
  <c r="Q315" i="10"/>
  <c r="Q318" i="10"/>
  <c r="Q321" i="10"/>
  <c r="Q326" i="10"/>
  <c r="Q331" i="10"/>
  <c r="P270" i="10"/>
  <c r="P273" i="10"/>
  <c r="P277" i="10"/>
  <c r="P281" i="10"/>
  <c r="P290" i="10"/>
  <c r="P293" i="10"/>
  <c r="P295" i="10"/>
  <c r="P299" i="10"/>
  <c r="P300" i="10"/>
  <c r="P303" i="10"/>
  <c r="P306" i="10"/>
  <c r="P313" i="10"/>
  <c r="P314" i="10"/>
  <c r="P315" i="10"/>
  <c r="P318" i="10"/>
  <c r="P321" i="10"/>
  <c r="P326" i="10"/>
  <c r="P331"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 i="10"/>
  <c r="C2" i="10"/>
  <c r="EI5" i="2"/>
  <c r="T4" i="10" s="1"/>
  <c r="EI6" i="2"/>
  <c r="T5" i="10" s="1"/>
  <c r="EI7" i="2"/>
  <c r="T6" i="10" s="1"/>
  <c r="EI8" i="2"/>
  <c r="T7" i="10" s="1"/>
  <c r="EI9" i="2"/>
  <c r="T8" i="10" s="1"/>
  <c r="EI10" i="2"/>
  <c r="T9" i="10" s="1"/>
  <c r="EI11" i="2"/>
  <c r="T10" i="10" s="1"/>
  <c r="EI12" i="2"/>
  <c r="T11" i="10" s="1"/>
  <c r="EI13" i="2"/>
  <c r="T12" i="10" s="1"/>
  <c r="EI14" i="2"/>
  <c r="T13" i="10" s="1"/>
  <c r="EI15" i="2"/>
  <c r="T14" i="10" s="1"/>
  <c r="EI16" i="2"/>
  <c r="T15" i="10" s="1"/>
  <c r="EI17" i="2"/>
  <c r="T16" i="10" s="1"/>
  <c r="EI18" i="2"/>
  <c r="T17" i="10" s="1"/>
  <c r="EI19" i="2"/>
  <c r="T18" i="10" s="1"/>
  <c r="EI20" i="2"/>
  <c r="T19" i="10" s="1"/>
  <c r="EI21" i="2"/>
  <c r="T20" i="10" s="1"/>
  <c r="EI22" i="2"/>
  <c r="T21" i="10" s="1"/>
  <c r="EI23" i="2"/>
  <c r="T22" i="10" s="1"/>
  <c r="EI24" i="2"/>
  <c r="T23" i="10" s="1"/>
  <c r="EI25" i="2"/>
  <c r="T24" i="10" s="1"/>
  <c r="EI26" i="2"/>
  <c r="T25" i="10" s="1"/>
  <c r="EI27" i="2"/>
  <c r="T26" i="10" s="1"/>
  <c r="EI28" i="2"/>
  <c r="T27" i="10" s="1"/>
  <c r="EI29" i="2"/>
  <c r="T28" i="10" s="1"/>
  <c r="EI30" i="2"/>
  <c r="T29" i="10" s="1"/>
  <c r="EI31" i="2"/>
  <c r="T30" i="10" s="1"/>
  <c r="EI32" i="2"/>
  <c r="T31" i="10" s="1"/>
  <c r="EI33" i="2"/>
  <c r="T32" i="10" s="1"/>
  <c r="EI34" i="2"/>
  <c r="T33" i="10" s="1"/>
  <c r="EI35" i="2"/>
  <c r="T34" i="10" s="1"/>
  <c r="EI36" i="2"/>
  <c r="T35" i="10" s="1"/>
  <c r="EI37" i="2"/>
  <c r="T36" i="10" s="1"/>
  <c r="EI38" i="2"/>
  <c r="T37" i="10" s="1"/>
  <c r="EI39" i="2"/>
  <c r="T38" i="10" s="1"/>
  <c r="EI40" i="2"/>
  <c r="T39" i="10" s="1"/>
  <c r="EI41" i="2"/>
  <c r="T40" i="10" s="1"/>
  <c r="EI42" i="2"/>
  <c r="T41" i="10" s="1"/>
  <c r="EI43" i="2"/>
  <c r="T42" i="10" s="1"/>
  <c r="EI44" i="2"/>
  <c r="T43" i="10" s="1"/>
  <c r="EI45" i="2"/>
  <c r="T44" i="10" s="1"/>
  <c r="EI46" i="2"/>
  <c r="T45" i="10" s="1"/>
  <c r="EI47" i="2"/>
  <c r="T46" i="10" s="1"/>
  <c r="EI48" i="2"/>
  <c r="T47" i="10" s="1"/>
  <c r="EI49" i="2"/>
  <c r="T48" i="10" s="1"/>
  <c r="EI50" i="2"/>
  <c r="T49" i="10" s="1"/>
  <c r="EI51" i="2"/>
  <c r="T50" i="10" s="1"/>
  <c r="EI52" i="2"/>
  <c r="T51" i="10" s="1"/>
  <c r="EI53" i="2"/>
  <c r="T52" i="10" s="1"/>
  <c r="EI54" i="2"/>
  <c r="T53" i="10" s="1"/>
  <c r="EI55" i="2"/>
  <c r="T54" i="10" s="1"/>
  <c r="EI56" i="2"/>
  <c r="T55" i="10" s="1"/>
  <c r="EI57" i="2"/>
  <c r="T56" i="10" s="1"/>
  <c r="EI58" i="2"/>
  <c r="T57" i="10" s="1"/>
  <c r="EI59" i="2"/>
  <c r="T58" i="10" s="1"/>
  <c r="EI60" i="2"/>
  <c r="T59" i="10" s="1"/>
  <c r="EI61" i="2"/>
  <c r="T60" i="10" s="1"/>
  <c r="EI62" i="2"/>
  <c r="T61" i="10" s="1"/>
  <c r="EI63" i="2"/>
  <c r="T62" i="10" s="1"/>
  <c r="EI64" i="2"/>
  <c r="T63" i="10" s="1"/>
  <c r="EI65" i="2"/>
  <c r="T64" i="10" s="1"/>
  <c r="EI66" i="2"/>
  <c r="T65" i="10" s="1"/>
  <c r="EI67" i="2"/>
  <c r="T66" i="10" s="1"/>
  <c r="EI68" i="2"/>
  <c r="T67" i="10" s="1"/>
  <c r="EI69" i="2"/>
  <c r="T68" i="10" s="1"/>
  <c r="EI70" i="2"/>
  <c r="T69" i="10" s="1"/>
  <c r="EI71" i="2"/>
  <c r="T70" i="10" s="1"/>
  <c r="EI72" i="2"/>
  <c r="T71" i="10" s="1"/>
  <c r="EI73" i="2"/>
  <c r="T72" i="10" s="1"/>
  <c r="EI74" i="2"/>
  <c r="T73" i="10" s="1"/>
  <c r="EI75" i="2"/>
  <c r="T74" i="10" s="1"/>
  <c r="EI76" i="2"/>
  <c r="T75" i="10" s="1"/>
  <c r="EI77" i="2"/>
  <c r="T76" i="10" s="1"/>
  <c r="EI78" i="2"/>
  <c r="T77" i="10" s="1"/>
  <c r="EI79" i="2"/>
  <c r="T78" i="10" s="1"/>
  <c r="EI80" i="2"/>
  <c r="T79" i="10" s="1"/>
  <c r="EI81" i="2"/>
  <c r="T80" i="10" s="1"/>
  <c r="EI82" i="2"/>
  <c r="T81" i="10" s="1"/>
  <c r="EI83" i="2"/>
  <c r="T82" i="10" s="1"/>
  <c r="EI84" i="2"/>
  <c r="T83" i="10" s="1"/>
  <c r="EI85" i="2"/>
  <c r="T84" i="10" s="1"/>
  <c r="EI86" i="2"/>
  <c r="T85" i="10" s="1"/>
  <c r="EI87" i="2"/>
  <c r="T86" i="10" s="1"/>
  <c r="EI88" i="2"/>
  <c r="T87" i="10" s="1"/>
  <c r="EI89" i="2"/>
  <c r="T88" i="10" s="1"/>
  <c r="EI90" i="2"/>
  <c r="T89" i="10" s="1"/>
  <c r="EI91" i="2"/>
  <c r="T90" i="10" s="1"/>
  <c r="EI92" i="2"/>
  <c r="T91" i="10" s="1"/>
  <c r="EI93" i="2"/>
  <c r="T92" i="10" s="1"/>
  <c r="EI94" i="2"/>
  <c r="T93" i="10" s="1"/>
  <c r="EI95" i="2"/>
  <c r="T94" i="10" s="1"/>
  <c r="EI96" i="2"/>
  <c r="T95" i="10" s="1"/>
  <c r="EI97" i="2"/>
  <c r="T96" i="10" s="1"/>
  <c r="EI98" i="2"/>
  <c r="T97" i="10" s="1"/>
  <c r="EI99" i="2"/>
  <c r="T98" i="10" s="1"/>
  <c r="EI100" i="2"/>
  <c r="T99" i="10" s="1"/>
  <c r="EI101" i="2"/>
  <c r="T100" i="10" s="1"/>
  <c r="EI102" i="2"/>
  <c r="T101" i="10" s="1"/>
  <c r="EI103" i="2"/>
  <c r="T102" i="10" s="1"/>
  <c r="EI104" i="2"/>
  <c r="T103" i="10" s="1"/>
  <c r="EI105" i="2"/>
  <c r="T104" i="10" s="1"/>
  <c r="EI106" i="2"/>
  <c r="T105" i="10" s="1"/>
  <c r="EI107" i="2"/>
  <c r="T106" i="10" s="1"/>
  <c r="EI108" i="2"/>
  <c r="T107" i="10" s="1"/>
  <c r="EI109" i="2"/>
  <c r="T108" i="10" s="1"/>
  <c r="EI110" i="2"/>
  <c r="T109" i="10" s="1"/>
  <c r="EI111" i="2"/>
  <c r="T110" i="10" s="1"/>
  <c r="EI112" i="2"/>
  <c r="T111" i="10" s="1"/>
  <c r="EI113" i="2"/>
  <c r="T112" i="10" s="1"/>
  <c r="EI114" i="2"/>
  <c r="T113" i="10" s="1"/>
  <c r="EI115" i="2"/>
  <c r="T114" i="10" s="1"/>
  <c r="EI116" i="2"/>
  <c r="T115" i="10" s="1"/>
  <c r="EI117" i="2"/>
  <c r="T116" i="10" s="1"/>
  <c r="EI118" i="2"/>
  <c r="T117" i="10" s="1"/>
  <c r="EI119" i="2"/>
  <c r="T118" i="10" s="1"/>
  <c r="EI120" i="2"/>
  <c r="T119" i="10" s="1"/>
  <c r="EI121" i="2"/>
  <c r="T120" i="10" s="1"/>
  <c r="EI122" i="2"/>
  <c r="T121" i="10" s="1"/>
  <c r="EI123" i="2"/>
  <c r="T122" i="10" s="1"/>
  <c r="EI124" i="2"/>
  <c r="T123" i="10" s="1"/>
  <c r="EI125" i="2"/>
  <c r="T124" i="10" s="1"/>
  <c r="EI126" i="2"/>
  <c r="T125" i="10" s="1"/>
  <c r="EI127" i="2"/>
  <c r="T126" i="10" s="1"/>
  <c r="EI128" i="2"/>
  <c r="T127" i="10" s="1"/>
  <c r="EI129" i="2"/>
  <c r="T128" i="10" s="1"/>
  <c r="EI130" i="2"/>
  <c r="T129" i="10" s="1"/>
  <c r="EI131" i="2"/>
  <c r="T130" i="10" s="1"/>
  <c r="EI132" i="2"/>
  <c r="T131" i="10" s="1"/>
  <c r="EI133" i="2"/>
  <c r="T132" i="10" s="1"/>
  <c r="EI134" i="2"/>
  <c r="T133" i="10" s="1"/>
  <c r="EI135" i="2"/>
  <c r="T134" i="10" s="1"/>
  <c r="EI136" i="2"/>
  <c r="T135" i="10" s="1"/>
  <c r="EI137" i="2"/>
  <c r="T136" i="10" s="1"/>
  <c r="EI138" i="2"/>
  <c r="T137" i="10" s="1"/>
  <c r="EI139" i="2"/>
  <c r="T138" i="10" s="1"/>
  <c r="EI140" i="2"/>
  <c r="T139" i="10" s="1"/>
  <c r="EI141" i="2"/>
  <c r="T140" i="10" s="1"/>
  <c r="EI142" i="2"/>
  <c r="T141" i="10" s="1"/>
  <c r="EI143" i="2"/>
  <c r="T142" i="10" s="1"/>
  <c r="EI144" i="2"/>
  <c r="T143" i="10" s="1"/>
  <c r="EI145" i="2"/>
  <c r="T144" i="10" s="1"/>
  <c r="EI146" i="2"/>
  <c r="T145" i="10" s="1"/>
  <c r="EI147" i="2"/>
  <c r="T146" i="10" s="1"/>
  <c r="EI148" i="2"/>
  <c r="T147" i="10" s="1"/>
  <c r="EI149" i="2"/>
  <c r="T148" i="10" s="1"/>
  <c r="EI150" i="2"/>
  <c r="T149" i="10" s="1"/>
  <c r="EI151" i="2"/>
  <c r="T150" i="10" s="1"/>
  <c r="EI152" i="2"/>
  <c r="T151" i="10" s="1"/>
  <c r="EI153" i="2"/>
  <c r="T152" i="10" s="1"/>
  <c r="EI154" i="2"/>
  <c r="T153" i="10" s="1"/>
  <c r="EI155" i="2"/>
  <c r="T154" i="10" s="1"/>
  <c r="EI156" i="2"/>
  <c r="T155" i="10" s="1"/>
  <c r="EI157" i="2"/>
  <c r="T156" i="10" s="1"/>
  <c r="EI158" i="2"/>
  <c r="T157" i="10" s="1"/>
  <c r="EI159" i="2"/>
  <c r="T158" i="10" s="1"/>
  <c r="EI160" i="2"/>
  <c r="T159" i="10" s="1"/>
  <c r="EI161" i="2"/>
  <c r="T160" i="10" s="1"/>
  <c r="EI162" i="2"/>
  <c r="T161" i="10" s="1"/>
  <c r="EI163" i="2"/>
  <c r="T162" i="10" s="1"/>
  <c r="EI164" i="2"/>
  <c r="T163" i="10" s="1"/>
  <c r="EI165" i="2"/>
  <c r="T164" i="10" s="1"/>
  <c r="EI166" i="2"/>
  <c r="T165" i="10" s="1"/>
  <c r="EI167" i="2"/>
  <c r="T166" i="10" s="1"/>
  <c r="EI168" i="2"/>
  <c r="T167" i="10" s="1"/>
  <c r="EI169" i="2"/>
  <c r="T168" i="10" s="1"/>
  <c r="EI170" i="2"/>
  <c r="T169" i="10" s="1"/>
  <c r="EI171" i="2"/>
  <c r="T170" i="10" s="1"/>
  <c r="EI172" i="2"/>
  <c r="T171" i="10" s="1"/>
  <c r="EI173" i="2"/>
  <c r="T172" i="10" s="1"/>
  <c r="EI174" i="2"/>
  <c r="T173" i="10" s="1"/>
  <c r="EI175" i="2"/>
  <c r="T174" i="10" s="1"/>
  <c r="EI176" i="2"/>
  <c r="T175" i="10" s="1"/>
  <c r="EI177" i="2"/>
  <c r="T176" i="10" s="1"/>
  <c r="EI178" i="2"/>
  <c r="T177" i="10" s="1"/>
  <c r="EI179" i="2"/>
  <c r="T178" i="10" s="1"/>
  <c r="EI180" i="2"/>
  <c r="T179" i="10" s="1"/>
  <c r="EI181" i="2"/>
  <c r="T180" i="10" s="1"/>
  <c r="EI182" i="2"/>
  <c r="T181" i="10" s="1"/>
  <c r="EI183" i="2"/>
  <c r="T182" i="10" s="1"/>
  <c r="EI184" i="2"/>
  <c r="T183" i="10" s="1"/>
  <c r="EI185" i="2"/>
  <c r="T184" i="10" s="1"/>
  <c r="EI186" i="2"/>
  <c r="T185" i="10" s="1"/>
  <c r="EI187" i="2"/>
  <c r="T186" i="10" s="1"/>
  <c r="EI188" i="2"/>
  <c r="T187" i="10" s="1"/>
  <c r="EI189" i="2"/>
  <c r="T188" i="10" s="1"/>
  <c r="EI190" i="2"/>
  <c r="T189" i="10" s="1"/>
  <c r="EI191" i="2"/>
  <c r="T190" i="10" s="1"/>
  <c r="EI192" i="2"/>
  <c r="T191" i="10" s="1"/>
  <c r="EI193" i="2"/>
  <c r="T192" i="10" s="1"/>
  <c r="EI194" i="2"/>
  <c r="T193" i="10" s="1"/>
  <c r="EI195" i="2"/>
  <c r="T194" i="10" s="1"/>
  <c r="EI196" i="2"/>
  <c r="T195" i="10" s="1"/>
  <c r="EI197" i="2"/>
  <c r="T196" i="10" s="1"/>
  <c r="EI198" i="2"/>
  <c r="T197" i="10" s="1"/>
  <c r="EI199" i="2"/>
  <c r="T198" i="10" s="1"/>
  <c r="EI200" i="2"/>
  <c r="T199" i="10" s="1"/>
  <c r="EI201" i="2"/>
  <c r="T200" i="10" s="1"/>
  <c r="EI202" i="2"/>
  <c r="T201" i="10" s="1"/>
  <c r="EI203" i="2"/>
  <c r="T202" i="10" s="1"/>
  <c r="EI204" i="2"/>
  <c r="T203" i="10" s="1"/>
  <c r="EI205" i="2"/>
  <c r="T204" i="10" s="1"/>
  <c r="EI206" i="2"/>
  <c r="T205" i="10" s="1"/>
  <c r="EI207" i="2"/>
  <c r="T206" i="10" s="1"/>
  <c r="EI208" i="2"/>
  <c r="T207" i="10" s="1"/>
  <c r="EI209" i="2"/>
  <c r="T208" i="10" s="1"/>
  <c r="EI210" i="2"/>
  <c r="T209" i="10" s="1"/>
  <c r="EI211" i="2"/>
  <c r="T210" i="10" s="1"/>
  <c r="EI212" i="2"/>
  <c r="T211" i="10" s="1"/>
  <c r="EI213" i="2"/>
  <c r="T212" i="10" s="1"/>
  <c r="EI214" i="2"/>
  <c r="T213" i="10" s="1"/>
  <c r="EI215" i="2"/>
  <c r="T214" i="10" s="1"/>
  <c r="EI216" i="2"/>
  <c r="T215" i="10" s="1"/>
  <c r="EI217" i="2"/>
  <c r="T216" i="10" s="1"/>
  <c r="EI218" i="2"/>
  <c r="T217" i="10" s="1"/>
  <c r="EI219" i="2"/>
  <c r="T218" i="10" s="1"/>
  <c r="EI220" i="2"/>
  <c r="T219" i="10" s="1"/>
  <c r="EI221" i="2"/>
  <c r="T220" i="10" s="1"/>
  <c r="EI222" i="2"/>
  <c r="T221" i="10" s="1"/>
  <c r="EI223" i="2"/>
  <c r="T222" i="10" s="1"/>
  <c r="EI224" i="2"/>
  <c r="T223" i="10" s="1"/>
  <c r="EI225" i="2"/>
  <c r="T224" i="10" s="1"/>
  <c r="EI226" i="2"/>
  <c r="T225" i="10" s="1"/>
  <c r="EI227" i="2"/>
  <c r="T226" i="10" s="1"/>
  <c r="EI228" i="2"/>
  <c r="T227" i="10" s="1"/>
  <c r="EI229" i="2"/>
  <c r="T228" i="10" s="1"/>
  <c r="EI230" i="2"/>
  <c r="T229" i="10" s="1"/>
  <c r="EI231" i="2"/>
  <c r="T230" i="10" s="1"/>
  <c r="EI232" i="2"/>
  <c r="T231" i="10" s="1"/>
  <c r="EI233" i="2"/>
  <c r="T232" i="10" s="1"/>
  <c r="EI234" i="2"/>
  <c r="T233" i="10" s="1"/>
  <c r="EI235" i="2"/>
  <c r="T234" i="10" s="1"/>
  <c r="EI236" i="2"/>
  <c r="T235" i="10" s="1"/>
  <c r="EI237" i="2"/>
  <c r="T236" i="10" s="1"/>
  <c r="EI238" i="2"/>
  <c r="T237" i="10" s="1"/>
  <c r="EI239" i="2"/>
  <c r="T238" i="10" s="1"/>
  <c r="EI240" i="2"/>
  <c r="T239" i="10" s="1"/>
  <c r="EI241" i="2"/>
  <c r="T240" i="10" s="1"/>
  <c r="EI242" i="2"/>
  <c r="T241" i="10" s="1"/>
  <c r="EI243" i="2"/>
  <c r="T242" i="10" s="1"/>
  <c r="EI244" i="2"/>
  <c r="T243" i="10" s="1"/>
  <c r="EI245" i="2"/>
  <c r="T244" i="10" s="1"/>
  <c r="EI246" i="2"/>
  <c r="T245" i="10" s="1"/>
  <c r="EI247" i="2"/>
  <c r="T246" i="10" s="1"/>
  <c r="EI248" i="2"/>
  <c r="T247" i="10" s="1"/>
  <c r="EI249" i="2"/>
  <c r="T248" i="10" s="1"/>
  <c r="EI250" i="2"/>
  <c r="T249" i="10" s="1"/>
  <c r="EI251" i="2"/>
  <c r="T250" i="10" s="1"/>
  <c r="EI252" i="2"/>
  <c r="T251" i="10" s="1"/>
  <c r="EI253" i="2"/>
  <c r="T252" i="10" s="1"/>
  <c r="EI254" i="2"/>
  <c r="T253" i="10" s="1"/>
  <c r="EI255" i="2"/>
  <c r="T254" i="10" s="1"/>
  <c r="EI256" i="2"/>
  <c r="T255" i="10" s="1"/>
  <c r="EI257" i="2"/>
  <c r="T256" i="10" s="1"/>
  <c r="EI258" i="2"/>
  <c r="T257" i="10" s="1"/>
  <c r="EI259" i="2"/>
  <c r="T258" i="10" s="1"/>
  <c r="EI260" i="2"/>
  <c r="T259" i="10" s="1"/>
  <c r="EI261" i="2"/>
  <c r="T260" i="10" s="1"/>
  <c r="EI262" i="2"/>
  <c r="T261" i="10" s="1"/>
  <c r="EI263" i="2"/>
  <c r="T262" i="10" s="1"/>
  <c r="EI264" i="2"/>
  <c r="T263" i="10" s="1"/>
  <c r="EI265" i="2"/>
  <c r="T264" i="10" s="1"/>
  <c r="EI266" i="2"/>
  <c r="T265" i="10" s="1"/>
  <c r="EI267" i="2"/>
  <c r="T266" i="10" s="1"/>
  <c r="EI268" i="2"/>
  <c r="T267" i="10" s="1"/>
  <c r="EI269" i="2"/>
  <c r="T268" i="10" s="1"/>
  <c r="EI270" i="2"/>
  <c r="T269" i="10" s="1"/>
  <c r="EI271" i="2"/>
  <c r="T270" i="10" s="1"/>
  <c r="EI272" i="2"/>
  <c r="T271" i="10" s="1"/>
  <c r="EI273" i="2"/>
  <c r="T272" i="10" s="1"/>
  <c r="EI274" i="2"/>
  <c r="T273" i="10" s="1"/>
  <c r="EI275" i="2"/>
  <c r="T274" i="10" s="1"/>
  <c r="EI276" i="2"/>
  <c r="T275" i="10" s="1"/>
  <c r="EI277" i="2"/>
  <c r="T276" i="10" s="1"/>
  <c r="EI278" i="2"/>
  <c r="T277" i="10" s="1"/>
  <c r="EI279" i="2"/>
  <c r="T278" i="10" s="1"/>
  <c r="EI280" i="2"/>
  <c r="T279" i="10" s="1"/>
  <c r="EI281" i="2"/>
  <c r="T280" i="10" s="1"/>
  <c r="EI282" i="2"/>
  <c r="T281" i="10" s="1"/>
  <c r="EI283" i="2"/>
  <c r="T282" i="10" s="1"/>
  <c r="EI284" i="2"/>
  <c r="T283" i="10" s="1"/>
  <c r="EI285" i="2"/>
  <c r="T284" i="10" s="1"/>
  <c r="EI286" i="2"/>
  <c r="T285" i="10" s="1"/>
  <c r="EI287" i="2"/>
  <c r="T286" i="10" s="1"/>
  <c r="EI288" i="2"/>
  <c r="T287" i="10" s="1"/>
  <c r="EI289" i="2"/>
  <c r="T288" i="10" s="1"/>
  <c r="EI290" i="2"/>
  <c r="T289" i="10" s="1"/>
  <c r="EI291" i="2"/>
  <c r="T290" i="10" s="1"/>
  <c r="EI292" i="2"/>
  <c r="T291" i="10" s="1"/>
  <c r="EI293" i="2"/>
  <c r="T292" i="10" s="1"/>
  <c r="EI294" i="2"/>
  <c r="T293" i="10" s="1"/>
  <c r="EI295" i="2"/>
  <c r="T294" i="10" s="1"/>
  <c r="EI296" i="2"/>
  <c r="T295" i="10" s="1"/>
  <c r="EI297" i="2"/>
  <c r="T296" i="10" s="1"/>
  <c r="EI298" i="2"/>
  <c r="T297" i="10" s="1"/>
  <c r="EI299" i="2"/>
  <c r="T298" i="10" s="1"/>
  <c r="EI300" i="2"/>
  <c r="T299" i="10" s="1"/>
  <c r="EI301" i="2"/>
  <c r="T300" i="10" s="1"/>
  <c r="EI302" i="2"/>
  <c r="T301" i="10" s="1"/>
  <c r="EI303" i="2"/>
  <c r="T302" i="10" s="1"/>
  <c r="EI304" i="2"/>
  <c r="T303" i="10" s="1"/>
  <c r="EI305" i="2"/>
  <c r="T304" i="10" s="1"/>
  <c r="EI306" i="2"/>
  <c r="T305" i="10" s="1"/>
  <c r="EI307" i="2"/>
  <c r="T306" i="10" s="1"/>
  <c r="EI308" i="2"/>
  <c r="T307" i="10" s="1"/>
  <c r="EI309" i="2"/>
  <c r="T308" i="10" s="1"/>
  <c r="EI310" i="2"/>
  <c r="T309" i="10" s="1"/>
  <c r="EI311" i="2"/>
  <c r="T310" i="10" s="1"/>
  <c r="EI312" i="2"/>
  <c r="T311" i="10" s="1"/>
  <c r="EI313" i="2"/>
  <c r="T312" i="10" s="1"/>
  <c r="EI314" i="2"/>
  <c r="T313" i="10" s="1"/>
  <c r="EI315" i="2"/>
  <c r="T314" i="10" s="1"/>
  <c r="EI316" i="2"/>
  <c r="T315" i="10" s="1"/>
  <c r="EI317" i="2"/>
  <c r="T316" i="10" s="1"/>
  <c r="EI318" i="2"/>
  <c r="T317" i="10" s="1"/>
  <c r="EI319" i="2"/>
  <c r="T318" i="10" s="1"/>
  <c r="EI320" i="2"/>
  <c r="T319" i="10" s="1"/>
  <c r="EI321" i="2"/>
  <c r="T320" i="10" s="1"/>
  <c r="EI322" i="2"/>
  <c r="T321" i="10" s="1"/>
  <c r="EI323" i="2"/>
  <c r="T322" i="10" s="1"/>
  <c r="EI324" i="2"/>
  <c r="T323" i="10" s="1"/>
  <c r="EI325" i="2"/>
  <c r="T324" i="10" s="1"/>
  <c r="EI326" i="2"/>
  <c r="T325" i="10" s="1"/>
  <c r="EI327" i="2"/>
  <c r="T326" i="10" s="1"/>
  <c r="EI328" i="2"/>
  <c r="T327" i="10" s="1"/>
  <c r="EI329" i="2"/>
  <c r="T328" i="10" s="1"/>
  <c r="EI330" i="2"/>
  <c r="T329" i="10" s="1"/>
  <c r="EI331" i="2"/>
  <c r="T330" i="10" s="1"/>
  <c r="EI332" i="2"/>
  <c r="T331" i="10" s="1"/>
  <c r="EI333" i="2"/>
  <c r="T332" i="10" s="1"/>
  <c r="EI334" i="2"/>
  <c r="T333" i="10" s="1"/>
  <c r="EI335" i="2"/>
  <c r="T334" i="10" s="1"/>
  <c r="EI336" i="2"/>
  <c r="T335" i="10" s="1"/>
  <c r="EI337" i="2"/>
  <c r="T336" i="10" s="1"/>
  <c r="EI338" i="2"/>
  <c r="T337" i="10" s="1"/>
  <c r="EI339" i="2"/>
  <c r="T338" i="10" s="1"/>
  <c r="EI340" i="2"/>
  <c r="T339" i="10" s="1"/>
  <c r="EI341" i="2"/>
  <c r="T340" i="10" s="1"/>
  <c r="EI342" i="2"/>
  <c r="T341" i="10" s="1"/>
  <c r="EI343" i="2"/>
  <c r="T342" i="10" s="1"/>
  <c r="EI344" i="2"/>
  <c r="T343" i="10" s="1"/>
  <c r="EI345" i="2"/>
  <c r="T344" i="10" s="1"/>
  <c r="EI346" i="2"/>
  <c r="T345" i="10" s="1"/>
  <c r="EI347" i="2"/>
  <c r="T346" i="10" s="1"/>
  <c r="EI348" i="2"/>
  <c r="T347" i="10" s="1"/>
  <c r="EI349" i="2"/>
  <c r="T348" i="10" s="1"/>
  <c r="EI350" i="2"/>
  <c r="T349" i="10" s="1"/>
  <c r="EI351" i="2"/>
  <c r="T350" i="10" s="1"/>
  <c r="EI352" i="2"/>
  <c r="T351" i="10" s="1"/>
  <c r="EI353" i="2"/>
  <c r="T352" i="10" s="1"/>
  <c r="EI354" i="2"/>
  <c r="T353" i="10" s="1"/>
  <c r="EI355" i="2"/>
  <c r="T354" i="10" s="1"/>
  <c r="EI356" i="2"/>
  <c r="T355" i="10" s="1"/>
  <c r="EI357" i="2"/>
  <c r="T356" i="10" s="1"/>
  <c r="EI358" i="2"/>
  <c r="T357" i="10" s="1"/>
  <c r="EI359" i="2"/>
  <c r="T358" i="10" s="1"/>
  <c r="EI360" i="2"/>
  <c r="T359" i="10" s="1"/>
  <c r="EI361" i="2"/>
  <c r="T360" i="10" s="1"/>
  <c r="EI362" i="2"/>
  <c r="T361" i="10" s="1"/>
  <c r="EI363" i="2"/>
  <c r="T362" i="10" s="1"/>
  <c r="EI364" i="2"/>
  <c r="T363" i="10" s="1"/>
  <c r="EI365" i="2"/>
  <c r="T364" i="10" s="1"/>
  <c r="EI366" i="2"/>
  <c r="T365" i="10" s="1"/>
  <c r="EI367" i="2"/>
  <c r="T366" i="10" s="1"/>
  <c r="EI368" i="2"/>
  <c r="T367" i="10" s="1"/>
  <c r="EI369" i="2"/>
  <c r="T368" i="10" s="1"/>
  <c r="EI370" i="2"/>
  <c r="T369" i="10" s="1"/>
  <c r="EI371" i="2"/>
  <c r="T370" i="10" s="1"/>
  <c r="EI372" i="2"/>
  <c r="T371" i="10" s="1"/>
  <c r="EI373" i="2"/>
  <c r="T372" i="10" s="1"/>
  <c r="EI374" i="2"/>
  <c r="T373" i="10" s="1"/>
  <c r="EI375" i="2"/>
  <c r="T374" i="10" s="1"/>
  <c r="EI376" i="2"/>
  <c r="T375" i="10" s="1"/>
  <c r="EI377" i="2"/>
  <c r="T376" i="10" s="1"/>
  <c r="EI378" i="2"/>
  <c r="T377" i="10" s="1"/>
  <c r="EI379" i="2"/>
  <c r="T378" i="10" s="1"/>
  <c r="EI380" i="2"/>
  <c r="T379" i="10" s="1"/>
  <c r="EI381" i="2"/>
  <c r="T380" i="10" s="1"/>
  <c r="EI382" i="2"/>
  <c r="T381" i="10" s="1"/>
  <c r="EI383" i="2"/>
  <c r="T382" i="10" s="1"/>
  <c r="EI384" i="2"/>
  <c r="T383" i="10" s="1"/>
  <c r="EI385" i="2"/>
  <c r="T384" i="10" s="1"/>
  <c r="EI386" i="2"/>
  <c r="T385" i="10" s="1"/>
  <c r="EI387" i="2"/>
  <c r="T386" i="10" s="1"/>
  <c r="EI388" i="2"/>
  <c r="T387" i="10" s="1"/>
  <c r="EI389" i="2"/>
  <c r="T388" i="10" s="1"/>
  <c r="EI390" i="2"/>
  <c r="T389" i="10" s="1"/>
  <c r="EI391" i="2"/>
  <c r="T390" i="10" s="1"/>
  <c r="EI392" i="2"/>
  <c r="T391" i="10" s="1"/>
  <c r="EI393" i="2"/>
  <c r="T392" i="10" s="1"/>
  <c r="EI394" i="2"/>
  <c r="T393" i="10" s="1"/>
  <c r="EI395" i="2"/>
  <c r="T394" i="10" s="1"/>
  <c r="EI396" i="2"/>
  <c r="T395" i="10" s="1"/>
  <c r="EI397" i="2"/>
  <c r="T396" i="10" s="1"/>
  <c r="EI398" i="2"/>
  <c r="T397" i="10" s="1"/>
  <c r="EI399" i="2"/>
  <c r="T398" i="10" s="1"/>
  <c r="EI400" i="2"/>
  <c r="T399" i="10" s="1"/>
  <c r="EI401" i="2"/>
  <c r="T400" i="10" s="1"/>
  <c r="EI402" i="2"/>
  <c r="T401" i="10" s="1"/>
  <c r="EI403" i="2"/>
  <c r="T402" i="10" s="1"/>
  <c r="EI404" i="2"/>
  <c r="T403" i="10" s="1"/>
  <c r="EI405" i="2"/>
  <c r="T404" i="10" s="1"/>
  <c r="EI406" i="2"/>
  <c r="T405" i="10" s="1"/>
  <c r="EI407" i="2"/>
  <c r="T406" i="10" s="1"/>
  <c r="EI408" i="2"/>
  <c r="T407" i="10" s="1"/>
  <c r="EI409" i="2"/>
  <c r="T408" i="10" s="1"/>
  <c r="EI410" i="2"/>
  <c r="T409" i="10" s="1"/>
  <c r="EI411" i="2"/>
  <c r="T410" i="10" s="1"/>
  <c r="EI412" i="2"/>
  <c r="T411" i="10" s="1"/>
  <c r="EI413" i="2"/>
  <c r="T412" i="10" s="1"/>
  <c r="EI414" i="2"/>
  <c r="T413" i="10" s="1"/>
  <c r="EI415" i="2"/>
  <c r="T414" i="10" s="1"/>
  <c r="EI416" i="2"/>
  <c r="T415" i="10" s="1"/>
  <c r="EI417" i="2"/>
  <c r="T416" i="10" s="1"/>
  <c r="EI418" i="2"/>
  <c r="T417" i="10" s="1"/>
  <c r="EI419" i="2"/>
  <c r="T418" i="10" s="1"/>
  <c r="EI420" i="2"/>
  <c r="T419" i="10" s="1"/>
  <c r="EI421" i="2"/>
  <c r="T420" i="10" s="1"/>
  <c r="EI422" i="2"/>
  <c r="T421" i="10" s="1"/>
  <c r="EI423" i="2"/>
  <c r="T422" i="10" s="1"/>
  <c r="EI424" i="2"/>
  <c r="T423" i="10" s="1"/>
  <c r="EI425" i="2"/>
  <c r="T424" i="10" s="1"/>
  <c r="EI426" i="2"/>
  <c r="T425" i="10" s="1"/>
  <c r="EI427" i="2"/>
  <c r="T426" i="10" s="1"/>
  <c r="EI428" i="2"/>
  <c r="T427" i="10" s="1"/>
  <c r="EI429" i="2"/>
  <c r="T428" i="10" s="1"/>
  <c r="EI430" i="2"/>
  <c r="T429" i="10" s="1"/>
  <c r="EI431" i="2"/>
  <c r="T430" i="10" s="1"/>
  <c r="EI432" i="2"/>
  <c r="T431" i="10" s="1"/>
  <c r="EI433" i="2"/>
  <c r="T432" i="10" s="1"/>
  <c r="EI434" i="2"/>
  <c r="T433" i="10" s="1"/>
  <c r="EI435" i="2"/>
  <c r="T434" i="10" s="1"/>
  <c r="EI436" i="2"/>
  <c r="T435" i="10" s="1"/>
  <c r="EI437" i="2"/>
  <c r="T436" i="10" s="1"/>
  <c r="EI438" i="2"/>
  <c r="T437" i="10" s="1"/>
  <c r="EI439" i="2"/>
  <c r="T438" i="10" s="1"/>
  <c r="EI440" i="2"/>
  <c r="T439" i="10" s="1"/>
  <c r="EI441" i="2"/>
  <c r="T440" i="10" s="1"/>
  <c r="EI442" i="2"/>
  <c r="T441" i="10" s="1"/>
  <c r="EI443" i="2"/>
  <c r="T442" i="10" s="1"/>
  <c r="EI444" i="2"/>
  <c r="T443" i="10" s="1"/>
  <c r="EI445" i="2"/>
  <c r="T444" i="10" s="1"/>
  <c r="EI446" i="2"/>
  <c r="T445" i="10" s="1"/>
  <c r="EI447" i="2"/>
  <c r="T446" i="10" s="1"/>
  <c r="EI448" i="2"/>
  <c r="T447" i="10" s="1"/>
  <c r="EI449" i="2"/>
  <c r="T448" i="10" s="1"/>
  <c r="EI450" i="2"/>
  <c r="T449" i="10" s="1"/>
  <c r="EI451" i="2"/>
  <c r="T450" i="10" s="1"/>
  <c r="EI452" i="2"/>
  <c r="T451" i="10" s="1"/>
  <c r="EI453" i="2"/>
  <c r="T452" i="10" s="1"/>
  <c r="EI454" i="2"/>
  <c r="T453" i="10" s="1"/>
  <c r="EI455" i="2"/>
  <c r="T454" i="10" s="1"/>
  <c r="EI456" i="2"/>
  <c r="T455" i="10" s="1"/>
  <c r="EI457" i="2"/>
  <c r="T456" i="10" s="1"/>
  <c r="EI458" i="2"/>
  <c r="T457" i="10" s="1"/>
  <c r="EI459" i="2"/>
  <c r="T458" i="10" s="1"/>
  <c r="EI460" i="2"/>
  <c r="T459" i="10" s="1"/>
  <c r="EI461" i="2"/>
  <c r="T460" i="10" s="1"/>
  <c r="EI462" i="2"/>
  <c r="T461" i="10" s="1"/>
  <c r="EI463" i="2"/>
  <c r="T462" i="10" s="1"/>
  <c r="EI464" i="2"/>
  <c r="T463" i="10" s="1"/>
  <c r="EI465" i="2"/>
  <c r="T464" i="10" s="1"/>
  <c r="EI466" i="2"/>
  <c r="T465" i="10" s="1"/>
  <c r="EI467" i="2"/>
  <c r="T466" i="10" s="1"/>
  <c r="EI468" i="2"/>
  <c r="T467" i="10" s="1"/>
  <c r="BJ228" i="2"/>
  <c r="AU401" i="2"/>
  <c r="AP401" i="2"/>
  <c r="AP422" i="2"/>
  <c r="AO422" i="2" s="1"/>
  <c r="AP404" i="2"/>
  <c r="AO404" i="2" s="1"/>
  <c r="AP425" i="2"/>
  <c r="AO425" i="2" s="1"/>
  <c r="AP341" i="2"/>
  <c r="AO341" i="2" s="1"/>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5" i="2"/>
  <c r="AO256"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2" i="2"/>
  <c r="AO343" i="2"/>
  <c r="AO344" i="2"/>
  <c r="AO345" i="2"/>
  <c r="AO346" i="2"/>
  <c r="AO347" i="2"/>
  <c r="AO348" i="2"/>
  <c r="AO349" i="2"/>
  <c r="AO350" i="2"/>
  <c r="AO351" i="2"/>
  <c r="AO352" i="2"/>
  <c r="AO353" i="2"/>
  <c r="AO354" i="2"/>
  <c r="AO355" i="2"/>
  <c r="AO356" i="2"/>
  <c r="AO357" i="2"/>
  <c r="AO358" i="2"/>
  <c r="AO359" i="2"/>
  <c r="AO360" i="2"/>
  <c r="AO361" i="2"/>
  <c r="AO362" i="2"/>
  <c r="AO363" i="2"/>
  <c r="AO364" i="2"/>
  <c r="AO365" i="2"/>
  <c r="AO366" i="2"/>
  <c r="AO367" i="2"/>
  <c r="AO368" i="2"/>
  <c r="AO369" i="2"/>
  <c r="AO370" i="2"/>
  <c r="AO371" i="2"/>
  <c r="AO372" i="2"/>
  <c r="AO373" i="2"/>
  <c r="AO374" i="2"/>
  <c r="AO375" i="2"/>
  <c r="AO376" i="2"/>
  <c r="AO377" i="2"/>
  <c r="AO378" i="2"/>
  <c r="AO379" i="2"/>
  <c r="AO380" i="2"/>
  <c r="AO381" i="2"/>
  <c r="AO382" i="2"/>
  <c r="AO383" i="2"/>
  <c r="AO384" i="2"/>
  <c r="AO385" i="2"/>
  <c r="AO386" i="2"/>
  <c r="AO387" i="2"/>
  <c r="AO388" i="2"/>
  <c r="AO389" i="2"/>
  <c r="AO390" i="2"/>
  <c r="AO391" i="2"/>
  <c r="AO392" i="2"/>
  <c r="AO393" i="2"/>
  <c r="AO394" i="2"/>
  <c r="AO395" i="2"/>
  <c r="AO396" i="2"/>
  <c r="AO397" i="2"/>
  <c r="AO398" i="2"/>
  <c r="AO399" i="2"/>
  <c r="AO400" i="2"/>
  <c r="AO402" i="2"/>
  <c r="AO403" i="2"/>
  <c r="AO405" i="2"/>
  <c r="AO406" i="2"/>
  <c r="AO407" i="2"/>
  <c r="AO408" i="2"/>
  <c r="AO409" i="2"/>
  <c r="AO410" i="2"/>
  <c r="AO411" i="2"/>
  <c r="AO412" i="2"/>
  <c r="AO413" i="2"/>
  <c r="AO414" i="2"/>
  <c r="AO415" i="2"/>
  <c r="AO416" i="2"/>
  <c r="AO417" i="2"/>
  <c r="AO418" i="2"/>
  <c r="AO419" i="2"/>
  <c r="AO420" i="2"/>
  <c r="AO421" i="2"/>
  <c r="AO423" i="2"/>
  <c r="AO424" i="2"/>
  <c r="AO426" i="2"/>
  <c r="AO427" i="2"/>
  <c r="AO428" i="2"/>
  <c r="AO429" i="2"/>
  <c r="AO430" i="2"/>
  <c r="AO431" i="2"/>
  <c r="AO432" i="2"/>
  <c r="AO433" i="2"/>
  <c r="AO434" i="2"/>
  <c r="AO435" i="2"/>
  <c r="AO436" i="2"/>
  <c r="AO437" i="2"/>
  <c r="AO438" i="2"/>
  <c r="AO439" i="2"/>
  <c r="AO440" i="2"/>
  <c r="AO441" i="2"/>
  <c r="AO442" i="2"/>
  <c r="AO443" i="2"/>
  <c r="AO444" i="2"/>
  <c r="AO445" i="2"/>
  <c r="AO446" i="2"/>
  <c r="AO447" i="2"/>
  <c r="AO448" i="2"/>
  <c r="AO449" i="2"/>
  <c r="AO450" i="2"/>
  <c r="AO451" i="2"/>
  <c r="AO452" i="2"/>
  <c r="AO453" i="2"/>
  <c r="AO454" i="2"/>
  <c r="AO455" i="2"/>
  <c r="AO456" i="2"/>
  <c r="AO457" i="2"/>
  <c r="AO458" i="2"/>
  <c r="AO459" i="2"/>
  <c r="AO460" i="2"/>
  <c r="AO461" i="2"/>
  <c r="AO462" i="2"/>
  <c r="AO463" i="2"/>
  <c r="AO464" i="2"/>
  <c r="AO465" i="2"/>
  <c r="AO466" i="2"/>
  <c r="AO467" i="2"/>
  <c r="AO468" i="2"/>
  <c r="GG5" i="2"/>
  <c r="X4" i="10" s="1"/>
  <c r="GG6" i="2"/>
  <c r="X5" i="10" s="1"/>
  <c r="GG7" i="2"/>
  <c r="X6" i="10" s="1"/>
  <c r="GG8" i="2"/>
  <c r="X7" i="10" s="1"/>
  <c r="GG9" i="2"/>
  <c r="X8" i="10" s="1"/>
  <c r="GG10" i="2"/>
  <c r="X9" i="10" s="1"/>
  <c r="GG11" i="2"/>
  <c r="X10" i="10" s="1"/>
  <c r="GG12" i="2"/>
  <c r="X11" i="10" s="1"/>
  <c r="GG13" i="2"/>
  <c r="X12" i="10" s="1"/>
  <c r="GG14" i="2"/>
  <c r="X13" i="10" s="1"/>
  <c r="GG15" i="2"/>
  <c r="X14" i="10" s="1"/>
  <c r="GG16" i="2"/>
  <c r="X15" i="10" s="1"/>
  <c r="GG17" i="2"/>
  <c r="X16" i="10" s="1"/>
  <c r="GG18" i="2"/>
  <c r="X17" i="10" s="1"/>
  <c r="GG19" i="2"/>
  <c r="X18" i="10" s="1"/>
  <c r="GG20" i="2"/>
  <c r="X19" i="10" s="1"/>
  <c r="GG21" i="2"/>
  <c r="X20" i="10" s="1"/>
  <c r="GG22" i="2"/>
  <c r="X21" i="10" s="1"/>
  <c r="GG23" i="2"/>
  <c r="X22" i="10" s="1"/>
  <c r="GG24" i="2"/>
  <c r="X23" i="10" s="1"/>
  <c r="GG25" i="2"/>
  <c r="X24" i="10" s="1"/>
  <c r="GG26" i="2"/>
  <c r="X25" i="10" s="1"/>
  <c r="GG27" i="2"/>
  <c r="X26" i="10" s="1"/>
  <c r="GG28" i="2"/>
  <c r="X27" i="10" s="1"/>
  <c r="GG29" i="2"/>
  <c r="X28" i="10" s="1"/>
  <c r="GG30" i="2"/>
  <c r="X29" i="10" s="1"/>
  <c r="GG31" i="2"/>
  <c r="X30" i="10" s="1"/>
  <c r="GG32" i="2"/>
  <c r="X31" i="10" s="1"/>
  <c r="GG33" i="2"/>
  <c r="X32" i="10" s="1"/>
  <c r="GG34" i="2"/>
  <c r="X33" i="10" s="1"/>
  <c r="GG35" i="2"/>
  <c r="X34" i="10" s="1"/>
  <c r="GG36" i="2"/>
  <c r="X35" i="10" s="1"/>
  <c r="GG37" i="2"/>
  <c r="X36" i="10" s="1"/>
  <c r="GG38" i="2"/>
  <c r="X37" i="10" s="1"/>
  <c r="GG39" i="2"/>
  <c r="X38" i="10" s="1"/>
  <c r="GG40" i="2"/>
  <c r="X39" i="10" s="1"/>
  <c r="GG41" i="2"/>
  <c r="X40" i="10" s="1"/>
  <c r="GG42" i="2"/>
  <c r="X41" i="10" s="1"/>
  <c r="GG43" i="2"/>
  <c r="X42" i="10" s="1"/>
  <c r="GG44" i="2"/>
  <c r="X43" i="10" s="1"/>
  <c r="GG45" i="2"/>
  <c r="X44" i="10" s="1"/>
  <c r="GG46" i="2"/>
  <c r="X45" i="10" s="1"/>
  <c r="GG47" i="2"/>
  <c r="X46" i="10" s="1"/>
  <c r="GG48" i="2"/>
  <c r="X47" i="10" s="1"/>
  <c r="GG49" i="2"/>
  <c r="X48" i="10" s="1"/>
  <c r="GG50" i="2"/>
  <c r="X49" i="10" s="1"/>
  <c r="GG51" i="2"/>
  <c r="X50" i="10" s="1"/>
  <c r="GG52" i="2"/>
  <c r="X51" i="10" s="1"/>
  <c r="GG53" i="2"/>
  <c r="X52" i="10" s="1"/>
  <c r="GG54" i="2"/>
  <c r="X53" i="10" s="1"/>
  <c r="GG55" i="2"/>
  <c r="X54" i="10" s="1"/>
  <c r="GG56" i="2"/>
  <c r="X55" i="10" s="1"/>
  <c r="GG57" i="2"/>
  <c r="X56" i="10" s="1"/>
  <c r="GG58" i="2"/>
  <c r="X57" i="10" s="1"/>
  <c r="GG59" i="2"/>
  <c r="X58" i="10" s="1"/>
  <c r="GG60" i="2"/>
  <c r="X59" i="10" s="1"/>
  <c r="GG61" i="2"/>
  <c r="X60" i="10" s="1"/>
  <c r="GG62" i="2"/>
  <c r="X61" i="10" s="1"/>
  <c r="GG63" i="2"/>
  <c r="X62" i="10" s="1"/>
  <c r="GG64" i="2"/>
  <c r="X63" i="10" s="1"/>
  <c r="GG65" i="2"/>
  <c r="X64" i="10" s="1"/>
  <c r="GG66" i="2"/>
  <c r="X65" i="10" s="1"/>
  <c r="GG67" i="2"/>
  <c r="X66" i="10" s="1"/>
  <c r="GG68" i="2"/>
  <c r="X67" i="10" s="1"/>
  <c r="GG69" i="2"/>
  <c r="X68" i="10" s="1"/>
  <c r="GG70" i="2"/>
  <c r="X69" i="10" s="1"/>
  <c r="GG71" i="2"/>
  <c r="X70" i="10" s="1"/>
  <c r="GG72" i="2"/>
  <c r="X71" i="10" s="1"/>
  <c r="GG73" i="2"/>
  <c r="X72" i="10" s="1"/>
  <c r="GG74" i="2"/>
  <c r="X73" i="10" s="1"/>
  <c r="GG75" i="2"/>
  <c r="X74" i="10" s="1"/>
  <c r="GG76" i="2"/>
  <c r="X75" i="10" s="1"/>
  <c r="GG77" i="2"/>
  <c r="X76" i="10" s="1"/>
  <c r="GG78" i="2"/>
  <c r="X77" i="10" s="1"/>
  <c r="GG79" i="2"/>
  <c r="X78" i="10" s="1"/>
  <c r="GG80" i="2"/>
  <c r="X79" i="10" s="1"/>
  <c r="GG81" i="2"/>
  <c r="X80" i="10" s="1"/>
  <c r="GG82" i="2"/>
  <c r="X81" i="10" s="1"/>
  <c r="GG83" i="2"/>
  <c r="X82" i="10" s="1"/>
  <c r="GG84" i="2"/>
  <c r="X83" i="10" s="1"/>
  <c r="GG85" i="2"/>
  <c r="X84" i="10" s="1"/>
  <c r="GG86" i="2"/>
  <c r="X85" i="10" s="1"/>
  <c r="GG87" i="2"/>
  <c r="X86" i="10" s="1"/>
  <c r="GG88" i="2"/>
  <c r="X87" i="10" s="1"/>
  <c r="GG89" i="2"/>
  <c r="X88" i="10" s="1"/>
  <c r="GG90" i="2"/>
  <c r="X89" i="10" s="1"/>
  <c r="GG91" i="2"/>
  <c r="X90" i="10" s="1"/>
  <c r="GG92" i="2"/>
  <c r="X91" i="10" s="1"/>
  <c r="GG93" i="2"/>
  <c r="X92" i="10" s="1"/>
  <c r="GG94" i="2"/>
  <c r="X93" i="10" s="1"/>
  <c r="GG95" i="2"/>
  <c r="X94" i="10" s="1"/>
  <c r="GG96" i="2"/>
  <c r="X95" i="10" s="1"/>
  <c r="GG97" i="2"/>
  <c r="X96" i="10" s="1"/>
  <c r="GG98" i="2"/>
  <c r="X97" i="10" s="1"/>
  <c r="GG99" i="2"/>
  <c r="X98" i="10" s="1"/>
  <c r="GG100" i="2"/>
  <c r="X99" i="10" s="1"/>
  <c r="GG101" i="2"/>
  <c r="X100" i="10" s="1"/>
  <c r="GG102" i="2"/>
  <c r="X101" i="10" s="1"/>
  <c r="GG103" i="2"/>
  <c r="X102" i="10" s="1"/>
  <c r="GG104" i="2"/>
  <c r="X103" i="10" s="1"/>
  <c r="GG105" i="2"/>
  <c r="X104" i="10" s="1"/>
  <c r="GG106" i="2"/>
  <c r="X105" i="10" s="1"/>
  <c r="GG107" i="2"/>
  <c r="X106" i="10" s="1"/>
  <c r="GG108" i="2"/>
  <c r="X107" i="10" s="1"/>
  <c r="GG109" i="2"/>
  <c r="X108" i="10" s="1"/>
  <c r="GG110" i="2"/>
  <c r="X109" i="10" s="1"/>
  <c r="GG111" i="2"/>
  <c r="X110" i="10" s="1"/>
  <c r="GG112" i="2"/>
  <c r="X111" i="10" s="1"/>
  <c r="GG113" i="2"/>
  <c r="X112" i="10" s="1"/>
  <c r="GG114" i="2"/>
  <c r="X113" i="10" s="1"/>
  <c r="GG115" i="2"/>
  <c r="X114" i="10" s="1"/>
  <c r="GG116" i="2"/>
  <c r="X115" i="10" s="1"/>
  <c r="GG117" i="2"/>
  <c r="X116" i="10" s="1"/>
  <c r="GG118" i="2"/>
  <c r="X117" i="10" s="1"/>
  <c r="GG119" i="2"/>
  <c r="X118" i="10" s="1"/>
  <c r="GG120" i="2"/>
  <c r="X119" i="10" s="1"/>
  <c r="GG121" i="2"/>
  <c r="X120" i="10" s="1"/>
  <c r="GG122" i="2"/>
  <c r="X121" i="10" s="1"/>
  <c r="GG123" i="2"/>
  <c r="X122" i="10" s="1"/>
  <c r="GG124" i="2"/>
  <c r="X123" i="10" s="1"/>
  <c r="GG125" i="2"/>
  <c r="X124" i="10" s="1"/>
  <c r="GG126" i="2"/>
  <c r="X125" i="10" s="1"/>
  <c r="GG127" i="2"/>
  <c r="X126" i="10" s="1"/>
  <c r="GG128" i="2"/>
  <c r="X127" i="10" s="1"/>
  <c r="GG129" i="2"/>
  <c r="X128" i="10" s="1"/>
  <c r="GG130" i="2"/>
  <c r="X129" i="10" s="1"/>
  <c r="GG131" i="2"/>
  <c r="X130" i="10" s="1"/>
  <c r="GG132" i="2"/>
  <c r="X131" i="10" s="1"/>
  <c r="GG133" i="2"/>
  <c r="X132" i="10" s="1"/>
  <c r="GG134" i="2"/>
  <c r="X133" i="10" s="1"/>
  <c r="GG135" i="2"/>
  <c r="X134" i="10" s="1"/>
  <c r="GG136" i="2"/>
  <c r="X135" i="10" s="1"/>
  <c r="GG137" i="2"/>
  <c r="X136" i="10" s="1"/>
  <c r="GG138" i="2"/>
  <c r="X137" i="10" s="1"/>
  <c r="GG139" i="2"/>
  <c r="X138" i="10" s="1"/>
  <c r="GG140" i="2"/>
  <c r="X139" i="10" s="1"/>
  <c r="GG141" i="2"/>
  <c r="X140" i="10" s="1"/>
  <c r="GG142" i="2"/>
  <c r="X141" i="10" s="1"/>
  <c r="GG143" i="2"/>
  <c r="X142" i="10" s="1"/>
  <c r="GG144" i="2"/>
  <c r="X143" i="10" s="1"/>
  <c r="GG145" i="2"/>
  <c r="X144" i="10" s="1"/>
  <c r="GG146" i="2"/>
  <c r="X145" i="10" s="1"/>
  <c r="GG147" i="2"/>
  <c r="X146" i="10" s="1"/>
  <c r="GG148" i="2"/>
  <c r="X147" i="10" s="1"/>
  <c r="GG149" i="2"/>
  <c r="X148" i="10" s="1"/>
  <c r="GG150" i="2"/>
  <c r="X149" i="10" s="1"/>
  <c r="GG151" i="2"/>
  <c r="X150" i="10" s="1"/>
  <c r="GG152" i="2"/>
  <c r="X151" i="10" s="1"/>
  <c r="GG153" i="2"/>
  <c r="X152" i="10" s="1"/>
  <c r="GG154" i="2"/>
  <c r="X153" i="10" s="1"/>
  <c r="GG155" i="2"/>
  <c r="X154" i="10" s="1"/>
  <c r="GG156" i="2"/>
  <c r="X155" i="10" s="1"/>
  <c r="GG157" i="2"/>
  <c r="X156" i="10" s="1"/>
  <c r="GG158" i="2"/>
  <c r="X157" i="10" s="1"/>
  <c r="GG159" i="2"/>
  <c r="X158" i="10" s="1"/>
  <c r="GG160" i="2"/>
  <c r="X159" i="10" s="1"/>
  <c r="GG161" i="2"/>
  <c r="X160" i="10" s="1"/>
  <c r="GG162" i="2"/>
  <c r="X161" i="10" s="1"/>
  <c r="GG163" i="2"/>
  <c r="X162" i="10" s="1"/>
  <c r="GG164" i="2"/>
  <c r="X163" i="10" s="1"/>
  <c r="GG165" i="2"/>
  <c r="X164" i="10" s="1"/>
  <c r="GG166" i="2"/>
  <c r="X165" i="10" s="1"/>
  <c r="GG167" i="2"/>
  <c r="X166" i="10" s="1"/>
  <c r="GG168" i="2"/>
  <c r="X167" i="10" s="1"/>
  <c r="GG169" i="2"/>
  <c r="X168" i="10" s="1"/>
  <c r="GG170" i="2"/>
  <c r="X169" i="10" s="1"/>
  <c r="GG171" i="2"/>
  <c r="X170" i="10" s="1"/>
  <c r="GG172" i="2"/>
  <c r="X171" i="10" s="1"/>
  <c r="GG173" i="2"/>
  <c r="X172" i="10" s="1"/>
  <c r="GG174" i="2"/>
  <c r="X173" i="10" s="1"/>
  <c r="GG175" i="2"/>
  <c r="X174" i="10" s="1"/>
  <c r="GG176" i="2"/>
  <c r="X175" i="10" s="1"/>
  <c r="GG177" i="2"/>
  <c r="X176" i="10" s="1"/>
  <c r="GG178" i="2"/>
  <c r="X177" i="10" s="1"/>
  <c r="GG179" i="2"/>
  <c r="X178" i="10" s="1"/>
  <c r="GG180" i="2"/>
  <c r="X179" i="10" s="1"/>
  <c r="GG181" i="2"/>
  <c r="X180" i="10" s="1"/>
  <c r="GG182" i="2"/>
  <c r="X181" i="10" s="1"/>
  <c r="GG183" i="2"/>
  <c r="X182" i="10" s="1"/>
  <c r="GG184" i="2"/>
  <c r="X183" i="10" s="1"/>
  <c r="GG185" i="2"/>
  <c r="X184" i="10" s="1"/>
  <c r="GG186" i="2"/>
  <c r="X185" i="10" s="1"/>
  <c r="GG187" i="2"/>
  <c r="X186" i="10" s="1"/>
  <c r="GG188" i="2"/>
  <c r="X187" i="10" s="1"/>
  <c r="GG189" i="2"/>
  <c r="X188" i="10" s="1"/>
  <c r="GG190" i="2"/>
  <c r="X189" i="10" s="1"/>
  <c r="GG191" i="2"/>
  <c r="X190" i="10" s="1"/>
  <c r="GG192" i="2"/>
  <c r="X191" i="10" s="1"/>
  <c r="GG193" i="2"/>
  <c r="X192" i="10" s="1"/>
  <c r="GG194" i="2"/>
  <c r="X193" i="10" s="1"/>
  <c r="GG195" i="2"/>
  <c r="X194" i="10" s="1"/>
  <c r="GG196" i="2"/>
  <c r="X195" i="10" s="1"/>
  <c r="GG197" i="2"/>
  <c r="X196" i="10" s="1"/>
  <c r="GG198" i="2"/>
  <c r="X197" i="10" s="1"/>
  <c r="GG199" i="2"/>
  <c r="X198" i="10" s="1"/>
  <c r="GG200" i="2"/>
  <c r="X199" i="10" s="1"/>
  <c r="GG201" i="2"/>
  <c r="X200" i="10" s="1"/>
  <c r="GG202" i="2"/>
  <c r="X201" i="10" s="1"/>
  <c r="GG203" i="2"/>
  <c r="X202" i="10" s="1"/>
  <c r="GG204" i="2"/>
  <c r="X203" i="10" s="1"/>
  <c r="GG205" i="2"/>
  <c r="X204" i="10" s="1"/>
  <c r="GG206" i="2"/>
  <c r="X205" i="10" s="1"/>
  <c r="GG207" i="2"/>
  <c r="X206" i="10" s="1"/>
  <c r="GG208" i="2"/>
  <c r="X207" i="10" s="1"/>
  <c r="GG209" i="2"/>
  <c r="X208" i="10" s="1"/>
  <c r="GG210" i="2"/>
  <c r="X209" i="10" s="1"/>
  <c r="GG211" i="2"/>
  <c r="X210" i="10" s="1"/>
  <c r="GG212" i="2"/>
  <c r="X211" i="10" s="1"/>
  <c r="GG213" i="2"/>
  <c r="X212" i="10" s="1"/>
  <c r="GG214" i="2"/>
  <c r="X213" i="10" s="1"/>
  <c r="GG215" i="2"/>
  <c r="X214" i="10" s="1"/>
  <c r="GG216" i="2"/>
  <c r="X215" i="10" s="1"/>
  <c r="GG217" i="2"/>
  <c r="X216" i="10" s="1"/>
  <c r="GG218" i="2"/>
  <c r="X217" i="10" s="1"/>
  <c r="GG219" i="2"/>
  <c r="X218" i="10" s="1"/>
  <c r="GG220" i="2"/>
  <c r="X219" i="10" s="1"/>
  <c r="GG221" i="2"/>
  <c r="X220" i="10" s="1"/>
  <c r="GG222" i="2"/>
  <c r="X221" i="10" s="1"/>
  <c r="GG223" i="2"/>
  <c r="X222" i="10" s="1"/>
  <c r="GG224" i="2"/>
  <c r="X223" i="10" s="1"/>
  <c r="GG225" i="2"/>
  <c r="X224" i="10" s="1"/>
  <c r="GG226" i="2"/>
  <c r="X225" i="10" s="1"/>
  <c r="GG227" i="2"/>
  <c r="X226" i="10" s="1"/>
  <c r="GG228" i="2"/>
  <c r="X227" i="10" s="1"/>
  <c r="GG229" i="2"/>
  <c r="X228" i="10" s="1"/>
  <c r="GG230" i="2"/>
  <c r="X229" i="10" s="1"/>
  <c r="GG231" i="2"/>
  <c r="X230" i="10" s="1"/>
  <c r="GG232" i="2"/>
  <c r="X231" i="10" s="1"/>
  <c r="GG233" i="2"/>
  <c r="X232" i="10" s="1"/>
  <c r="GG234" i="2"/>
  <c r="X233" i="10" s="1"/>
  <c r="GG235" i="2"/>
  <c r="X234" i="10" s="1"/>
  <c r="GG236" i="2"/>
  <c r="X235" i="10" s="1"/>
  <c r="GG237" i="2"/>
  <c r="X236" i="10" s="1"/>
  <c r="GG238" i="2"/>
  <c r="X237" i="10" s="1"/>
  <c r="GG239" i="2"/>
  <c r="X238" i="10" s="1"/>
  <c r="GG240" i="2"/>
  <c r="X239" i="10" s="1"/>
  <c r="GG241" i="2"/>
  <c r="X240" i="10" s="1"/>
  <c r="GG242" i="2"/>
  <c r="X241" i="10" s="1"/>
  <c r="GG243" i="2"/>
  <c r="X242" i="10" s="1"/>
  <c r="GG244" i="2"/>
  <c r="X243" i="10" s="1"/>
  <c r="GG245" i="2"/>
  <c r="X244" i="10" s="1"/>
  <c r="GG246" i="2"/>
  <c r="X245" i="10" s="1"/>
  <c r="GG247" i="2"/>
  <c r="X246" i="10" s="1"/>
  <c r="GG248" i="2"/>
  <c r="X247" i="10" s="1"/>
  <c r="GG249" i="2"/>
  <c r="X248" i="10" s="1"/>
  <c r="GG250" i="2"/>
  <c r="X249" i="10" s="1"/>
  <c r="GG251" i="2"/>
  <c r="X250" i="10" s="1"/>
  <c r="GG252" i="2"/>
  <c r="X251" i="10" s="1"/>
  <c r="GG253" i="2"/>
  <c r="X252" i="10" s="1"/>
  <c r="GG254" i="2"/>
  <c r="X253" i="10" s="1"/>
  <c r="GG255" i="2"/>
  <c r="X254" i="10" s="1"/>
  <c r="GG256" i="2"/>
  <c r="X255" i="10" s="1"/>
  <c r="GG257" i="2"/>
  <c r="X256" i="10" s="1"/>
  <c r="GG258" i="2"/>
  <c r="X257" i="10" s="1"/>
  <c r="GG259" i="2"/>
  <c r="X258" i="10" s="1"/>
  <c r="GG260" i="2"/>
  <c r="X259" i="10" s="1"/>
  <c r="GG261" i="2"/>
  <c r="X260" i="10" s="1"/>
  <c r="GG262" i="2"/>
  <c r="X261" i="10" s="1"/>
  <c r="GG263" i="2"/>
  <c r="X262" i="10" s="1"/>
  <c r="GG264" i="2"/>
  <c r="X263" i="10" s="1"/>
  <c r="GG265" i="2"/>
  <c r="X264" i="10" s="1"/>
  <c r="GG266" i="2"/>
  <c r="X265" i="10" s="1"/>
  <c r="GG267" i="2"/>
  <c r="X266" i="10" s="1"/>
  <c r="GG268" i="2"/>
  <c r="X267" i="10" s="1"/>
  <c r="GG269" i="2"/>
  <c r="X268" i="10" s="1"/>
  <c r="GG270" i="2"/>
  <c r="X269" i="10" s="1"/>
  <c r="GG271" i="2"/>
  <c r="X270" i="10" s="1"/>
  <c r="GG272" i="2"/>
  <c r="X271" i="10" s="1"/>
  <c r="GG273" i="2"/>
  <c r="X272" i="10" s="1"/>
  <c r="GG274" i="2"/>
  <c r="X273" i="10" s="1"/>
  <c r="GG275" i="2"/>
  <c r="X274" i="10" s="1"/>
  <c r="GG276" i="2"/>
  <c r="X275" i="10" s="1"/>
  <c r="GG277" i="2"/>
  <c r="X276" i="10" s="1"/>
  <c r="GG278" i="2"/>
  <c r="X277" i="10" s="1"/>
  <c r="GG279" i="2"/>
  <c r="X278" i="10" s="1"/>
  <c r="GG280" i="2"/>
  <c r="X279" i="10" s="1"/>
  <c r="GG281" i="2"/>
  <c r="X280" i="10" s="1"/>
  <c r="GG282" i="2"/>
  <c r="X281" i="10" s="1"/>
  <c r="GG283" i="2"/>
  <c r="X282" i="10" s="1"/>
  <c r="GG284" i="2"/>
  <c r="X283" i="10" s="1"/>
  <c r="GG285" i="2"/>
  <c r="X284" i="10" s="1"/>
  <c r="GG286" i="2"/>
  <c r="X285" i="10" s="1"/>
  <c r="GG287" i="2"/>
  <c r="X286" i="10" s="1"/>
  <c r="GG288" i="2"/>
  <c r="X287" i="10" s="1"/>
  <c r="GG289" i="2"/>
  <c r="X288" i="10" s="1"/>
  <c r="GG290" i="2"/>
  <c r="X289" i="10" s="1"/>
  <c r="GG291" i="2"/>
  <c r="X290" i="10" s="1"/>
  <c r="GG292" i="2"/>
  <c r="X291" i="10" s="1"/>
  <c r="GG293" i="2"/>
  <c r="X292" i="10" s="1"/>
  <c r="GG294" i="2"/>
  <c r="X293" i="10" s="1"/>
  <c r="GG295" i="2"/>
  <c r="X294" i="10" s="1"/>
  <c r="GG296" i="2"/>
  <c r="X295" i="10" s="1"/>
  <c r="GG297" i="2"/>
  <c r="X296" i="10" s="1"/>
  <c r="GG298" i="2"/>
  <c r="X297" i="10" s="1"/>
  <c r="GG299" i="2"/>
  <c r="X298" i="10" s="1"/>
  <c r="GG300" i="2"/>
  <c r="X299" i="10" s="1"/>
  <c r="GG301" i="2"/>
  <c r="X300" i="10" s="1"/>
  <c r="GG302" i="2"/>
  <c r="X301" i="10" s="1"/>
  <c r="GG303" i="2"/>
  <c r="X302" i="10" s="1"/>
  <c r="GG304" i="2"/>
  <c r="X303" i="10" s="1"/>
  <c r="GG305" i="2"/>
  <c r="X304" i="10" s="1"/>
  <c r="GG306" i="2"/>
  <c r="X305" i="10" s="1"/>
  <c r="GG307" i="2"/>
  <c r="X306" i="10" s="1"/>
  <c r="GG308" i="2"/>
  <c r="X307" i="10" s="1"/>
  <c r="GG309" i="2"/>
  <c r="X308" i="10" s="1"/>
  <c r="GG310" i="2"/>
  <c r="X309" i="10" s="1"/>
  <c r="GG311" i="2"/>
  <c r="X310" i="10" s="1"/>
  <c r="GG312" i="2"/>
  <c r="X311" i="10" s="1"/>
  <c r="GG313" i="2"/>
  <c r="X312" i="10" s="1"/>
  <c r="GG314" i="2"/>
  <c r="X313" i="10" s="1"/>
  <c r="GG315" i="2"/>
  <c r="X314" i="10" s="1"/>
  <c r="GG316" i="2"/>
  <c r="X315" i="10" s="1"/>
  <c r="GG317" i="2"/>
  <c r="X316" i="10" s="1"/>
  <c r="GG318" i="2"/>
  <c r="X317" i="10" s="1"/>
  <c r="GG319" i="2"/>
  <c r="X318" i="10" s="1"/>
  <c r="GG320" i="2"/>
  <c r="X319" i="10" s="1"/>
  <c r="GG321" i="2"/>
  <c r="X320" i="10" s="1"/>
  <c r="GG322" i="2"/>
  <c r="X321" i="10" s="1"/>
  <c r="GG323" i="2"/>
  <c r="X322" i="10" s="1"/>
  <c r="GG324" i="2"/>
  <c r="X323" i="10" s="1"/>
  <c r="GG325" i="2"/>
  <c r="X324" i="10" s="1"/>
  <c r="GG326" i="2"/>
  <c r="X325" i="10" s="1"/>
  <c r="GG327" i="2"/>
  <c r="X326" i="10" s="1"/>
  <c r="GG328" i="2"/>
  <c r="X327" i="10" s="1"/>
  <c r="GG329" i="2"/>
  <c r="X328" i="10" s="1"/>
  <c r="GG330" i="2"/>
  <c r="X329" i="10" s="1"/>
  <c r="GG331" i="2"/>
  <c r="X330" i="10" s="1"/>
  <c r="GG332" i="2"/>
  <c r="X331" i="10" s="1"/>
  <c r="GG333" i="2"/>
  <c r="X332" i="10" s="1"/>
  <c r="GG334" i="2"/>
  <c r="X333" i="10" s="1"/>
  <c r="GG335" i="2"/>
  <c r="X334" i="10" s="1"/>
  <c r="GG336" i="2"/>
  <c r="X335" i="10" s="1"/>
  <c r="GG337" i="2"/>
  <c r="X336" i="10" s="1"/>
  <c r="GG338" i="2"/>
  <c r="X337" i="10" s="1"/>
  <c r="GG339" i="2"/>
  <c r="X338" i="10" s="1"/>
  <c r="GG340" i="2"/>
  <c r="X339" i="10" s="1"/>
  <c r="GG341" i="2"/>
  <c r="X340" i="10" s="1"/>
  <c r="GG342" i="2"/>
  <c r="X341" i="10" s="1"/>
  <c r="GG343" i="2"/>
  <c r="X342" i="10" s="1"/>
  <c r="GG344" i="2"/>
  <c r="X343" i="10" s="1"/>
  <c r="GG345" i="2"/>
  <c r="X344" i="10" s="1"/>
  <c r="GG346" i="2"/>
  <c r="X345" i="10" s="1"/>
  <c r="GG347" i="2"/>
  <c r="X346" i="10" s="1"/>
  <c r="GG348" i="2"/>
  <c r="X347" i="10" s="1"/>
  <c r="GG349" i="2"/>
  <c r="X348" i="10" s="1"/>
  <c r="GG350" i="2"/>
  <c r="X349" i="10" s="1"/>
  <c r="GG351" i="2"/>
  <c r="X350" i="10" s="1"/>
  <c r="GG352" i="2"/>
  <c r="X351" i="10" s="1"/>
  <c r="GG353" i="2"/>
  <c r="X352" i="10" s="1"/>
  <c r="GG354" i="2"/>
  <c r="X353" i="10" s="1"/>
  <c r="GG355" i="2"/>
  <c r="X354" i="10" s="1"/>
  <c r="GG356" i="2"/>
  <c r="X355" i="10" s="1"/>
  <c r="GG357" i="2"/>
  <c r="X356" i="10" s="1"/>
  <c r="GG358" i="2"/>
  <c r="X357" i="10" s="1"/>
  <c r="GG359" i="2"/>
  <c r="X358" i="10" s="1"/>
  <c r="GG360" i="2"/>
  <c r="X359" i="10" s="1"/>
  <c r="GG361" i="2"/>
  <c r="X360" i="10" s="1"/>
  <c r="GG362" i="2"/>
  <c r="X361" i="10" s="1"/>
  <c r="GG363" i="2"/>
  <c r="X362" i="10" s="1"/>
  <c r="GG364" i="2"/>
  <c r="X363" i="10" s="1"/>
  <c r="GG365" i="2"/>
  <c r="X364" i="10" s="1"/>
  <c r="GG366" i="2"/>
  <c r="X365" i="10" s="1"/>
  <c r="GG367" i="2"/>
  <c r="X366" i="10" s="1"/>
  <c r="GG368" i="2"/>
  <c r="X367" i="10" s="1"/>
  <c r="GG369" i="2"/>
  <c r="X368" i="10" s="1"/>
  <c r="GG370" i="2"/>
  <c r="X369" i="10" s="1"/>
  <c r="GG371" i="2"/>
  <c r="X370" i="10" s="1"/>
  <c r="GG372" i="2"/>
  <c r="X371" i="10" s="1"/>
  <c r="GG373" i="2"/>
  <c r="X372" i="10" s="1"/>
  <c r="GG374" i="2"/>
  <c r="X373" i="10" s="1"/>
  <c r="GG375" i="2"/>
  <c r="X374" i="10" s="1"/>
  <c r="GG376" i="2"/>
  <c r="X375" i="10" s="1"/>
  <c r="GG377" i="2"/>
  <c r="X376" i="10" s="1"/>
  <c r="GG378" i="2"/>
  <c r="X377" i="10" s="1"/>
  <c r="GG379" i="2"/>
  <c r="X378" i="10" s="1"/>
  <c r="GG380" i="2"/>
  <c r="X379" i="10" s="1"/>
  <c r="GG381" i="2"/>
  <c r="X380" i="10" s="1"/>
  <c r="GG382" i="2"/>
  <c r="X381" i="10" s="1"/>
  <c r="GG383" i="2"/>
  <c r="X382" i="10" s="1"/>
  <c r="GG384" i="2"/>
  <c r="X383" i="10" s="1"/>
  <c r="GG385" i="2"/>
  <c r="X384" i="10" s="1"/>
  <c r="GG386" i="2"/>
  <c r="X385" i="10" s="1"/>
  <c r="GG387" i="2"/>
  <c r="X386" i="10" s="1"/>
  <c r="GG388" i="2"/>
  <c r="X387" i="10" s="1"/>
  <c r="GG389" i="2"/>
  <c r="X388" i="10" s="1"/>
  <c r="GG390" i="2"/>
  <c r="X389" i="10" s="1"/>
  <c r="GG391" i="2"/>
  <c r="X390" i="10" s="1"/>
  <c r="GG392" i="2"/>
  <c r="X391" i="10" s="1"/>
  <c r="GG393" i="2"/>
  <c r="X392" i="10" s="1"/>
  <c r="GG394" i="2"/>
  <c r="X393" i="10" s="1"/>
  <c r="GG395" i="2"/>
  <c r="X394" i="10" s="1"/>
  <c r="GG396" i="2"/>
  <c r="X395" i="10" s="1"/>
  <c r="GG397" i="2"/>
  <c r="X396" i="10" s="1"/>
  <c r="GG398" i="2"/>
  <c r="X397" i="10" s="1"/>
  <c r="GG399" i="2"/>
  <c r="X398" i="10" s="1"/>
  <c r="GG400" i="2"/>
  <c r="X399" i="10" s="1"/>
  <c r="GG401" i="2"/>
  <c r="X400" i="10" s="1"/>
  <c r="GG402" i="2"/>
  <c r="X401" i="10" s="1"/>
  <c r="GG403" i="2"/>
  <c r="X402" i="10" s="1"/>
  <c r="GG404" i="2"/>
  <c r="X403" i="10" s="1"/>
  <c r="GG405" i="2"/>
  <c r="X404" i="10" s="1"/>
  <c r="GG406" i="2"/>
  <c r="X405" i="10" s="1"/>
  <c r="GG407" i="2"/>
  <c r="X406" i="10" s="1"/>
  <c r="GG408" i="2"/>
  <c r="X407" i="10" s="1"/>
  <c r="GG409" i="2"/>
  <c r="X408" i="10" s="1"/>
  <c r="GG410" i="2"/>
  <c r="X409" i="10" s="1"/>
  <c r="GG411" i="2"/>
  <c r="X410" i="10" s="1"/>
  <c r="GG412" i="2"/>
  <c r="X411" i="10" s="1"/>
  <c r="GG413" i="2"/>
  <c r="X412" i="10" s="1"/>
  <c r="GG414" i="2"/>
  <c r="X413" i="10" s="1"/>
  <c r="GG415" i="2"/>
  <c r="X414" i="10" s="1"/>
  <c r="GG416" i="2"/>
  <c r="X415" i="10" s="1"/>
  <c r="GG417" i="2"/>
  <c r="X416" i="10" s="1"/>
  <c r="GG418" i="2"/>
  <c r="X417" i="10" s="1"/>
  <c r="GG419" i="2"/>
  <c r="X418" i="10" s="1"/>
  <c r="GG420" i="2"/>
  <c r="X419" i="10" s="1"/>
  <c r="GG421" i="2"/>
  <c r="X420" i="10" s="1"/>
  <c r="GG422" i="2"/>
  <c r="X421" i="10" s="1"/>
  <c r="GG423" i="2"/>
  <c r="X422" i="10" s="1"/>
  <c r="GG424" i="2"/>
  <c r="X423" i="10" s="1"/>
  <c r="GG425" i="2"/>
  <c r="X424" i="10" s="1"/>
  <c r="GG426" i="2"/>
  <c r="X425" i="10" s="1"/>
  <c r="GG427" i="2"/>
  <c r="X426" i="10" s="1"/>
  <c r="GG428" i="2"/>
  <c r="X427" i="10" s="1"/>
  <c r="GG429" i="2"/>
  <c r="X428" i="10" s="1"/>
  <c r="GG430" i="2"/>
  <c r="X429" i="10" s="1"/>
  <c r="GG431" i="2"/>
  <c r="X430" i="10" s="1"/>
  <c r="GG432" i="2"/>
  <c r="X431" i="10" s="1"/>
  <c r="GG433" i="2"/>
  <c r="X432" i="10" s="1"/>
  <c r="GG434" i="2"/>
  <c r="X433" i="10" s="1"/>
  <c r="GG435" i="2"/>
  <c r="X434" i="10" s="1"/>
  <c r="GG436" i="2"/>
  <c r="X435" i="10" s="1"/>
  <c r="GG437" i="2"/>
  <c r="X436" i="10" s="1"/>
  <c r="GG438" i="2"/>
  <c r="X437" i="10" s="1"/>
  <c r="GG439" i="2"/>
  <c r="X438" i="10" s="1"/>
  <c r="GG440" i="2"/>
  <c r="X439" i="10" s="1"/>
  <c r="GG441" i="2"/>
  <c r="X440" i="10" s="1"/>
  <c r="GG442" i="2"/>
  <c r="X441" i="10" s="1"/>
  <c r="GG443" i="2"/>
  <c r="X442" i="10" s="1"/>
  <c r="GG444" i="2"/>
  <c r="X443" i="10" s="1"/>
  <c r="GG445" i="2"/>
  <c r="X444" i="10" s="1"/>
  <c r="GG446" i="2"/>
  <c r="X445" i="10" s="1"/>
  <c r="GG447" i="2"/>
  <c r="X446" i="10" s="1"/>
  <c r="GG448" i="2"/>
  <c r="X447" i="10" s="1"/>
  <c r="GG449" i="2"/>
  <c r="X448" i="10" s="1"/>
  <c r="GG450" i="2"/>
  <c r="X449" i="10" s="1"/>
  <c r="GG451" i="2"/>
  <c r="X450" i="10" s="1"/>
  <c r="GG452" i="2"/>
  <c r="X451" i="10" s="1"/>
  <c r="GG453" i="2"/>
  <c r="X452" i="10" s="1"/>
  <c r="GG454" i="2"/>
  <c r="X453" i="10" s="1"/>
  <c r="GG455" i="2"/>
  <c r="X454" i="10" s="1"/>
  <c r="GG456" i="2"/>
  <c r="X455" i="10" s="1"/>
  <c r="GG457" i="2"/>
  <c r="X456" i="10" s="1"/>
  <c r="GG458" i="2"/>
  <c r="X457" i="10" s="1"/>
  <c r="GG459" i="2"/>
  <c r="X458" i="10" s="1"/>
  <c r="GG460" i="2"/>
  <c r="X459" i="10" s="1"/>
  <c r="GG461" i="2"/>
  <c r="X460" i="10" s="1"/>
  <c r="GG462" i="2"/>
  <c r="X461" i="10" s="1"/>
  <c r="GG463" i="2"/>
  <c r="X462" i="10" s="1"/>
  <c r="GG464" i="2"/>
  <c r="X463" i="10" s="1"/>
  <c r="GG465" i="2"/>
  <c r="X464" i="10" s="1"/>
  <c r="GG466" i="2"/>
  <c r="X465" i="10" s="1"/>
  <c r="GG467" i="2"/>
  <c r="X466" i="10" s="1"/>
  <c r="GG468" i="2"/>
  <c r="X467" i="10" s="1"/>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P452" i="2"/>
  <c r="T452" i="2"/>
  <c r="V452" i="2"/>
  <c r="L451" i="10" s="1"/>
  <c r="AB452" i="2"/>
  <c r="BJ452" i="2"/>
  <c r="CQ452" i="2"/>
  <c r="CR452" i="2"/>
  <c r="CS452" i="2"/>
  <c r="CT452" i="2"/>
  <c r="DI452" i="2"/>
  <c r="P451" i="10" s="1"/>
  <c r="EA452" i="2"/>
  <c r="S451" i="10" s="1"/>
  <c r="EH452" i="2"/>
  <c r="DN452" i="2"/>
  <c r="Q451" i="10" s="1"/>
  <c r="DR452" i="2"/>
  <c r="R451" i="10" s="1"/>
  <c r="ES452" i="2"/>
  <c r="FN452" i="2"/>
  <c r="FT452" i="2"/>
  <c r="FU452" i="2" s="1"/>
  <c r="FV452" i="2"/>
  <c r="GA452" i="2"/>
  <c r="V451" i="10" s="1"/>
  <c r="GD452" i="2"/>
  <c r="W451" i="10" s="1"/>
  <c r="GK452" i="2"/>
  <c r="Y451" i="10" s="1"/>
  <c r="GQ452" i="2"/>
  <c r="GU452" i="2"/>
  <c r="GY452" i="2"/>
  <c r="HC452" i="2"/>
  <c r="HH452" i="2"/>
  <c r="Z451" i="10" s="1"/>
  <c r="HQ452" i="2"/>
  <c r="AA451" i="10" s="1"/>
  <c r="HW452" i="2"/>
  <c r="AB451" i="10" s="1"/>
  <c r="P453" i="2"/>
  <c r="T453" i="2"/>
  <c r="V453" i="2"/>
  <c r="L452" i="10" s="1"/>
  <c r="AB453" i="2"/>
  <c r="CQ453" i="2"/>
  <c r="CR453" i="2"/>
  <c r="CS453" i="2"/>
  <c r="CT453" i="2"/>
  <c r="DI453" i="2"/>
  <c r="P452" i="10" s="1"/>
  <c r="EA453" i="2"/>
  <c r="S452" i="10" s="1"/>
  <c r="EH453" i="2"/>
  <c r="DN453" i="2"/>
  <c r="Q452" i="10" s="1"/>
  <c r="DR453" i="2"/>
  <c r="R452" i="10" s="1"/>
  <c r="ES453" i="2"/>
  <c r="FN453" i="2"/>
  <c r="FT453" i="2"/>
  <c r="FU453" i="2" s="1"/>
  <c r="FV453" i="2"/>
  <c r="GA453" i="2"/>
  <c r="V452" i="10" s="1"/>
  <c r="GD453" i="2"/>
  <c r="W452" i="10" s="1"/>
  <c r="GK453" i="2"/>
  <c r="Y452" i="10" s="1"/>
  <c r="GQ453" i="2"/>
  <c r="GU453" i="2"/>
  <c r="GY453" i="2"/>
  <c r="HC453" i="2"/>
  <c r="HH453" i="2"/>
  <c r="Z452" i="10" s="1"/>
  <c r="HQ453" i="2"/>
  <c r="AA452" i="10" s="1"/>
  <c r="HW453" i="2"/>
  <c r="AB452" i="10" s="1"/>
  <c r="P432" i="2"/>
  <c r="T432" i="2"/>
  <c r="V432" i="2"/>
  <c r="L431" i="10" s="1"/>
  <c r="AB432" i="2"/>
  <c r="BJ432" i="2"/>
  <c r="CQ432" i="2"/>
  <c r="CR432" i="2"/>
  <c r="CS432" i="2"/>
  <c r="CT432" i="2"/>
  <c r="DI432" i="2"/>
  <c r="P431" i="10" s="1"/>
  <c r="EA432" i="2"/>
  <c r="S431" i="10" s="1"/>
  <c r="EH432" i="2"/>
  <c r="DN432" i="2"/>
  <c r="Q431" i="10" s="1"/>
  <c r="DR432" i="2"/>
  <c r="R431" i="10" s="1"/>
  <c r="ES432" i="2"/>
  <c r="FN432" i="2"/>
  <c r="FT432" i="2"/>
  <c r="FU432" i="2" s="1"/>
  <c r="FV432" i="2"/>
  <c r="GA432" i="2"/>
  <c r="V431" i="10" s="1"/>
  <c r="GD432" i="2"/>
  <c r="W431" i="10" s="1"/>
  <c r="GK432" i="2"/>
  <c r="Y431" i="10" s="1"/>
  <c r="GQ432" i="2"/>
  <c r="GU432" i="2"/>
  <c r="GY432" i="2"/>
  <c r="HC432" i="2"/>
  <c r="HH432" i="2"/>
  <c r="Z431" i="10" s="1"/>
  <c r="HQ432" i="2"/>
  <c r="AA431" i="10" s="1"/>
  <c r="HW432" i="2"/>
  <c r="AB431" i="10" s="1"/>
  <c r="P433" i="2"/>
  <c r="T433" i="2"/>
  <c r="V433" i="2"/>
  <c r="L432" i="10" s="1"/>
  <c r="AB433" i="2"/>
  <c r="CQ433" i="2"/>
  <c r="CR433" i="2"/>
  <c r="CS433" i="2"/>
  <c r="CT433" i="2"/>
  <c r="DI433" i="2"/>
  <c r="P432" i="10" s="1"/>
  <c r="EA433" i="2"/>
  <c r="S432" i="10" s="1"/>
  <c r="EH433" i="2"/>
  <c r="DN433" i="2"/>
  <c r="Q432" i="10" s="1"/>
  <c r="DR433" i="2"/>
  <c r="R432" i="10" s="1"/>
  <c r="ES433" i="2"/>
  <c r="FN433" i="2"/>
  <c r="FT433" i="2"/>
  <c r="FU433" i="2" s="1"/>
  <c r="FV433" i="2"/>
  <c r="GA433" i="2"/>
  <c r="V432" i="10" s="1"/>
  <c r="GD433" i="2"/>
  <c r="W432" i="10" s="1"/>
  <c r="GK433" i="2"/>
  <c r="Y432" i="10" s="1"/>
  <c r="GQ433" i="2"/>
  <c r="GU433" i="2"/>
  <c r="GY433" i="2"/>
  <c r="HC433" i="2"/>
  <c r="HH433" i="2"/>
  <c r="Z432" i="10" s="1"/>
  <c r="HQ433" i="2"/>
  <c r="AA432" i="10" s="1"/>
  <c r="HW433" i="2"/>
  <c r="AB432" i="10" s="1"/>
  <c r="P434" i="2"/>
  <c r="T434" i="2"/>
  <c r="V434" i="2"/>
  <c r="L433" i="10" s="1"/>
  <c r="AB434" i="2"/>
  <c r="CQ434" i="2"/>
  <c r="CR434" i="2"/>
  <c r="CS434" i="2"/>
  <c r="CT434" i="2"/>
  <c r="DI434" i="2"/>
  <c r="P433" i="10" s="1"/>
  <c r="EA434" i="2"/>
  <c r="S433" i="10" s="1"/>
  <c r="EH434" i="2"/>
  <c r="DN434" i="2"/>
  <c r="Q433" i="10" s="1"/>
  <c r="DR434" i="2"/>
  <c r="R433" i="10" s="1"/>
  <c r="ES434" i="2"/>
  <c r="FN434" i="2"/>
  <c r="FT434" i="2"/>
  <c r="FU434" i="2" s="1"/>
  <c r="FV434" i="2"/>
  <c r="GA434" i="2"/>
  <c r="V433" i="10" s="1"/>
  <c r="GD434" i="2"/>
  <c r="W433" i="10" s="1"/>
  <c r="GK434" i="2"/>
  <c r="Y433" i="10" s="1"/>
  <c r="GQ434" i="2"/>
  <c r="GU434" i="2"/>
  <c r="GY434" i="2"/>
  <c r="HC434" i="2"/>
  <c r="HH434" i="2"/>
  <c r="Z433" i="10" s="1"/>
  <c r="HQ434" i="2"/>
  <c r="AA433" i="10" s="1"/>
  <c r="HW434" i="2"/>
  <c r="AB433" i="10" s="1"/>
  <c r="FA129" i="2"/>
  <c r="Q26" i="8"/>
  <c r="AO253" i="2" l="1"/>
  <c r="AO401" i="2"/>
  <c r="AO252" i="2"/>
  <c r="U452" i="2"/>
  <c r="K451" i="10" s="1"/>
  <c r="J451" i="10"/>
  <c r="U453" i="2"/>
  <c r="K452" i="10" s="1"/>
  <c r="J452" i="10"/>
  <c r="U432" i="2"/>
  <c r="K431" i="10" s="1"/>
  <c r="J431" i="10"/>
  <c r="U433" i="2"/>
  <c r="K432" i="10" s="1"/>
  <c r="J432" i="10"/>
  <c r="U434" i="2"/>
  <c r="K433" i="10" s="1"/>
  <c r="J433" i="10"/>
  <c r="AK453" i="2"/>
  <c r="AL453" i="2"/>
  <c r="Q452" i="2"/>
  <c r="H451" i="10" s="1"/>
  <c r="AA453" i="2"/>
  <c r="AI453" i="2"/>
  <c r="AH453" i="2" s="1"/>
  <c r="AJ453" i="2"/>
  <c r="AA452" i="2"/>
  <c r="AI452" i="2"/>
  <c r="AH452" i="2" s="1"/>
  <c r="AJ452" i="2"/>
  <c r="AK452" i="2"/>
  <c r="AL452" i="2"/>
  <c r="BJ453" i="2"/>
  <c r="CJ453" i="2" s="1"/>
  <c r="W452" i="2"/>
  <c r="M451" i="10" s="1"/>
  <c r="N451" i="10" s="1"/>
  <c r="CJ452" i="2"/>
  <c r="AK432" i="2"/>
  <c r="AL432" i="2"/>
  <c r="AK433" i="2"/>
  <c r="AL433" i="2"/>
  <c r="AK434" i="2"/>
  <c r="AL434" i="2"/>
  <c r="AA433" i="2"/>
  <c r="AJ433" i="2"/>
  <c r="AI433" i="2"/>
  <c r="AH433" i="2" s="1"/>
  <c r="BJ434" i="2"/>
  <c r="W434" i="2" s="1"/>
  <c r="M433" i="10" s="1"/>
  <c r="N433" i="10" s="1"/>
  <c r="AA434" i="2"/>
  <c r="AI434" i="2"/>
  <c r="AH434" i="2" s="1"/>
  <c r="AJ434" i="2"/>
  <c r="Q432" i="2"/>
  <c r="H431" i="10" s="1"/>
  <c r="BJ433" i="2"/>
  <c r="W433" i="2" s="1"/>
  <c r="M432" i="10" s="1"/>
  <c r="N432" i="10" s="1"/>
  <c r="AI432" i="2"/>
  <c r="AH432" i="2" s="1"/>
  <c r="AJ432" i="2"/>
  <c r="AA432" i="2"/>
  <c r="W432" i="2"/>
  <c r="M431" i="10" s="1"/>
  <c r="N431" i="10" s="1"/>
  <c r="CJ432" i="2"/>
  <c r="E34" i="8"/>
  <c r="DZ3" i="2"/>
  <c r="CW3" i="2"/>
  <c r="CV3" i="2"/>
  <c r="DX3" i="2"/>
  <c r="DG3" i="2"/>
  <c r="DC3" i="2"/>
  <c r="BS1" i="2"/>
  <c r="V263" i="2"/>
  <c r="V264" i="2"/>
  <c r="V265" i="2"/>
  <c r="V270" i="2"/>
  <c r="EF3" i="2"/>
  <c r="FZ3" i="2"/>
  <c r="GF3" i="2"/>
  <c r="GJ3" i="2"/>
  <c r="GT3" i="2"/>
  <c r="GX3" i="2"/>
  <c r="HB3" i="2"/>
  <c r="HG3" i="2"/>
  <c r="HK3" i="2"/>
  <c r="HP3" i="2"/>
  <c r="EC3" i="2"/>
  <c r="DY3" i="2"/>
  <c r="EO3" i="2"/>
  <c r="D3" i="2"/>
  <c r="FR3" i="2"/>
  <c r="FQ3" i="2"/>
  <c r="FP3" i="2"/>
  <c r="P456" i="2"/>
  <c r="P457" i="2"/>
  <c r="P458" i="2"/>
  <c r="P459" i="2"/>
  <c r="P460" i="2"/>
  <c r="P461" i="2"/>
  <c r="P462" i="2"/>
  <c r="P463" i="2"/>
  <c r="P464" i="2"/>
  <c r="P465" i="2"/>
  <c r="P466" i="2"/>
  <c r="P467" i="2"/>
  <c r="P468" i="2"/>
  <c r="T456" i="2"/>
  <c r="T457" i="2"/>
  <c r="T458" i="2"/>
  <c r="T459" i="2"/>
  <c r="T460" i="2"/>
  <c r="T461" i="2"/>
  <c r="T462" i="2"/>
  <c r="T463" i="2"/>
  <c r="T464" i="2"/>
  <c r="T465" i="2"/>
  <c r="T466" i="2"/>
  <c r="T467" i="2"/>
  <c r="T468" i="2"/>
  <c r="V456" i="2"/>
  <c r="L455" i="10" s="1"/>
  <c r="V457" i="2"/>
  <c r="L456" i="10" s="1"/>
  <c r="V458" i="2"/>
  <c r="L457" i="10" s="1"/>
  <c r="V459" i="2"/>
  <c r="L458" i="10" s="1"/>
  <c r="V460" i="2"/>
  <c r="L459" i="10" s="1"/>
  <c r="V461" i="2"/>
  <c r="L460" i="10" s="1"/>
  <c r="V462" i="2"/>
  <c r="L461" i="10" s="1"/>
  <c r="V463" i="2"/>
  <c r="L462" i="10" s="1"/>
  <c r="V464" i="2"/>
  <c r="L463" i="10" s="1"/>
  <c r="V465" i="2"/>
  <c r="L464" i="10" s="1"/>
  <c r="V466" i="2"/>
  <c r="L465" i="10" s="1"/>
  <c r="V467" i="2"/>
  <c r="L466" i="10" s="1"/>
  <c r="V468" i="2"/>
  <c r="L467" i="10" s="1"/>
  <c r="AB456" i="2"/>
  <c r="AA456" i="2" s="1"/>
  <c r="AB457" i="2"/>
  <c r="AK457" i="2" s="1"/>
  <c r="AB458" i="2"/>
  <c r="AI458" i="2" s="1"/>
  <c r="AH458" i="2" s="1"/>
  <c r="AB459" i="2"/>
  <c r="AA459" i="2" s="1"/>
  <c r="AB460" i="2"/>
  <c r="AK460" i="2" s="1"/>
  <c r="AB461" i="2"/>
  <c r="AI461" i="2" s="1"/>
  <c r="AH461" i="2" s="1"/>
  <c r="AB462" i="2"/>
  <c r="AI462" i="2" s="1"/>
  <c r="AH462" i="2" s="1"/>
  <c r="AB463" i="2"/>
  <c r="AI463" i="2" s="1"/>
  <c r="AH463" i="2" s="1"/>
  <c r="AB464" i="2"/>
  <c r="AL464" i="2" s="1"/>
  <c r="AB465" i="2"/>
  <c r="AL465" i="2" s="1"/>
  <c r="AB466" i="2"/>
  <c r="AL466" i="2" s="1"/>
  <c r="AB467" i="2"/>
  <c r="AJ467" i="2" s="1"/>
  <c r="AB468" i="2"/>
  <c r="AJ468" i="2" s="1"/>
  <c r="BJ468" i="2"/>
  <c r="CJ468" i="2" s="1"/>
  <c r="BJ459" i="2"/>
  <c r="BJ460" i="2"/>
  <c r="BJ461" i="2"/>
  <c r="BJ462" i="2"/>
  <c r="BJ463" i="2"/>
  <c r="BJ464" i="2"/>
  <c r="CQ456" i="2"/>
  <c r="CQ457" i="2"/>
  <c r="CQ458" i="2"/>
  <c r="CQ459" i="2"/>
  <c r="CQ460" i="2"/>
  <c r="CQ461" i="2"/>
  <c r="CQ462" i="2"/>
  <c r="CQ463" i="2"/>
  <c r="CQ464" i="2"/>
  <c r="CQ465" i="2"/>
  <c r="CQ466" i="2"/>
  <c r="CQ467" i="2"/>
  <c r="CQ468" i="2"/>
  <c r="CR456" i="2"/>
  <c r="CR457" i="2"/>
  <c r="CR458" i="2"/>
  <c r="CR459" i="2"/>
  <c r="CR460" i="2"/>
  <c r="CR461" i="2"/>
  <c r="CR462" i="2"/>
  <c r="CR463" i="2"/>
  <c r="CR464" i="2"/>
  <c r="CR465" i="2"/>
  <c r="CR466" i="2"/>
  <c r="CR467" i="2"/>
  <c r="CR468" i="2"/>
  <c r="CS456" i="2"/>
  <c r="CS457" i="2"/>
  <c r="CS458" i="2"/>
  <c r="CS459" i="2"/>
  <c r="CS460" i="2"/>
  <c r="CS461" i="2"/>
  <c r="CS462" i="2"/>
  <c r="CS463" i="2"/>
  <c r="CS464" i="2"/>
  <c r="CS465" i="2"/>
  <c r="CS466" i="2"/>
  <c r="CS467" i="2"/>
  <c r="CS468" i="2"/>
  <c r="CT456" i="2"/>
  <c r="CT457" i="2"/>
  <c r="CT458" i="2"/>
  <c r="CT459" i="2"/>
  <c r="CT460" i="2"/>
  <c r="CT461" i="2"/>
  <c r="CT462" i="2"/>
  <c r="CT463" i="2"/>
  <c r="CT464" i="2"/>
  <c r="CT465" i="2"/>
  <c r="CT466" i="2"/>
  <c r="CT467" i="2"/>
  <c r="CT468" i="2"/>
  <c r="O455" i="10"/>
  <c r="O456" i="10"/>
  <c r="O457" i="10"/>
  <c r="O458" i="10"/>
  <c r="O459" i="10"/>
  <c r="O460" i="10"/>
  <c r="O461" i="10"/>
  <c r="O462" i="10"/>
  <c r="O463" i="10"/>
  <c r="O464" i="10"/>
  <c r="O465" i="10"/>
  <c r="O466" i="10"/>
  <c r="O467" i="10"/>
  <c r="DI456" i="2"/>
  <c r="P455" i="10" s="1"/>
  <c r="DI457" i="2"/>
  <c r="P456" i="10" s="1"/>
  <c r="DI458" i="2"/>
  <c r="P457" i="10" s="1"/>
  <c r="DI459" i="2"/>
  <c r="P458" i="10" s="1"/>
  <c r="DI460" i="2"/>
  <c r="P459" i="10" s="1"/>
  <c r="DI461" i="2"/>
  <c r="P460" i="10" s="1"/>
  <c r="DI462" i="2"/>
  <c r="P461" i="10" s="1"/>
  <c r="DI463" i="2"/>
  <c r="P462" i="10" s="1"/>
  <c r="DI464" i="2"/>
  <c r="P463" i="10" s="1"/>
  <c r="DI465" i="2"/>
  <c r="P464" i="10" s="1"/>
  <c r="DI466" i="2"/>
  <c r="P465" i="10" s="1"/>
  <c r="DI467" i="2"/>
  <c r="P466" i="10" s="1"/>
  <c r="DI468" i="2"/>
  <c r="P467" i="10" s="1"/>
  <c r="EA456" i="2"/>
  <c r="S455" i="10" s="1"/>
  <c r="EA457" i="2"/>
  <c r="S456" i="10" s="1"/>
  <c r="EA458" i="2"/>
  <c r="S457" i="10" s="1"/>
  <c r="EA459" i="2"/>
  <c r="S458" i="10" s="1"/>
  <c r="EA460" i="2"/>
  <c r="S459" i="10" s="1"/>
  <c r="EA461" i="2"/>
  <c r="S460" i="10" s="1"/>
  <c r="EA462" i="2"/>
  <c r="S461" i="10" s="1"/>
  <c r="EA463" i="2"/>
  <c r="S462" i="10" s="1"/>
  <c r="EA464" i="2"/>
  <c r="S463" i="10" s="1"/>
  <c r="EA465" i="2"/>
  <c r="S464" i="10" s="1"/>
  <c r="EA466" i="2"/>
  <c r="S465" i="10" s="1"/>
  <c r="EA467" i="2"/>
  <c r="S466" i="10" s="1"/>
  <c r="EA468" i="2"/>
  <c r="S467" i="10" s="1"/>
  <c r="EH456" i="2"/>
  <c r="EH457" i="2"/>
  <c r="EH458" i="2"/>
  <c r="EH459" i="2"/>
  <c r="EH460" i="2"/>
  <c r="EH461" i="2"/>
  <c r="EH462" i="2"/>
  <c r="EH463" i="2"/>
  <c r="EH464" i="2"/>
  <c r="EH465" i="2"/>
  <c r="EH466" i="2"/>
  <c r="EH467" i="2"/>
  <c r="EH468" i="2"/>
  <c r="DN456" i="2"/>
  <c r="Q455" i="10" s="1"/>
  <c r="DN457" i="2"/>
  <c r="Q456" i="10" s="1"/>
  <c r="DN458" i="2"/>
  <c r="Q457" i="10" s="1"/>
  <c r="DN459" i="2"/>
  <c r="Q458" i="10" s="1"/>
  <c r="DN460" i="2"/>
  <c r="Q459" i="10" s="1"/>
  <c r="DN461" i="2"/>
  <c r="Q460" i="10" s="1"/>
  <c r="DN462" i="2"/>
  <c r="Q461" i="10" s="1"/>
  <c r="DN463" i="2"/>
  <c r="Q462" i="10" s="1"/>
  <c r="DN464" i="2"/>
  <c r="Q463" i="10" s="1"/>
  <c r="DN465" i="2"/>
  <c r="Q464" i="10" s="1"/>
  <c r="DN466" i="2"/>
  <c r="Q465" i="10" s="1"/>
  <c r="DN467" i="2"/>
  <c r="Q466" i="10" s="1"/>
  <c r="DN468" i="2"/>
  <c r="Q467" i="10" s="1"/>
  <c r="DR456" i="2"/>
  <c r="R455" i="10" s="1"/>
  <c r="DR457" i="2"/>
  <c r="R456" i="10" s="1"/>
  <c r="DR458" i="2"/>
  <c r="R457" i="10" s="1"/>
  <c r="DR459" i="2"/>
  <c r="R458" i="10" s="1"/>
  <c r="DR460" i="2"/>
  <c r="R459" i="10" s="1"/>
  <c r="DR461" i="2"/>
  <c r="R460" i="10" s="1"/>
  <c r="DR462" i="2"/>
  <c r="R461" i="10" s="1"/>
  <c r="DR463" i="2"/>
  <c r="R462" i="10" s="1"/>
  <c r="DR464" i="2"/>
  <c r="R463" i="10" s="1"/>
  <c r="DR465" i="2"/>
  <c r="R464" i="10" s="1"/>
  <c r="DR466" i="2"/>
  <c r="R465" i="10" s="1"/>
  <c r="DR467" i="2"/>
  <c r="R466" i="10" s="1"/>
  <c r="DR468" i="2"/>
  <c r="R467" i="10" s="1"/>
  <c r="ES456" i="2"/>
  <c r="ES457" i="2"/>
  <c r="ES458" i="2"/>
  <c r="ES459" i="2"/>
  <c r="ES460" i="2"/>
  <c r="ES461" i="2"/>
  <c r="ES462" i="2"/>
  <c r="ES463" i="2"/>
  <c r="ES464" i="2"/>
  <c r="ES465" i="2"/>
  <c r="ES466" i="2"/>
  <c r="ES467" i="2"/>
  <c r="ES468" i="2"/>
  <c r="U455" i="10"/>
  <c r="U456" i="10"/>
  <c r="U457" i="10"/>
  <c r="U458" i="10"/>
  <c r="U459" i="10"/>
  <c r="U460" i="10"/>
  <c r="U461" i="10"/>
  <c r="U462" i="10"/>
  <c r="U463" i="10"/>
  <c r="U464" i="10"/>
  <c r="U465" i="10"/>
  <c r="U466" i="10"/>
  <c r="U467" i="10"/>
  <c r="FN456" i="2"/>
  <c r="FN457" i="2"/>
  <c r="FN458" i="2"/>
  <c r="FN459" i="2"/>
  <c r="FN460" i="2"/>
  <c r="FN461" i="2"/>
  <c r="FN462" i="2"/>
  <c r="FN463" i="2"/>
  <c r="FN464" i="2"/>
  <c r="FN465" i="2"/>
  <c r="FN466" i="2"/>
  <c r="FN467" i="2"/>
  <c r="FN468" i="2"/>
  <c r="FT456" i="2"/>
  <c r="FU456" i="2" s="1"/>
  <c r="FT457" i="2"/>
  <c r="FU457" i="2" s="1"/>
  <c r="FT458" i="2"/>
  <c r="FU458" i="2" s="1"/>
  <c r="FT459" i="2"/>
  <c r="FU459" i="2" s="1"/>
  <c r="FT460" i="2"/>
  <c r="FU460" i="2" s="1"/>
  <c r="FT461" i="2"/>
  <c r="FU461" i="2" s="1"/>
  <c r="FT462" i="2"/>
  <c r="FU462" i="2" s="1"/>
  <c r="FT463" i="2"/>
  <c r="FU463" i="2" s="1"/>
  <c r="FT464" i="2"/>
  <c r="FU464" i="2" s="1"/>
  <c r="FT465" i="2"/>
  <c r="FU465" i="2" s="1"/>
  <c r="FT466" i="2"/>
  <c r="FU466" i="2" s="1"/>
  <c r="FT467" i="2"/>
  <c r="FU467" i="2" s="1"/>
  <c r="FT468" i="2"/>
  <c r="FU468" i="2" s="1"/>
  <c r="FV456" i="2"/>
  <c r="FV457" i="2"/>
  <c r="FV458" i="2"/>
  <c r="FV459" i="2"/>
  <c r="FV460" i="2"/>
  <c r="FV461" i="2"/>
  <c r="FV462" i="2"/>
  <c r="FV463" i="2"/>
  <c r="FV464" i="2"/>
  <c r="FV465" i="2"/>
  <c r="FV466" i="2"/>
  <c r="FV467" i="2"/>
  <c r="FV468" i="2"/>
  <c r="GA456" i="2"/>
  <c r="V455" i="10" s="1"/>
  <c r="GA457" i="2"/>
  <c r="V456" i="10" s="1"/>
  <c r="GA458" i="2"/>
  <c r="V457" i="10" s="1"/>
  <c r="GA459" i="2"/>
  <c r="V458" i="10" s="1"/>
  <c r="GA460" i="2"/>
  <c r="V459" i="10" s="1"/>
  <c r="GA461" i="2"/>
  <c r="V460" i="10" s="1"/>
  <c r="GA462" i="2"/>
  <c r="V461" i="10" s="1"/>
  <c r="GA463" i="2"/>
  <c r="V462" i="10" s="1"/>
  <c r="GA464" i="2"/>
  <c r="V463" i="10" s="1"/>
  <c r="GA465" i="2"/>
  <c r="V464" i="10" s="1"/>
  <c r="GA466" i="2"/>
  <c r="V465" i="10" s="1"/>
  <c r="GA467" i="2"/>
  <c r="V466" i="10" s="1"/>
  <c r="GA468" i="2"/>
  <c r="V467" i="10" s="1"/>
  <c r="GD456" i="2"/>
  <c r="W455" i="10" s="1"/>
  <c r="GD457" i="2"/>
  <c r="W456" i="10" s="1"/>
  <c r="GD458" i="2"/>
  <c r="W457" i="10" s="1"/>
  <c r="GD459" i="2"/>
  <c r="W458" i="10" s="1"/>
  <c r="GD460" i="2"/>
  <c r="W459" i="10" s="1"/>
  <c r="GD461" i="2"/>
  <c r="W460" i="10" s="1"/>
  <c r="GD462" i="2"/>
  <c r="W461" i="10" s="1"/>
  <c r="GD463" i="2"/>
  <c r="W462" i="10" s="1"/>
  <c r="GD464" i="2"/>
  <c r="W463" i="10" s="1"/>
  <c r="GD465" i="2"/>
  <c r="W464" i="10" s="1"/>
  <c r="GD466" i="2"/>
  <c r="W465" i="10" s="1"/>
  <c r="GD467" i="2"/>
  <c r="W466" i="10" s="1"/>
  <c r="GD468" i="2"/>
  <c r="W467" i="10" s="1"/>
  <c r="GK456" i="2"/>
  <c r="Y455" i="10" s="1"/>
  <c r="GK457" i="2"/>
  <c r="Y456" i="10" s="1"/>
  <c r="GK458" i="2"/>
  <c r="Y457" i="10" s="1"/>
  <c r="GK459" i="2"/>
  <c r="Y458" i="10" s="1"/>
  <c r="GK460" i="2"/>
  <c r="Y459" i="10" s="1"/>
  <c r="GK461" i="2"/>
  <c r="Y460" i="10" s="1"/>
  <c r="GK462" i="2"/>
  <c r="Y461" i="10" s="1"/>
  <c r="GK463" i="2"/>
  <c r="Y462" i="10" s="1"/>
  <c r="GK464" i="2"/>
  <c r="Y463" i="10" s="1"/>
  <c r="GK465" i="2"/>
  <c r="Y464" i="10" s="1"/>
  <c r="GK466" i="2"/>
  <c r="Y465" i="10" s="1"/>
  <c r="GK467" i="2"/>
  <c r="Y466" i="10" s="1"/>
  <c r="GK468" i="2"/>
  <c r="Y467" i="10" s="1"/>
  <c r="GQ456" i="2"/>
  <c r="GQ457" i="2"/>
  <c r="GQ458" i="2"/>
  <c r="GQ459" i="2"/>
  <c r="GQ460" i="2"/>
  <c r="GQ461" i="2"/>
  <c r="GQ462" i="2"/>
  <c r="GQ463" i="2"/>
  <c r="GQ464" i="2"/>
  <c r="GQ465" i="2"/>
  <c r="GQ466" i="2"/>
  <c r="GQ467" i="2"/>
  <c r="GQ468" i="2"/>
  <c r="GU456" i="2"/>
  <c r="GU457" i="2"/>
  <c r="GU458" i="2"/>
  <c r="GU459" i="2"/>
  <c r="GU460" i="2"/>
  <c r="GU461" i="2"/>
  <c r="GU462" i="2"/>
  <c r="GU463" i="2"/>
  <c r="GU464" i="2"/>
  <c r="GU465" i="2"/>
  <c r="GU466" i="2"/>
  <c r="GU467" i="2"/>
  <c r="GU468" i="2"/>
  <c r="GY456" i="2"/>
  <c r="GY457" i="2"/>
  <c r="GY458" i="2"/>
  <c r="GY459" i="2"/>
  <c r="GY460" i="2"/>
  <c r="GY461" i="2"/>
  <c r="GY462" i="2"/>
  <c r="GY463" i="2"/>
  <c r="GY464" i="2"/>
  <c r="GY465" i="2"/>
  <c r="GY466" i="2"/>
  <c r="GY467" i="2"/>
  <c r="GY468" i="2"/>
  <c r="HC456" i="2"/>
  <c r="HC457" i="2"/>
  <c r="HC458" i="2"/>
  <c r="HC459" i="2"/>
  <c r="HC460" i="2"/>
  <c r="HC461" i="2"/>
  <c r="HC462" i="2"/>
  <c r="HC463" i="2"/>
  <c r="HC464" i="2"/>
  <c r="HC465" i="2"/>
  <c r="HC466" i="2"/>
  <c r="HC467" i="2"/>
  <c r="HC468" i="2"/>
  <c r="HH456" i="2"/>
  <c r="Z455" i="10" s="1"/>
  <c r="HH457" i="2"/>
  <c r="Z456" i="10" s="1"/>
  <c r="HH458" i="2"/>
  <c r="Z457" i="10" s="1"/>
  <c r="HH459" i="2"/>
  <c r="Z458" i="10" s="1"/>
  <c r="HH460" i="2"/>
  <c r="Z459" i="10" s="1"/>
  <c r="HH461" i="2"/>
  <c r="Z460" i="10" s="1"/>
  <c r="HH462" i="2"/>
  <c r="Z461" i="10" s="1"/>
  <c r="HH463" i="2"/>
  <c r="Z462" i="10" s="1"/>
  <c r="HH464" i="2"/>
  <c r="Z463" i="10" s="1"/>
  <c r="HH465" i="2"/>
  <c r="Z464" i="10" s="1"/>
  <c r="HH466" i="2"/>
  <c r="Z465" i="10" s="1"/>
  <c r="HH467" i="2"/>
  <c r="Z466" i="10" s="1"/>
  <c r="HH468" i="2"/>
  <c r="Z467" i="10" s="1"/>
  <c r="HQ456" i="2"/>
  <c r="AA455" i="10" s="1"/>
  <c r="HQ457" i="2"/>
  <c r="AA456" i="10" s="1"/>
  <c r="HQ458" i="2"/>
  <c r="AA457" i="10" s="1"/>
  <c r="HQ459" i="2"/>
  <c r="AA458" i="10" s="1"/>
  <c r="HQ460" i="2"/>
  <c r="AA459" i="10" s="1"/>
  <c r="HQ461" i="2"/>
  <c r="AA460" i="10" s="1"/>
  <c r="HQ462" i="2"/>
  <c r="AA461" i="10" s="1"/>
  <c r="HQ463" i="2"/>
  <c r="AA462" i="10" s="1"/>
  <c r="HQ464" i="2"/>
  <c r="AA463" i="10" s="1"/>
  <c r="HQ465" i="2"/>
  <c r="AA464" i="10" s="1"/>
  <c r="HQ466" i="2"/>
  <c r="AA465" i="10" s="1"/>
  <c r="HQ467" i="2"/>
  <c r="AA466" i="10" s="1"/>
  <c r="HQ468" i="2"/>
  <c r="AA467" i="10" s="1"/>
  <c r="HW456" i="2"/>
  <c r="AB455" i="10" s="1"/>
  <c r="HW457" i="2"/>
  <c r="AB456" i="10" s="1"/>
  <c r="HW458" i="2"/>
  <c r="AB457" i="10" s="1"/>
  <c r="HW459" i="2"/>
  <c r="AB458" i="10" s="1"/>
  <c r="HW460" i="2"/>
  <c r="AB459" i="10" s="1"/>
  <c r="HW461" i="2"/>
  <c r="AB460" i="10" s="1"/>
  <c r="HW462" i="2"/>
  <c r="AB461" i="10" s="1"/>
  <c r="HW463" i="2"/>
  <c r="AB462" i="10" s="1"/>
  <c r="HW464" i="2"/>
  <c r="AB463" i="10" s="1"/>
  <c r="HW465" i="2"/>
  <c r="AB464" i="10" s="1"/>
  <c r="HW466" i="2"/>
  <c r="AB465" i="10" s="1"/>
  <c r="HW467" i="2"/>
  <c r="AB466" i="10" s="1"/>
  <c r="HW468" i="2"/>
  <c r="AB467" i="10" s="1"/>
  <c r="P455" i="2"/>
  <c r="T455" i="2"/>
  <c r="V455" i="2"/>
  <c r="L454" i="10" s="1"/>
  <c r="AB455" i="2"/>
  <c r="AA455" i="2" s="1"/>
  <c r="CQ455" i="2"/>
  <c r="CR455" i="2"/>
  <c r="CS455" i="2"/>
  <c r="CT455" i="2"/>
  <c r="O454" i="10"/>
  <c r="DI455" i="2"/>
  <c r="P454" i="10" s="1"/>
  <c r="EA455" i="2"/>
  <c r="S454" i="10" s="1"/>
  <c r="EH455" i="2"/>
  <c r="DN455" i="2"/>
  <c r="Q454" i="10" s="1"/>
  <c r="DR455" i="2"/>
  <c r="R454" i="10" s="1"/>
  <c r="ES455" i="2"/>
  <c r="U454" i="10"/>
  <c r="FN455" i="2"/>
  <c r="FT455" i="2"/>
  <c r="FU455" i="2" s="1"/>
  <c r="FV455" i="2"/>
  <c r="GA455" i="2"/>
  <c r="V454" i="10" s="1"/>
  <c r="GD455" i="2"/>
  <c r="W454" i="10" s="1"/>
  <c r="GK455" i="2"/>
  <c r="Y454" i="10" s="1"/>
  <c r="GQ455" i="2"/>
  <c r="GU455" i="2"/>
  <c r="GY455" i="2"/>
  <c r="HC455" i="2"/>
  <c r="HH455" i="2"/>
  <c r="Z454" i="10" s="1"/>
  <c r="HQ455" i="2"/>
  <c r="AA454" i="10" s="1"/>
  <c r="HW455" i="2"/>
  <c r="AB454" i="10" s="1"/>
  <c r="P448" i="2"/>
  <c r="P449" i="2"/>
  <c r="P450" i="2"/>
  <c r="P451" i="2"/>
  <c r="P454" i="2"/>
  <c r="T448" i="2"/>
  <c r="T449" i="2"/>
  <c r="T450" i="2"/>
  <c r="T451" i="2"/>
  <c r="T454" i="2"/>
  <c r="V448" i="2"/>
  <c r="L447" i="10" s="1"/>
  <c r="V449" i="2"/>
  <c r="L448" i="10" s="1"/>
  <c r="V450" i="2"/>
  <c r="L449" i="10" s="1"/>
  <c r="V451" i="2"/>
  <c r="L450" i="10" s="1"/>
  <c r="V454" i="2"/>
  <c r="L453" i="10" s="1"/>
  <c r="AB448" i="2"/>
  <c r="AA448" i="2" s="1"/>
  <c r="AB449" i="2"/>
  <c r="AL449" i="2" s="1"/>
  <c r="AB450" i="2"/>
  <c r="AL450" i="2" s="1"/>
  <c r="AB451" i="2"/>
  <c r="AJ451" i="2" s="1"/>
  <c r="AB454" i="2"/>
  <c r="AA454" i="2" s="1"/>
  <c r="CQ448" i="2"/>
  <c r="CQ449" i="2"/>
  <c r="CQ450" i="2"/>
  <c r="CQ451" i="2"/>
  <c r="CQ454" i="2"/>
  <c r="CR448" i="2"/>
  <c r="CR449" i="2"/>
  <c r="CR450" i="2"/>
  <c r="CR451" i="2"/>
  <c r="CR454" i="2"/>
  <c r="CS448" i="2"/>
  <c r="CS449" i="2"/>
  <c r="CS450" i="2"/>
  <c r="CS451" i="2"/>
  <c r="CS454" i="2"/>
  <c r="CT448" i="2"/>
  <c r="CT449" i="2"/>
  <c r="CT450" i="2"/>
  <c r="CT451" i="2"/>
  <c r="CT454" i="2"/>
  <c r="O447" i="10"/>
  <c r="O448" i="10"/>
  <c r="O449" i="10"/>
  <c r="O450" i="10"/>
  <c r="O453" i="10"/>
  <c r="DI448" i="2"/>
  <c r="P447" i="10" s="1"/>
  <c r="DI449" i="2"/>
  <c r="P448" i="10" s="1"/>
  <c r="DI450" i="2"/>
  <c r="P449" i="10" s="1"/>
  <c r="DI451" i="2"/>
  <c r="P450" i="10" s="1"/>
  <c r="DI454" i="2"/>
  <c r="P453" i="10" s="1"/>
  <c r="EA448" i="2"/>
  <c r="S447" i="10" s="1"/>
  <c r="EA449" i="2"/>
  <c r="S448" i="10" s="1"/>
  <c r="EA450" i="2"/>
  <c r="S449" i="10" s="1"/>
  <c r="EA451" i="2"/>
  <c r="S450" i="10" s="1"/>
  <c r="EA454" i="2"/>
  <c r="S453" i="10" s="1"/>
  <c r="EH448" i="2"/>
  <c r="EH449" i="2"/>
  <c r="EH450" i="2"/>
  <c r="EH451" i="2"/>
  <c r="EH454" i="2"/>
  <c r="DN448" i="2"/>
  <c r="Q447" i="10" s="1"/>
  <c r="DN449" i="2"/>
  <c r="Q448" i="10" s="1"/>
  <c r="DN450" i="2"/>
  <c r="Q449" i="10" s="1"/>
  <c r="DN451" i="2"/>
  <c r="Q450" i="10" s="1"/>
  <c r="DN454" i="2"/>
  <c r="Q453" i="10" s="1"/>
  <c r="DR448" i="2"/>
  <c r="R447" i="10" s="1"/>
  <c r="DR449" i="2"/>
  <c r="R448" i="10" s="1"/>
  <c r="DR450" i="2"/>
  <c r="R449" i="10" s="1"/>
  <c r="DR451" i="2"/>
  <c r="R450" i="10" s="1"/>
  <c r="DR454" i="2"/>
  <c r="R453" i="10" s="1"/>
  <c r="ES448" i="2"/>
  <c r="ES449" i="2"/>
  <c r="ES450" i="2"/>
  <c r="ES451" i="2"/>
  <c r="ES454" i="2"/>
  <c r="U447" i="10"/>
  <c r="U448" i="10"/>
  <c r="U449" i="10"/>
  <c r="U450" i="10"/>
  <c r="U453" i="10"/>
  <c r="FN448" i="2"/>
  <c r="FN449" i="2"/>
  <c r="FN450" i="2"/>
  <c r="FN451" i="2"/>
  <c r="FN454" i="2"/>
  <c r="FT448" i="2"/>
  <c r="FU448" i="2" s="1"/>
  <c r="FT449" i="2"/>
  <c r="FU449" i="2" s="1"/>
  <c r="FT450" i="2"/>
  <c r="FU450" i="2" s="1"/>
  <c r="FT451" i="2"/>
  <c r="FU451" i="2" s="1"/>
  <c r="FT454" i="2"/>
  <c r="FU454" i="2" s="1"/>
  <c r="FV448" i="2"/>
  <c r="FV449" i="2"/>
  <c r="FV450" i="2"/>
  <c r="FV451" i="2"/>
  <c r="FV454" i="2"/>
  <c r="GA448" i="2"/>
  <c r="V447" i="10" s="1"/>
  <c r="GA449" i="2"/>
  <c r="V448" i="10" s="1"/>
  <c r="GA450" i="2"/>
  <c r="V449" i="10" s="1"/>
  <c r="GA451" i="2"/>
  <c r="V450" i="10" s="1"/>
  <c r="GA454" i="2"/>
  <c r="V453" i="10" s="1"/>
  <c r="GD448" i="2"/>
  <c r="W447" i="10" s="1"/>
  <c r="GD449" i="2"/>
  <c r="W448" i="10" s="1"/>
  <c r="GD450" i="2"/>
  <c r="W449" i="10" s="1"/>
  <c r="GD451" i="2"/>
  <c r="W450" i="10" s="1"/>
  <c r="GD454" i="2"/>
  <c r="W453" i="10" s="1"/>
  <c r="GK448" i="2"/>
  <c r="Y447" i="10" s="1"/>
  <c r="GK449" i="2"/>
  <c r="Y448" i="10" s="1"/>
  <c r="GK450" i="2"/>
  <c r="Y449" i="10" s="1"/>
  <c r="GK451" i="2"/>
  <c r="Y450" i="10" s="1"/>
  <c r="GK454" i="2"/>
  <c r="Y453" i="10" s="1"/>
  <c r="GQ448" i="2"/>
  <c r="GQ449" i="2"/>
  <c r="GQ450" i="2"/>
  <c r="GQ451" i="2"/>
  <c r="GQ454" i="2"/>
  <c r="GU448" i="2"/>
  <c r="GU449" i="2"/>
  <c r="GU450" i="2"/>
  <c r="GU451" i="2"/>
  <c r="GU454" i="2"/>
  <c r="GY448" i="2"/>
  <c r="GY449" i="2"/>
  <c r="GY450" i="2"/>
  <c r="GY451" i="2"/>
  <c r="GY454" i="2"/>
  <c r="HC448" i="2"/>
  <c r="HC449" i="2"/>
  <c r="HC450" i="2"/>
  <c r="HC451" i="2"/>
  <c r="HC454" i="2"/>
  <c r="HH448" i="2"/>
  <c r="Z447" i="10" s="1"/>
  <c r="HH449" i="2"/>
  <c r="Z448" i="10" s="1"/>
  <c r="HH450" i="2"/>
  <c r="Z449" i="10" s="1"/>
  <c r="HH451" i="2"/>
  <c r="Z450" i="10" s="1"/>
  <c r="HH454" i="2"/>
  <c r="Z453" i="10" s="1"/>
  <c r="HQ448" i="2"/>
  <c r="AA447" i="10" s="1"/>
  <c r="HQ449" i="2"/>
  <c r="AA448" i="10" s="1"/>
  <c r="HQ450" i="2"/>
  <c r="AA449" i="10" s="1"/>
  <c r="HQ451" i="2"/>
  <c r="AA450" i="10" s="1"/>
  <c r="HQ454" i="2"/>
  <c r="AA453" i="10" s="1"/>
  <c r="HW448" i="2"/>
  <c r="AB447" i="10" s="1"/>
  <c r="HW449" i="2"/>
  <c r="AB448" i="10" s="1"/>
  <c r="HW450" i="2"/>
  <c r="AB449" i="10" s="1"/>
  <c r="HW451" i="2"/>
  <c r="AB450" i="10" s="1"/>
  <c r="HW454" i="2"/>
  <c r="AB453" i="10" s="1"/>
  <c r="P447" i="2"/>
  <c r="T447" i="2"/>
  <c r="V447" i="2"/>
  <c r="L446" i="10" s="1"/>
  <c r="AB447" i="2"/>
  <c r="AA447" i="2" s="1"/>
  <c r="CQ447" i="2"/>
  <c r="CR447" i="2"/>
  <c r="CS447" i="2"/>
  <c r="CT447" i="2"/>
  <c r="O446" i="10"/>
  <c r="DI447" i="2"/>
  <c r="P446" i="10" s="1"/>
  <c r="EA447" i="2"/>
  <c r="S446" i="10" s="1"/>
  <c r="EH447" i="2"/>
  <c r="DN447" i="2"/>
  <c r="Q446" i="10" s="1"/>
  <c r="DR447" i="2"/>
  <c r="R446" i="10" s="1"/>
  <c r="ES447" i="2"/>
  <c r="U446" i="10"/>
  <c r="FN447" i="2"/>
  <c r="FT447" i="2"/>
  <c r="FU447" i="2" s="1"/>
  <c r="FV447" i="2"/>
  <c r="GA447" i="2"/>
  <c r="V446" i="10" s="1"/>
  <c r="GD447" i="2"/>
  <c r="W446" i="10" s="1"/>
  <c r="GK447" i="2"/>
  <c r="Y446" i="10" s="1"/>
  <c r="GQ447" i="2"/>
  <c r="GU447" i="2"/>
  <c r="GY447" i="2"/>
  <c r="HC447" i="2"/>
  <c r="HH447" i="2"/>
  <c r="Z446" i="10" s="1"/>
  <c r="HQ447" i="2"/>
  <c r="AA446" i="10" s="1"/>
  <c r="HW447" i="2"/>
  <c r="AB446" i="10" s="1"/>
  <c r="P446" i="2"/>
  <c r="T446" i="2"/>
  <c r="V446" i="2"/>
  <c r="L445" i="10" s="1"/>
  <c r="AB446" i="2"/>
  <c r="AA446" i="2" s="1"/>
  <c r="CQ446" i="2"/>
  <c r="CR446" i="2"/>
  <c r="CS446" i="2"/>
  <c r="CT446" i="2"/>
  <c r="O445" i="10"/>
  <c r="DI446" i="2"/>
  <c r="P445" i="10" s="1"/>
  <c r="EA446" i="2"/>
  <c r="S445" i="10" s="1"/>
  <c r="EH446" i="2"/>
  <c r="DN446" i="2"/>
  <c r="Q445" i="10" s="1"/>
  <c r="DR446" i="2"/>
  <c r="R445" i="10" s="1"/>
  <c r="ES446" i="2"/>
  <c r="U445" i="10"/>
  <c r="FN446" i="2"/>
  <c r="FT446" i="2"/>
  <c r="FU446" i="2" s="1"/>
  <c r="FV446" i="2"/>
  <c r="GA446" i="2"/>
  <c r="V445" i="10" s="1"/>
  <c r="GD446" i="2"/>
  <c r="W445" i="10" s="1"/>
  <c r="GK446" i="2"/>
  <c r="Y445" i="10" s="1"/>
  <c r="GQ446" i="2"/>
  <c r="GU446" i="2"/>
  <c r="GY446" i="2"/>
  <c r="HC446" i="2"/>
  <c r="HH446" i="2"/>
  <c r="Z445" i="10" s="1"/>
  <c r="HQ446" i="2"/>
  <c r="AA445" i="10" s="1"/>
  <c r="HW446" i="2"/>
  <c r="AB445" i="10" s="1"/>
  <c r="P445" i="2"/>
  <c r="T445" i="2"/>
  <c r="V445" i="2"/>
  <c r="L444" i="10" s="1"/>
  <c r="AB445" i="2"/>
  <c r="AA445" i="2" s="1"/>
  <c r="CQ445" i="2"/>
  <c r="CR445" i="2"/>
  <c r="CS445" i="2"/>
  <c r="CT445" i="2"/>
  <c r="O444" i="10"/>
  <c r="DI445" i="2"/>
  <c r="P444" i="10" s="1"/>
  <c r="EA445" i="2"/>
  <c r="S444" i="10" s="1"/>
  <c r="EH445" i="2"/>
  <c r="DN445" i="2"/>
  <c r="Q444" i="10" s="1"/>
  <c r="DR445" i="2"/>
  <c r="R444" i="10" s="1"/>
  <c r="ES445" i="2"/>
  <c r="U444" i="10"/>
  <c r="FN445" i="2"/>
  <c r="FT445" i="2"/>
  <c r="FU445" i="2" s="1"/>
  <c r="FV445" i="2"/>
  <c r="GA445" i="2"/>
  <c r="V444" i="10" s="1"/>
  <c r="GD445" i="2"/>
  <c r="W444" i="10" s="1"/>
  <c r="GK445" i="2"/>
  <c r="Y444" i="10" s="1"/>
  <c r="GQ445" i="2"/>
  <c r="GU445" i="2"/>
  <c r="GY445" i="2"/>
  <c r="HC445" i="2"/>
  <c r="HH445" i="2"/>
  <c r="Z444" i="10" s="1"/>
  <c r="HQ445" i="2"/>
  <c r="AA444" i="10" s="1"/>
  <c r="HW445" i="2"/>
  <c r="AB444" i="10" s="1"/>
  <c r="P444" i="2"/>
  <c r="T444" i="2"/>
  <c r="V444" i="2"/>
  <c r="L443" i="10" s="1"/>
  <c r="AB444" i="2"/>
  <c r="AA444" i="2" s="1"/>
  <c r="CQ444" i="2"/>
  <c r="CR444" i="2"/>
  <c r="CS444" i="2"/>
  <c r="CT444" i="2"/>
  <c r="O443" i="10"/>
  <c r="DI444" i="2"/>
  <c r="P443" i="10" s="1"/>
  <c r="EA444" i="2"/>
  <c r="S443" i="10" s="1"/>
  <c r="EH444" i="2"/>
  <c r="DN444" i="2"/>
  <c r="Q443" i="10" s="1"/>
  <c r="DR444" i="2"/>
  <c r="R443" i="10" s="1"/>
  <c r="ES444" i="2"/>
  <c r="U443" i="10"/>
  <c r="FN444" i="2"/>
  <c r="FT444" i="2"/>
  <c r="FU444" i="2" s="1"/>
  <c r="FV444" i="2"/>
  <c r="GA444" i="2"/>
  <c r="V443" i="10" s="1"/>
  <c r="GD444" i="2"/>
  <c r="W443" i="10" s="1"/>
  <c r="GK444" i="2"/>
  <c r="Y443" i="10" s="1"/>
  <c r="GQ444" i="2"/>
  <c r="GU444" i="2"/>
  <c r="GY444" i="2"/>
  <c r="HC444" i="2"/>
  <c r="HH444" i="2"/>
  <c r="Z443" i="10" s="1"/>
  <c r="HQ444" i="2"/>
  <c r="AA443" i="10" s="1"/>
  <c r="HW444" i="2"/>
  <c r="AB443" i="10" s="1"/>
  <c r="P442" i="2"/>
  <c r="P443" i="2"/>
  <c r="T442" i="2"/>
  <c r="T443" i="2"/>
  <c r="V442" i="2"/>
  <c r="L441" i="10" s="1"/>
  <c r="V443" i="2"/>
  <c r="L442" i="10" s="1"/>
  <c r="AB442" i="2"/>
  <c r="AJ442" i="2" s="1"/>
  <c r="AB443" i="2"/>
  <c r="AJ443" i="2" s="1"/>
  <c r="CQ442" i="2"/>
  <c r="CQ443" i="2"/>
  <c r="CR442" i="2"/>
  <c r="CR443" i="2"/>
  <c r="CS442" i="2"/>
  <c r="CS443" i="2"/>
  <c r="CT442" i="2"/>
  <c r="CT443" i="2"/>
  <c r="O441" i="10"/>
  <c r="O442" i="10"/>
  <c r="DI442" i="2"/>
  <c r="P441" i="10" s="1"/>
  <c r="DI443" i="2"/>
  <c r="P442" i="10" s="1"/>
  <c r="EA442" i="2"/>
  <c r="S441" i="10" s="1"/>
  <c r="EA443" i="2"/>
  <c r="S442" i="10" s="1"/>
  <c r="EH442" i="2"/>
  <c r="EH443" i="2"/>
  <c r="DN442" i="2"/>
  <c r="Q441" i="10" s="1"/>
  <c r="DN443" i="2"/>
  <c r="Q442" i="10" s="1"/>
  <c r="DR442" i="2"/>
  <c r="R441" i="10" s="1"/>
  <c r="DR443" i="2"/>
  <c r="R442" i="10" s="1"/>
  <c r="ES442" i="2"/>
  <c r="ES443" i="2"/>
  <c r="U441" i="10"/>
  <c r="U442" i="10"/>
  <c r="FN442" i="2"/>
  <c r="FN443" i="2"/>
  <c r="FT442" i="2"/>
  <c r="FU442" i="2" s="1"/>
  <c r="FT443" i="2"/>
  <c r="FU443" i="2" s="1"/>
  <c r="FV442" i="2"/>
  <c r="FV443" i="2"/>
  <c r="GA442" i="2"/>
  <c r="V441" i="10" s="1"/>
  <c r="GA443" i="2"/>
  <c r="V442" i="10" s="1"/>
  <c r="GD442" i="2"/>
  <c r="W441" i="10" s="1"/>
  <c r="GD443" i="2"/>
  <c r="W442" i="10" s="1"/>
  <c r="GK442" i="2"/>
  <c r="Y441" i="10" s="1"/>
  <c r="GK443" i="2"/>
  <c r="Y442" i="10" s="1"/>
  <c r="GQ442" i="2"/>
  <c r="GQ443" i="2"/>
  <c r="GU442" i="2"/>
  <c r="GU443" i="2"/>
  <c r="GY442" i="2"/>
  <c r="GY443" i="2"/>
  <c r="HC442" i="2"/>
  <c r="HC443" i="2"/>
  <c r="HH442" i="2"/>
  <c r="Z441" i="10" s="1"/>
  <c r="HH443" i="2"/>
  <c r="Z442" i="10" s="1"/>
  <c r="HQ442" i="2"/>
  <c r="AA441" i="10" s="1"/>
  <c r="HQ443" i="2"/>
  <c r="AA442" i="10" s="1"/>
  <c r="HW442" i="2"/>
  <c r="AB441" i="10" s="1"/>
  <c r="HW443" i="2"/>
  <c r="AB442" i="10" s="1"/>
  <c r="P441" i="2"/>
  <c r="T441" i="2"/>
  <c r="V441" i="2"/>
  <c r="L440" i="10" s="1"/>
  <c r="AB441" i="2"/>
  <c r="AA441" i="2" s="1"/>
  <c r="CQ441" i="2"/>
  <c r="CR441" i="2"/>
  <c r="CS441" i="2"/>
  <c r="CT441" i="2"/>
  <c r="O440" i="10"/>
  <c r="DI441" i="2"/>
  <c r="P440" i="10" s="1"/>
  <c r="EA441" i="2"/>
  <c r="S440" i="10" s="1"/>
  <c r="EH441" i="2"/>
  <c r="DN441" i="2"/>
  <c r="Q440" i="10" s="1"/>
  <c r="DR441" i="2"/>
  <c r="R440" i="10" s="1"/>
  <c r="ES441" i="2"/>
  <c r="U440" i="10"/>
  <c r="FN441" i="2"/>
  <c r="FT441" i="2"/>
  <c r="FU441" i="2" s="1"/>
  <c r="FV441" i="2"/>
  <c r="GA441" i="2"/>
  <c r="V440" i="10" s="1"/>
  <c r="GD441" i="2"/>
  <c r="W440" i="10" s="1"/>
  <c r="GK441" i="2"/>
  <c r="Y440" i="10" s="1"/>
  <c r="GQ441" i="2"/>
  <c r="GU441" i="2"/>
  <c r="GY441" i="2"/>
  <c r="HC441" i="2"/>
  <c r="HH441" i="2"/>
  <c r="Z440" i="10" s="1"/>
  <c r="HQ441" i="2"/>
  <c r="AA440" i="10" s="1"/>
  <c r="HW441" i="2"/>
  <c r="AB440" i="10" s="1"/>
  <c r="AO3" i="2" l="1"/>
  <c r="L262" i="10"/>
  <c r="L263" i="10"/>
  <c r="L264" i="10"/>
  <c r="L269" i="10"/>
  <c r="U456" i="2"/>
  <c r="K455" i="10" s="1"/>
  <c r="J455" i="10"/>
  <c r="U457" i="2"/>
  <c r="K456" i="10" s="1"/>
  <c r="J456" i="10"/>
  <c r="U458" i="2"/>
  <c r="K457" i="10" s="1"/>
  <c r="J457" i="10"/>
  <c r="U459" i="2"/>
  <c r="K458" i="10" s="1"/>
  <c r="J458" i="10"/>
  <c r="U460" i="2"/>
  <c r="K459" i="10" s="1"/>
  <c r="J459" i="10"/>
  <c r="U461" i="2"/>
  <c r="K460" i="10" s="1"/>
  <c r="J460" i="10"/>
  <c r="U462" i="2"/>
  <c r="K461" i="10" s="1"/>
  <c r="J461" i="10"/>
  <c r="U463" i="2"/>
  <c r="K462" i="10" s="1"/>
  <c r="J462" i="10"/>
  <c r="U464" i="2"/>
  <c r="K463" i="10" s="1"/>
  <c r="J463" i="10"/>
  <c r="U465" i="2"/>
  <c r="K464" i="10" s="1"/>
  <c r="J464" i="10"/>
  <c r="U466" i="2"/>
  <c r="K465" i="10" s="1"/>
  <c r="J465" i="10"/>
  <c r="U467" i="2"/>
  <c r="K466" i="10" s="1"/>
  <c r="J466" i="10"/>
  <c r="U468" i="2"/>
  <c r="K467" i="10" s="1"/>
  <c r="J467" i="10"/>
  <c r="U455" i="2"/>
  <c r="K454" i="10" s="1"/>
  <c r="J454" i="10"/>
  <c r="U448" i="2"/>
  <c r="K447" i="10" s="1"/>
  <c r="J447" i="10"/>
  <c r="U449" i="2"/>
  <c r="K448" i="10" s="1"/>
  <c r="J448" i="10"/>
  <c r="U450" i="2"/>
  <c r="K449" i="10" s="1"/>
  <c r="J449" i="10"/>
  <c r="U451" i="2"/>
  <c r="K450" i="10" s="1"/>
  <c r="J450" i="10"/>
  <c r="U454" i="2"/>
  <c r="K453" i="10" s="1"/>
  <c r="J453" i="10"/>
  <c r="U447" i="2"/>
  <c r="K446" i="10" s="1"/>
  <c r="J446" i="10"/>
  <c r="U446" i="2"/>
  <c r="K445" i="10" s="1"/>
  <c r="J445" i="10"/>
  <c r="U445" i="2"/>
  <c r="K444" i="10" s="1"/>
  <c r="J444" i="10"/>
  <c r="U444" i="2"/>
  <c r="K443" i="10" s="1"/>
  <c r="J443" i="10"/>
  <c r="U442" i="2"/>
  <c r="K441" i="10" s="1"/>
  <c r="J441" i="10"/>
  <c r="U443" i="2"/>
  <c r="K442" i="10" s="1"/>
  <c r="J442" i="10"/>
  <c r="U441" i="2"/>
  <c r="K440" i="10" s="1"/>
  <c r="J440" i="10"/>
  <c r="Q434" i="2"/>
  <c r="H433" i="10" s="1"/>
  <c r="CJ434" i="2"/>
  <c r="Q433" i="2"/>
  <c r="H432" i="10" s="1"/>
  <c r="CJ433" i="2"/>
  <c r="Q453" i="2"/>
  <c r="H452" i="10" s="1"/>
  <c r="W453" i="2"/>
  <c r="M452" i="10" s="1"/>
  <c r="N452" i="10" s="1"/>
  <c r="CU3" i="2"/>
  <c r="Q468" i="2"/>
  <c r="H467" i="10" s="1"/>
  <c r="Q462" i="2"/>
  <c r="H461" i="10" s="1"/>
  <c r="Q459" i="2"/>
  <c r="H458" i="10" s="1"/>
  <c r="Q460" i="2"/>
  <c r="H459" i="10" s="1"/>
  <c r="Q464" i="2"/>
  <c r="H463" i="10" s="1"/>
  <c r="Q463" i="2"/>
  <c r="H462" i="10" s="1"/>
  <c r="Q461" i="2"/>
  <c r="H460" i="10" s="1"/>
  <c r="N3" i="2"/>
  <c r="AK455" i="2"/>
  <c r="AJ455" i="2"/>
  <c r="AK467" i="2"/>
  <c r="AL455" i="2"/>
  <c r="AJ447" i="2"/>
  <c r="AI445" i="2"/>
  <c r="AH445" i="2" s="1"/>
  <c r="AA467" i="2"/>
  <c r="AL444" i="2"/>
  <c r="AK466" i="2"/>
  <c r="AK465" i="2"/>
  <c r="AK463" i="2"/>
  <c r="AJ466" i="2"/>
  <c r="AA463" i="2"/>
  <c r="AJ465" i="2"/>
  <c r="AA462" i="2"/>
  <c r="AJ463" i="2"/>
  <c r="AK464" i="2"/>
  <c r="AA466" i="2"/>
  <c r="AA465" i="2"/>
  <c r="AK462" i="2"/>
  <c r="AA464" i="2"/>
  <c r="AJ464" i="2"/>
  <c r="AJ462" i="2"/>
  <c r="BJ467" i="2"/>
  <c r="Q467" i="2" s="1"/>
  <c r="H466" i="10" s="1"/>
  <c r="BJ458" i="2"/>
  <c r="W458" i="2" s="1"/>
  <c r="M457" i="10" s="1"/>
  <c r="N457" i="10" s="1"/>
  <c r="BJ466" i="2"/>
  <c r="Q466" i="2" s="1"/>
  <c r="H465" i="10" s="1"/>
  <c r="BJ457" i="2"/>
  <c r="W457" i="2" s="1"/>
  <c r="M456" i="10" s="1"/>
  <c r="N456" i="10" s="1"/>
  <c r="BJ465" i="2"/>
  <c r="CJ465" i="2" s="1"/>
  <c r="BJ456" i="2"/>
  <c r="CJ456" i="2" s="1"/>
  <c r="AI456" i="2"/>
  <c r="AH456" i="2" s="1"/>
  <c r="AL463" i="2"/>
  <c r="AL462" i="2"/>
  <c r="AK468" i="2"/>
  <c r="AI467" i="2"/>
  <c r="AH467" i="2" s="1"/>
  <c r="AI465" i="2"/>
  <c r="AH465" i="2" s="1"/>
  <c r="AI464" i="2"/>
  <c r="AH464" i="2" s="1"/>
  <c r="AI466" i="2"/>
  <c r="AH466" i="2" s="1"/>
  <c r="AI468" i="2"/>
  <c r="AH468" i="2" s="1"/>
  <c r="AI457" i="2"/>
  <c r="AH457" i="2" s="1"/>
  <c r="AA468" i="2"/>
  <c r="W460" i="2"/>
  <c r="M459" i="10" s="1"/>
  <c r="N459" i="10" s="1"/>
  <c r="CJ460" i="2"/>
  <c r="CJ464" i="2"/>
  <c r="W464" i="2"/>
  <c r="M463" i="10" s="1"/>
  <c r="N463" i="10" s="1"/>
  <c r="W463" i="2"/>
  <c r="M462" i="10" s="1"/>
  <c r="N462" i="10" s="1"/>
  <c r="CJ463" i="2"/>
  <c r="CJ462" i="2"/>
  <c r="W462" i="2"/>
  <c r="M461" i="10" s="1"/>
  <c r="N461" i="10" s="1"/>
  <c r="W461" i="2"/>
  <c r="M460" i="10" s="1"/>
  <c r="N460" i="10" s="1"/>
  <c r="CJ461" i="2"/>
  <c r="W459" i="2"/>
  <c r="M458" i="10" s="1"/>
  <c r="N458" i="10" s="1"/>
  <c r="CJ459" i="2"/>
  <c r="AL459" i="2"/>
  <c r="AL457" i="2"/>
  <c r="AL456" i="2"/>
  <c r="AJ457" i="2"/>
  <c r="AK461" i="2"/>
  <c r="AK459" i="2"/>
  <c r="AA458" i="2"/>
  <c r="AL454" i="2"/>
  <c r="AI455" i="2"/>
  <c r="AH455" i="2" s="1"/>
  <c r="AK456" i="2"/>
  <c r="AI460" i="2"/>
  <c r="AH460" i="2" s="1"/>
  <c r="W468" i="2"/>
  <c r="M467" i="10" s="1"/>
  <c r="N467" i="10" s="1"/>
  <c r="AL461" i="2"/>
  <c r="AL458" i="2"/>
  <c r="AJ460" i="2"/>
  <c r="AJ459" i="2"/>
  <c r="AJ458" i="2"/>
  <c r="AL468" i="2"/>
  <c r="AL467" i="2"/>
  <c r="AK458" i="2"/>
  <c r="AK454" i="2"/>
  <c r="AI459" i="2"/>
  <c r="AH459" i="2" s="1"/>
  <c r="AI454" i="2"/>
  <c r="AH454" i="2" s="1"/>
  <c r="AL460" i="2"/>
  <c r="AJ461" i="2"/>
  <c r="AJ456" i="2"/>
  <c r="AA461" i="2"/>
  <c r="AA460" i="2"/>
  <c r="AA457" i="2"/>
  <c r="AJ454" i="2"/>
  <c r="BJ455" i="2"/>
  <c r="W455" i="2" s="1"/>
  <c r="M454" i="10" s="1"/>
  <c r="N454" i="10" s="1"/>
  <c r="BJ454" i="2"/>
  <c r="W454" i="2" s="1"/>
  <c r="M453" i="10" s="1"/>
  <c r="N453" i="10" s="1"/>
  <c r="BJ451" i="2"/>
  <c r="Q451" i="2" s="1"/>
  <c r="H450" i="10" s="1"/>
  <c r="BJ450" i="2"/>
  <c r="Q450" i="2" s="1"/>
  <c r="H449" i="10" s="1"/>
  <c r="BJ449" i="2"/>
  <c r="Q449" i="2" s="1"/>
  <c r="H448" i="10" s="1"/>
  <c r="BJ448" i="2"/>
  <c r="CJ448" i="2" s="1"/>
  <c r="AL448" i="2"/>
  <c r="AK451" i="2"/>
  <c r="AA451" i="2"/>
  <c r="AJ450" i="2"/>
  <c r="AJ449" i="2"/>
  <c r="AJ448" i="2"/>
  <c r="AI451" i="2"/>
  <c r="AH451" i="2" s="1"/>
  <c r="AI449" i="2"/>
  <c r="AH449" i="2" s="1"/>
  <c r="AI448" i="2"/>
  <c r="AH448" i="2" s="1"/>
  <c r="AK447" i="2"/>
  <c r="AL451" i="2"/>
  <c r="AK450" i="2"/>
  <c r="AK449" i="2"/>
  <c r="AK448" i="2"/>
  <c r="AA450" i="2"/>
  <c r="AA449" i="2"/>
  <c r="AI450" i="2"/>
  <c r="AH450" i="2" s="1"/>
  <c r="AL446" i="2"/>
  <c r="AK446" i="2"/>
  <c r="AJ446" i="2"/>
  <c r="BJ447" i="2"/>
  <c r="Q447" i="2" s="1"/>
  <c r="H446" i="10" s="1"/>
  <c r="AL447" i="2"/>
  <c r="AI447" i="2"/>
  <c r="AH447" i="2" s="1"/>
  <c r="AL445" i="2"/>
  <c r="AK445" i="2"/>
  <c r="AJ445" i="2"/>
  <c r="BJ446" i="2"/>
  <c r="CJ446" i="2" s="1"/>
  <c r="AI446" i="2"/>
  <c r="AH446" i="2" s="1"/>
  <c r="AK444" i="2"/>
  <c r="AI442" i="2"/>
  <c r="AH442" i="2" s="1"/>
  <c r="AL441" i="2"/>
  <c r="AJ441" i="2"/>
  <c r="AI443" i="2"/>
  <c r="AH443" i="2" s="1"/>
  <c r="AJ444" i="2"/>
  <c r="AK441" i="2"/>
  <c r="AI441" i="2"/>
  <c r="AH441" i="2" s="1"/>
  <c r="AI444" i="2"/>
  <c r="AH444" i="2" s="1"/>
  <c r="BJ442" i="2"/>
  <c r="CJ442" i="2" s="1"/>
  <c r="BJ445" i="2"/>
  <c r="Q445" i="2" s="1"/>
  <c r="H444" i="10" s="1"/>
  <c r="BJ443" i="2"/>
  <c r="W443" i="2" s="1"/>
  <c r="M442" i="10" s="1"/>
  <c r="N442" i="10" s="1"/>
  <c r="BJ444" i="2"/>
  <c r="CJ444" i="2" s="1"/>
  <c r="AA443" i="2"/>
  <c r="AL443" i="2"/>
  <c r="AL442" i="2"/>
  <c r="AK443" i="2"/>
  <c r="AK442" i="2"/>
  <c r="AA442" i="2"/>
  <c r="BJ441" i="2"/>
  <c r="Q441" i="2" s="1"/>
  <c r="H440" i="10" s="1"/>
  <c r="Q442" i="2" l="1"/>
  <c r="H441" i="10" s="1"/>
  <c r="Q444" i="2"/>
  <c r="H443" i="10" s="1"/>
  <c r="Q443" i="2"/>
  <c r="H442" i="10" s="1"/>
  <c r="Q446" i="2"/>
  <c r="H445" i="10" s="1"/>
  <c r="Q456" i="2"/>
  <c r="H455" i="10" s="1"/>
  <c r="Q465" i="2"/>
  <c r="H464" i="10" s="1"/>
  <c r="Q458" i="2"/>
  <c r="H457" i="10" s="1"/>
  <c r="Q448" i="2"/>
  <c r="H447" i="10" s="1"/>
  <c r="H456" i="10"/>
  <c r="Q454" i="2"/>
  <c r="H453" i="10" s="1"/>
  <c r="H454" i="10"/>
  <c r="W448" i="2"/>
  <c r="M447" i="10" s="1"/>
  <c r="N447" i="10" s="1"/>
  <c r="CJ467" i="2"/>
  <c r="W456" i="2"/>
  <c r="M455" i="10" s="1"/>
  <c r="N455" i="10" s="1"/>
  <c r="W467" i="2"/>
  <c r="M466" i="10" s="1"/>
  <c r="N466" i="10" s="1"/>
  <c r="W465" i="2"/>
  <c r="M464" i="10" s="1"/>
  <c r="N464" i="10" s="1"/>
  <c r="CJ457" i="2"/>
  <c r="CJ466" i="2"/>
  <c r="W466" i="2"/>
  <c r="M465" i="10" s="1"/>
  <c r="N465" i="10" s="1"/>
  <c r="CJ458" i="2"/>
  <c r="CJ449" i="2"/>
  <c r="W449" i="2"/>
  <c r="M448" i="10" s="1"/>
  <c r="N448" i="10" s="1"/>
  <c r="W450" i="2"/>
  <c r="M449" i="10" s="1"/>
  <c r="N449" i="10" s="1"/>
  <c r="CJ450" i="2"/>
  <c r="W451" i="2"/>
  <c r="M450" i="10" s="1"/>
  <c r="N450" i="10" s="1"/>
  <c r="CJ454" i="2"/>
  <c r="CJ451" i="2"/>
  <c r="CJ455" i="2"/>
  <c r="CJ447" i="2"/>
  <c r="W447" i="2"/>
  <c r="M446" i="10" s="1"/>
  <c r="N446" i="10" s="1"/>
  <c r="W446" i="2"/>
  <c r="M445" i="10" s="1"/>
  <c r="N445" i="10" s="1"/>
  <c r="CJ443" i="2"/>
  <c r="CJ445" i="2"/>
  <c r="W445" i="2"/>
  <c r="M444" i="10" s="1"/>
  <c r="N444" i="10" s="1"/>
  <c r="W442" i="2"/>
  <c r="M441" i="10" s="1"/>
  <c r="N441" i="10" s="1"/>
  <c r="W444" i="2"/>
  <c r="M443" i="10" s="1"/>
  <c r="N443" i="10" s="1"/>
  <c r="CJ441" i="2"/>
  <c r="W441" i="2"/>
  <c r="M440" i="10" s="1"/>
  <c r="N440" i="10" s="1"/>
  <c r="V368" i="2" l="1"/>
  <c r="L367" i="10" s="1"/>
  <c r="CX3" i="2" l="1"/>
  <c r="S3" i="2"/>
  <c r="R3" i="2"/>
  <c r="BA19" i="3" l="1"/>
  <c r="BA20" i="3"/>
  <c r="BA21" i="3"/>
  <c r="BA22" i="3"/>
  <c r="BA23" i="3"/>
  <c r="BA18" i="3"/>
  <c r="O439" i="10"/>
  <c r="ER440" i="2" l="1"/>
  <c r="EG440" i="2"/>
  <c r="EP3" i="2" l="1"/>
  <c r="ED3" i="2"/>
  <c r="GD5" i="2"/>
  <c r="W4" i="10" s="1"/>
  <c r="GD6" i="2"/>
  <c r="W5" i="10" s="1"/>
  <c r="GD7" i="2"/>
  <c r="W6" i="10" s="1"/>
  <c r="GD8" i="2"/>
  <c r="W7" i="10" s="1"/>
  <c r="GD9" i="2"/>
  <c r="W8" i="10" s="1"/>
  <c r="GD10" i="2"/>
  <c r="W9" i="10" s="1"/>
  <c r="GD11" i="2"/>
  <c r="W10" i="10" s="1"/>
  <c r="GD12" i="2"/>
  <c r="W11" i="10" s="1"/>
  <c r="GD13" i="2"/>
  <c r="W12" i="10" s="1"/>
  <c r="GD14" i="2"/>
  <c r="W13" i="10" s="1"/>
  <c r="GD15" i="2"/>
  <c r="W14" i="10" s="1"/>
  <c r="GD16" i="2"/>
  <c r="W15" i="10" s="1"/>
  <c r="GD17" i="2"/>
  <c r="W16" i="10" s="1"/>
  <c r="GD18" i="2"/>
  <c r="W17" i="10" s="1"/>
  <c r="GD19" i="2"/>
  <c r="W18" i="10" s="1"/>
  <c r="GD20" i="2"/>
  <c r="W19" i="10" s="1"/>
  <c r="GD21" i="2"/>
  <c r="W20" i="10" s="1"/>
  <c r="GD22" i="2"/>
  <c r="W21" i="10" s="1"/>
  <c r="GD23" i="2"/>
  <c r="W22" i="10" s="1"/>
  <c r="GD24" i="2"/>
  <c r="W23" i="10" s="1"/>
  <c r="GD25" i="2"/>
  <c r="W24" i="10" s="1"/>
  <c r="GD26" i="2"/>
  <c r="W25" i="10" s="1"/>
  <c r="GD27" i="2"/>
  <c r="W26" i="10" s="1"/>
  <c r="GD28" i="2"/>
  <c r="W27" i="10" s="1"/>
  <c r="GD29" i="2"/>
  <c r="W28" i="10" s="1"/>
  <c r="GD30" i="2"/>
  <c r="W29" i="10" s="1"/>
  <c r="GD31" i="2"/>
  <c r="W30" i="10" s="1"/>
  <c r="GD32" i="2"/>
  <c r="W31" i="10" s="1"/>
  <c r="GD33" i="2"/>
  <c r="W32" i="10" s="1"/>
  <c r="GD34" i="2"/>
  <c r="W33" i="10" s="1"/>
  <c r="GD35" i="2"/>
  <c r="W34" i="10" s="1"/>
  <c r="GD36" i="2"/>
  <c r="W35" i="10" s="1"/>
  <c r="GD37" i="2"/>
  <c r="W36" i="10" s="1"/>
  <c r="GD38" i="2"/>
  <c r="W37" i="10" s="1"/>
  <c r="GD39" i="2"/>
  <c r="W38" i="10" s="1"/>
  <c r="GD40" i="2"/>
  <c r="W39" i="10" s="1"/>
  <c r="GD41" i="2"/>
  <c r="W40" i="10" s="1"/>
  <c r="GD42" i="2"/>
  <c r="W41" i="10" s="1"/>
  <c r="GD43" i="2"/>
  <c r="W42" i="10" s="1"/>
  <c r="GD44" i="2"/>
  <c r="W43" i="10" s="1"/>
  <c r="GD45" i="2"/>
  <c r="W44" i="10" s="1"/>
  <c r="GD46" i="2"/>
  <c r="W45" i="10" s="1"/>
  <c r="GD47" i="2"/>
  <c r="W46" i="10" s="1"/>
  <c r="GD48" i="2"/>
  <c r="W47" i="10" s="1"/>
  <c r="GD49" i="2"/>
  <c r="W48" i="10" s="1"/>
  <c r="GD50" i="2"/>
  <c r="W49" i="10" s="1"/>
  <c r="GD51" i="2"/>
  <c r="W50" i="10" s="1"/>
  <c r="GD52" i="2"/>
  <c r="W51" i="10" s="1"/>
  <c r="GD53" i="2"/>
  <c r="W52" i="10" s="1"/>
  <c r="GD54" i="2"/>
  <c r="W53" i="10" s="1"/>
  <c r="GD55" i="2"/>
  <c r="W54" i="10" s="1"/>
  <c r="GD56" i="2"/>
  <c r="W55" i="10" s="1"/>
  <c r="GD57" i="2"/>
  <c r="W56" i="10" s="1"/>
  <c r="GD58" i="2"/>
  <c r="W57" i="10" s="1"/>
  <c r="GD59" i="2"/>
  <c r="W58" i="10" s="1"/>
  <c r="GD60" i="2"/>
  <c r="W59" i="10" s="1"/>
  <c r="GD61" i="2"/>
  <c r="W60" i="10" s="1"/>
  <c r="GD62" i="2"/>
  <c r="W61" i="10" s="1"/>
  <c r="GD63" i="2"/>
  <c r="W62" i="10" s="1"/>
  <c r="GD64" i="2"/>
  <c r="W63" i="10" s="1"/>
  <c r="GD65" i="2"/>
  <c r="W64" i="10" s="1"/>
  <c r="GD66" i="2"/>
  <c r="W65" i="10" s="1"/>
  <c r="GD67" i="2"/>
  <c r="W66" i="10" s="1"/>
  <c r="GD68" i="2"/>
  <c r="W67" i="10" s="1"/>
  <c r="GD69" i="2"/>
  <c r="W68" i="10" s="1"/>
  <c r="GD70" i="2"/>
  <c r="W69" i="10" s="1"/>
  <c r="GD71" i="2"/>
  <c r="W70" i="10" s="1"/>
  <c r="GD72" i="2"/>
  <c r="W71" i="10" s="1"/>
  <c r="GD73" i="2"/>
  <c r="W72" i="10" s="1"/>
  <c r="GD74" i="2"/>
  <c r="W73" i="10" s="1"/>
  <c r="GD75" i="2"/>
  <c r="W74" i="10" s="1"/>
  <c r="GD76" i="2"/>
  <c r="W75" i="10" s="1"/>
  <c r="GD77" i="2"/>
  <c r="W76" i="10" s="1"/>
  <c r="GD78" i="2"/>
  <c r="W77" i="10" s="1"/>
  <c r="GD79" i="2"/>
  <c r="W78" i="10" s="1"/>
  <c r="GD80" i="2"/>
  <c r="W79" i="10" s="1"/>
  <c r="GD81" i="2"/>
  <c r="W80" i="10" s="1"/>
  <c r="GD82" i="2"/>
  <c r="W81" i="10" s="1"/>
  <c r="GD83" i="2"/>
  <c r="W82" i="10" s="1"/>
  <c r="GD84" i="2"/>
  <c r="W83" i="10" s="1"/>
  <c r="GD85" i="2"/>
  <c r="W84" i="10" s="1"/>
  <c r="GD86" i="2"/>
  <c r="W85" i="10" s="1"/>
  <c r="GD87" i="2"/>
  <c r="W86" i="10" s="1"/>
  <c r="GD88" i="2"/>
  <c r="W87" i="10" s="1"/>
  <c r="GD89" i="2"/>
  <c r="W88" i="10" s="1"/>
  <c r="GD90" i="2"/>
  <c r="W89" i="10" s="1"/>
  <c r="GD91" i="2"/>
  <c r="W90" i="10" s="1"/>
  <c r="GD92" i="2"/>
  <c r="W91" i="10" s="1"/>
  <c r="GD93" i="2"/>
  <c r="W92" i="10" s="1"/>
  <c r="GD94" i="2"/>
  <c r="W93" i="10" s="1"/>
  <c r="GD95" i="2"/>
  <c r="W94" i="10" s="1"/>
  <c r="GD96" i="2"/>
  <c r="W95" i="10" s="1"/>
  <c r="GD97" i="2"/>
  <c r="W96" i="10" s="1"/>
  <c r="GD98" i="2"/>
  <c r="W97" i="10" s="1"/>
  <c r="GD99" i="2"/>
  <c r="W98" i="10" s="1"/>
  <c r="GD100" i="2"/>
  <c r="W99" i="10" s="1"/>
  <c r="GD101" i="2"/>
  <c r="W100" i="10" s="1"/>
  <c r="GD102" i="2"/>
  <c r="W101" i="10" s="1"/>
  <c r="GD103" i="2"/>
  <c r="W102" i="10" s="1"/>
  <c r="GD104" i="2"/>
  <c r="W103" i="10" s="1"/>
  <c r="GD105" i="2"/>
  <c r="W104" i="10" s="1"/>
  <c r="GD106" i="2"/>
  <c r="W105" i="10" s="1"/>
  <c r="GD107" i="2"/>
  <c r="W106" i="10" s="1"/>
  <c r="GD108" i="2"/>
  <c r="W107" i="10" s="1"/>
  <c r="GD109" i="2"/>
  <c r="W108" i="10" s="1"/>
  <c r="GD110" i="2"/>
  <c r="W109" i="10" s="1"/>
  <c r="GD111" i="2"/>
  <c r="W110" i="10" s="1"/>
  <c r="GD112" i="2"/>
  <c r="W111" i="10" s="1"/>
  <c r="GD113" i="2"/>
  <c r="W112" i="10" s="1"/>
  <c r="GD114" i="2"/>
  <c r="W113" i="10" s="1"/>
  <c r="GD115" i="2"/>
  <c r="W114" i="10" s="1"/>
  <c r="GD116" i="2"/>
  <c r="W115" i="10" s="1"/>
  <c r="GD117" i="2"/>
  <c r="W116" i="10" s="1"/>
  <c r="GD118" i="2"/>
  <c r="W117" i="10" s="1"/>
  <c r="GD119" i="2"/>
  <c r="W118" i="10" s="1"/>
  <c r="GD120" i="2"/>
  <c r="W119" i="10" s="1"/>
  <c r="GD121" i="2"/>
  <c r="W120" i="10" s="1"/>
  <c r="GD122" i="2"/>
  <c r="W121" i="10" s="1"/>
  <c r="GD123" i="2"/>
  <c r="W122" i="10" s="1"/>
  <c r="GD124" i="2"/>
  <c r="W123" i="10" s="1"/>
  <c r="GD125" i="2"/>
  <c r="W124" i="10" s="1"/>
  <c r="GD126" i="2"/>
  <c r="W125" i="10" s="1"/>
  <c r="GD127" i="2"/>
  <c r="W126" i="10" s="1"/>
  <c r="GD128" i="2"/>
  <c r="W127" i="10" s="1"/>
  <c r="GD129" i="2"/>
  <c r="W128" i="10" s="1"/>
  <c r="GD130" i="2"/>
  <c r="W129" i="10" s="1"/>
  <c r="GD131" i="2"/>
  <c r="W130" i="10" s="1"/>
  <c r="GD132" i="2"/>
  <c r="W131" i="10" s="1"/>
  <c r="GD133" i="2"/>
  <c r="W132" i="10" s="1"/>
  <c r="GD134" i="2"/>
  <c r="W133" i="10" s="1"/>
  <c r="GD135" i="2"/>
  <c r="W134" i="10" s="1"/>
  <c r="GD136" i="2"/>
  <c r="W135" i="10" s="1"/>
  <c r="GD137" i="2"/>
  <c r="W136" i="10" s="1"/>
  <c r="GD138" i="2"/>
  <c r="W137" i="10" s="1"/>
  <c r="GD139" i="2"/>
  <c r="W138" i="10" s="1"/>
  <c r="GD140" i="2"/>
  <c r="W139" i="10" s="1"/>
  <c r="GD141" i="2"/>
  <c r="W140" i="10" s="1"/>
  <c r="GD142" i="2"/>
  <c r="W141" i="10" s="1"/>
  <c r="GD143" i="2"/>
  <c r="W142" i="10" s="1"/>
  <c r="GD144" i="2"/>
  <c r="W143" i="10" s="1"/>
  <c r="GD145" i="2"/>
  <c r="W144" i="10" s="1"/>
  <c r="GD146" i="2"/>
  <c r="W145" i="10" s="1"/>
  <c r="GD147" i="2"/>
  <c r="W146" i="10" s="1"/>
  <c r="GD148" i="2"/>
  <c r="W147" i="10" s="1"/>
  <c r="GD149" i="2"/>
  <c r="W148" i="10" s="1"/>
  <c r="GD150" i="2"/>
  <c r="W149" i="10" s="1"/>
  <c r="GD151" i="2"/>
  <c r="W150" i="10" s="1"/>
  <c r="GD152" i="2"/>
  <c r="W151" i="10" s="1"/>
  <c r="GD153" i="2"/>
  <c r="W152" i="10" s="1"/>
  <c r="GD154" i="2"/>
  <c r="W153" i="10" s="1"/>
  <c r="GD155" i="2"/>
  <c r="W154" i="10" s="1"/>
  <c r="GD156" i="2"/>
  <c r="W155" i="10" s="1"/>
  <c r="GD157" i="2"/>
  <c r="W156" i="10" s="1"/>
  <c r="GD158" i="2"/>
  <c r="W157" i="10" s="1"/>
  <c r="GD159" i="2"/>
  <c r="W158" i="10" s="1"/>
  <c r="GD160" i="2"/>
  <c r="W159" i="10" s="1"/>
  <c r="GD161" i="2"/>
  <c r="W160" i="10" s="1"/>
  <c r="GD162" i="2"/>
  <c r="W161" i="10" s="1"/>
  <c r="GD163" i="2"/>
  <c r="W162" i="10" s="1"/>
  <c r="GD164" i="2"/>
  <c r="W163" i="10" s="1"/>
  <c r="GD165" i="2"/>
  <c r="W164" i="10" s="1"/>
  <c r="GD166" i="2"/>
  <c r="W165" i="10" s="1"/>
  <c r="GD167" i="2"/>
  <c r="W166" i="10" s="1"/>
  <c r="GD168" i="2"/>
  <c r="W167" i="10" s="1"/>
  <c r="GD169" i="2"/>
  <c r="W168" i="10" s="1"/>
  <c r="GD170" i="2"/>
  <c r="W169" i="10" s="1"/>
  <c r="GD171" i="2"/>
  <c r="W170" i="10" s="1"/>
  <c r="GD172" i="2"/>
  <c r="W171" i="10" s="1"/>
  <c r="GD173" i="2"/>
  <c r="W172" i="10" s="1"/>
  <c r="GD174" i="2"/>
  <c r="W173" i="10" s="1"/>
  <c r="GD175" i="2"/>
  <c r="W174" i="10" s="1"/>
  <c r="GD176" i="2"/>
  <c r="W175" i="10" s="1"/>
  <c r="GD177" i="2"/>
  <c r="W176" i="10" s="1"/>
  <c r="GD178" i="2"/>
  <c r="W177" i="10" s="1"/>
  <c r="GD179" i="2"/>
  <c r="W178" i="10" s="1"/>
  <c r="GD180" i="2"/>
  <c r="W179" i="10" s="1"/>
  <c r="GD181" i="2"/>
  <c r="W180" i="10" s="1"/>
  <c r="GD182" i="2"/>
  <c r="W181" i="10" s="1"/>
  <c r="GD183" i="2"/>
  <c r="W182" i="10" s="1"/>
  <c r="GD184" i="2"/>
  <c r="W183" i="10" s="1"/>
  <c r="GD185" i="2"/>
  <c r="W184" i="10" s="1"/>
  <c r="GD186" i="2"/>
  <c r="W185" i="10" s="1"/>
  <c r="GD187" i="2"/>
  <c r="W186" i="10" s="1"/>
  <c r="GD188" i="2"/>
  <c r="W187" i="10" s="1"/>
  <c r="GD189" i="2"/>
  <c r="W188" i="10" s="1"/>
  <c r="GD190" i="2"/>
  <c r="W189" i="10" s="1"/>
  <c r="GD191" i="2"/>
  <c r="W190" i="10" s="1"/>
  <c r="GD192" i="2"/>
  <c r="W191" i="10" s="1"/>
  <c r="GD193" i="2"/>
  <c r="W192" i="10" s="1"/>
  <c r="GD194" i="2"/>
  <c r="W193" i="10" s="1"/>
  <c r="GD195" i="2"/>
  <c r="W194" i="10" s="1"/>
  <c r="GD196" i="2"/>
  <c r="W195" i="10" s="1"/>
  <c r="GD197" i="2"/>
  <c r="W196" i="10" s="1"/>
  <c r="GD198" i="2"/>
  <c r="W197" i="10" s="1"/>
  <c r="GD199" i="2"/>
  <c r="W198" i="10" s="1"/>
  <c r="GD200" i="2"/>
  <c r="W199" i="10" s="1"/>
  <c r="GD201" i="2"/>
  <c r="W200" i="10" s="1"/>
  <c r="GD202" i="2"/>
  <c r="W201" i="10" s="1"/>
  <c r="GD203" i="2"/>
  <c r="W202" i="10" s="1"/>
  <c r="GD204" i="2"/>
  <c r="W203" i="10" s="1"/>
  <c r="GD205" i="2"/>
  <c r="W204" i="10" s="1"/>
  <c r="GD206" i="2"/>
  <c r="W205" i="10" s="1"/>
  <c r="GD207" i="2"/>
  <c r="W206" i="10" s="1"/>
  <c r="GD208" i="2"/>
  <c r="W207" i="10" s="1"/>
  <c r="GD209" i="2"/>
  <c r="W208" i="10" s="1"/>
  <c r="GD210" i="2"/>
  <c r="W209" i="10" s="1"/>
  <c r="GD211" i="2"/>
  <c r="W210" i="10" s="1"/>
  <c r="GD212" i="2"/>
  <c r="W211" i="10" s="1"/>
  <c r="GD213" i="2"/>
  <c r="W212" i="10" s="1"/>
  <c r="GD214" i="2"/>
  <c r="W213" i="10" s="1"/>
  <c r="GD215" i="2"/>
  <c r="W214" i="10" s="1"/>
  <c r="GD216" i="2"/>
  <c r="W215" i="10" s="1"/>
  <c r="GD217" i="2"/>
  <c r="W216" i="10" s="1"/>
  <c r="GD218" i="2"/>
  <c r="W217" i="10" s="1"/>
  <c r="GD219" i="2"/>
  <c r="W218" i="10" s="1"/>
  <c r="GD220" i="2"/>
  <c r="W219" i="10" s="1"/>
  <c r="GD221" i="2"/>
  <c r="W220" i="10" s="1"/>
  <c r="GD222" i="2"/>
  <c r="W221" i="10" s="1"/>
  <c r="GD223" i="2"/>
  <c r="W222" i="10" s="1"/>
  <c r="GD224" i="2"/>
  <c r="W223" i="10" s="1"/>
  <c r="GD225" i="2"/>
  <c r="W224" i="10" s="1"/>
  <c r="GD226" i="2"/>
  <c r="W225" i="10" s="1"/>
  <c r="GD227" i="2"/>
  <c r="W226" i="10" s="1"/>
  <c r="GD228" i="2"/>
  <c r="W227" i="10" s="1"/>
  <c r="GD229" i="2"/>
  <c r="W228" i="10" s="1"/>
  <c r="GD230" i="2"/>
  <c r="W229" i="10" s="1"/>
  <c r="GD231" i="2"/>
  <c r="W230" i="10" s="1"/>
  <c r="GD232" i="2"/>
  <c r="W231" i="10" s="1"/>
  <c r="GD233" i="2"/>
  <c r="W232" i="10" s="1"/>
  <c r="GD234" i="2"/>
  <c r="W233" i="10" s="1"/>
  <c r="GD235" i="2"/>
  <c r="W234" i="10" s="1"/>
  <c r="GD236" i="2"/>
  <c r="W235" i="10" s="1"/>
  <c r="GD237" i="2"/>
  <c r="W236" i="10" s="1"/>
  <c r="GD238" i="2"/>
  <c r="W237" i="10" s="1"/>
  <c r="GD239" i="2"/>
  <c r="W238" i="10" s="1"/>
  <c r="GD240" i="2"/>
  <c r="W239" i="10" s="1"/>
  <c r="GD241" i="2"/>
  <c r="W240" i="10" s="1"/>
  <c r="GD242" i="2"/>
  <c r="W241" i="10" s="1"/>
  <c r="GD243" i="2"/>
  <c r="W242" i="10" s="1"/>
  <c r="GD244" i="2"/>
  <c r="W243" i="10" s="1"/>
  <c r="GD245" i="2"/>
  <c r="W244" i="10" s="1"/>
  <c r="GD246" i="2"/>
  <c r="W245" i="10" s="1"/>
  <c r="GD247" i="2"/>
  <c r="W246" i="10" s="1"/>
  <c r="GD248" i="2"/>
  <c r="W247" i="10" s="1"/>
  <c r="GD249" i="2"/>
  <c r="W248" i="10" s="1"/>
  <c r="GD250" i="2"/>
  <c r="W249" i="10" s="1"/>
  <c r="GD251" i="2"/>
  <c r="W250" i="10" s="1"/>
  <c r="GD252" i="2"/>
  <c r="W251" i="10" s="1"/>
  <c r="GD253" i="2"/>
  <c r="W252" i="10" s="1"/>
  <c r="GD254" i="2"/>
  <c r="W253" i="10" s="1"/>
  <c r="GD255" i="2"/>
  <c r="W254" i="10" s="1"/>
  <c r="GD256" i="2"/>
  <c r="W255" i="10" s="1"/>
  <c r="GD257" i="2"/>
  <c r="W256" i="10" s="1"/>
  <c r="GD258" i="2"/>
  <c r="W257" i="10" s="1"/>
  <c r="GD259" i="2"/>
  <c r="W258" i="10" s="1"/>
  <c r="GD260" i="2"/>
  <c r="W259" i="10" s="1"/>
  <c r="GD261" i="2"/>
  <c r="W260" i="10" s="1"/>
  <c r="GD262" i="2"/>
  <c r="W261" i="10" s="1"/>
  <c r="GD263" i="2"/>
  <c r="W262" i="10" s="1"/>
  <c r="GD264" i="2"/>
  <c r="W263" i="10" s="1"/>
  <c r="GD265" i="2"/>
  <c r="W264" i="10" s="1"/>
  <c r="GD266" i="2"/>
  <c r="W265" i="10" s="1"/>
  <c r="GD267" i="2"/>
  <c r="W266" i="10" s="1"/>
  <c r="GD268" i="2"/>
  <c r="W267" i="10" s="1"/>
  <c r="GD269" i="2"/>
  <c r="W268" i="10" s="1"/>
  <c r="GD270" i="2"/>
  <c r="W269" i="10" s="1"/>
  <c r="GD271" i="2"/>
  <c r="W270" i="10" s="1"/>
  <c r="GD272" i="2"/>
  <c r="W271" i="10" s="1"/>
  <c r="GD273" i="2"/>
  <c r="W272" i="10" s="1"/>
  <c r="GD274" i="2"/>
  <c r="W273" i="10" s="1"/>
  <c r="GD275" i="2"/>
  <c r="W274" i="10" s="1"/>
  <c r="GD276" i="2"/>
  <c r="W275" i="10" s="1"/>
  <c r="GD277" i="2"/>
  <c r="W276" i="10" s="1"/>
  <c r="GD278" i="2"/>
  <c r="W277" i="10" s="1"/>
  <c r="GD279" i="2"/>
  <c r="W278" i="10" s="1"/>
  <c r="GD280" i="2"/>
  <c r="W279" i="10" s="1"/>
  <c r="GD281" i="2"/>
  <c r="W280" i="10" s="1"/>
  <c r="GD282" i="2"/>
  <c r="W281" i="10" s="1"/>
  <c r="GD283" i="2"/>
  <c r="W282" i="10" s="1"/>
  <c r="GD284" i="2"/>
  <c r="W283" i="10" s="1"/>
  <c r="GD285" i="2"/>
  <c r="W284" i="10" s="1"/>
  <c r="GD286" i="2"/>
  <c r="W285" i="10" s="1"/>
  <c r="GD287" i="2"/>
  <c r="W286" i="10" s="1"/>
  <c r="GD288" i="2"/>
  <c r="W287" i="10" s="1"/>
  <c r="GD289" i="2"/>
  <c r="W288" i="10" s="1"/>
  <c r="GD290" i="2"/>
  <c r="W289" i="10" s="1"/>
  <c r="GD291" i="2"/>
  <c r="W290" i="10" s="1"/>
  <c r="GD292" i="2"/>
  <c r="W291" i="10" s="1"/>
  <c r="GD293" i="2"/>
  <c r="W292" i="10" s="1"/>
  <c r="GD294" i="2"/>
  <c r="W293" i="10" s="1"/>
  <c r="GD295" i="2"/>
  <c r="W294" i="10" s="1"/>
  <c r="GD296" i="2"/>
  <c r="W295" i="10" s="1"/>
  <c r="GD297" i="2"/>
  <c r="W296" i="10" s="1"/>
  <c r="GD298" i="2"/>
  <c r="W297" i="10" s="1"/>
  <c r="GD299" i="2"/>
  <c r="W298" i="10" s="1"/>
  <c r="GD300" i="2"/>
  <c r="W299" i="10" s="1"/>
  <c r="GD301" i="2"/>
  <c r="W300" i="10" s="1"/>
  <c r="GD302" i="2"/>
  <c r="W301" i="10" s="1"/>
  <c r="GD303" i="2"/>
  <c r="W302" i="10" s="1"/>
  <c r="GD304" i="2"/>
  <c r="W303" i="10" s="1"/>
  <c r="GD305" i="2"/>
  <c r="W304" i="10" s="1"/>
  <c r="GD306" i="2"/>
  <c r="W305" i="10" s="1"/>
  <c r="GD307" i="2"/>
  <c r="W306" i="10" s="1"/>
  <c r="GD308" i="2"/>
  <c r="W307" i="10" s="1"/>
  <c r="GD309" i="2"/>
  <c r="W308" i="10" s="1"/>
  <c r="GD310" i="2"/>
  <c r="W309" i="10" s="1"/>
  <c r="GD311" i="2"/>
  <c r="W310" i="10" s="1"/>
  <c r="GD312" i="2"/>
  <c r="W311" i="10" s="1"/>
  <c r="GD313" i="2"/>
  <c r="W312" i="10" s="1"/>
  <c r="GD314" i="2"/>
  <c r="W313" i="10" s="1"/>
  <c r="GD315" i="2"/>
  <c r="W314" i="10" s="1"/>
  <c r="GD316" i="2"/>
  <c r="W315" i="10" s="1"/>
  <c r="GD317" i="2"/>
  <c r="W316" i="10" s="1"/>
  <c r="GD318" i="2"/>
  <c r="W317" i="10" s="1"/>
  <c r="GD319" i="2"/>
  <c r="W318" i="10" s="1"/>
  <c r="GD320" i="2"/>
  <c r="W319" i="10" s="1"/>
  <c r="GD321" i="2"/>
  <c r="W320" i="10" s="1"/>
  <c r="GD322" i="2"/>
  <c r="W321" i="10" s="1"/>
  <c r="GD323" i="2"/>
  <c r="W322" i="10" s="1"/>
  <c r="GD324" i="2"/>
  <c r="W323" i="10" s="1"/>
  <c r="GD325" i="2"/>
  <c r="W324" i="10" s="1"/>
  <c r="GD326" i="2"/>
  <c r="W325" i="10" s="1"/>
  <c r="GD327" i="2"/>
  <c r="W326" i="10" s="1"/>
  <c r="GD328" i="2"/>
  <c r="W327" i="10" s="1"/>
  <c r="GD329" i="2"/>
  <c r="W328" i="10" s="1"/>
  <c r="GD330" i="2"/>
  <c r="W329" i="10" s="1"/>
  <c r="GD331" i="2"/>
  <c r="W330" i="10" s="1"/>
  <c r="GD332" i="2"/>
  <c r="W331" i="10" s="1"/>
  <c r="GD333" i="2"/>
  <c r="W332" i="10" s="1"/>
  <c r="GD334" i="2"/>
  <c r="W333" i="10" s="1"/>
  <c r="GD335" i="2"/>
  <c r="W334" i="10" s="1"/>
  <c r="GD336" i="2"/>
  <c r="W335" i="10" s="1"/>
  <c r="GD337" i="2"/>
  <c r="W336" i="10" s="1"/>
  <c r="GD338" i="2"/>
  <c r="W337" i="10" s="1"/>
  <c r="GD339" i="2"/>
  <c r="W338" i="10" s="1"/>
  <c r="GD340" i="2"/>
  <c r="W339" i="10" s="1"/>
  <c r="GD341" i="2"/>
  <c r="W340" i="10" s="1"/>
  <c r="GD342" i="2"/>
  <c r="W341" i="10" s="1"/>
  <c r="GD343" i="2"/>
  <c r="W342" i="10" s="1"/>
  <c r="GD344" i="2"/>
  <c r="W343" i="10" s="1"/>
  <c r="GD345" i="2"/>
  <c r="GD346" i="2"/>
  <c r="W345" i="10" s="1"/>
  <c r="GD347" i="2"/>
  <c r="W346" i="10" s="1"/>
  <c r="GD348" i="2"/>
  <c r="W347" i="10" s="1"/>
  <c r="GD349" i="2"/>
  <c r="W348" i="10" s="1"/>
  <c r="GD350" i="2"/>
  <c r="W349" i="10" s="1"/>
  <c r="GD351" i="2"/>
  <c r="W350" i="10" s="1"/>
  <c r="GD352" i="2"/>
  <c r="W351" i="10" s="1"/>
  <c r="GD353" i="2"/>
  <c r="W352" i="10" s="1"/>
  <c r="GD354" i="2"/>
  <c r="W353" i="10" s="1"/>
  <c r="GD357" i="2"/>
  <c r="W356" i="10" s="1"/>
  <c r="GD358" i="2"/>
  <c r="W357" i="10" s="1"/>
  <c r="GD360" i="2"/>
  <c r="W359" i="10" s="1"/>
  <c r="GD362" i="2"/>
  <c r="W361" i="10" s="1"/>
  <c r="GD363" i="2"/>
  <c r="W362" i="10" s="1"/>
  <c r="GD364" i="2"/>
  <c r="W363" i="10" s="1"/>
  <c r="GD365" i="2"/>
  <c r="W364" i="10" s="1"/>
  <c r="GD366" i="2"/>
  <c r="W365" i="10" s="1"/>
  <c r="GD367" i="2"/>
  <c r="W366" i="10" s="1"/>
  <c r="GD368" i="2"/>
  <c r="W367" i="10" s="1"/>
  <c r="GD369" i="2"/>
  <c r="W368" i="10" s="1"/>
  <c r="GD371" i="2"/>
  <c r="W370" i="10" s="1"/>
  <c r="GD372" i="2"/>
  <c r="W371" i="10" s="1"/>
  <c r="GD373" i="2"/>
  <c r="W372" i="10" s="1"/>
  <c r="GD374" i="2"/>
  <c r="W373" i="10" s="1"/>
  <c r="GD375" i="2"/>
  <c r="W374" i="10" s="1"/>
  <c r="GD376" i="2"/>
  <c r="W375" i="10" s="1"/>
  <c r="GD377" i="2"/>
  <c r="W376" i="10" s="1"/>
  <c r="GD378" i="2"/>
  <c r="W377" i="10" s="1"/>
  <c r="GD380" i="2"/>
  <c r="W379" i="10" s="1"/>
  <c r="GD381" i="2"/>
  <c r="W380" i="10" s="1"/>
  <c r="GD382" i="2"/>
  <c r="W381" i="10" s="1"/>
  <c r="GD383" i="2"/>
  <c r="W382" i="10" s="1"/>
  <c r="GD384" i="2"/>
  <c r="W383" i="10" s="1"/>
  <c r="GD385" i="2"/>
  <c r="W384" i="10" s="1"/>
  <c r="GD386" i="2"/>
  <c r="W385" i="10" s="1"/>
  <c r="GD388" i="2"/>
  <c r="W387" i="10" s="1"/>
  <c r="GD389" i="2"/>
  <c r="W388" i="10" s="1"/>
  <c r="GD390" i="2"/>
  <c r="W389" i="10" s="1"/>
  <c r="GD392" i="2"/>
  <c r="W391" i="10" s="1"/>
  <c r="GD393" i="2"/>
  <c r="W392" i="10" s="1"/>
  <c r="GD394" i="2"/>
  <c r="W393" i="10" s="1"/>
  <c r="GD395" i="2"/>
  <c r="W394" i="10" s="1"/>
  <c r="GD396" i="2"/>
  <c r="W395" i="10" s="1"/>
  <c r="GD397" i="2"/>
  <c r="W396" i="10" s="1"/>
  <c r="GD398" i="2"/>
  <c r="W397" i="10" s="1"/>
  <c r="GD399" i="2"/>
  <c r="W398" i="10" s="1"/>
  <c r="GD400" i="2"/>
  <c r="W399" i="10" s="1"/>
  <c r="GD401" i="2"/>
  <c r="W400" i="10" s="1"/>
  <c r="GD402" i="2"/>
  <c r="W401" i="10" s="1"/>
  <c r="GD403" i="2"/>
  <c r="W402" i="10" s="1"/>
  <c r="GD404" i="2"/>
  <c r="W403" i="10" s="1"/>
  <c r="GD405" i="2"/>
  <c r="W404" i="10" s="1"/>
  <c r="GD406" i="2"/>
  <c r="W405" i="10" s="1"/>
  <c r="GD407" i="2"/>
  <c r="W406" i="10" s="1"/>
  <c r="GD408" i="2"/>
  <c r="W407" i="10" s="1"/>
  <c r="GD409" i="2"/>
  <c r="W408" i="10" s="1"/>
  <c r="GD410" i="2"/>
  <c r="W409" i="10" s="1"/>
  <c r="GD411" i="2"/>
  <c r="W410" i="10" s="1"/>
  <c r="GD412" i="2"/>
  <c r="W411" i="10" s="1"/>
  <c r="GD413" i="2"/>
  <c r="W412" i="10" s="1"/>
  <c r="GD414" i="2"/>
  <c r="W413" i="10" s="1"/>
  <c r="GD415" i="2"/>
  <c r="W414" i="10" s="1"/>
  <c r="GD416" i="2"/>
  <c r="W415" i="10" s="1"/>
  <c r="GD417" i="2"/>
  <c r="W416" i="10" s="1"/>
  <c r="GD418" i="2"/>
  <c r="W417" i="10" s="1"/>
  <c r="GD419" i="2"/>
  <c r="W418" i="10" s="1"/>
  <c r="GD420" i="2"/>
  <c r="W419" i="10" s="1"/>
  <c r="GD421" i="2"/>
  <c r="W420" i="10" s="1"/>
  <c r="GD422" i="2"/>
  <c r="W421" i="10" s="1"/>
  <c r="GD423" i="2"/>
  <c r="W422" i="10" s="1"/>
  <c r="GD424" i="2"/>
  <c r="W423" i="10" s="1"/>
  <c r="GD425" i="2"/>
  <c r="W424" i="10" s="1"/>
  <c r="GD426" i="2"/>
  <c r="W425" i="10" s="1"/>
  <c r="GD427" i="2"/>
  <c r="W426" i="10" s="1"/>
  <c r="GD428" i="2"/>
  <c r="W427" i="10" s="1"/>
  <c r="GD429" i="2"/>
  <c r="W428" i="10" s="1"/>
  <c r="GD430" i="2"/>
  <c r="W429" i="10" s="1"/>
  <c r="GD431" i="2"/>
  <c r="W430" i="10" s="1"/>
  <c r="GD435" i="2"/>
  <c r="W434" i="10" s="1"/>
  <c r="GD436" i="2"/>
  <c r="W435" i="10" s="1"/>
  <c r="GD437" i="2"/>
  <c r="W436" i="10" s="1"/>
  <c r="GD438" i="2"/>
  <c r="W437" i="10" s="1"/>
  <c r="GD439" i="2"/>
  <c r="W438" i="10" s="1"/>
  <c r="GD440" i="2"/>
  <c r="W439" i="10" s="1"/>
  <c r="AA1" i="2"/>
  <c r="W344" i="10" l="1"/>
  <c r="GC391" i="2"/>
  <c r="AK390" i="10" s="1"/>
  <c r="GC387" i="2"/>
  <c r="AK386" i="10" s="1"/>
  <c r="GC379" i="2"/>
  <c r="AK378" i="10" s="1"/>
  <c r="GC370" i="2"/>
  <c r="AK369" i="10" s="1"/>
  <c r="GC361" i="2"/>
  <c r="AK360" i="10" s="1"/>
  <c r="GC359" i="2"/>
  <c r="AK358" i="10" s="1"/>
  <c r="GC356" i="2"/>
  <c r="AK355" i="10" s="1"/>
  <c r="GC355" i="2"/>
  <c r="AK354" i="10" s="1"/>
  <c r="GD391" i="2" l="1"/>
  <c r="W390" i="10" s="1"/>
  <c r="GD387" i="2"/>
  <c r="W386" i="10" s="1"/>
  <c r="GD379" i="2"/>
  <c r="W378" i="10" s="1"/>
  <c r="GD370" i="2"/>
  <c r="W369" i="10" s="1"/>
  <c r="GD361" i="2"/>
  <c r="W360" i="10" s="1"/>
  <c r="GD359" i="2"/>
  <c r="W358" i="10" s="1"/>
  <c r="GD356" i="2"/>
  <c r="W355" i="10" s="1"/>
  <c r="GC3" i="2"/>
  <c r="GD355" i="2"/>
  <c r="AE3" i="2"/>
  <c r="AC3" i="2"/>
  <c r="P440" i="2"/>
  <c r="V440" i="2"/>
  <c r="L439" i="10" s="1"/>
  <c r="AB440" i="2"/>
  <c r="AA440" i="2" s="1"/>
  <c r="BJ440" i="2"/>
  <c r="CJ440" i="2" s="1"/>
  <c r="CQ440" i="2"/>
  <c r="CR440" i="2"/>
  <c r="CS440" i="2"/>
  <c r="CT440" i="2"/>
  <c r="DI440" i="2"/>
  <c r="P439" i="10" s="1"/>
  <c r="EA440" i="2"/>
  <c r="S439" i="10" s="1"/>
  <c r="EH440" i="2"/>
  <c r="DN440" i="2"/>
  <c r="Q439" i="10" s="1"/>
  <c r="DR440" i="2"/>
  <c r="R439" i="10" s="1"/>
  <c r="ES440" i="2"/>
  <c r="U439" i="10"/>
  <c r="FN440" i="2"/>
  <c r="FT440" i="2"/>
  <c r="FU440" i="2" s="1"/>
  <c r="FV440" i="2"/>
  <c r="GA440" i="2"/>
  <c r="V439" i="10" s="1"/>
  <c r="GK440" i="2"/>
  <c r="Y439" i="10" s="1"/>
  <c r="GQ440" i="2"/>
  <c r="GU440" i="2"/>
  <c r="GY440" i="2"/>
  <c r="HC440" i="2"/>
  <c r="HH440" i="2"/>
  <c r="Z439" i="10" s="1"/>
  <c r="HQ440" i="2"/>
  <c r="AA439" i="10" s="1"/>
  <c r="HW440" i="2"/>
  <c r="AB439" i="10" s="1"/>
  <c r="AC10" i="9" l="1"/>
  <c r="W354" i="10"/>
  <c r="Q440" i="2"/>
  <c r="H439" i="10" s="1"/>
  <c r="AL440" i="2"/>
  <c r="AK440" i="2"/>
  <c r="CP440" i="2" s="1"/>
  <c r="T440" i="2" s="1"/>
  <c r="J439" i="10" s="1"/>
  <c r="AJ440" i="2"/>
  <c r="AI440" i="2"/>
  <c r="AH440" i="2" s="1"/>
  <c r="W440" i="2"/>
  <c r="M439" i="10" s="1"/>
  <c r="N439" i="10" s="1"/>
  <c r="U440" i="2" l="1"/>
  <c r="K439" i="10" s="1"/>
  <c r="BQ151" i="2"/>
  <c r="BJ151" i="2" s="1"/>
  <c r="AN5" i="3"/>
  <c r="AO5" i="3"/>
  <c r="AT5" i="3"/>
  <c r="AU5" i="3"/>
  <c r="D5" i="3"/>
  <c r="AA236" i="2" l="1"/>
  <c r="AA235" i="2"/>
  <c r="AA234" i="2"/>
  <c r="AA233" i="2"/>
  <c r="AA232" i="2"/>
  <c r="AA231" i="2"/>
  <c r="AA230" i="2"/>
  <c r="AA229" i="2"/>
  <c r="AA222" i="2"/>
  <c r="AA221" i="2"/>
  <c r="AA220" i="2"/>
  <c r="AA219" i="2"/>
  <c r="AA218" i="2"/>
  <c r="AA217" i="2"/>
  <c r="AA216" i="2"/>
  <c r="AA215" i="2"/>
  <c r="AA214" i="2"/>
  <c r="AA213" i="2"/>
  <c r="AA212" i="2"/>
  <c r="AA211" i="2"/>
  <c r="AA210" i="2"/>
  <c r="AA209" i="2"/>
  <c r="AA208" i="2"/>
  <c r="AA207" i="2"/>
  <c r="AA206" i="2"/>
  <c r="AA205" i="2"/>
  <c r="AA204" i="2"/>
  <c r="AA203" i="2"/>
  <c r="AA202" i="2"/>
  <c r="AA201" i="2"/>
  <c r="AA200" i="2"/>
  <c r="AA199" i="2"/>
  <c r="AA198" i="2"/>
  <c r="AA197" i="2"/>
  <c r="AA196" i="2"/>
  <c r="AA195" i="2"/>
  <c r="AA194" i="2"/>
  <c r="AA193" i="2"/>
  <c r="AA192" i="2"/>
  <c r="AA191" i="2"/>
  <c r="AA190" i="2"/>
  <c r="AA189" i="2"/>
  <c r="AA188" i="2"/>
  <c r="AA187" i="2"/>
  <c r="AA186" i="2"/>
  <c r="AA185" i="2"/>
  <c r="AA184" i="2"/>
  <c r="AA183" i="2"/>
  <c r="AA182" i="2"/>
  <c r="AA181" i="2"/>
  <c r="AA180" i="2"/>
  <c r="AA179" i="2"/>
  <c r="AA178" i="2"/>
  <c r="AA177" i="2"/>
  <c r="AA176" i="2"/>
  <c r="AA175" i="2"/>
  <c r="AA174" i="2"/>
  <c r="AA173" i="2"/>
  <c r="AA172" i="2"/>
  <c r="AA171" i="2"/>
  <c r="AA170" i="2"/>
  <c r="AA169" i="2"/>
  <c r="AA168" i="2"/>
  <c r="AA167" i="2"/>
  <c r="AA166" i="2"/>
  <c r="AA165" i="2"/>
  <c r="AA164" i="2"/>
  <c r="AA163" i="2"/>
  <c r="AA162" i="2"/>
  <c r="AA161" i="2"/>
  <c r="AA160" i="2"/>
  <c r="AA159" i="2"/>
  <c r="AA158" i="2"/>
  <c r="AA157" i="2"/>
  <c r="AA156" i="2"/>
  <c r="AA155" i="2"/>
  <c r="AA154" i="2"/>
  <c r="AA153" i="2"/>
  <c r="AA152" i="2"/>
  <c r="AA151" i="2"/>
  <c r="AA149" i="2"/>
  <c r="AA148" i="2"/>
  <c r="AA147" i="2"/>
  <c r="AA146" i="2"/>
  <c r="AA145" i="2"/>
  <c r="AA144" i="2"/>
  <c r="AA143" i="2"/>
  <c r="AA142" i="2"/>
  <c r="AA141" i="2"/>
  <c r="AA140" i="2"/>
  <c r="AA139" i="2"/>
  <c r="AA138" i="2"/>
  <c r="AA137" i="2"/>
  <c r="AA136" i="2"/>
  <c r="AA135" i="2"/>
  <c r="AA134" i="2"/>
  <c r="AA133" i="2"/>
  <c r="AA132" i="2"/>
  <c r="AA131" i="2"/>
  <c r="AA130" i="2"/>
  <c r="AA129" i="2"/>
  <c r="T11" i="5"/>
  <c r="W11" i="5"/>
  <c r="Y11" i="5"/>
  <c r="AA11" i="5"/>
  <c r="AC11" i="5"/>
  <c r="T14" i="5"/>
  <c r="W14" i="5"/>
  <c r="Y14" i="5"/>
  <c r="AA14" i="5"/>
  <c r="AC14" i="5"/>
  <c r="T17" i="5"/>
  <c r="W17" i="5"/>
  <c r="Y17" i="5"/>
  <c r="AA17" i="5"/>
  <c r="AC17" i="5"/>
  <c r="T20" i="5"/>
  <c r="W20" i="5"/>
  <c r="Y20" i="5"/>
  <c r="AA20" i="5"/>
  <c r="AC20" i="5"/>
  <c r="T23" i="5"/>
  <c r="W23" i="5"/>
  <c r="Y23" i="5"/>
  <c r="AA23" i="5"/>
  <c r="AC23" i="5"/>
  <c r="T26" i="5"/>
  <c r="W26" i="5"/>
  <c r="Y26" i="5"/>
  <c r="AA26" i="5"/>
  <c r="AC26" i="5"/>
  <c r="P8" i="5"/>
  <c r="GA346" i="2" l="1"/>
  <c r="V345" i="10" s="1"/>
  <c r="GA347" i="2"/>
  <c r="V346" i="10" s="1"/>
  <c r="GA348" i="2"/>
  <c r="V347" i="10" s="1"/>
  <c r="GA349" i="2"/>
  <c r="V348" i="10" s="1"/>
  <c r="GA350" i="2"/>
  <c r="V349" i="10" s="1"/>
  <c r="GA351" i="2"/>
  <c r="V350" i="10" s="1"/>
  <c r="GA352" i="2"/>
  <c r="V351" i="10" s="1"/>
  <c r="GA353" i="2"/>
  <c r="V352" i="10" s="1"/>
  <c r="GA354" i="2"/>
  <c r="V353" i="10" s="1"/>
  <c r="GA355" i="2"/>
  <c r="V354" i="10" s="1"/>
  <c r="GA356" i="2"/>
  <c r="V355" i="10" s="1"/>
  <c r="GA357" i="2"/>
  <c r="V356" i="10" s="1"/>
  <c r="GA358" i="2"/>
  <c r="V357" i="10" s="1"/>
  <c r="GA359" i="2"/>
  <c r="V358" i="10" s="1"/>
  <c r="GA360" i="2"/>
  <c r="V359" i="10" s="1"/>
  <c r="GA361" i="2"/>
  <c r="V360" i="10" s="1"/>
  <c r="GA362" i="2"/>
  <c r="V361" i="10" s="1"/>
  <c r="GA363" i="2"/>
  <c r="V362" i="10" s="1"/>
  <c r="GA364" i="2"/>
  <c r="V363" i="10" s="1"/>
  <c r="GA365" i="2"/>
  <c r="V364" i="10" s="1"/>
  <c r="GA366" i="2"/>
  <c r="V365" i="10" s="1"/>
  <c r="GA367" i="2"/>
  <c r="V366" i="10" s="1"/>
  <c r="GA368" i="2"/>
  <c r="V367" i="10" s="1"/>
  <c r="GA369" i="2"/>
  <c r="V368" i="10" s="1"/>
  <c r="GA370" i="2"/>
  <c r="V369" i="10" s="1"/>
  <c r="GA371" i="2"/>
  <c r="V370" i="10" s="1"/>
  <c r="GA372" i="2"/>
  <c r="V371" i="10" s="1"/>
  <c r="GA373" i="2"/>
  <c r="V372" i="10" s="1"/>
  <c r="GA374" i="2"/>
  <c r="V373" i="10" s="1"/>
  <c r="GA375" i="2"/>
  <c r="V374" i="10" s="1"/>
  <c r="GA376" i="2"/>
  <c r="V375" i="10" s="1"/>
  <c r="GA377" i="2"/>
  <c r="V376" i="10" s="1"/>
  <c r="GA378" i="2"/>
  <c r="V377" i="10" s="1"/>
  <c r="GA379" i="2"/>
  <c r="V378" i="10" s="1"/>
  <c r="GA380" i="2"/>
  <c r="V379" i="10" s="1"/>
  <c r="GA381" i="2"/>
  <c r="V380" i="10" s="1"/>
  <c r="GA382" i="2"/>
  <c r="V381" i="10" s="1"/>
  <c r="GA383" i="2"/>
  <c r="V382" i="10" s="1"/>
  <c r="GA384" i="2"/>
  <c r="V383" i="10" s="1"/>
  <c r="GA385" i="2"/>
  <c r="V384" i="10" s="1"/>
  <c r="GA386" i="2"/>
  <c r="V385" i="10" s="1"/>
  <c r="GA387" i="2"/>
  <c r="V386" i="10" s="1"/>
  <c r="GA388" i="2"/>
  <c r="V387" i="10" s="1"/>
  <c r="GA389" i="2"/>
  <c r="V388" i="10" s="1"/>
  <c r="GA390" i="2"/>
  <c r="V389" i="10" s="1"/>
  <c r="GA391" i="2"/>
  <c r="V390" i="10" s="1"/>
  <c r="GA392" i="2"/>
  <c r="V391" i="10" s="1"/>
  <c r="GA393" i="2"/>
  <c r="V392" i="10" s="1"/>
  <c r="GA394" i="2"/>
  <c r="V393" i="10" s="1"/>
  <c r="GA395" i="2"/>
  <c r="V394" i="10" s="1"/>
  <c r="GA396" i="2"/>
  <c r="V395" i="10" s="1"/>
  <c r="GA397" i="2"/>
  <c r="V396" i="10" s="1"/>
  <c r="GA398" i="2"/>
  <c r="V397" i="10" s="1"/>
  <c r="GA399" i="2"/>
  <c r="V398" i="10" s="1"/>
  <c r="GA400" i="2"/>
  <c r="V399" i="10" s="1"/>
  <c r="GA401" i="2"/>
  <c r="V400" i="10" s="1"/>
  <c r="GA402" i="2"/>
  <c r="V401" i="10" s="1"/>
  <c r="GA403" i="2"/>
  <c r="V402" i="10" s="1"/>
  <c r="GA404" i="2"/>
  <c r="V403" i="10" s="1"/>
  <c r="GA405" i="2"/>
  <c r="V404" i="10" s="1"/>
  <c r="GA406" i="2"/>
  <c r="V405" i="10" s="1"/>
  <c r="GA407" i="2"/>
  <c r="V406" i="10" s="1"/>
  <c r="GA408" i="2"/>
  <c r="V407" i="10" s="1"/>
  <c r="GA409" i="2"/>
  <c r="V408" i="10" s="1"/>
  <c r="GA410" i="2"/>
  <c r="V409" i="10" s="1"/>
  <c r="GA411" i="2"/>
  <c r="V410" i="10" s="1"/>
  <c r="GA412" i="2"/>
  <c r="V411" i="10" s="1"/>
  <c r="GA413" i="2"/>
  <c r="V412" i="10" s="1"/>
  <c r="GA414" i="2"/>
  <c r="V413" i="10" s="1"/>
  <c r="GA415" i="2"/>
  <c r="V414" i="10" s="1"/>
  <c r="GA416" i="2"/>
  <c r="V415" i="10" s="1"/>
  <c r="GA417" i="2"/>
  <c r="V416" i="10" s="1"/>
  <c r="GA418" i="2"/>
  <c r="V417" i="10" s="1"/>
  <c r="GA419" i="2"/>
  <c r="V418" i="10" s="1"/>
  <c r="GA420" i="2"/>
  <c r="V419" i="10" s="1"/>
  <c r="GA421" i="2"/>
  <c r="V420" i="10" s="1"/>
  <c r="GA422" i="2"/>
  <c r="V421" i="10" s="1"/>
  <c r="GA423" i="2"/>
  <c r="V422" i="10" s="1"/>
  <c r="GA424" i="2"/>
  <c r="V423" i="10" s="1"/>
  <c r="GA425" i="2"/>
  <c r="V424" i="10" s="1"/>
  <c r="GA426" i="2"/>
  <c r="V425" i="10" s="1"/>
  <c r="GA427" i="2"/>
  <c r="V426" i="10" s="1"/>
  <c r="GA428" i="2"/>
  <c r="V427" i="10" s="1"/>
  <c r="GA429" i="2"/>
  <c r="V428" i="10" s="1"/>
  <c r="GA430" i="2"/>
  <c r="V429" i="10" s="1"/>
  <c r="GA431" i="2"/>
  <c r="V430" i="10" s="1"/>
  <c r="GA435" i="2"/>
  <c r="V434" i="10" s="1"/>
  <c r="GA436" i="2"/>
  <c r="V435" i="10" s="1"/>
  <c r="GA437" i="2"/>
  <c r="V436" i="10" s="1"/>
  <c r="GA438" i="2"/>
  <c r="V437" i="10" s="1"/>
  <c r="GA439" i="2"/>
  <c r="V438" i="10" s="1"/>
  <c r="GA345" i="2"/>
  <c r="Z12" i="9" l="1"/>
  <c r="Z10" i="9"/>
  <c r="V344" i="10"/>
  <c r="Z7" i="9" l="1"/>
  <c r="EH348" i="2"/>
  <c r="EH349" i="2"/>
  <c r="EH350" i="2"/>
  <c r="EH351" i="2"/>
  <c r="EA351" i="2"/>
  <c r="S350" i="10" s="1"/>
  <c r="EA350" i="2"/>
  <c r="S349" i="10" s="1"/>
  <c r="EA349" i="2"/>
  <c r="S348" i="10" s="1"/>
  <c r="EA348" i="2"/>
  <c r="S347" i="10" s="1"/>
  <c r="ER389" i="2" l="1"/>
  <c r="ER390" i="2"/>
  <c r="ER435" i="2"/>
  <c r="ER351" i="2"/>
  <c r="ER373" i="2"/>
  <c r="ER407" i="2"/>
  <c r="ER391" i="2"/>
  <c r="ER348" i="2"/>
  <c r="ER370" i="2"/>
  <c r="ER392" i="2"/>
  <c r="ER437" i="2"/>
  <c r="ER366" i="2"/>
  <c r="ER388" i="2"/>
  <c r="ER430" i="2"/>
  <c r="ER438" i="2"/>
  <c r="ER394" i="2"/>
  <c r="ER439" i="2"/>
  <c r="ER369" i="2"/>
  <c r="ER367" i="2"/>
  <c r="ER431" i="2"/>
  <c r="ER436" i="2"/>
  <c r="ER368" i="2"/>
  <c r="ER347" i="2"/>
  <c r="ER383" i="2"/>
  <c r="ER417" i="2"/>
  <c r="ER363" i="2"/>
  <c r="ER385" i="2"/>
  <c r="ER427" i="2"/>
  <c r="ER365" i="2"/>
  <c r="ER387" i="2"/>
  <c r="ER429" i="2"/>
  <c r="ER408" i="2"/>
  <c r="ER353" i="2"/>
  <c r="ER375" i="2"/>
  <c r="ER409" i="2"/>
  <c r="ER374" i="2"/>
  <c r="ER354" i="2"/>
  <c r="ER376" i="2"/>
  <c r="ER410" i="2"/>
  <c r="ER360" i="2"/>
  <c r="ER361" i="2"/>
  <c r="ER349" i="2"/>
  <c r="ER371" i="2"/>
  <c r="ER393" i="2"/>
  <c r="ER352" i="2"/>
  <c r="ER359" i="2"/>
  <c r="ER381" i="2"/>
  <c r="ER415" i="2"/>
  <c r="ER362" i="2"/>
  <c r="ER384" i="2"/>
  <c r="ER418" i="2"/>
  <c r="ER382" i="2"/>
  <c r="ER416" i="2"/>
  <c r="ER364" i="2"/>
  <c r="ER386" i="2"/>
  <c r="ER428" i="2"/>
  <c r="ER358" i="2"/>
  <c r="ER380" i="2"/>
  <c r="ER414" i="2"/>
  <c r="ER350" i="2"/>
  <c r="ER372" i="2"/>
  <c r="ER355" i="2"/>
  <c r="ER377" i="2"/>
  <c r="ER411" i="2"/>
  <c r="ER356" i="2"/>
  <c r="ER378" i="2"/>
  <c r="ER412" i="2"/>
  <c r="ER357" i="2"/>
  <c r="ER379" i="2"/>
  <c r="ER413" i="2"/>
  <c r="EQ3" i="2" l="1"/>
  <c r="DR348" i="2"/>
  <c r="R347" i="10" s="1"/>
  <c r="DR349" i="2"/>
  <c r="R348" i="10" s="1"/>
  <c r="DR350" i="2"/>
  <c r="R349" i="10" s="1"/>
  <c r="DR351" i="2"/>
  <c r="R350" i="10" s="1"/>
  <c r="DN348" i="2"/>
  <c r="Q347" i="10" s="1"/>
  <c r="DN349" i="2"/>
  <c r="Q348" i="10" s="1"/>
  <c r="DN350" i="2"/>
  <c r="Q349" i="10" s="1"/>
  <c r="DN351" i="2"/>
  <c r="Q350" i="10" s="1"/>
  <c r="ER346" i="2"/>
  <c r="ER395" i="2"/>
  <c r="ER396" i="2"/>
  <c r="ER397" i="2"/>
  <c r="ER398" i="2"/>
  <c r="ER399" i="2"/>
  <c r="ER400" i="2"/>
  <c r="ER401" i="2"/>
  <c r="ER402" i="2"/>
  <c r="ER403" i="2"/>
  <c r="ER404" i="2"/>
  <c r="ER405" i="2"/>
  <c r="ER406" i="2"/>
  <c r="ER419" i="2"/>
  <c r="ER420" i="2"/>
  <c r="ER421" i="2"/>
  <c r="ER422" i="2"/>
  <c r="ER423" i="2"/>
  <c r="ER424" i="2"/>
  <c r="ER425" i="2"/>
  <c r="ER426" i="2"/>
  <c r="D6" i="3" l="1"/>
  <c r="D7" i="3"/>
  <c r="D8" i="3"/>
  <c r="D9" i="3"/>
  <c r="D10" i="3"/>
  <c r="D11" i="3"/>
  <c r="D12" i="3" l="1"/>
  <c r="AT7" i="3"/>
  <c r="AU7" i="3"/>
  <c r="AT8" i="3"/>
  <c r="AU8" i="3"/>
  <c r="AT9" i="3"/>
  <c r="AU9" i="3"/>
  <c r="AT10" i="3"/>
  <c r="AU10" i="3"/>
  <c r="AU6" i="3"/>
  <c r="AT6" i="3"/>
  <c r="AN7" i="3"/>
  <c r="AO7" i="3"/>
  <c r="AN8" i="3"/>
  <c r="AO8" i="3"/>
  <c r="AN9" i="3"/>
  <c r="AO9" i="3"/>
  <c r="AN10" i="3"/>
  <c r="AO10" i="3"/>
  <c r="AN11" i="3"/>
  <c r="AO11" i="3"/>
  <c r="AO6" i="3"/>
  <c r="AN6" i="3"/>
  <c r="EG341" i="2"/>
  <c r="EG340" i="2"/>
  <c r="EG338" i="2"/>
  <c r="EG337" i="2"/>
  <c r="EG336" i="2"/>
  <c r="EG334" i="2"/>
  <c r="EG330" i="2"/>
  <c r="EG329" i="2"/>
  <c r="EG328" i="2"/>
  <c r="EG325" i="2"/>
  <c r="EG324" i="2"/>
  <c r="EG323" i="2"/>
  <c r="EG321" i="2"/>
  <c r="EG317" i="2"/>
  <c r="EG308" i="2"/>
  <c r="EG295" i="2"/>
  <c r="EG293" i="2"/>
  <c r="EG292" i="2"/>
  <c r="EG290" i="2"/>
  <c r="EG289" i="2"/>
  <c r="EG287" i="2"/>
  <c r="EG284" i="2"/>
  <c r="EG283" i="2"/>
  <c r="EG280" i="2"/>
  <c r="EG279" i="2"/>
  <c r="EG277" i="2"/>
  <c r="EG276" i="2"/>
  <c r="EG272" i="2"/>
  <c r="EG270" i="2"/>
  <c r="EG269" i="2"/>
  <c r="EG268" i="2"/>
  <c r="EG267" i="2"/>
  <c r="EG266" i="2"/>
  <c r="EG265" i="2"/>
  <c r="EG264" i="2"/>
  <c r="EG263" i="2"/>
  <c r="EG262" i="2"/>
  <c r="EG258" i="2"/>
  <c r="EG255" i="2"/>
  <c r="EG253" i="2"/>
  <c r="EG252" i="2"/>
  <c r="EG251" i="2"/>
  <c r="EG250" i="2"/>
  <c r="EG249" i="2"/>
  <c r="EG248" i="2"/>
  <c r="EG247" i="2"/>
  <c r="EG246" i="2"/>
  <c r="EG245" i="2"/>
  <c r="EG244" i="2"/>
  <c r="EG243" i="2"/>
  <c r="EG242" i="2"/>
  <c r="ER3" i="2" l="1"/>
  <c r="CP217" i="2"/>
  <c r="CP218" i="2"/>
  <c r="CP220" i="2"/>
  <c r="CP222" i="2"/>
  <c r="CP229" i="2"/>
  <c r="CP230" i="2"/>
  <c r="CP231" i="2"/>
  <c r="CP232" i="2"/>
  <c r="CP233" i="2"/>
  <c r="CP234" i="2"/>
  <c r="CP235" i="2"/>
  <c r="CP236" i="2"/>
  <c r="CP254" i="2"/>
  <c r="CP255" i="2"/>
  <c r="CP256" i="2"/>
  <c r="CP257" i="2"/>
  <c r="CP260" i="2"/>
  <c r="CP285" i="2"/>
  <c r="CP303" i="2"/>
  <c r="CP312" i="2"/>
  <c r="CP313" i="2"/>
  <c r="CP331" i="2"/>
  <c r="CP342" i="2"/>
  <c r="CP343" i="2"/>
  <c r="CP344" i="2"/>
  <c r="CP5" i="2"/>
  <c r="CP6" i="2"/>
  <c r="CP7" i="2"/>
  <c r="CP8" i="2"/>
  <c r="CP9" i="2"/>
  <c r="CP10" i="2"/>
  <c r="CP11" i="2"/>
  <c r="CP12" i="2"/>
  <c r="CP13" i="2"/>
  <c r="CP14" i="2"/>
  <c r="CP15" i="2"/>
  <c r="CP16" i="2"/>
  <c r="CP17" i="2"/>
  <c r="CP18" i="2"/>
  <c r="CP19" i="2"/>
  <c r="CP20" i="2"/>
  <c r="CP21" i="2"/>
  <c r="CP22" i="2"/>
  <c r="CP23" i="2"/>
  <c r="CP24" i="2"/>
  <c r="CP25" i="2"/>
  <c r="CP26" i="2"/>
  <c r="CP27" i="2"/>
  <c r="CP28" i="2"/>
  <c r="CP29" i="2"/>
  <c r="CP31" i="2"/>
  <c r="CP32" i="2"/>
  <c r="CP33" i="2"/>
  <c r="CP35" i="2"/>
  <c r="CP36" i="2"/>
  <c r="CP37" i="2"/>
  <c r="CP38" i="2"/>
  <c r="CP39" i="2"/>
  <c r="CP40" i="2"/>
  <c r="CP41" i="2"/>
  <c r="CP42" i="2"/>
  <c r="CP43" i="2"/>
  <c r="CP44" i="2"/>
  <c r="CP45" i="2"/>
  <c r="CP46" i="2"/>
  <c r="CP47" i="2"/>
  <c r="CP48" i="2"/>
  <c r="CP49" i="2"/>
  <c r="CP50" i="2"/>
  <c r="CP51" i="2"/>
  <c r="CP52" i="2"/>
  <c r="CP53" i="2"/>
  <c r="CP54" i="2"/>
  <c r="CP55" i="2"/>
  <c r="CP56" i="2"/>
  <c r="CP58" i="2"/>
  <c r="CP59" i="2"/>
  <c r="CP60" i="2"/>
  <c r="CP61" i="2"/>
  <c r="CP62" i="2"/>
  <c r="CP63" i="2"/>
  <c r="CP64" i="2"/>
  <c r="CP65" i="2"/>
  <c r="CP66" i="2"/>
  <c r="CP67" i="2"/>
  <c r="CP68" i="2"/>
  <c r="CP69" i="2"/>
  <c r="CP70" i="2"/>
  <c r="CP71" i="2"/>
  <c r="CP72" i="2"/>
  <c r="CP73" i="2"/>
  <c r="CP79" i="2"/>
  <c r="CP80" i="2"/>
  <c r="CP81" i="2"/>
  <c r="CP82" i="2"/>
  <c r="CP83" i="2"/>
  <c r="CP84" i="2"/>
  <c r="CP85" i="2"/>
  <c r="CP86" i="2"/>
  <c r="CP87" i="2"/>
  <c r="CP88" i="2"/>
  <c r="CP89" i="2"/>
  <c r="CP90" i="2"/>
  <c r="CP91" i="2"/>
  <c r="CP92" i="2"/>
  <c r="CP93" i="2"/>
  <c r="CP94" i="2"/>
  <c r="CP95" i="2"/>
  <c r="CP96" i="2"/>
  <c r="CP97" i="2"/>
  <c r="CP98" i="2"/>
  <c r="CP99" i="2"/>
  <c r="CP100" i="2"/>
  <c r="CP101" i="2"/>
  <c r="CP102" i="2"/>
  <c r="CP103" i="2"/>
  <c r="CP104" i="2"/>
  <c r="CP105" i="2"/>
  <c r="CP106" i="2"/>
  <c r="CP107" i="2"/>
  <c r="CP108" i="2"/>
  <c r="CP109" i="2"/>
  <c r="CP110" i="2"/>
  <c r="CP111" i="2"/>
  <c r="CP112" i="2"/>
  <c r="CP113" i="2"/>
  <c r="CP114" i="2"/>
  <c r="CP115" i="2"/>
  <c r="CP116" i="2"/>
  <c r="CP117" i="2"/>
  <c r="CP118" i="2"/>
  <c r="CP119" i="2"/>
  <c r="CP120" i="2"/>
  <c r="CP121" i="2"/>
  <c r="CP122" i="2"/>
  <c r="CP123" i="2"/>
  <c r="CP124" i="2"/>
  <c r="CP125" i="2"/>
  <c r="CP129" i="2"/>
  <c r="CP130" i="2"/>
  <c r="CP131" i="2"/>
  <c r="CP132" i="2"/>
  <c r="CP133" i="2"/>
  <c r="CP134" i="2"/>
  <c r="CP135" i="2"/>
  <c r="CP137" i="2"/>
  <c r="CP138" i="2"/>
  <c r="CP139" i="2"/>
  <c r="CP140" i="2"/>
  <c r="CP141" i="2"/>
  <c r="CP142" i="2"/>
  <c r="CP143" i="2"/>
  <c r="CP144" i="2"/>
  <c r="CP145" i="2"/>
  <c r="CP146" i="2"/>
  <c r="CP147" i="2"/>
  <c r="CP148" i="2"/>
  <c r="CP149" i="2"/>
  <c r="CP152" i="2"/>
  <c r="CP153" i="2"/>
  <c r="CP154" i="2"/>
  <c r="CP155" i="2"/>
  <c r="CP156" i="2"/>
  <c r="CP157" i="2"/>
  <c r="CP158" i="2"/>
  <c r="CP159" i="2"/>
  <c r="CP160" i="2"/>
  <c r="CP161" i="2"/>
  <c r="CP162" i="2"/>
  <c r="CP163" i="2"/>
  <c r="CP164" i="2"/>
  <c r="CP165" i="2"/>
  <c r="CP166" i="2"/>
  <c r="CP172" i="2"/>
  <c r="CP174" i="2"/>
  <c r="CP179" i="2"/>
  <c r="CP180" i="2"/>
  <c r="CP181" i="2"/>
  <c r="CP182" i="2"/>
  <c r="CP184" i="2"/>
  <c r="CP185" i="2"/>
  <c r="CP186" i="2"/>
  <c r="CP187" i="2"/>
  <c r="CP189" i="2"/>
  <c r="CP191" i="2"/>
  <c r="CP193" i="2"/>
  <c r="CP194" i="2"/>
  <c r="CP195" i="2"/>
  <c r="CP196" i="2"/>
  <c r="CP197" i="2"/>
  <c r="CP199" i="2"/>
  <c r="CP200" i="2"/>
  <c r="CP201" i="2"/>
  <c r="CP202" i="2"/>
  <c r="CP205" i="2"/>
  <c r="CP212" i="2"/>
  <c r="CP214" i="2"/>
  <c r="CP215" i="2"/>
  <c r="CP216" i="2"/>
  <c r="EG435" i="2" l="1"/>
  <c r="EG436" i="2"/>
  <c r="EG437" i="2"/>
  <c r="EG438" i="2"/>
  <c r="EG439" i="2"/>
  <c r="ES348" i="2"/>
  <c r="ES349" i="2"/>
  <c r="ES350" i="2"/>
  <c r="ES351" i="2"/>
  <c r="AZ19" i="3" l="1"/>
  <c r="AZ22" i="3"/>
  <c r="AZ23" i="3"/>
  <c r="EG240" i="2"/>
  <c r="EG241" i="2"/>
  <c r="EG237" i="2"/>
  <c r="EG3" i="2" l="1"/>
  <c r="AZ18" i="3"/>
  <c r="BA24" i="3"/>
  <c r="BC24" i="3"/>
  <c r="AZ20" i="3"/>
  <c r="BB20" i="3" s="1"/>
  <c r="AZ21" i="3"/>
  <c r="BB21" i="3" s="1"/>
  <c r="BB22" i="3"/>
  <c r="BD22" i="3"/>
  <c r="BB19" i="3"/>
  <c r="BD19" i="3"/>
  <c r="BB23" i="3"/>
  <c r="BD23" i="3"/>
  <c r="BB18" i="3" l="1"/>
  <c r="BD18" i="3"/>
  <c r="BD20" i="3"/>
  <c r="AZ24" i="3"/>
  <c r="BD21" i="3"/>
  <c r="ES6" i="2"/>
  <c r="ES7" i="2"/>
  <c r="ES8" i="2"/>
  <c r="ES9" i="2"/>
  <c r="ES10" i="2"/>
  <c r="ES11" i="2"/>
  <c r="ES12" i="2"/>
  <c r="ES13" i="2"/>
  <c r="ES14" i="2"/>
  <c r="ES15" i="2"/>
  <c r="ES16" i="2"/>
  <c r="ES17" i="2"/>
  <c r="ES18" i="2"/>
  <c r="ES19" i="2"/>
  <c r="ES20" i="2"/>
  <c r="ES21" i="2"/>
  <c r="ES22" i="2"/>
  <c r="ES23" i="2"/>
  <c r="ES24" i="2"/>
  <c r="ES25" i="2"/>
  <c r="ES26" i="2"/>
  <c r="ES27" i="2"/>
  <c r="ES28" i="2"/>
  <c r="ES29" i="2"/>
  <c r="ES30" i="2"/>
  <c r="ES31" i="2"/>
  <c r="ES32" i="2"/>
  <c r="ES33" i="2"/>
  <c r="ES34" i="2"/>
  <c r="ES35" i="2"/>
  <c r="ES36" i="2"/>
  <c r="ES37" i="2"/>
  <c r="ES38" i="2"/>
  <c r="ES39" i="2"/>
  <c r="ES40" i="2"/>
  <c r="ES41" i="2"/>
  <c r="ES42" i="2"/>
  <c r="ES43" i="2"/>
  <c r="ES44" i="2"/>
  <c r="ES45" i="2"/>
  <c r="ES46" i="2"/>
  <c r="ES47" i="2"/>
  <c r="ES48" i="2"/>
  <c r="ES49" i="2"/>
  <c r="ES50" i="2"/>
  <c r="ES51" i="2"/>
  <c r="ES52" i="2"/>
  <c r="ES53" i="2"/>
  <c r="ES54" i="2"/>
  <c r="ES55" i="2"/>
  <c r="ES56" i="2"/>
  <c r="ES57" i="2"/>
  <c r="ES58" i="2"/>
  <c r="ES59" i="2"/>
  <c r="ES60" i="2"/>
  <c r="ES61" i="2"/>
  <c r="ES62" i="2"/>
  <c r="ES63" i="2"/>
  <c r="ES64" i="2"/>
  <c r="ES65" i="2"/>
  <c r="ES66" i="2"/>
  <c r="ES67" i="2"/>
  <c r="ES68" i="2"/>
  <c r="ES69" i="2"/>
  <c r="ES70" i="2"/>
  <c r="ES71" i="2"/>
  <c r="ES72" i="2"/>
  <c r="ES73" i="2"/>
  <c r="ES74" i="2"/>
  <c r="ES75" i="2"/>
  <c r="ES76" i="2"/>
  <c r="ES77" i="2"/>
  <c r="ES78" i="2"/>
  <c r="ES79" i="2"/>
  <c r="ES80" i="2"/>
  <c r="ES81" i="2"/>
  <c r="ES82" i="2"/>
  <c r="ES83" i="2"/>
  <c r="ES84" i="2"/>
  <c r="ES85" i="2"/>
  <c r="ES86" i="2"/>
  <c r="ES87" i="2"/>
  <c r="ES88" i="2"/>
  <c r="ES89" i="2"/>
  <c r="ES90" i="2"/>
  <c r="ES91" i="2"/>
  <c r="ES92" i="2"/>
  <c r="ES93" i="2"/>
  <c r="ES94" i="2"/>
  <c r="ES95" i="2"/>
  <c r="ES96" i="2"/>
  <c r="ES97" i="2"/>
  <c r="ES98" i="2"/>
  <c r="ES99" i="2"/>
  <c r="ES100" i="2"/>
  <c r="ES101" i="2"/>
  <c r="ES102" i="2"/>
  <c r="ES103" i="2"/>
  <c r="ES104" i="2"/>
  <c r="ES105" i="2"/>
  <c r="ES106" i="2"/>
  <c r="ES107" i="2"/>
  <c r="ES108" i="2"/>
  <c r="ES109" i="2"/>
  <c r="ES110" i="2"/>
  <c r="ES111" i="2"/>
  <c r="ES112" i="2"/>
  <c r="ES113" i="2"/>
  <c r="ES114" i="2"/>
  <c r="ES115" i="2"/>
  <c r="ES116" i="2"/>
  <c r="ES117" i="2"/>
  <c r="ES118" i="2"/>
  <c r="ES119" i="2"/>
  <c r="ES120" i="2"/>
  <c r="ES121" i="2"/>
  <c r="ES122" i="2"/>
  <c r="ES123" i="2"/>
  <c r="ES124" i="2"/>
  <c r="ES125" i="2"/>
  <c r="ES126" i="2"/>
  <c r="ES127" i="2"/>
  <c r="ES128" i="2"/>
  <c r="ES129" i="2"/>
  <c r="ES130" i="2"/>
  <c r="ES131" i="2"/>
  <c r="ES132" i="2"/>
  <c r="ES133" i="2"/>
  <c r="ES134" i="2"/>
  <c r="ES135" i="2"/>
  <c r="ES136" i="2"/>
  <c r="ES137" i="2"/>
  <c r="ES138" i="2"/>
  <c r="ES139" i="2"/>
  <c r="ES140" i="2"/>
  <c r="ES141" i="2"/>
  <c r="ES142" i="2"/>
  <c r="ES143" i="2"/>
  <c r="ES144" i="2"/>
  <c r="ES145" i="2"/>
  <c r="ES146" i="2"/>
  <c r="ES147" i="2"/>
  <c r="ES148" i="2"/>
  <c r="ES149" i="2"/>
  <c r="ES150" i="2"/>
  <c r="ES151" i="2"/>
  <c r="ES152" i="2"/>
  <c r="ES153" i="2"/>
  <c r="ES154" i="2"/>
  <c r="ES155" i="2"/>
  <c r="ES156" i="2"/>
  <c r="ES157" i="2"/>
  <c r="ES158" i="2"/>
  <c r="ES159" i="2"/>
  <c r="ES160" i="2"/>
  <c r="ES161" i="2"/>
  <c r="ES162" i="2"/>
  <c r="ES163" i="2"/>
  <c r="ES164" i="2"/>
  <c r="ES165" i="2"/>
  <c r="ES166" i="2"/>
  <c r="ES167" i="2"/>
  <c r="ES168" i="2"/>
  <c r="ES169" i="2"/>
  <c r="ES170" i="2"/>
  <c r="ES171" i="2"/>
  <c r="ES172" i="2"/>
  <c r="ES173" i="2"/>
  <c r="ES174" i="2"/>
  <c r="ES175" i="2"/>
  <c r="ES176" i="2"/>
  <c r="ES177" i="2"/>
  <c r="ES178" i="2"/>
  <c r="ES179" i="2"/>
  <c r="ES180" i="2"/>
  <c r="ES181" i="2"/>
  <c r="ES182" i="2"/>
  <c r="ES183" i="2"/>
  <c r="ES184" i="2"/>
  <c r="ES185" i="2"/>
  <c r="ES186" i="2"/>
  <c r="ES187" i="2"/>
  <c r="ES188" i="2"/>
  <c r="ES189" i="2"/>
  <c r="ES190" i="2"/>
  <c r="ES191" i="2"/>
  <c r="ES192" i="2"/>
  <c r="ES193" i="2"/>
  <c r="ES194" i="2"/>
  <c r="ES195" i="2"/>
  <c r="ES196" i="2"/>
  <c r="ES197" i="2"/>
  <c r="ES198" i="2"/>
  <c r="ES199" i="2"/>
  <c r="ES200" i="2"/>
  <c r="ES201" i="2"/>
  <c r="ES202" i="2"/>
  <c r="ES203" i="2"/>
  <c r="ES204" i="2"/>
  <c r="ES205" i="2"/>
  <c r="ES206" i="2"/>
  <c r="ES207" i="2"/>
  <c r="ES208" i="2"/>
  <c r="ES209" i="2"/>
  <c r="ES210" i="2"/>
  <c r="ES211" i="2"/>
  <c r="ES212" i="2"/>
  <c r="ES213" i="2"/>
  <c r="ES214" i="2"/>
  <c r="ES215" i="2"/>
  <c r="ES216" i="2"/>
  <c r="ES217" i="2"/>
  <c r="ES218" i="2"/>
  <c r="ES219" i="2"/>
  <c r="ES220" i="2"/>
  <c r="ES221" i="2"/>
  <c r="ES222" i="2"/>
  <c r="ES223" i="2"/>
  <c r="ES224" i="2"/>
  <c r="ES225" i="2"/>
  <c r="ES226" i="2"/>
  <c r="ES227" i="2"/>
  <c r="ES228" i="2"/>
  <c r="ES229" i="2"/>
  <c r="ES230" i="2"/>
  <c r="ES231" i="2"/>
  <c r="ES232" i="2"/>
  <c r="ES233" i="2"/>
  <c r="ES234" i="2"/>
  <c r="ES235" i="2"/>
  <c r="ES236" i="2"/>
  <c r="ES237" i="2"/>
  <c r="ES241" i="2"/>
  <c r="ES242" i="2"/>
  <c r="ES243" i="2"/>
  <c r="ES244" i="2"/>
  <c r="ES245" i="2"/>
  <c r="ES246" i="2"/>
  <c r="ES247" i="2"/>
  <c r="ES248" i="2"/>
  <c r="ES249" i="2"/>
  <c r="ES250" i="2"/>
  <c r="ES251" i="2"/>
  <c r="ES252" i="2"/>
  <c r="ES253" i="2"/>
  <c r="ES254" i="2"/>
  <c r="ES255" i="2"/>
  <c r="ES256" i="2"/>
  <c r="ES257" i="2"/>
  <c r="ES258" i="2"/>
  <c r="ES259" i="2"/>
  <c r="ES260" i="2"/>
  <c r="ES261" i="2"/>
  <c r="ES262" i="2"/>
  <c r="ES263" i="2"/>
  <c r="ES264" i="2"/>
  <c r="ES265" i="2"/>
  <c r="ES266" i="2"/>
  <c r="ES267" i="2"/>
  <c r="ES268" i="2"/>
  <c r="ES269" i="2"/>
  <c r="ES270" i="2"/>
  <c r="ES272" i="2"/>
  <c r="ES273" i="2"/>
  <c r="ES275" i="2"/>
  <c r="ES276" i="2"/>
  <c r="ES277" i="2"/>
  <c r="ES279" i="2"/>
  <c r="ES280" i="2"/>
  <c r="ES281" i="2"/>
  <c r="ES283" i="2"/>
  <c r="ES284" i="2"/>
  <c r="ES285" i="2"/>
  <c r="ES286" i="2"/>
  <c r="ES287" i="2"/>
  <c r="ES288" i="2"/>
  <c r="ES289" i="2"/>
  <c r="ES290" i="2"/>
  <c r="ES292" i="2"/>
  <c r="ES293" i="2"/>
  <c r="ES295" i="2"/>
  <c r="ES297" i="2"/>
  <c r="ES298" i="2"/>
  <c r="ES299" i="2"/>
  <c r="ES302" i="2"/>
  <c r="ES303" i="2"/>
  <c r="ES305" i="2"/>
  <c r="ES306" i="2"/>
  <c r="ES308" i="2"/>
  <c r="ES309" i="2"/>
  <c r="ES310" i="2"/>
  <c r="ES311" i="2"/>
  <c r="ES312" i="2"/>
  <c r="ES313" i="2"/>
  <c r="ES317" i="2"/>
  <c r="ES318" i="2"/>
  <c r="ES321" i="2"/>
  <c r="ES323" i="2"/>
  <c r="ES324" i="2"/>
  <c r="ES325" i="2"/>
  <c r="ES326" i="2"/>
  <c r="ES328" i="2"/>
  <c r="ES329" i="2"/>
  <c r="ES330" i="2"/>
  <c r="ES331" i="2"/>
  <c r="ES334" i="2"/>
  <c r="ES335" i="2"/>
  <c r="ES336" i="2"/>
  <c r="ES337" i="2"/>
  <c r="ES338" i="2"/>
  <c r="ES339" i="2"/>
  <c r="ES340" i="2"/>
  <c r="ES341" i="2"/>
  <c r="ES342" i="2"/>
  <c r="ES343" i="2"/>
  <c r="ES344" i="2"/>
  <c r="ES345" i="2"/>
  <c r="ES346" i="2"/>
  <c r="ES347" i="2"/>
  <c r="ES352" i="2"/>
  <c r="ES353" i="2"/>
  <c r="ES354" i="2"/>
  <c r="ES355" i="2"/>
  <c r="ES356" i="2"/>
  <c r="ES357" i="2"/>
  <c r="ES358" i="2"/>
  <c r="ES359" i="2"/>
  <c r="ES360" i="2"/>
  <c r="ES361" i="2"/>
  <c r="ES362" i="2"/>
  <c r="ES363" i="2"/>
  <c r="ES364" i="2"/>
  <c r="ES365" i="2"/>
  <c r="ES366" i="2"/>
  <c r="ES367" i="2"/>
  <c r="ES368" i="2"/>
  <c r="ES369" i="2"/>
  <c r="ES370" i="2"/>
  <c r="ES371" i="2"/>
  <c r="ES372" i="2"/>
  <c r="ES373" i="2"/>
  <c r="ES374" i="2"/>
  <c r="ES375" i="2"/>
  <c r="ES376" i="2"/>
  <c r="ES377" i="2"/>
  <c r="ES378" i="2"/>
  <c r="ES379" i="2"/>
  <c r="ES380" i="2"/>
  <c r="ES381" i="2"/>
  <c r="ES382" i="2"/>
  <c r="ES383" i="2"/>
  <c r="ES384" i="2"/>
  <c r="ES385" i="2"/>
  <c r="ES386" i="2"/>
  <c r="ES387" i="2"/>
  <c r="ES388" i="2"/>
  <c r="ES389" i="2"/>
  <c r="ES390" i="2"/>
  <c r="ES391" i="2"/>
  <c r="ES392" i="2"/>
  <c r="ES393" i="2"/>
  <c r="ES394" i="2"/>
  <c r="ES395" i="2"/>
  <c r="ES396" i="2"/>
  <c r="ES397" i="2"/>
  <c r="ES398" i="2"/>
  <c r="ES399" i="2"/>
  <c r="ES400" i="2"/>
  <c r="ES401" i="2"/>
  <c r="ES402" i="2"/>
  <c r="ES403" i="2"/>
  <c r="ES404" i="2"/>
  <c r="ES405" i="2"/>
  <c r="ES406" i="2"/>
  <c r="ES407" i="2"/>
  <c r="ES408" i="2"/>
  <c r="ES409" i="2"/>
  <c r="ES410" i="2"/>
  <c r="ES411" i="2"/>
  <c r="ES412" i="2"/>
  <c r="ES413" i="2"/>
  <c r="ES414" i="2"/>
  <c r="ES415" i="2"/>
  <c r="ES416" i="2"/>
  <c r="ES417" i="2"/>
  <c r="ES418" i="2"/>
  <c r="ES419" i="2"/>
  <c r="ES420" i="2"/>
  <c r="ES421" i="2"/>
  <c r="ES422" i="2"/>
  <c r="ES423" i="2"/>
  <c r="ES424" i="2"/>
  <c r="ES425" i="2"/>
  <c r="ES426" i="2"/>
  <c r="ES427" i="2"/>
  <c r="ES428" i="2"/>
  <c r="ES429" i="2"/>
  <c r="ES430" i="2"/>
  <c r="ES431" i="2"/>
  <c r="ES435" i="2"/>
  <c r="ES436" i="2"/>
  <c r="ES437" i="2"/>
  <c r="ES438" i="2"/>
  <c r="ES439" i="2"/>
  <c r="ES5" i="2"/>
  <c r="EH5" i="2"/>
  <c r="EH6" i="2"/>
  <c r="EH7" i="2"/>
  <c r="EH8" i="2"/>
  <c r="EH9" i="2"/>
  <c r="EH10" i="2"/>
  <c r="EH11" i="2"/>
  <c r="EH12" i="2"/>
  <c r="EH13" i="2"/>
  <c r="EH14" i="2"/>
  <c r="EH15" i="2"/>
  <c r="EH16" i="2"/>
  <c r="EH17" i="2"/>
  <c r="EH18" i="2"/>
  <c r="EH19" i="2"/>
  <c r="EH20" i="2"/>
  <c r="EH21" i="2"/>
  <c r="EH22" i="2"/>
  <c r="EH23" i="2"/>
  <c r="EH24" i="2"/>
  <c r="EH25" i="2"/>
  <c r="EH26" i="2"/>
  <c r="EH27" i="2"/>
  <c r="EH28" i="2"/>
  <c r="EH29" i="2"/>
  <c r="EH30" i="2"/>
  <c r="EH31" i="2"/>
  <c r="EH32" i="2"/>
  <c r="EH33" i="2"/>
  <c r="EH34" i="2"/>
  <c r="EH35" i="2"/>
  <c r="EH36" i="2"/>
  <c r="EH37" i="2"/>
  <c r="EH38" i="2"/>
  <c r="EH39" i="2"/>
  <c r="EH40" i="2"/>
  <c r="EH41" i="2"/>
  <c r="EH42" i="2"/>
  <c r="EH43" i="2"/>
  <c r="EH44" i="2"/>
  <c r="EH45" i="2"/>
  <c r="EH46" i="2"/>
  <c r="EH47" i="2"/>
  <c r="EH48" i="2"/>
  <c r="EH49" i="2"/>
  <c r="EH50" i="2"/>
  <c r="EH51" i="2"/>
  <c r="EH52" i="2"/>
  <c r="EH53" i="2"/>
  <c r="EH54" i="2"/>
  <c r="EH55" i="2"/>
  <c r="EH56" i="2"/>
  <c r="EH57" i="2"/>
  <c r="EH58" i="2"/>
  <c r="EH59" i="2"/>
  <c r="EH60" i="2"/>
  <c r="EH61" i="2"/>
  <c r="EH62" i="2"/>
  <c r="EH63" i="2"/>
  <c r="EH64" i="2"/>
  <c r="EH65" i="2"/>
  <c r="EH66" i="2"/>
  <c r="EH67" i="2"/>
  <c r="EH68" i="2"/>
  <c r="EH69" i="2"/>
  <c r="EH70" i="2"/>
  <c r="EH71" i="2"/>
  <c r="EH72" i="2"/>
  <c r="EH73" i="2"/>
  <c r="EH74" i="2"/>
  <c r="EH75" i="2"/>
  <c r="EH76" i="2"/>
  <c r="EH77" i="2"/>
  <c r="EH78" i="2"/>
  <c r="EH79" i="2"/>
  <c r="EH80" i="2"/>
  <c r="EH81" i="2"/>
  <c r="EH82" i="2"/>
  <c r="EH83" i="2"/>
  <c r="EH84" i="2"/>
  <c r="EH85" i="2"/>
  <c r="EH86" i="2"/>
  <c r="EH87" i="2"/>
  <c r="EH88" i="2"/>
  <c r="EH89" i="2"/>
  <c r="EH90" i="2"/>
  <c r="EH91" i="2"/>
  <c r="EH92" i="2"/>
  <c r="EH93" i="2"/>
  <c r="EH94" i="2"/>
  <c r="EH95" i="2"/>
  <c r="EH96" i="2"/>
  <c r="EH97" i="2"/>
  <c r="EH98" i="2"/>
  <c r="EH99" i="2"/>
  <c r="EH100" i="2"/>
  <c r="EH101" i="2"/>
  <c r="EH102" i="2"/>
  <c r="EH103" i="2"/>
  <c r="EH104" i="2"/>
  <c r="EH105" i="2"/>
  <c r="EH106" i="2"/>
  <c r="EH107" i="2"/>
  <c r="EH108" i="2"/>
  <c r="EH109" i="2"/>
  <c r="EH110" i="2"/>
  <c r="EH111" i="2"/>
  <c r="EH112" i="2"/>
  <c r="EH113" i="2"/>
  <c r="EH114" i="2"/>
  <c r="EH115" i="2"/>
  <c r="EH116" i="2"/>
  <c r="EH117" i="2"/>
  <c r="EH118" i="2"/>
  <c r="EH119" i="2"/>
  <c r="EH120" i="2"/>
  <c r="EH121" i="2"/>
  <c r="EH122" i="2"/>
  <c r="EH123" i="2"/>
  <c r="EH124" i="2"/>
  <c r="EH125" i="2"/>
  <c r="EH126" i="2"/>
  <c r="EH127" i="2"/>
  <c r="EH128" i="2"/>
  <c r="EH129" i="2"/>
  <c r="EH130" i="2"/>
  <c r="EH131" i="2"/>
  <c r="EH132" i="2"/>
  <c r="EH133" i="2"/>
  <c r="EH134" i="2"/>
  <c r="EH135" i="2"/>
  <c r="EH136" i="2"/>
  <c r="EH137" i="2"/>
  <c r="EH138" i="2"/>
  <c r="EH139" i="2"/>
  <c r="EH140" i="2"/>
  <c r="EH141" i="2"/>
  <c r="EH142" i="2"/>
  <c r="EH143" i="2"/>
  <c r="EH144" i="2"/>
  <c r="EH145" i="2"/>
  <c r="EH146" i="2"/>
  <c r="EH147" i="2"/>
  <c r="EH148" i="2"/>
  <c r="EH149" i="2"/>
  <c r="EH150" i="2"/>
  <c r="EH151" i="2"/>
  <c r="EH152" i="2"/>
  <c r="EH153" i="2"/>
  <c r="EH154" i="2"/>
  <c r="EH155" i="2"/>
  <c r="EH156" i="2"/>
  <c r="EH157" i="2"/>
  <c r="EH158" i="2"/>
  <c r="EH159" i="2"/>
  <c r="EH160" i="2"/>
  <c r="EH161" i="2"/>
  <c r="EH162" i="2"/>
  <c r="EH163" i="2"/>
  <c r="EH164" i="2"/>
  <c r="EH165" i="2"/>
  <c r="EH166" i="2"/>
  <c r="EH167" i="2"/>
  <c r="EH168" i="2"/>
  <c r="EH169" i="2"/>
  <c r="EH170" i="2"/>
  <c r="EH171" i="2"/>
  <c r="EH172" i="2"/>
  <c r="EH173" i="2"/>
  <c r="EH174" i="2"/>
  <c r="EH175" i="2"/>
  <c r="EH176" i="2"/>
  <c r="EH177" i="2"/>
  <c r="EH178" i="2"/>
  <c r="EH179" i="2"/>
  <c r="EH180" i="2"/>
  <c r="EH181" i="2"/>
  <c r="EH182" i="2"/>
  <c r="EH183" i="2"/>
  <c r="EH184" i="2"/>
  <c r="EH185" i="2"/>
  <c r="EH186" i="2"/>
  <c r="EH187" i="2"/>
  <c r="EH188" i="2"/>
  <c r="EH189" i="2"/>
  <c r="EH190" i="2"/>
  <c r="EH191" i="2"/>
  <c r="EH192" i="2"/>
  <c r="EH193" i="2"/>
  <c r="EH194" i="2"/>
  <c r="EH195" i="2"/>
  <c r="EH196" i="2"/>
  <c r="EH197" i="2"/>
  <c r="EH198" i="2"/>
  <c r="EH199" i="2"/>
  <c r="EH200" i="2"/>
  <c r="EH201" i="2"/>
  <c r="EH202" i="2"/>
  <c r="EH203" i="2"/>
  <c r="EH204" i="2"/>
  <c r="EH205" i="2"/>
  <c r="EH206" i="2"/>
  <c r="EH207" i="2"/>
  <c r="EH208" i="2"/>
  <c r="EH209" i="2"/>
  <c r="EH210" i="2"/>
  <c r="EH211" i="2"/>
  <c r="EH212" i="2"/>
  <c r="EH213" i="2"/>
  <c r="EH214" i="2"/>
  <c r="EH215" i="2"/>
  <c r="EH216" i="2"/>
  <c r="EH217" i="2"/>
  <c r="EH218" i="2"/>
  <c r="EH219" i="2"/>
  <c r="EH220" i="2"/>
  <c r="EH221" i="2"/>
  <c r="EH222" i="2"/>
  <c r="EH223" i="2"/>
  <c r="EH224" i="2"/>
  <c r="EH225" i="2"/>
  <c r="EH226" i="2"/>
  <c r="EH227" i="2"/>
  <c r="EH228" i="2"/>
  <c r="EH229" i="2"/>
  <c r="EH230" i="2"/>
  <c r="EH231" i="2"/>
  <c r="EH232" i="2"/>
  <c r="EH233" i="2"/>
  <c r="EH234" i="2"/>
  <c r="EH235" i="2"/>
  <c r="EH236" i="2"/>
  <c r="EH237" i="2"/>
  <c r="EH238" i="2"/>
  <c r="EH239" i="2"/>
  <c r="EH240" i="2"/>
  <c r="EH241" i="2"/>
  <c r="EH242" i="2"/>
  <c r="EH243" i="2"/>
  <c r="EH244" i="2"/>
  <c r="EH245" i="2"/>
  <c r="EH246" i="2"/>
  <c r="EH247" i="2"/>
  <c r="EH248" i="2"/>
  <c r="EH249" i="2"/>
  <c r="EH250" i="2"/>
  <c r="EH251" i="2"/>
  <c r="EH252" i="2"/>
  <c r="EH253" i="2"/>
  <c r="EH254" i="2"/>
  <c r="EH255" i="2"/>
  <c r="EH256" i="2"/>
  <c r="EH257" i="2"/>
  <c r="EH258" i="2"/>
  <c r="EH259" i="2"/>
  <c r="EH260" i="2"/>
  <c r="EH261" i="2"/>
  <c r="EH262" i="2"/>
  <c r="EH263" i="2"/>
  <c r="EH264" i="2"/>
  <c r="EH265" i="2"/>
  <c r="EH266" i="2"/>
  <c r="EH267" i="2"/>
  <c r="EH268" i="2"/>
  <c r="EH269" i="2"/>
  <c r="EH270" i="2"/>
  <c r="EH272" i="2"/>
  <c r="EH273" i="2"/>
  <c r="EH275" i="2"/>
  <c r="EH276" i="2"/>
  <c r="EH277" i="2"/>
  <c r="EH279" i="2"/>
  <c r="EH280" i="2"/>
  <c r="EH281" i="2"/>
  <c r="EH283" i="2"/>
  <c r="EH284" i="2"/>
  <c r="EH285" i="2"/>
  <c r="EH286" i="2"/>
  <c r="EH287" i="2"/>
  <c r="EH288" i="2"/>
  <c r="EH289" i="2"/>
  <c r="EH290" i="2"/>
  <c r="EH292" i="2"/>
  <c r="EH293" i="2"/>
  <c r="EH295" i="2"/>
  <c r="EH297" i="2"/>
  <c r="EH298" i="2"/>
  <c r="EH299" i="2"/>
  <c r="EH302" i="2"/>
  <c r="EH303" i="2"/>
  <c r="EH305" i="2"/>
  <c r="EH306" i="2"/>
  <c r="EH308" i="2"/>
  <c r="EH309" i="2"/>
  <c r="EH310" i="2"/>
  <c r="EH311" i="2"/>
  <c r="EH312" i="2"/>
  <c r="EH313" i="2"/>
  <c r="EH317" i="2"/>
  <c r="EH318" i="2"/>
  <c r="EH320" i="2"/>
  <c r="EH321" i="2"/>
  <c r="EH323" i="2"/>
  <c r="EH324" i="2"/>
  <c r="EH325" i="2"/>
  <c r="EH326" i="2"/>
  <c r="EH328" i="2"/>
  <c r="EH329" i="2"/>
  <c r="EH330" i="2"/>
  <c r="EH331" i="2"/>
  <c r="EH333" i="2"/>
  <c r="EH334" i="2"/>
  <c r="EH335" i="2"/>
  <c r="EH336" i="2"/>
  <c r="EH337" i="2"/>
  <c r="EH338" i="2"/>
  <c r="EH339" i="2"/>
  <c r="EH340" i="2"/>
  <c r="EH341" i="2"/>
  <c r="EH342" i="2"/>
  <c r="EH343" i="2"/>
  <c r="EH344" i="2"/>
  <c r="EH345" i="2"/>
  <c r="EH346" i="2"/>
  <c r="EH347" i="2"/>
  <c r="EH352" i="2"/>
  <c r="EH353" i="2"/>
  <c r="EH354" i="2"/>
  <c r="EH355" i="2"/>
  <c r="EH356" i="2"/>
  <c r="EH357" i="2"/>
  <c r="EH358" i="2"/>
  <c r="EH359" i="2"/>
  <c r="EH360" i="2"/>
  <c r="EH361" i="2"/>
  <c r="EH362" i="2"/>
  <c r="EH363" i="2"/>
  <c r="EH364" i="2"/>
  <c r="EH365" i="2"/>
  <c r="EH366" i="2"/>
  <c r="EH367" i="2"/>
  <c r="EH368" i="2"/>
  <c r="EH369" i="2"/>
  <c r="EH370" i="2"/>
  <c r="EH371" i="2"/>
  <c r="EH372" i="2"/>
  <c r="EH373" i="2"/>
  <c r="EH374" i="2"/>
  <c r="EH375" i="2"/>
  <c r="EH376" i="2"/>
  <c r="EH377" i="2"/>
  <c r="EH378" i="2"/>
  <c r="EH379" i="2"/>
  <c r="EH380" i="2"/>
  <c r="EH381" i="2"/>
  <c r="EH382" i="2"/>
  <c r="EH383" i="2"/>
  <c r="EH384" i="2"/>
  <c r="EH385" i="2"/>
  <c r="EH386" i="2"/>
  <c r="EH387" i="2"/>
  <c r="EH388" i="2"/>
  <c r="EH389" i="2"/>
  <c r="EH390" i="2"/>
  <c r="EH391" i="2"/>
  <c r="EH392" i="2"/>
  <c r="EH393" i="2"/>
  <c r="EH394" i="2"/>
  <c r="EH395" i="2"/>
  <c r="EH396" i="2"/>
  <c r="EH397" i="2"/>
  <c r="EH398" i="2"/>
  <c r="EH399" i="2"/>
  <c r="EH400" i="2"/>
  <c r="EH401" i="2"/>
  <c r="EH402" i="2"/>
  <c r="EH403" i="2"/>
  <c r="EH404" i="2"/>
  <c r="EH405" i="2"/>
  <c r="EH406" i="2"/>
  <c r="EH407" i="2"/>
  <c r="EH408" i="2"/>
  <c r="EH409" i="2"/>
  <c r="EH410" i="2"/>
  <c r="EH411" i="2"/>
  <c r="EH412" i="2"/>
  <c r="EH413" i="2"/>
  <c r="EH414" i="2"/>
  <c r="EH415" i="2"/>
  <c r="EH416" i="2"/>
  <c r="EH417" i="2"/>
  <c r="EH418" i="2"/>
  <c r="EH419" i="2"/>
  <c r="EH420" i="2"/>
  <c r="EH421" i="2"/>
  <c r="EH422" i="2"/>
  <c r="EH423" i="2"/>
  <c r="EH424" i="2"/>
  <c r="EH425" i="2"/>
  <c r="EH426" i="2"/>
  <c r="EH427" i="2"/>
  <c r="EH428" i="2"/>
  <c r="EH429" i="2"/>
  <c r="EH430" i="2"/>
  <c r="EH431" i="2"/>
  <c r="EH435" i="2"/>
  <c r="EH436" i="2"/>
  <c r="EH437" i="2"/>
  <c r="EH438" i="2"/>
  <c r="EH439" i="2"/>
  <c r="AL22" i="3"/>
  <c r="U271" i="10"/>
  <c r="U272" i="10"/>
  <c r="U274" i="10"/>
  <c r="U275" i="10"/>
  <c r="U276" i="10"/>
  <c r="U278" i="10"/>
  <c r="U279" i="10"/>
  <c r="U280" i="10"/>
  <c r="U282" i="10"/>
  <c r="U283" i="10"/>
  <c r="U284" i="10"/>
  <c r="U285" i="10"/>
  <c r="U286" i="10"/>
  <c r="U287" i="10"/>
  <c r="U288" i="10"/>
  <c r="U289" i="10"/>
  <c r="U291" i="10"/>
  <c r="U292" i="10"/>
  <c r="U294" i="10"/>
  <c r="U296" i="10"/>
  <c r="U297" i="10"/>
  <c r="U298" i="10"/>
  <c r="U301" i="10"/>
  <c r="U302" i="10"/>
  <c r="U304" i="10"/>
  <c r="U305" i="10"/>
  <c r="U307" i="10"/>
  <c r="U308" i="10"/>
  <c r="U309" i="10"/>
  <c r="U310" i="10"/>
  <c r="U311" i="10"/>
  <c r="U312" i="10"/>
  <c r="U316" i="10"/>
  <c r="U317" i="10"/>
  <c r="U320" i="10"/>
  <c r="U322" i="10"/>
  <c r="U323" i="10"/>
  <c r="U324" i="10"/>
  <c r="U325" i="10"/>
  <c r="U327" i="10"/>
  <c r="U328" i="10"/>
  <c r="U329" i="10"/>
  <c r="U330" i="10"/>
  <c r="U333" i="10"/>
  <c r="U334" i="10"/>
  <c r="U335" i="10"/>
  <c r="U336" i="10"/>
  <c r="U337" i="10"/>
  <c r="U338" i="10"/>
  <c r="U339" i="10"/>
  <c r="U340" i="10"/>
  <c r="U341" i="10"/>
  <c r="U342" i="10"/>
  <c r="U343" i="10"/>
  <c r="U344" i="10"/>
  <c r="U345" i="10"/>
  <c r="U346" i="10"/>
  <c r="U347" i="10"/>
  <c r="U348" i="10"/>
  <c r="U349" i="10"/>
  <c r="U350" i="10"/>
  <c r="U351" i="10"/>
  <c r="U352" i="10"/>
  <c r="U353" i="10"/>
  <c r="U354" i="10"/>
  <c r="U355" i="10"/>
  <c r="U356" i="10"/>
  <c r="U357" i="10"/>
  <c r="U358" i="10"/>
  <c r="U359" i="10"/>
  <c r="U360" i="10"/>
  <c r="U361" i="10"/>
  <c r="U362" i="10"/>
  <c r="U363" i="10"/>
  <c r="U364" i="10"/>
  <c r="U365" i="10"/>
  <c r="U366" i="10"/>
  <c r="U367" i="10"/>
  <c r="U368" i="10"/>
  <c r="U369" i="10"/>
  <c r="U370" i="10"/>
  <c r="U371" i="10"/>
  <c r="U372" i="10"/>
  <c r="U373" i="10"/>
  <c r="U374" i="10"/>
  <c r="U375" i="10"/>
  <c r="U376" i="10"/>
  <c r="U377" i="10"/>
  <c r="U378" i="10"/>
  <c r="U379" i="10"/>
  <c r="U380" i="10"/>
  <c r="U381" i="10"/>
  <c r="U382" i="10"/>
  <c r="U383" i="10"/>
  <c r="U384" i="10"/>
  <c r="U385" i="10"/>
  <c r="U386" i="10"/>
  <c r="U387" i="10"/>
  <c r="U388" i="10"/>
  <c r="U389" i="10"/>
  <c r="U390" i="10"/>
  <c r="U391" i="10"/>
  <c r="U392" i="10"/>
  <c r="U393" i="10"/>
  <c r="U394" i="10"/>
  <c r="U395" i="10"/>
  <c r="U396" i="10"/>
  <c r="U397" i="10"/>
  <c r="U398" i="10"/>
  <c r="U399" i="10"/>
  <c r="U400" i="10"/>
  <c r="U401" i="10"/>
  <c r="U402" i="10"/>
  <c r="U403" i="10"/>
  <c r="U404" i="10"/>
  <c r="U405" i="10"/>
  <c r="U406" i="10"/>
  <c r="U407" i="10"/>
  <c r="U408" i="10"/>
  <c r="U409" i="10"/>
  <c r="U410" i="10"/>
  <c r="U411" i="10"/>
  <c r="U412" i="10"/>
  <c r="U413" i="10"/>
  <c r="U414" i="10"/>
  <c r="U415" i="10"/>
  <c r="U416" i="10"/>
  <c r="U417" i="10"/>
  <c r="U418" i="10"/>
  <c r="U419" i="10"/>
  <c r="U420" i="10"/>
  <c r="U421" i="10"/>
  <c r="U422" i="10"/>
  <c r="U423" i="10"/>
  <c r="U424" i="10"/>
  <c r="U425" i="10"/>
  <c r="U426" i="10"/>
  <c r="U427" i="10"/>
  <c r="U428" i="10"/>
  <c r="U429" i="10"/>
  <c r="U430" i="10"/>
  <c r="U434" i="10"/>
  <c r="U435" i="10"/>
  <c r="U436" i="10"/>
  <c r="U437" i="10"/>
  <c r="U438" i="10"/>
  <c r="FT345" i="2"/>
  <c r="AY23" i="3"/>
  <c r="AY22" i="3"/>
  <c r="AY21" i="3"/>
  <c r="AY20" i="3"/>
  <c r="AY19" i="3"/>
  <c r="AY18" i="3"/>
  <c r="EA347" i="2"/>
  <c r="S346" i="10" s="1"/>
  <c r="DN347" i="2"/>
  <c r="Q346" i="10" s="1"/>
  <c r="DR347" i="2"/>
  <c r="R346" i="10" s="1"/>
  <c r="DO3" i="2"/>
  <c r="AM23" i="3" l="1"/>
  <c r="BD24" i="3"/>
  <c r="BB24" i="3"/>
  <c r="AQ6" i="3"/>
  <c r="AR6" i="3"/>
  <c r="AP6" i="3"/>
  <c r="AS6" i="3"/>
  <c r="AS5" i="3"/>
  <c r="AQ5" i="3"/>
  <c r="AP5" i="3"/>
  <c r="AR5" i="3"/>
  <c r="AP7" i="3"/>
  <c r="AS7" i="3"/>
  <c r="AQ7" i="3"/>
  <c r="AR7" i="3"/>
  <c r="AR9" i="3"/>
  <c r="AP9" i="3"/>
  <c r="AQ9" i="3"/>
  <c r="AS9" i="3"/>
  <c r="AR8" i="3"/>
  <c r="AS8" i="3"/>
  <c r="AQ8" i="3"/>
  <c r="AP8" i="3"/>
  <c r="AQ18" i="3"/>
  <c r="AR18" i="3"/>
  <c r="AP18" i="3"/>
  <c r="AS18" i="3"/>
  <c r="AP19" i="3"/>
  <c r="AQ19" i="3"/>
  <c r="AR19" i="3"/>
  <c r="AS19" i="3"/>
  <c r="AP20" i="3"/>
  <c r="AR20" i="3"/>
  <c r="AS20" i="3"/>
  <c r="AQ20" i="3"/>
  <c r="AP21" i="3"/>
  <c r="AQ21" i="3"/>
  <c r="AR21" i="3"/>
  <c r="AS21" i="3"/>
  <c r="AQ23" i="3"/>
  <c r="AR23" i="3"/>
  <c r="AP23" i="3"/>
  <c r="AS23" i="3"/>
  <c r="AK5" i="3"/>
  <c r="AJ5" i="3"/>
  <c r="AL5" i="3"/>
  <c r="AM5" i="3"/>
  <c r="AL11" i="3"/>
  <c r="AM11" i="3"/>
  <c r="AJ11" i="3"/>
  <c r="AK11" i="3"/>
  <c r="AJ8" i="3"/>
  <c r="AK8" i="3"/>
  <c r="AL8" i="3"/>
  <c r="AM8" i="3"/>
  <c r="AJ10" i="3"/>
  <c r="AK10" i="3"/>
  <c r="AL10" i="3"/>
  <c r="AM10" i="3"/>
  <c r="AJ7" i="3"/>
  <c r="AK7" i="3"/>
  <c r="AL7" i="3"/>
  <c r="AM7" i="3"/>
  <c r="AJ9" i="3"/>
  <c r="AK9" i="3"/>
  <c r="AL9" i="3"/>
  <c r="AM9" i="3"/>
  <c r="AM6" i="3"/>
  <c r="AL6" i="3"/>
  <c r="AK6" i="3"/>
  <c r="AJ6" i="3"/>
  <c r="AL23" i="3"/>
  <c r="AL19" i="3"/>
  <c r="AL18" i="3"/>
  <c r="AL20" i="3"/>
  <c r="AL21" i="3"/>
  <c r="AY24" i="3"/>
  <c r="V22" i="3"/>
  <c r="DN5" i="2"/>
  <c r="Q4" i="10" s="1"/>
  <c r="DN6" i="2"/>
  <c r="Q5" i="10" s="1"/>
  <c r="DN7" i="2"/>
  <c r="Q6" i="10" s="1"/>
  <c r="DN8" i="2"/>
  <c r="Q7" i="10" s="1"/>
  <c r="DN9" i="2"/>
  <c r="Q8" i="10" s="1"/>
  <c r="DN10" i="2"/>
  <c r="Q9" i="10" s="1"/>
  <c r="DN11" i="2"/>
  <c r="Q10" i="10" s="1"/>
  <c r="DN12" i="2"/>
  <c r="Q11" i="10" s="1"/>
  <c r="DN13" i="2"/>
  <c r="Q12" i="10" s="1"/>
  <c r="DN14" i="2"/>
  <c r="Q13" i="10" s="1"/>
  <c r="DN15" i="2"/>
  <c r="Q14" i="10" s="1"/>
  <c r="DN16" i="2"/>
  <c r="Q15" i="10" s="1"/>
  <c r="DN17" i="2"/>
  <c r="Q16" i="10" s="1"/>
  <c r="DN18" i="2"/>
  <c r="Q17" i="10" s="1"/>
  <c r="DN19" i="2"/>
  <c r="Q18" i="10" s="1"/>
  <c r="DN20" i="2"/>
  <c r="Q19" i="10" s="1"/>
  <c r="DN21" i="2"/>
  <c r="Q20" i="10" s="1"/>
  <c r="DN22" i="2"/>
  <c r="Q21" i="10" s="1"/>
  <c r="DN23" i="2"/>
  <c r="Q22" i="10" s="1"/>
  <c r="DN24" i="2"/>
  <c r="Q23" i="10" s="1"/>
  <c r="DN25" i="2"/>
  <c r="Q24" i="10" s="1"/>
  <c r="DN26" i="2"/>
  <c r="Q25" i="10" s="1"/>
  <c r="DN27" i="2"/>
  <c r="Q26" i="10" s="1"/>
  <c r="DN28" i="2"/>
  <c r="Q27" i="10" s="1"/>
  <c r="DN29" i="2"/>
  <c r="Q28" i="10" s="1"/>
  <c r="DN30" i="2"/>
  <c r="Q29" i="10" s="1"/>
  <c r="DN31" i="2"/>
  <c r="Q30" i="10" s="1"/>
  <c r="DN32" i="2"/>
  <c r="Q31" i="10" s="1"/>
  <c r="DN33" i="2"/>
  <c r="Q32" i="10" s="1"/>
  <c r="DN34" i="2"/>
  <c r="Q33" i="10" s="1"/>
  <c r="DN35" i="2"/>
  <c r="Q34" i="10" s="1"/>
  <c r="DN36" i="2"/>
  <c r="Q35" i="10" s="1"/>
  <c r="DN37" i="2"/>
  <c r="Q36" i="10" s="1"/>
  <c r="DN38" i="2"/>
  <c r="Q37" i="10" s="1"/>
  <c r="DN39" i="2"/>
  <c r="Q38" i="10" s="1"/>
  <c r="DN40" i="2"/>
  <c r="Q39" i="10" s="1"/>
  <c r="DN41" i="2"/>
  <c r="Q40" i="10" s="1"/>
  <c r="DN42" i="2"/>
  <c r="Q41" i="10" s="1"/>
  <c r="DN43" i="2"/>
  <c r="Q42" i="10" s="1"/>
  <c r="DN44" i="2"/>
  <c r="Q43" i="10" s="1"/>
  <c r="DN45" i="2"/>
  <c r="Q44" i="10" s="1"/>
  <c r="DN46" i="2"/>
  <c r="Q45" i="10" s="1"/>
  <c r="DN47" i="2"/>
  <c r="Q46" i="10" s="1"/>
  <c r="DN48" i="2"/>
  <c r="Q47" i="10" s="1"/>
  <c r="DN49" i="2"/>
  <c r="Q48" i="10" s="1"/>
  <c r="DN50" i="2"/>
  <c r="Q49" i="10" s="1"/>
  <c r="DN51" i="2"/>
  <c r="Q50" i="10" s="1"/>
  <c r="DN52" i="2"/>
  <c r="Q51" i="10" s="1"/>
  <c r="DN53" i="2"/>
  <c r="Q52" i="10" s="1"/>
  <c r="DN54" i="2"/>
  <c r="Q53" i="10" s="1"/>
  <c r="DN55" i="2"/>
  <c r="Q54" i="10" s="1"/>
  <c r="DN56" i="2"/>
  <c r="Q55" i="10" s="1"/>
  <c r="DN57" i="2"/>
  <c r="Q56" i="10" s="1"/>
  <c r="DN58" i="2"/>
  <c r="Q57" i="10" s="1"/>
  <c r="DN59" i="2"/>
  <c r="Q58" i="10" s="1"/>
  <c r="DN60" i="2"/>
  <c r="Q59" i="10" s="1"/>
  <c r="DN61" i="2"/>
  <c r="Q60" i="10" s="1"/>
  <c r="DN62" i="2"/>
  <c r="Q61" i="10" s="1"/>
  <c r="DN63" i="2"/>
  <c r="Q62" i="10" s="1"/>
  <c r="DN64" i="2"/>
  <c r="Q63" i="10" s="1"/>
  <c r="DN65" i="2"/>
  <c r="Q64" i="10" s="1"/>
  <c r="DN66" i="2"/>
  <c r="Q65" i="10" s="1"/>
  <c r="DN67" i="2"/>
  <c r="Q66" i="10" s="1"/>
  <c r="DN68" i="2"/>
  <c r="Q67" i="10" s="1"/>
  <c r="DN69" i="2"/>
  <c r="Q68" i="10" s="1"/>
  <c r="DN70" i="2"/>
  <c r="Q69" i="10" s="1"/>
  <c r="DN71" i="2"/>
  <c r="Q70" i="10" s="1"/>
  <c r="DN72" i="2"/>
  <c r="Q71" i="10" s="1"/>
  <c r="DN73" i="2"/>
  <c r="Q72" i="10" s="1"/>
  <c r="DN74" i="2"/>
  <c r="Q73" i="10" s="1"/>
  <c r="DN75" i="2"/>
  <c r="Q74" i="10" s="1"/>
  <c r="DN76" i="2"/>
  <c r="Q75" i="10" s="1"/>
  <c r="DN77" i="2"/>
  <c r="Q76" i="10" s="1"/>
  <c r="DN78" i="2"/>
  <c r="Q77" i="10" s="1"/>
  <c r="DN79" i="2"/>
  <c r="Q78" i="10" s="1"/>
  <c r="DN80" i="2"/>
  <c r="Q79" i="10" s="1"/>
  <c r="DN81" i="2"/>
  <c r="Q80" i="10" s="1"/>
  <c r="DN82" i="2"/>
  <c r="Q81" i="10" s="1"/>
  <c r="DN83" i="2"/>
  <c r="Q82" i="10" s="1"/>
  <c r="DN84" i="2"/>
  <c r="Q83" i="10" s="1"/>
  <c r="DN85" i="2"/>
  <c r="Q84" i="10" s="1"/>
  <c r="DN86" i="2"/>
  <c r="Q85" i="10" s="1"/>
  <c r="DN87" i="2"/>
  <c r="Q86" i="10" s="1"/>
  <c r="DN88" i="2"/>
  <c r="Q87" i="10" s="1"/>
  <c r="DN89" i="2"/>
  <c r="Q88" i="10" s="1"/>
  <c r="DN90" i="2"/>
  <c r="Q89" i="10" s="1"/>
  <c r="DN91" i="2"/>
  <c r="Q90" i="10" s="1"/>
  <c r="DN92" i="2"/>
  <c r="Q91" i="10" s="1"/>
  <c r="DN93" i="2"/>
  <c r="Q92" i="10" s="1"/>
  <c r="DN94" i="2"/>
  <c r="Q93" i="10" s="1"/>
  <c r="DN95" i="2"/>
  <c r="Q94" i="10" s="1"/>
  <c r="DN96" i="2"/>
  <c r="Q95" i="10" s="1"/>
  <c r="DN97" i="2"/>
  <c r="Q96" i="10" s="1"/>
  <c r="DN98" i="2"/>
  <c r="Q97" i="10" s="1"/>
  <c r="DN99" i="2"/>
  <c r="Q98" i="10" s="1"/>
  <c r="DN100" i="2"/>
  <c r="Q99" i="10" s="1"/>
  <c r="DN101" i="2"/>
  <c r="Q100" i="10" s="1"/>
  <c r="DN102" i="2"/>
  <c r="Q101" i="10" s="1"/>
  <c r="DN103" i="2"/>
  <c r="Q102" i="10" s="1"/>
  <c r="DN104" i="2"/>
  <c r="Q103" i="10" s="1"/>
  <c r="DN105" i="2"/>
  <c r="Q104" i="10" s="1"/>
  <c r="DN106" i="2"/>
  <c r="Q105" i="10" s="1"/>
  <c r="DN107" i="2"/>
  <c r="Q106" i="10" s="1"/>
  <c r="DN108" i="2"/>
  <c r="Q107" i="10" s="1"/>
  <c r="DN109" i="2"/>
  <c r="Q108" i="10" s="1"/>
  <c r="DN110" i="2"/>
  <c r="Q109" i="10" s="1"/>
  <c r="DN111" i="2"/>
  <c r="Q110" i="10" s="1"/>
  <c r="DN112" i="2"/>
  <c r="Q111" i="10" s="1"/>
  <c r="DN113" i="2"/>
  <c r="Q112" i="10" s="1"/>
  <c r="DN114" i="2"/>
  <c r="Q113" i="10" s="1"/>
  <c r="DN115" i="2"/>
  <c r="Q114" i="10" s="1"/>
  <c r="DN116" i="2"/>
  <c r="Q115" i="10" s="1"/>
  <c r="DN117" i="2"/>
  <c r="Q116" i="10" s="1"/>
  <c r="DN118" i="2"/>
  <c r="Q117" i="10" s="1"/>
  <c r="DN119" i="2"/>
  <c r="Q118" i="10" s="1"/>
  <c r="DN120" i="2"/>
  <c r="Q119" i="10" s="1"/>
  <c r="DN121" i="2"/>
  <c r="Q120" i="10" s="1"/>
  <c r="DN122" i="2"/>
  <c r="Q121" i="10" s="1"/>
  <c r="DN123" i="2"/>
  <c r="Q122" i="10" s="1"/>
  <c r="DN124" i="2"/>
  <c r="Q123" i="10" s="1"/>
  <c r="DN125" i="2"/>
  <c r="Q124" i="10" s="1"/>
  <c r="DN126" i="2"/>
  <c r="Q125" i="10" s="1"/>
  <c r="DN127" i="2"/>
  <c r="Q126" i="10" s="1"/>
  <c r="DN128" i="2"/>
  <c r="Q127" i="10" s="1"/>
  <c r="DN129" i="2"/>
  <c r="Q128" i="10" s="1"/>
  <c r="DN130" i="2"/>
  <c r="Q129" i="10" s="1"/>
  <c r="DN131" i="2"/>
  <c r="Q130" i="10" s="1"/>
  <c r="DN132" i="2"/>
  <c r="Q131" i="10" s="1"/>
  <c r="DN133" i="2"/>
  <c r="Q132" i="10" s="1"/>
  <c r="DN134" i="2"/>
  <c r="Q133" i="10" s="1"/>
  <c r="DN135" i="2"/>
  <c r="Q134" i="10" s="1"/>
  <c r="DN136" i="2"/>
  <c r="Q135" i="10" s="1"/>
  <c r="DN137" i="2"/>
  <c r="Q136" i="10" s="1"/>
  <c r="DN138" i="2"/>
  <c r="Q137" i="10" s="1"/>
  <c r="DN139" i="2"/>
  <c r="Q138" i="10" s="1"/>
  <c r="DN140" i="2"/>
  <c r="Q139" i="10" s="1"/>
  <c r="DN141" i="2"/>
  <c r="Q140" i="10" s="1"/>
  <c r="DN142" i="2"/>
  <c r="Q141" i="10" s="1"/>
  <c r="DN143" i="2"/>
  <c r="Q142" i="10" s="1"/>
  <c r="DN144" i="2"/>
  <c r="Q143" i="10" s="1"/>
  <c r="DN145" i="2"/>
  <c r="Q144" i="10" s="1"/>
  <c r="DN146" i="2"/>
  <c r="Q145" i="10" s="1"/>
  <c r="DN147" i="2"/>
  <c r="Q146" i="10" s="1"/>
  <c r="DN148" i="2"/>
  <c r="Q147" i="10" s="1"/>
  <c r="DN149" i="2"/>
  <c r="Q148" i="10" s="1"/>
  <c r="DN150" i="2"/>
  <c r="Q149" i="10" s="1"/>
  <c r="DN151" i="2"/>
  <c r="Q150" i="10" s="1"/>
  <c r="DN152" i="2"/>
  <c r="Q151" i="10" s="1"/>
  <c r="DN153" i="2"/>
  <c r="Q152" i="10" s="1"/>
  <c r="DN154" i="2"/>
  <c r="Q153" i="10" s="1"/>
  <c r="DN155" i="2"/>
  <c r="Q154" i="10" s="1"/>
  <c r="DN156" i="2"/>
  <c r="Q155" i="10" s="1"/>
  <c r="DN157" i="2"/>
  <c r="Q156" i="10" s="1"/>
  <c r="DN158" i="2"/>
  <c r="Q157" i="10" s="1"/>
  <c r="DN159" i="2"/>
  <c r="Q158" i="10" s="1"/>
  <c r="DN160" i="2"/>
  <c r="Q159" i="10" s="1"/>
  <c r="DN161" i="2"/>
  <c r="Q160" i="10" s="1"/>
  <c r="DN162" i="2"/>
  <c r="Q161" i="10" s="1"/>
  <c r="DN163" i="2"/>
  <c r="Q162" i="10" s="1"/>
  <c r="DN164" i="2"/>
  <c r="Q163" i="10" s="1"/>
  <c r="DN165" i="2"/>
  <c r="Q164" i="10" s="1"/>
  <c r="DN166" i="2"/>
  <c r="Q165" i="10" s="1"/>
  <c r="DN167" i="2"/>
  <c r="Q166" i="10" s="1"/>
  <c r="DN168" i="2"/>
  <c r="Q167" i="10" s="1"/>
  <c r="DN169" i="2"/>
  <c r="Q168" i="10" s="1"/>
  <c r="DN170" i="2"/>
  <c r="Q169" i="10" s="1"/>
  <c r="DN171" i="2"/>
  <c r="Q170" i="10" s="1"/>
  <c r="DN172" i="2"/>
  <c r="Q171" i="10" s="1"/>
  <c r="DN173" i="2"/>
  <c r="Q172" i="10" s="1"/>
  <c r="DN174" i="2"/>
  <c r="Q173" i="10" s="1"/>
  <c r="DN175" i="2"/>
  <c r="Q174" i="10" s="1"/>
  <c r="DN176" i="2"/>
  <c r="Q175" i="10" s="1"/>
  <c r="DN177" i="2"/>
  <c r="Q176" i="10" s="1"/>
  <c r="DN178" i="2"/>
  <c r="Q177" i="10" s="1"/>
  <c r="DN179" i="2"/>
  <c r="Q178" i="10" s="1"/>
  <c r="DN180" i="2"/>
  <c r="Q179" i="10" s="1"/>
  <c r="DN181" i="2"/>
  <c r="Q180" i="10" s="1"/>
  <c r="DN182" i="2"/>
  <c r="Q181" i="10" s="1"/>
  <c r="DN183" i="2"/>
  <c r="Q182" i="10" s="1"/>
  <c r="DN184" i="2"/>
  <c r="Q183" i="10" s="1"/>
  <c r="DN185" i="2"/>
  <c r="Q184" i="10" s="1"/>
  <c r="DN186" i="2"/>
  <c r="Q185" i="10" s="1"/>
  <c r="DN187" i="2"/>
  <c r="Q186" i="10" s="1"/>
  <c r="DN188" i="2"/>
  <c r="Q187" i="10" s="1"/>
  <c r="DN189" i="2"/>
  <c r="Q188" i="10" s="1"/>
  <c r="DN190" i="2"/>
  <c r="Q189" i="10" s="1"/>
  <c r="DN191" i="2"/>
  <c r="Q190" i="10" s="1"/>
  <c r="DN192" i="2"/>
  <c r="Q191" i="10" s="1"/>
  <c r="DN193" i="2"/>
  <c r="Q192" i="10" s="1"/>
  <c r="DN194" i="2"/>
  <c r="Q193" i="10" s="1"/>
  <c r="DN195" i="2"/>
  <c r="Q194" i="10" s="1"/>
  <c r="DN196" i="2"/>
  <c r="Q195" i="10" s="1"/>
  <c r="DN197" i="2"/>
  <c r="Q196" i="10" s="1"/>
  <c r="DN198" i="2"/>
  <c r="Q197" i="10" s="1"/>
  <c r="DN199" i="2"/>
  <c r="Q198" i="10" s="1"/>
  <c r="DN200" i="2"/>
  <c r="Q199" i="10" s="1"/>
  <c r="DN201" i="2"/>
  <c r="Q200" i="10" s="1"/>
  <c r="DN202" i="2"/>
  <c r="Q201" i="10" s="1"/>
  <c r="DN203" i="2"/>
  <c r="Q202" i="10" s="1"/>
  <c r="DN204" i="2"/>
  <c r="Q203" i="10" s="1"/>
  <c r="DN205" i="2"/>
  <c r="Q204" i="10" s="1"/>
  <c r="DN206" i="2"/>
  <c r="Q205" i="10" s="1"/>
  <c r="DN207" i="2"/>
  <c r="Q206" i="10" s="1"/>
  <c r="DN208" i="2"/>
  <c r="Q207" i="10" s="1"/>
  <c r="DN209" i="2"/>
  <c r="Q208" i="10" s="1"/>
  <c r="DN210" i="2"/>
  <c r="Q209" i="10" s="1"/>
  <c r="DN211" i="2"/>
  <c r="Q210" i="10" s="1"/>
  <c r="DN212" i="2"/>
  <c r="Q211" i="10" s="1"/>
  <c r="DN213" i="2"/>
  <c r="Q212" i="10" s="1"/>
  <c r="DN214" i="2"/>
  <c r="Q213" i="10" s="1"/>
  <c r="DN215" i="2"/>
  <c r="Q214" i="10" s="1"/>
  <c r="DN216" i="2"/>
  <c r="Q215" i="10" s="1"/>
  <c r="DN217" i="2"/>
  <c r="Q216" i="10" s="1"/>
  <c r="DN218" i="2"/>
  <c r="Q217" i="10" s="1"/>
  <c r="DN219" i="2"/>
  <c r="Q218" i="10" s="1"/>
  <c r="DN220" i="2"/>
  <c r="Q219" i="10" s="1"/>
  <c r="DN221" i="2"/>
  <c r="Q220" i="10" s="1"/>
  <c r="DN222" i="2"/>
  <c r="Q221" i="10" s="1"/>
  <c r="DN223" i="2"/>
  <c r="Q222" i="10" s="1"/>
  <c r="DN224" i="2"/>
  <c r="Q223" i="10" s="1"/>
  <c r="DN225" i="2"/>
  <c r="Q224" i="10" s="1"/>
  <c r="DN226" i="2"/>
  <c r="Q225" i="10" s="1"/>
  <c r="DN227" i="2"/>
  <c r="Q226" i="10" s="1"/>
  <c r="DN228" i="2"/>
  <c r="Q227" i="10" s="1"/>
  <c r="DN229" i="2"/>
  <c r="Q228" i="10" s="1"/>
  <c r="DN230" i="2"/>
  <c r="Q229" i="10" s="1"/>
  <c r="DN231" i="2"/>
  <c r="Q230" i="10" s="1"/>
  <c r="DN232" i="2"/>
  <c r="Q231" i="10" s="1"/>
  <c r="DN233" i="2"/>
  <c r="Q232" i="10" s="1"/>
  <c r="DN234" i="2"/>
  <c r="Q233" i="10" s="1"/>
  <c r="DN235" i="2"/>
  <c r="Q234" i="10" s="1"/>
  <c r="DN236" i="2"/>
  <c r="Q235" i="10" s="1"/>
  <c r="DN237" i="2"/>
  <c r="Q236" i="10" s="1"/>
  <c r="DN238" i="2"/>
  <c r="Q237" i="10" s="1"/>
  <c r="DN239" i="2"/>
  <c r="Q238" i="10" s="1"/>
  <c r="DN240" i="2"/>
  <c r="Q239" i="10" s="1"/>
  <c r="DN241" i="2"/>
  <c r="Q240" i="10" s="1"/>
  <c r="DN242" i="2"/>
  <c r="Q241" i="10" s="1"/>
  <c r="DN243" i="2"/>
  <c r="Q242" i="10" s="1"/>
  <c r="DN244" i="2"/>
  <c r="Q243" i="10" s="1"/>
  <c r="DN245" i="2"/>
  <c r="Q244" i="10" s="1"/>
  <c r="DN246" i="2"/>
  <c r="Q245" i="10" s="1"/>
  <c r="DN247" i="2"/>
  <c r="Q246" i="10" s="1"/>
  <c r="DN248" i="2"/>
  <c r="Q247" i="10" s="1"/>
  <c r="DN249" i="2"/>
  <c r="Q248" i="10" s="1"/>
  <c r="DN250" i="2"/>
  <c r="Q249" i="10" s="1"/>
  <c r="DN251" i="2"/>
  <c r="Q250" i="10" s="1"/>
  <c r="DN252" i="2"/>
  <c r="Q251" i="10" s="1"/>
  <c r="DN253" i="2"/>
  <c r="Q252" i="10" s="1"/>
  <c r="DN254" i="2"/>
  <c r="Q253" i="10" s="1"/>
  <c r="DN255" i="2"/>
  <c r="Q254" i="10" s="1"/>
  <c r="DN256" i="2"/>
  <c r="Q255" i="10" s="1"/>
  <c r="DN257" i="2"/>
  <c r="Q256" i="10" s="1"/>
  <c r="DN258" i="2"/>
  <c r="Q257" i="10" s="1"/>
  <c r="DN259" i="2"/>
  <c r="Q258" i="10" s="1"/>
  <c r="DN260" i="2"/>
  <c r="Q259" i="10" s="1"/>
  <c r="DN261" i="2"/>
  <c r="Q260" i="10" s="1"/>
  <c r="DN262" i="2"/>
  <c r="Q261" i="10" s="1"/>
  <c r="DN263" i="2"/>
  <c r="Q262" i="10" s="1"/>
  <c r="DN264" i="2"/>
  <c r="Q263" i="10" s="1"/>
  <c r="DN265" i="2"/>
  <c r="Q264" i="10" s="1"/>
  <c r="DN266" i="2"/>
  <c r="Q265" i="10" s="1"/>
  <c r="DN267" i="2"/>
  <c r="Q266" i="10" s="1"/>
  <c r="DN268" i="2"/>
  <c r="Q267" i="10" s="1"/>
  <c r="DN269" i="2"/>
  <c r="Q268" i="10" s="1"/>
  <c r="DN270" i="2"/>
  <c r="Q269" i="10" s="1"/>
  <c r="DN272" i="2"/>
  <c r="Q271" i="10" s="1"/>
  <c r="DN273" i="2"/>
  <c r="Q272" i="10" s="1"/>
  <c r="DN275" i="2"/>
  <c r="Q274" i="10" s="1"/>
  <c r="DN276" i="2"/>
  <c r="Q275" i="10" s="1"/>
  <c r="DN277" i="2"/>
  <c r="Q276" i="10" s="1"/>
  <c r="DN279" i="2"/>
  <c r="Q278" i="10" s="1"/>
  <c r="DN280" i="2"/>
  <c r="Q279" i="10" s="1"/>
  <c r="DN281" i="2"/>
  <c r="Q280" i="10" s="1"/>
  <c r="DN283" i="2"/>
  <c r="Q282" i="10" s="1"/>
  <c r="DN284" i="2"/>
  <c r="Q283" i="10" s="1"/>
  <c r="DN285" i="2"/>
  <c r="Q284" i="10" s="1"/>
  <c r="DN286" i="2"/>
  <c r="Q285" i="10" s="1"/>
  <c r="DN287" i="2"/>
  <c r="Q286" i="10" s="1"/>
  <c r="DN288" i="2"/>
  <c r="Q287" i="10" s="1"/>
  <c r="DN289" i="2"/>
  <c r="Q288" i="10" s="1"/>
  <c r="DN290" i="2"/>
  <c r="Q289" i="10" s="1"/>
  <c r="DN292" i="2"/>
  <c r="Q291" i="10" s="1"/>
  <c r="DN293" i="2"/>
  <c r="Q292" i="10" s="1"/>
  <c r="DN295" i="2"/>
  <c r="Q294" i="10" s="1"/>
  <c r="DN297" i="2"/>
  <c r="Q296" i="10" s="1"/>
  <c r="DN298" i="2"/>
  <c r="Q297" i="10" s="1"/>
  <c r="DN299" i="2"/>
  <c r="Q298" i="10" s="1"/>
  <c r="DN302" i="2"/>
  <c r="Q301" i="10" s="1"/>
  <c r="DN303" i="2"/>
  <c r="Q302" i="10" s="1"/>
  <c r="DN305" i="2"/>
  <c r="Q304" i="10" s="1"/>
  <c r="DN306" i="2"/>
  <c r="Q305" i="10" s="1"/>
  <c r="DN308" i="2"/>
  <c r="Q307" i="10" s="1"/>
  <c r="DN309" i="2"/>
  <c r="Q308" i="10" s="1"/>
  <c r="DN310" i="2"/>
  <c r="Q309" i="10" s="1"/>
  <c r="DN311" i="2"/>
  <c r="Q310" i="10" s="1"/>
  <c r="DN312" i="2"/>
  <c r="Q311" i="10" s="1"/>
  <c r="DN313" i="2"/>
  <c r="Q312" i="10" s="1"/>
  <c r="DN317" i="2"/>
  <c r="Q316" i="10" s="1"/>
  <c r="DN318" i="2"/>
  <c r="Q317" i="10" s="1"/>
  <c r="DN320" i="2"/>
  <c r="Q319" i="10" s="1"/>
  <c r="DN321" i="2"/>
  <c r="Q320" i="10" s="1"/>
  <c r="DN323" i="2"/>
  <c r="Q322" i="10" s="1"/>
  <c r="DN324" i="2"/>
  <c r="Q323" i="10" s="1"/>
  <c r="DN325" i="2"/>
  <c r="Q324" i="10" s="1"/>
  <c r="DN326" i="2"/>
  <c r="Q325" i="10" s="1"/>
  <c r="DN328" i="2"/>
  <c r="Q327" i="10" s="1"/>
  <c r="DN329" i="2"/>
  <c r="Q328" i="10" s="1"/>
  <c r="DN330" i="2"/>
  <c r="Q329" i="10" s="1"/>
  <c r="DN331" i="2"/>
  <c r="Q330" i="10" s="1"/>
  <c r="DN333" i="2"/>
  <c r="Q332" i="10" s="1"/>
  <c r="DN334" i="2"/>
  <c r="Q333" i="10" s="1"/>
  <c r="DN335" i="2"/>
  <c r="Q334" i="10" s="1"/>
  <c r="DN336" i="2"/>
  <c r="Q335" i="10" s="1"/>
  <c r="DN337" i="2"/>
  <c r="Q336" i="10" s="1"/>
  <c r="DN338" i="2"/>
  <c r="Q337" i="10" s="1"/>
  <c r="DN339" i="2"/>
  <c r="Q338" i="10" s="1"/>
  <c r="DN340" i="2"/>
  <c r="Q339" i="10" s="1"/>
  <c r="DN341" i="2"/>
  <c r="Q340" i="10" s="1"/>
  <c r="DN342" i="2"/>
  <c r="Q341" i="10" s="1"/>
  <c r="DN343" i="2"/>
  <c r="Q342" i="10" s="1"/>
  <c r="DN344" i="2"/>
  <c r="Q343" i="10" s="1"/>
  <c r="DN345" i="2"/>
  <c r="Q344" i="10" s="1"/>
  <c r="DN346" i="2"/>
  <c r="Q345" i="10" s="1"/>
  <c r="DN352" i="2"/>
  <c r="Q351" i="10" s="1"/>
  <c r="DN353" i="2"/>
  <c r="Q352" i="10" s="1"/>
  <c r="DN354" i="2"/>
  <c r="Q353" i="10" s="1"/>
  <c r="DN355" i="2"/>
  <c r="Q354" i="10" s="1"/>
  <c r="DN356" i="2"/>
  <c r="Q355" i="10" s="1"/>
  <c r="DN357" i="2"/>
  <c r="Q356" i="10" s="1"/>
  <c r="DN358" i="2"/>
  <c r="Q357" i="10" s="1"/>
  <c r="DN359" i="2"/>
  <c r="Q358" i="10" s="1"/>
  <c r="DN360" i="2"/>
  <c r="Q359" i="10" s="1"/>
  <c r="DN361" i="2"/>
  <c r="Q360" i="10" s="1"/>
  <c r="DN362" i="2"/>
  <c r="Q361" i="10" s="1"/>
  <c r="DN363" i="2"/>
  <c r="Q362" i="10" s="1"/>
  <c r="DN364" i="2"/>
  <c r="Q363" i="10" s="1"/>
  <c r="DN365" i="2"/>
  <c r="Q364" i="10" s="1"/>
  <c r="DN366" i="2"/>
  <c r="Q365" i="10" s="1"/>
  <c r="DN367" i="2"/>
  <c r="Q366" i="10" s="1"/>
  <c r="DN368" i="2"/>
  <c r="Q367" i="10" s="1"/>
  <c r="DN369" i="2"/>
  <c r="Q368" i="10" s="1"/>
  <c r="DN370" i="2"/>
  <c r="Q369" i="10" s="1"/>
  <c r="DN371" i="2"/>
  <c r="Q370" i="10" s="1"/>
  <c r="DN372" i="2"/>
  <c r="Q371" i="10" s="1"/>
  <c r="DN373" i="2"/>
  <c r="Q372" i="10" s="1"/>
  <c r="DN374" i="2"/>
  <c r="Q373" i="10" s="1"/>
  <c r="DN375" i="2"/>
  <c r="Q374" i="10" s="1"/>
  <c r="DN376" i="2"/>
  <c r="Q375" i="10" s="1"/>
  <c r="DN377" i="2"/>
  <c r="Q376" i="10" s="1"/>
  <c r="DN378" i="2"/>
  <c r="Q377" i="10" s="1"/>
  <c r="DN379" i="2"/>
  <c r="Q378" i="10" s="1"/>
  <c r="DN380" i="2"/>
  <c r="Q379" i="10" s="1"/>
  <c r="DN381" i="2"/>
  <c r="Q380" i="10" s="1"/>
  <c r="DN382" i="2"/>
  <c r="Q381" i="10" s="1"/>
  <c r="DN383" i="2"/>
  <c r="Q382" i="10" s="1"/>
  <c r="DN384" i="2"/>
  <c r="Q383" i="10" s="1"/>
  <c r="DN385" i="2"/>
  <c r="Q384" i="10" s="1"/>
  <c r="DN386" i="2"/>
  <c r="Q385" i="10" s="1"/>
  <c r="DN387" i="2"/>
  <c r="Q386" i="10" s="1"/>
  <c r="DN388" i="2"/>
  <c r="Q387" i="10" s="1"/>
  <c r="DN389" i="2"/>
  <c r="Q388" i="10" s="1"/>
  <c r="DN390" i="2"/>
  <c r="Q389" i="10" s="1"/>
  <c r="DN391" i="2"/>
  <c r="Q390" i="10" s="1"/>
  <c r="DN392" i="2"/>
  <c r="Q391" i="10" s="1"/>
  <c r="DN393" i="2"/>
  <c r="Q392" i="10" s="1"/>
  <c r="DN394" i="2"/>
  <c r="Q393" i="10" s="1"/>
  <c r="DN395" i="2"/>
  <c r="Q394" i="10" s="1"/>
  <c r="DN396" i="2"/>
  <c r="Q395" i="10" s="1"/>
  <c r="DN397" i="2"/>
  <c r="Q396" i="10" s="1"/>
  <c r="DN398" i="2"/>
  <c r="Q397" i="10" s="1"/>
  <c r="DN399" i="2"/>
  <c r="Q398" i="10" s="1"/>
  <c r="DN400" i="2"/>
  <c r="Q399" i="10" s="1"/>
  <c r="DN401" i="2"/>
  <c r="Q400" i="10" s="1"/>
  <c r="DN402" i="2"/>
  <c r="Q401" i="10" s="1"/>
  <c r="DN403" i="2"/>
  <c r="Q402" i="10" s="1"/>
  <c r="DN404" i="2"/>
  <c r="Q403" i="10" s="1"/>
  <c r="DN405" i="2"/>
  <c r="Q404" i="10" s="1"/>
  <c r="DN406" i="2"/>
  <c r="Q405" i="10" s="1"/>
  <c r="DN407" i="2"/>
  <c r="Q406" i="10" s="1"/>
  <c r="DN408" i="2"/>
  <c r="Q407" i="10" s="1"/>
  <c r="DN409" i="2"/>
  <c r="Q408" i="10" s="1"/>
  <c r="DN410" i="2"/>
  <c r="Q409" i="10" s="1"/>
  <c r="DN411" i="2"/>
  <c r="Q410" i="10" s="1"/>
  <c r="DN412" i="2"/>
  <c r="Q411" i="10" s="1"/>
  <c r="DN413" i="2"/>
  <c r="Q412" i="10" s="1"/>
  <c r="DN414" i="2"/>
  <c r="Q413" i="10" s="1"/>
  <c r="DN415" i="2"/>
  <c r="Q414" i="10" s="1"/>
  <c r="DN416" i="2"/>
  <c r="Q415" i="10" s="1"/>
  <c r="DN417" i="2"/>
  <c r="Q416" i="10" s="1"/>
  <c r="DN418" i="2"/>
  <c r="Q417" i="10" s="1"/>
  <c r="DN419" i="2"/>
  <c r="Q418" i="10" s="1"/>
  <c r="DN420" i="2"/>
  <c r="Q419" i="10" s="1"/>
  <c r="DN421" i="2"/>
  <c r="Q420" i="10" s="1"/>
  <c r="DN422" i="2"/>
  <c r="Q421" i="10" s="1"/>
  <c r="DN423" i="2"/>
  <c r="Q422" i="10" s="1"/>
  <c r="DN424" i="2"/>
  <c r="Q423" i="10" s="1"/>
  <c r="DN425" i="2"/>
  <c r="Q424" i="10" s="1"/>
  <c r="DN426" i="2"/>
  <c r="Q425" i="10" s="1"/>
  <c r="DN427" i="2"/>
  <c r="Q426" i="10" s="1"/>
  <c r="DN428" i="2"/>
  <c r="Q427" i="10" s="1"/>
  <c r="DN429" i="2"/>
  <c r="Q428" i="10" s="1"/>
  <c r="DN430" i="2"/>
  <c r="Q429" i="10" s="1"/>
  <c r="DN431" i="2"/>
  <c r="Q430" i="10" s="1"/>
  <c r="DN435" i="2"/>
  <c r="Q434" i="10" s="1"/>
  <c r="DN436" i="2"/>
  <c r="Q435" i="10" s="1"/>
  <c r="DN437" i="2"/>
  <c r="Q436" i="10" s="1"/>
  <c r="DN438" i="2"/>
  <c r="Q437" i="10" s="1"/>
  <c r="DN439" i="2"/>
  <c r="Q438" i="10" s="1"/>
  <c r="AM12" i="3" l="1"/>
  <c r="AL12" i="3"/>
  <c r="AJ12" i="3"/>
  <c r="AK12" i="3"/>
  <c r="S5" i="3"/>
  <c r="T5" i="3"/>
  <c r="V5" i="3"/>
  <c r="W5" i="3"/>
  <c r="S7" i="3"/>
  <c r="T7" i="3"/>
  <c r="V7" i="3"/>
  <c r="W7" i="3"/>
  <c r="S8" i="3"/>
  <c r="T8" i="3"/>
  <c r="V8" i="3"/>
  <c r="W8" i="3"/>
  <c r="S11" i="3"/>
  <c r="T11" i="3"/>
  <c r="V11" i="3"/>
  <c r="W11" i="3"/>
  <c r="S9" i="3"/>
  <c r="T9" i="3"/>
  <c r="V9" i="3"/>
  <c r="W9" i="3"/>
  <c r="V10" i="3"/>
  <c r="W10" i="3"/>
  <c r="S10" i="3"/>
  <c r="T10" i="3"/>
  <c r="V6" i="3"/>
  <c r="W6" i="3"/>
  <c r="S6" i="3"/>
  <c r="T6" i="3"/>
  <c r="AL24" i="3"/>
  <c r="AR24" i="3"/>
  <c r="V23" i="3"/>
  <c r="V21" i="3"/>
  <c r="V20" i="3"/>
  <c r="V19" i="3"/>
  <c r="V18" i="3"/>
  <c r="DN3" i="2"/>
  <c r="W12" i="3" l="1"/>
  <c r="V12" i="3"/>
  <c r="T12" i="3"/>
  <c r="S12" i="3"/>
  <c r="U5" i="3"/>
  <c r="R5" i="3"/>
  <c r="R11" i="3"/>
  <c r="R8" i="3"/>
  <c r="R9" i="3"/>
  <c r="U11" i="3"/>
  <c r="U10" i="3"/>
  <c r="U8" i="3"/>
  <c r="R10" i="3"/>
  <c r="U9" i="3"/>
  <c r="R7" i="3"/>
  <c r="U7" i="3"/>
  <c r="G22" i="3"/>
  <c r="H22" i="3"/>
  <c r="J22" i="3"/>
  <c r="K22" i="3"/>
  <c r="M22" i="3"/>
  <c r="N22" i="3"/>
  <c r="P22" i="3"/>
  <c r="Q22" i="3"/>
  <c r="S22" i="3"/>
  <c r="T22" i="3"/>
  <c r="W22" i="3"/>
  <c r="U22" i="3" s="1"/>
  <c r="Y22" i="3"/>
  <c r="Z22" i="3"/>
  <c r="AB22" i="3"/>
  <c r="AC22" i="3"/>
  <c r="AE22" i="3"/>
  <c r="AF22" i="3"/>
  <c r="AH22" i="3"/>
  <c r="AI22" i="3"/>
  <c r="X22" i="3" l="1"/>
  <c r="AD22" i="3"/>
  <c r="AA22" i="3"/>
  <c r="AG22" i="3"/>
  <c r="F22" i="3"/>
  <c r="R22" i="3"/>
  <c r="O22" i="3"/>
  <c r="L22" i="3"/>
  <c r="I22" i="3"/>
  <c r="HW30" i="2"/>
  <c r="HW34" i="2"/>
  <c r="HW57" i="2"/>
  <c r="HW74" i="2"/>
  <c r="AB73" i="10" s="1"/>
  <c r="HW75" i="2"/>
  <c r="AB74" i="10" s="1"/>
  <c r="HW76" i="2"/>
  <c r="AB75" i="10" s="1"/>
  <c r="HW77" i="2"/>
  <c r="AB76" i="10" s="1"/>
  <c r="HW78" i="2"/>
  <c r="HW126" i="2"/>
  <c r="AB125" i="10" s="1"/>
  <c r="HW127" i="2"/>
  <c r="HW128" i="2"/>
  <c r="HW129" i="2"/>
  <c r="HW130" i="2"/>
  <c r="HW131" i="2"/>
  <c r="HW132" i="2"/>
  <c r="HW133" i="2"/>
  <c r="HW134" i="2"/>
  <c r="HW135" i="2"/>
  <c r="HW137" i="2"/>
  <c r="HW138" i="2"/>
  <c r="HW139" i="2"/>
  <c r="HW140" i="2"/>
  <c r="HW141" i="2"/>
  <c r="HW142" i="2"/>
  <c r="HW143" i="2"/>
  <c r="HW144" i="2"/>
  <c r="HW145" i="2"/>
  <c r="HW146" i="2"/>
  <c r="HW147" i="2"/>
  <c r="HW148" i="2"/>
  <c r="HW149" i="2"/>
  <c r="HW152" i="2"/>
  <c r="HW153" i="2"/>
  <c r="HW154" i="2"/>
  <c r="HW155" i="2"/>
  <c r="HW156" i="2"/>
  <c r="HW157" i="2"/>
  <c r="HW158" i="2"/>
  <c r="HW159" i="2"/>
  <c r="HW160" i="2"/>
  <c r="HW161" i="2"/>
  <c r="HW162" i="2"/>
  <c r="HW163" i="2"/>
  <c r="HW164" i="2"/>
  <c r="HW165" i="2"/>
  <c r="HW166" i="2"/>
  <c r="HW167" i="2"/>
  <c r="AB166" i="10" s="1"/>
  <c r="HW168" i="2"/>
  <c r="HW169" i="2"/>
  <c r="HW170" i="2"/>
  <c r="HW171" i="2"/>
  <c r="HW172" i="2"/>
  <c r="HW173" i="2"/>
  <c r="HW174" i="2"/>
  <c r="HW175" i="2"/>
  <c r="AB174" i="10" s="1"/>
  <c r="HW176" i="2"/>
  <c r="AB175" i="10" s="1"/>
  <c r="HW177" i="2"/>
  <c r="AB176" i="10" s="1"/>
  <c r="HW178" i="2"/>
  <c r="HW179" i="2"/>
  <c r="HW180" i="2"/>
  <c r="HW181" i="2"/>
  <c r="HW182" i="2"/>
  <c r="HW183" i="2"/>
  <c r="HW184" i="2"/>
  <c r="HW185" i="2"/>
  <c r="HW186" i="2"/>
  <c r="HW187" i="2"/>
  <c r="HW188" i="2"/>
  <c r="HW189" i="2"/>
  <c r="HW190" i="2"/>
  <c r="HW191" i="2"/>
  <c r="HW192" i="2"/>
  <c r="HW193" i="2"/>
  <c r="HW194" i="2"/>
  <c r="HW195" i="2"/>
  <c r="HW196" i="2"/>
  <c r="HW197" i="2"/>
  <c r="HW198" i="2"/>
  <c r="HW199" i="2"/>
  <c r="HW200" i="2"/>
  <c r="HW201" i="2"/>
  <c r="HW202" i="2"/>
  <c r="HW203" i="2"/>
  <c r="HW204" i="2"/>
  <c r="HW205" i="2"/>
  <c r="HW206" i="2"/>
  <c r="HW207" i="2"/>
  <c r="HW208" i="2"/>
  <c r="HW209" i="2"/>
  <c r="HW210" i="2"/>
  <c r="AB209" i="10" s="1"/>
  <c r="HW211" i="2"/>
  <c r="HW212" i="2"/>
  <c r="HW213" i="2"/>
  <c r="HW214" i="2"/>
  <c r="HW215" i="2"/>
  <c r="HW216" i="2"/>
  <c r="HW217" i="2"/>
  <c r="HW218" i="2"/>
  <c r="HW219" i="2"/>
  <c r="HW220" i="2"/>
  <c r="HW221" i="2"/>
  <c r="HW222" i="2"/>
  <c r="HW223" i="2"/>
  <c r="HW224" i="2"/>
  <c r="HW225" i="2"/>
  <c r="HW226" i="2"/>
  <c r="HW227" i="2"/>
  <c r="HW228" i="2"/>
  <c r="HW229" i="2"/>
  <c r="HW230" i="2"/>
  <c r="HW231" i="2"/>
  <c r="HW232" i="2"/>
  <c r="HW233" i="2"/>
  <c r="HW234" i="2"/>
  <c r="HW235" i="2"/>
  <c r="HW236" i="2"/>
  <c r="HW237" i="2"/>
  <c r="HW238" i="2"/>
  <c r="HW239" i="2"/>
  <c r="HW240" i="2"/>
  <c r="HW241" i="2"/>
  <c r="HW242" i="2"/>
  <c r="HW243" i="2"/>
  <c r="HW244" i="2"/>
  <c r="HW245" i="2"/>
  <c r="HW246" i="2"/>
  <c r="HW247" i="2"/>
  <c r="HW248" i="2"/>
  <c r="HW249" i="2"/>
  <c r="HW250" i="2"/>
  <c r="HW251" i="2"/>
  <c r="HW252" i="2"/>
  <c r="HW253" i="2"/>
  <c r="HW254" i="2"/>
  <c r="HW255" i="2"/>
  <c r="HW256" i="2"/>
  <c r="HW257" i="2"/>
  <c r="HW258" i="2"/>
  <c r="HW259" i="2"/>
  <c r="HW260" i="2"/>
  <c r="HW261" i="2"/>
  <c r="HW262" i="2"/>
  <c r="HW263" i="2"/>
  <c r="HW264" i="2"/>
  <c r="HW265" i="2"/>
  <c r="HW266" i="2"/>
  <c r="HW267" i="2"/>
  <c r="HW268" i="2"/>
  <c r="HW269" i="2"/>
  <c r="HW270" i="2"/>
  <c r="AB269" i="10" s="1"/>
  <c r="HW271" i="2"/>
  <c r="HW272" i="2"/>
  <c r="HW273" i="2"/>
  <c r="HW274" i="2"/>
  <c r="HW275" i="2"/>
  <c r="HW276" i="2"/>
  <c r="HW277" i="2"/>
  <c r="AB276" i="10" s="1"/>
  <c r="HW278" i="2"/>
  <c r="HW279" i="2"/>
  <c r="HW280" i="2"/>
  <c r="HW281" i="2"/>
  <c r="HW282" i="2"/>
  <c r="AB281" i="10" s="1"/>
  <c r="HW283" i="2"/>
  <c r="HW284" i="2"/>
  <c r="HW285" i="2"/>
  <c r="HW286" i="2"/>
  <c r="HW287" i="2"/>
  <c r="HW288" i="2"/>
  <c r="HW289" i="2"/>
  <c r="HW290" i="2"/>
  <c r="AB289" i="10" s="1"/>
  <c r="HW291" i="2"/>
  <c r="HW292" i="2"/>
  <c r="HW293" i="2"/>
  <c r="HW294" i="2"/>
  <c r="HW295" i="2"/>
  <c r="AB294" i="10" s="1"/>
  <c r="HW296" i="2"/>
  <c r="HW297" i="2"/>
  <c r="HW298" i="2"/>
  <c r="HW299" i="2"/>
  <c r="HW300" i="2"/>
  <c r="AB299" i="10" s="1"/>
  <c r="HW301" i="2"/>
  <c r="HW302" i="2"/>
  <c r="HW303" i="2"/>
  <c r="HW304" i="2"/>
  <c r="HW305" i="2"/>
  <c r="HW306" i="2"/>
  <c r="HW307" i="2"/>
  <c r="HW308" i="2"/>
  <c r="HW309" i="2"/>
  <c r="HW310" i="2"/>
  <c r="HW311" i="2"/>
  <c r="HW312" i="2"/>
  <c r="HW313" i="2"/>
  <c r="HW314" i="2"/>
  <c r="AB313" i="10" s="1"/>
  <c r="HW315" i="2"/>
  <c r="AB314" i="10" s="1"/>
  <c r="HW316" i="2"/>
  <c r="HW317" i="2"/>
  <c r="HW318" i="2"/>
  <c r="HW319" i="2"/>
  <c r="AB318" i="10" s="1"/>
  <c r="HW320" i="2"/>
  <c r="HW321" i="2"/>
  <c r="AB320" i="10" s="1"/>
  <c r="HW322" i="2"/>
  <c r="HW323" i="2"/>
  <c r="HW324" i="2"/>
  <c r="HW325" i="2"/>
  <c r="HW326" i="2"/>
  <c r="HW327" i="2"/>
  <c r="HW328" i="2"/>
  <c r="HW329" i="2"/>
  <c r="HW330" i="2"/>
  <c r="HW331" i="2"/>
  <c r="HW332" i="2"/>
  <c r="AB331" i="10" s="1"/>
  <c r="HW333" i="2"/>
  <c r="HW334" i="2"/>
  <c r="HW335" i="2"/>
  <c r="HW336" i="2"/>
  <c r="HW337" i="2"/>
  <c r="HW338" i="2"/>
  <c r="HW339" i="2"/>
  <c r="HW340" i="2"/>
  <c r="HW341" i="2"/>
  <c r="HW342" i="2"/>
  <c r="HW343" i="2"/>
  <c r="HW344" i="2"/>
  <c r="HW345" i="2"/>
  <c r="HW346" i="2"/>
  <c r="AB345" i="10" s="1"/>
  <c r="HW347" i="2"/>
  <c r="AB346" i="10" s="1"/>
  <c r="HW348" i="2"/>
  <c r="AB347" i="10" s="1"/>
  <c r="HW349" i="2"/>
  <c r="AB348" i="10" s="1"/>
  <c r="HW350" i="2"/>
  <c r="AB349" i="10" s="1"/>
  <c r="HW351" i="2"/>
  <c r="AB350" i="10" s="1"/>
  <c r="HW352" i="2"/>
  <c r="AB351" i="10" s="1"/>
  <c r="HW353" i="2"/>
  <c r="AB352" i="10" s="1"/>
  <c r="HW354" i="2"/>
  <c r="AB353" i="10" s="1"/>
  <c r="HW355" i="2"/>
  <c r="AB354" i="10" s="1"/>
  <c r="HW356" i="2"/>
  <c r="AB355" i="10" s="1"/>
  <c r="HW357" i="2"/>
  <c r="AB356" i="10" s="1"/>
  <c r="HW358" i="2"/>
  <c r="AB357" i="10" s="1"/>
  <c r="HW359" i="2"/>
  <c r="AB358" i="10" s="1"/>
  <c r="HW360" i="2"/>
  <c r="AB359" i="10" s="1"/>
  <c r="HW361" i="2"/>
  <c r="AB360" i="10" s="1"/>
  <c r="HW362" i="2"/>
  <c r="AB361" i="10" s="1"/>
  <c r="HW363" i="2"/>
  <c r="AB362" i="10" s="1"/>
  <c r="HW364" i="2"/>
  <c r="AB363" i="10" s="1"/>
  <c r="HW365" i="2"/>
  <c r="AB364" i="10" s="1"/>
  <c r="HW366" i="2"/>
  <c r="AB365" i="10" s="1"/>
  <c r="HW367" i="2"/>
  <c r="AB366" i="10" s="1"/>
  <c r="HW368" i="2"/>
  <c r="AB367" i="10" s="1"/>
  <c r="HW369" i="2"/>
  <c r="AB368" i="10" s="1"/>
  <c r="HW370" i="2"/>
  <c r="AB369" i="10" s="1"/>
  <c r="HW371" i="2"/>
  <c r="AB370" i="10" s="1"/>
  <c r="HW372" i="2"/>
  <c r="AB371" i="10" s="1"/>
  <c r="HW373" i="2"/>
  <c r="AB372" i="10" s="1"/>
  <c r="HW374" i="2"/>
  <c r="AB373" i="10" s="1"/>
  <c r="HW375" i="2"/>
  <c r="AB374" i="10" s="1"/>
  <c r="HW376" i="2"/>
  <c r="HW377" i="2"/>
  <c r="AB376" i="10" s="1"/>
  <c r="HW378" i="2"/>
  <c r="AB377" i="10" s="1"/>
  <c r="HW379" i="2"/>
  <c r="AB378" i="10" s="1"/>
  <c r="HW380" i="2"/>
  <c r="AB379" i="10" s="1"/>
  <c r="HW381" i="2"/>
  <c r="AB380" i="10" s="1"/>
  <c r="HW382" i="2"/>
  <c r="AB381" i="10" s="1"/>
  <c r="HW383" i="2"/>
  <c r="HW384" i="2"/>
  <c r="AB383" i="10" s="1"/>
  <c r="HW385" i="2"/>
  <c r="HW386" i="2"/>
  <c r="AB385" i="10" s="1"/>
  <c r="HW387" i="2"/>
  <c r="AB386" i="10" s="1"/>
  <c r="HW388" i="2"/>
  <c r="AB387" i="10" s="1"/>
  <c r="HW389" i="2"/>
  <c r="AB388" i="10" s="1"/>
  <c r="HW390" i="2"/>
  <c r="HW391" i="2"/>
  <c r="AB390" i="10" s="1"/>
  <c r="HW392" i="2"/>
  <c r="AB391" i="10" s="1"/>
  <c r="HW393" i="2"/>
  <c r="AB392" i="10" s="1"/>
  <c r="HW394" i="2"/>
  <c r="AB393" i="10" s="1"/>
  <c r="HW395" i="2"/>
  <c r="AB394" i="10" s="1"/>
  <c r="HW396" i="2"/>
  <c r="AB395" i="10" s="1"/>
  <c r="HW397" i="2"/>
  <c r="AB396" i="10" s="1"/>
  <c r="HW398" i="2"/>
  <c r="AB397" i="10" s="1"/>
  <c r="HW399" i="2"/>
  <c r="AB398" i="10" s="1"/>
  <c r="HW400" i="2"/>
  <c r="AB399" i="10" s="1"/>
  <c r="HW401" i="2"/>
  <c r="AB400" i="10" s="1"/>
  <c r="HW402" i="2"/>
  <c r="AB401" i="10" s="1"/>
  <c r="HW403" i="2"/>
  <c r="AB402" i="10" s="1"/>
  <c r="HW404" i="2"/>
  <c r="AB403" i="10" s="1"/>
  <c r="HW405" i="2"/>
  <c r="AB404" i="10" s="1"/>
  <c r="HW406" i="2"/>
  <c r="AB405" i="10" s="1"/>
  <c r="HW407" i="2"/>
  <c r="AB406" i="10" s="1"/>
  <c r="HW408" i="2"/>
  <c r="AB407" i="10" s="1"/>
  <c r="HW409" i="2"/>
  <c r="AB408" i="10" s="1"/>
  <c r="HW410" i="2"/>
  <c r="AB409" i="10" s="1"/>
  <c r="HW411" i="2"/>
  <c r="AB410" i="10" s="1"/>
  <c r="HW412" i="2"/>
  <c r="AB411" i="10" s="1"/>
  <c r="HW413" i="2"/>
  <c r="AB412" i="10" s="1"/>
  <c r="HW414" i="2"/>
  <c r="AB413" i="10" s="1"/>
  <c r="HW415" i="2"/>
  <c r="AB414" i="10" s="1"/>
  <c r="HW416" i="2"/>
  <c r="AB415" i="10" s="1"/>
  <c r="HW417" i="2"/>
  <c r="AB416" i="10" s="1"/>
  <c r="HW418" i="2"/>
  <c r="AB417" i="10" s="1"/>
  <c r="HW419" i="2"/>
  <c r="AB418" i="10" s="1"/>
  <c r="HW420" i="2"/>
  <c r="AB419" i="10" s="1"/>
  <c r="HW421" i="2"/>
  <c r="AB420" i="10" s="1"/>
  <c r="HW422" i="2"/>
  <c r="AB421" i="10" s="1"/>
  <c r="HW423" i="2"/>
  <c r="AB422" i="10" s="1"/>
  <c r="HW424" i="2"/>
  <c r="AB423" i="10" s="1"/>
  <c r="HW425" i="2"/>
  <c r="AB424" i="10" s="1"/>
  <c r="HW426" i="2"/>
  <c r="AB425" i="10" s="1"/>
  <c r="HW427" i="2"/>
  <c r="AB426" i="10" s="1"/>
  <c r="HW428" i="2"/>
  <c r="AB427" i="10" s="1"/>
  <c r="HW429" i="2"/>
  <c r="AB428" i="10" s="1"/>
  <c r="HW430" i="2"/>
  <c r="AB429" i="10" s="1"/>
  <c r="HW431" i="2"/>
  <c r="AB430" i="10" s="1"/>
  <c r="HW435" i="2"/>
  <c r="AB434" i="10" s="1"/>
  <c r="HW436" i="2"/>
  <c r="AB435" i="10" s="1"/>
  <c r="HW437" i="2"/>
  <c r="AB436" i="10" s="1"/>
  <c r="HW438" i="2"/>
  <c r="AB437" i="10" s="1"/>
  <c r="HW439" i="2"/>
  <c r="AB438" i="10" s="1"/>
  <c r="HQ5" i="2"/>
  <c r="AA4" i="10" s="1"/>
  <c r="HQ6" i="2"/>
  <c r="AA5" i="10" s="1"/>
  <c r="HQ7" i="2"/>
  <c r="AA6" i="10" s="1"/>
  <c r="HQ8" i="2"/>
  <c r="AA7" i="10" s="1"/>
  <c r="HQ9" i="2"/>
  <c r="AA8" i="10" s="1"/>
  <c r="HQ10" i="2"/>
  <c r="AA9" i="10" s="1"/>
  <c r="HQ11" i="2"/>
  <c r="AA10" i="10" s="1"/>
  <c r="HQ12" i="2"/>
  <c r="AA11" i="10" s="1"/>
  <c r="HQ13" i="2"/>
  <c r="AA12" i="10" s="1"/>
  <c r="HQ14" i="2"/>
  <c r="AA13" i="10" s="1"/>
  <c r="HQ15" i="2"/>
  <c r="AA14" i="10" s="1"/>
  <c r="HQ16" i="2"/>
  <c r="AA15" i="10" s="1"/>
  <c r="HQ17" i="2"/>
  <c r="AA16" i="10" s="1"/>
  <c r="HQ18" i="2"/>
  <c r="AA17" i="10" s="1"/>
  <c r="HQ19" i="2"/>
  <c r="AA18" i="10" s="1"/>
  <c r="HQ20" i="2"/>
  <c r="AA19" i="10" s="1"/>
  <c r="HQ21" i="2"/>
  <c r="AA20" i="10" s="1"/>
  <c r="HQ22" i="2"/>
  <c r="AA21" i="10" s="1"/>
  <c r="HQ23" i="2"/>
  <c r="AA22" i="10" s="1"/>
  <c r="HQ24" i="2"/>
  <c r="AA23" i="10" s="1"/>
  <c r="HQ25" i="2"/>
  <c r="AA24" i="10" s="1"/>
  <c r="HQ26" i="2"/>
  <c r="AA25" i="10" s="1"/>
  <c r="HQ27" i="2"/>
  <c r="AA26" i="10" s="1"/>
  <c r="HQ28" i="2"/>
  <c r="AA27" i="10" s="1"/>
  <c r="HQ29" i="2"/>
  <c r="AA28" i="10" s="1"/>
  <c r="HQ30" i="2"/>
  <c r="AA29" i="10" s="1"/>
  <c r="HQ31" i="2"/>
  <c r="AA30" i="10" s="1"/>
  <c r="HQ32" i="2"/>
  <c r="AA31" i="10" s="1"/>
  <c r="HQ33" i="2"/>
  <c r="AA32" i="10" s="1"/>
  <c r="HQ34" i="2"/>
  <c r="AA33" i="10" s="1"/>
  <c r="HQ35" i="2"/>
  <c r="AA34" i="10" s="1"/>
  <c r="HQ36" i="2"/>
  <c r="AA35" i="10" s="1"/>
  <c r="HQ37" i="2"/>
  <c r="AA36" i="10" s="1"/>
  <c r="HQ38" i="2"/>
  <c r="AA37" i="10" s="1"/>
  <c r="HQ39" i="2"/>
  <c r="AA38" i="10" s="1"/>
  <c r="HQ40" i="2"/>
  <c r="AA39" i="10" s="1"/>
  <c r="HQ41" i="2"/>
  <c r="AA40" i="10" s="1"/>
  <c r="HQ42" i="2"/>
  <c r="AA41" i="10" s="1"/>
  <c r="HQ43" i="2"/>
  <c r="AA42" i="10" s="1"/>
  <c r="HQ44" i="2"/>
  <c r="AA43" i="10" s="1"/>
  <c r="HQ45" i="2"/>
  <c r="AA44" i="10" s="1"/>
  <c r="HQ46" i="2"/>
  <c r="AA45" i="10" s="1"/>
  <c r="HQ47" i="2"/>
  <c r="AA46" i="10" s="1"/>
  <c r="HQ48" i="2"/>
  <c r="AA47" i="10" s="1"/>
  <c r="HQ49" i="2"/>
  <c r="AA48" i="10" s="1"/>
  <c r="HQ50" i="2"/>
  <c r="AA49" i="10" s="1"/>
  <c r="HQ51" i="2"/>
  <c r="AA50" i="10" s="1"/>
  <c r="HQ52" i="2"/>
  <c r="AA51" i="10" s="1"/>
  <c r="HQ53" i="2"/>
  <c r="AA52" i="10" s="1"/>
  <c r="HQ54" i="2"/>
  <c r="AA53" i="10" s="1"/>
  <c r="HQ55" i="2"/>
  <c r="AA54" i="10" s="1"/>
  <c r="HQ56" i="2"/>
  <c r="AA55" i="10" s="1"/>
  <c r="HQ57" i="2"/>
  <c r="AA56" i="10" s="1"/>
  <c r="HQ58" i="2"/>
  <c r="AA57" i="10" s="1"/>
  <c r="HQ59" i="2"/>
  <c r="AA58" i="10" s="1"/>
  <c r="HQ60" i="2"/>
  <c r="AA59" i="10" s="1"/>
  <c r="HQ61" i="2"/>
  <c r="AA60" i="10" s="1"/>
  <c r="HQ62" i="2"/>
  <c r="AA61" i="10" s="1"/>
  <c r="HQ63" i="2"/>
  <c r="AA62" i="10" s="1"/>
  <c r="HQ64" i="2"/>
  <c r="AA63" i="10" s="1"/>
  <c r="HQ65" i="2"/>
  <c r="AA64" i="10" s="1"/>
  <c r="HQ66" i="2"/>
  <c r="AA65" i="10" s="1"/>
  <c r="HQ67" i="2"/>
  <c r="AA66" i="10" s="1"/>
  <c r="HQ68" i="2"/>
  <c r="AA67" i="10" s="1"/>
  <c r="HQ69" i="2"/>
  <c r="AA68" i="10" s="1"/>
  <c r="HQ70" i="2"/>
  <c r="AA69" i="10" s="1"/>
  <c r="HQ71" i="2"/>
  <c r="AA70" i="10" s="1"/>
  <c r="HQ72" i="2"/>
  <c r="AA71" i="10" s="1"/>
  <c r="HQ73" i="2"/>
  <c r="AA72" i="10" s="1"/>
  <c r="HQ74" i="2"/>
  <c r="AA73" i="10" s="1"/>
  <c r="HQ75" i="2"/>
  <c r="AA74" i="10" s="1"/>
  <c r="HQ76" i="2"/>
  <c r="AA75" i="10" s="1"/>
  <c r="HQ77" i="2"/>
  <c r="AA76" i="10" s="1"/>
  <c r="HQ78" i="2"/>
  <c r="AA77" i="10" s="1"/>
  <c r="HQ79" i="2"/>
  <c r="AA78" i="10" s="1"/>
  <c r="HQ80" i="2"/>
  <c r="AA79" i="10" s="1"/>
  <c r="HQ81" i="2"/>
  <c r="AA80" i="10" s="1"/>
  <c r="HQ82" i="2"/>
  <c r="AA81" i="10" s="1"/>
  <c r="HQ83" i="2"/>
  <c r="AA82" i="10" s="1"/>
  <c r="HQ84" i="2"/>
  <c r="AA83" i="10" s="1"/>
  <c r="HQ85" i="2"/>
  <c r="AA84" i="10" s="1"/>
  <c r="HQ86" i="2"/>
  <c r="AA85" i="10" s="1"/>
  <c r="HQ87" i="2"/>
  <c r="AA86" i="10" s="1"/>
  <c r="HQ88" i="2"/>
  <c r="AA87" i="10" s="1"/>
  <c r="HQ89" i="2"/>
  <c r="AA88" i="10" s="1"/>
  <c r="HQ90" i="2"/>
  <c r="AA89" i="10" s="1"/>
  <c r="HQ91" i="2"/>
  <c r="AA90" i="10" s="1"/>
  <c r="HQ92" i="2"/>
  <c r="AA91" i="10" s="1"/>
  <c r="HQ93" i="2"/>
  <c r="AA92" i="10" s="1"/>
  <c r="HQ94" i="2"/>
  <c r="AA93" i="10" s="1"/>
  <c r="HQ95" i="2"/>
  <c r="AA94" i="10" s="1"/>
  <c r="HQ96" i="2"/>
  <c r="AA95" i="10" s="1"/>
  <c r="HQ97" i="2"/>
  <c r="AA96" i="10" s="1"/>
  <c r="HQ98" i="2"/>
  <c r="AA97" i="10" s="1"/>
  <c r="HQ99" i="2"/>
  <c r="AA98" i="10" s="1"/>
  <c r="HQ100" i="2"/>
  <c r="AA99" i="10" s="1"/>
  <c r="HQ101" i="2"/>
  <c r="AA100" i="10" s="1"/>
  <c r="HQ102" i="2"/>
  <c r="AA101" i="10" s="1"/>
  <c r="HQ103" i="2"/>
  <c r="AA102" i="10" s="1"/>
  <c r="HQ104" i="2"/>
  <c r="AA103" i="10" s="1"/>
  <c r="HQ105" i="2"/>
  <c r="AA104" i="10" s="1"/>
  <c r="HQ106" i="2"/>
  <c r="AA105" i="10" s="1"/>
  <c r="HQ107" i="2"/>
  <c r="AA106" i="10" s="1"/>
  <c r="HQ108" i="2"/>
  <c r="AA107" i="10" s="1"/>
  <c r="HQ109" i="2"/>
  <c r="AA108" i="10" s="1"/>
  <c r="HQ110" i="2"/>
  <c r="AA109" i="10" s="1"/>
  <c r="HQ111" i="2"/>
  <c r="AA110" i="10" s="1"/>
  <c r="HQ112" i="2"/>
  <c r="AA111" i="10" s="1"/>
  <c r="HQ113" i="2"/>
  <c r="AA112" i="10" s="1"/>
  <c r="HQ114" i="2"/>
  <c r="AA113" i="10" s="1"/>
  <c r="HQ115" i="2"/>
  <c r="AA114" i="10" s="1"/>
  <c r="HQ116" i="2"/>
  <c r="AA115" i="10" s="1"/>
  <c r="HQ117" i="2"/>
  <c r="AA116" i="10" s="1"/>
  <c r="HQ118" i="2"/>
  <c r="AA117" i="10" s="1"/>
  <c r="HQ119" i="2"/>
  <c r="AA118" i="10" s="1"/>
  <c r="HQ120" i="2"/>
  <c r="AA119" i="10" s="1"/>
  <c r="HQ121" i="2"/>
  <c r="AA120" i="10" s="1"/>
  <c r="HQ122" i="2"/>
  <c r="AA121" i="10" s="1"/>
  <c r="HQ123" i="2"/>
  <c r="AA122" i="10" s="1"/>
  <c r="HQ124" i="2"/>
  <c r="AA123" i="10" s="1"/>
  <c r="HQ125" i="2"/>
  <c r="AA124" i="10" s="1"/>
  <c r="HQ126" i="2"/>
  <c r="AA125" i="10" s="1"/>
  <c r="HQ127" i="2"/>
  <c r="AA126" i="10" s="1"/>
  <c r="HQ128" i="2"/>
  <c r="AA127" i="10" s="1"/>
  <c r="HQ129" i="2"/>
  <c r="AA128" i="10" s="1"/>
  <c r="HQ130" i="2"/>
  <c r="AA129" i="10" s="1"/>
  <c r="HQ131" i="2"/>
  <c r="AA130" i="10" s="1"/>
  <c r="HQ132" i="2"/>
  <c r="AA131" i="10" s="1"/>
  <c r="HQ133" i="2"/>
  <c r="AA132" i="10" s="1"/>
  <c r="HQ134" i="2"/>
  <c r="AA133" i="10" s="1"/>
  <c r="HQ135" i="2"/>
  <c r="AA134" i="10" s="1"/>
  <c r="HQ136" i="2"/>
  <c r="AA135" i="10" s="1"/>
  <c r="HQ137" i="2"/>
  <c r="AA136" i="10" s="1"/>
  <c r="HQ138" i="2"/>
  <c r="AA137" i="10" s="1"/>
  <c r="HQ139" i="2"/>
  <c r="AA138" i="10" s="1"/>
  <c r="HQ140" i="2"/>
  <c r="AA139" i="10" s="1"/>
  <c r="HQ141" i="2"/>
  <c r="AA140" i="10" s="1"/>
  <c r="HQ142" i="2"/>
  <c r="AA141" i="10" s="1"/>
  <c r="HQ143" i="2"/>
  <c r="AA142" i="10" s="1"/>
  <c r="HQ144" i="2"/>
  <c r="AA143" i="10" s="1"/>
  <c r="HQ145" i="2"/>
  <c r="AA144" i="10" s="1"/>
  <c r="HQ146" i="2"/>
  <c r="AA145" i="10" s="1"/>
  <c r="HQ147" i="2"/>
  <c r="AA146" i="10" s="1"/>
  <c r="HQ148" i="2"/>
  <c r="AA147" i="10" s="1"/>
  <c r="HQ149" i="2"/>
  <c r="AA148" i="10" s="1"/>
  <c r="HQ150" i="2"/>
  <c r="AA149" i="10" s="1"/>
  <c r="HQ151" i="2"/>
  <c r="AA150" i="10" s="1"/>
  <c r="HQ152" i="2"/>
  <c r="AA151" i="10" s="1"/>
  <c r="HQ153" i="2"/>
  <c r="AA152" i="10" s="1"/>
  <c r="HQ154" i="2"/>
  <c r="AA153" i="10" s="1"/>
  <c r="HQ155" i="2"/>
  <c r="AA154" i="10" s="1"/>
  <c r="HQ156" i="2"/>
  <c r="AA155" i="10" s="1"/>
  <c r="HQ157" i="2"/>
  <c r="AA156" i="10" s="1"/>
  <c r="HQ158" i="2"/>
  <c r="AA157" i="10" s="1"/>
  <c r="HQ159" i="2"/>
  <c r="AA158" i="10" s="1"/>
  <c r="HQ160" i="2"/>
  <c r="AA159" i="10" s="1"/>
  <c r="HQ161" i="2"/>
  <c r="AA160" i="10" s="1"/>
  <c r="HQ162" i="2"/>
  <c r="AA161" i="10" s="1"/>
  <c r="HQ163" i="2"/>
  <c r="AA162" i="10" s="1"/>
  <c r="HQ164" i="2"/>
  <c r="AA163" i="10" s="1"/>
  <c r="HQ165" i="2"/>
  <c r="AA164" i="10" s="1"/>
  <c r="HQ166" i="2"/>
  <c r="AA165" i="10" s="1"/>
  <c r="HQ167" i="2"/>
  <c r="AA166" i="10" s="1"/>
  <c r="HQ168" i="2"/>
  <c r="AA167" i="10" s="1"/>
  <c r="HQ169" i="2"/>
  <c r="AA168" i="10" s="1"/>
  <c r="HQ170" i="2"/>
  <c r="AA169" i="10" s="1"/>
  <c r="HQ171" i="2"/>
  <c r="AA170" i="10" s="1"/>
  <c r="HQ172" i="2"/>
  <c r="AA171" i="10" s="1"/>
  <c r="HQ173" i="2"/>
  <c r="AA172" i="10" s="1"/>
  <c r="HQ174" i="2"/>
  <c r="AA173" i="10" s="1"/>
  <c r="HQ175" i="2"/>
  <c r="AA174" i="10" s="1"/>
  <c r="HQ176" i="2"/>
  <c r="AA175" i="10" s="1"/>
  <c r="HQ177" i="2"/>
  <c r="AA176" i="10" s="1"/>
  <c r="HQ178" i="2"/>
  <c r="AA177" i="10" s="1"/>
  <c r="HQ179" i="2"/>
  <c r="AA178" i="10" s="1"/>
  <c r="HQ180" i="2"/>
  <c r="AA179" i="10" s="1"/>
  <c r="HQ181" i="2"/>
  <c r="AA180" i="10" s="1"/>
  <c r="HQ182" i="2"/>
  <c r="AA181" i="10" s="1"/>
  <c r="HQ183" i="2"/>
  <c r="AA182" i="10" s="1"/>
  <c r="HQ184" i="2"/>
  <c r="AA183" i="10" s="1"/>
  <c r="HQ185" i="2"/>
  <c r="AA184" i="10" s="1"/>
  <c r="HQ186" i="2"/>
  <c r="AA185" i="10" s="1"/>
  <c r="HQ187" i="2"/>
  <c r="AA186" i="10" s="1"/>
  <c r="HQ188" i="2"/>
  <c r="AA187" i="10" s="1"/>
  <c r="HQ189" i="2"/>
  <c r="AA188" i="10" s="1"/>
  <c r="HQ190" i="2"/>
  <c r="AA189" i="10" s="1"/>
  <c r="HQ191" i="2"/>
  <c r="AA190" i="10" s="1"/>
  <c r="HQ192" i="2"/>
  <c r="AA191" i="10" s="1"/>
  <c r="HQ193" i="2"/>
  <c r="AA192" i="10" s="1"/>
  <c r="HQ194" i="2"/>
  <c r="AA193" i="10" s="1"/>
  <c r="HQ195" i="2"/>
  <c r="AA194" i="10" s="1"/>
  <c r="HQ196" i="2"/>
  <c r="AA195" i="10" s="1"/>
  <c r="HQ197" i="2"/>
  <c r="AA196" i="10" s="1"/>
  <c r="HQ198" i="2"/>
  <c r="AA197" i="10" s="1"/>
  <c r="HQ199" i="2"/>
  <c r="AA198" i="10" s="1"/>
  <c r="HQ200" i="2"/>
  <c r="AA199" i="10" s="1"/>
  <c r="HQ201" i="2"/>
  <c r="AA200" i="10" s="1"/>
  <c r="HQ202" i="2"/>
  <c r="AA201" i="10" s="1"/>
  <c r="HQ203" i="2"/>
  <c r="AA202" i="10" s="1"/>
  <c r="HQ204" i="2"/>
  <c r="AA203" i="10" s="1"/>
  <c r="HQ205" i="2"/>
  <c r="AA204" i="10" s="1"/>
  <c r="HQ206" i="2"/>
  <c r="AA205" i="10" s="1"/>
  <c r="HQ207" i="2"/>
  <c r="AA206" i="10" s="1"/>
  <c r="HQ208" i="2"/>
  <c r="AA207" i="10" s="1"/>
  <c r="HQ209" i="2"/>
  <c r="AA208" i="10" s="1"/>
  <c r="HQ210" i="2"/>
  <c r="AA209" i="10" s="1"/>
  <c r="HQ211" i="2"/>
  <c r="AA210" i="10" s="1"/>
  <c r="HQ212" i="2"/>
  <c r="AA211" i="10" s="1"/>
  <c r="HQ213" i="2"/>
  <c r="AA212" i="10" s="1"/>
  <c r="HQ214" i="2"/>
  <c r="AA213" i="10" s="1"/>
  <c r="HQ215" i="2"/>
  <c r="AA214" i="10" s="1"/>
  <c r="HQ216" i="2"/>
  <c r="AA215" i="10" s="1"/>
  <c r="HQ217" i="2"/>
  <c r="AA216" i="10" s="1"/>
  <c r="HQ218" i="2"/>
  <c r="AA217" i="10" s="1"/>
  <c r="HQ219" i="2"/>
  <c r="AA218" i="10" s="1"/>
  <c r="HQ220" i="2"/>
  <c r="AA219" i="10" s="1"/>
  <c r="HQ221" i="2"/>
  <c r="AA220" i="10" s="1"/>
  <c r="HQ222" i="2"/>
  <c r="AA221" i="10" s="1"/>
  <c r="HQ223" i="2"/>
  <c r="AA222" i="10" s="1"/>
  <c r="HQ224" i="2"/>
  <c r="AA223" i="10" s="1"/>
  <c r="HQ225" i="2"/>
  <c r="AA224" i="10" s="1"/>
  <c r="HQ226" i="2"/>
  <c r="AA225" i="10" s="1"/>
  <c r="HQ227" i="2"/>
  <c r="AA226" i="10" s="1"/>
  <c r="HQ228" i="2"/>
  <c r="AA227" i="10" s="1"/>
  <c r="HQ229" i="2"/>
  <c r="AA228" i="10" s="1"/>
  <c r="HQ230" i="2"/>
  <c r="AA229" i="10" s="1"/>
  <c r="HQ231" i="2"/>
  <c r="AA230" i="10" s="1"/>
  <c r="HQ232" i="2"/>
  <c r="AA231" i="10" s="1"/>
  <c r="HQ233" i="2"/>
  <c r="AA232" i="10" s="1"/>
  <c r="HQ234" i="2"/>
  <c r="AA233" i="10" s="1"/>
  <c r="HQ235" i="2"/>
  <c r="AA234" i="10" s="1"/>
  <c r="HQ236" i="2"/>
  <c r="AA235" i="10" s="1"/>
  <c r="HQ237" i="2"/>
  <c r="AA236" i="10" s="1"/>
  <c r="HQ238" i="2"/>
  <c r="AA237" i="10" s="1"/>
  <c r="HQ239" i="2"/>
  <c r="AA238" i="10" s="1"/>
  <c r="HQ240" i="2"/>
  <c r="AA239" i="10" s="1"/>
  <c r="HQ241" i="2"/>
  <c r="AA240" i="10" s="1"/>
  <c r="HQ242" i="2"/>
  <c r="AA241" i="10" s="1"/>
  <c r="HQ243" i="2"/>
  <c r="AA242" i="10" s="1"/>
  <c r="HQ244" i="2"/>
  <c r="AA243" i="10" s="1"/>
  <c r="HQ245" i="2"/>
  <c r="AA244" i="10" s="1"/>
  <c r="HQ246" i="2"/>
  <c r="AA245" i="10" s="1"/>
  <c r="HQ247" i="2"/>
  <c r="AA246" i="10" s="1"/>
  <c r="HQ248" i="2"/>
  <c r="AA247" i="10" s="1"/>
  <c r="HQ249" i="2"/>
  <c r="AA248" i="10" s="1"/>
  <c r="HQ250" i="2"/>
  <c r="AA249" i="10" s="1"/>
  <c r="HQ251" i="2"/>
  <c r="AA250" i="10" s="1"/>
  <c r="HQ252" i="2"/>
  <c r="AA251" i="10" s="1"/>
  <c r="HQ253" i="2"/>
  <c r="AA252" i="10" s="1"/>
  <c r="HQ254" i="2"/>
  <c r="AA253" i="10" s="1"/>
  <c r="HQ255" i="2"/>
  <c r="AA254" i="10" s="1"/>
  <c r="HQ256" i="2"/>
  <c r="AA255" i="10" s="1"/>
  <c r="HQ257" i="2"/>
  <c r="AA256" i="10" s="1"/>
  <c r="HQ258" i="2"/>
  <c r="AA257" i="10" s="1"/>
  <c r="HQ259" i="2"/>
  <c r="AA258" i="10" s="1"/>
  <c r="HQ260" i="2"/>
  <c r="AA259" i="10" s="1"/>
  <c r="HQ261" i="2"/>
  <c r="AA260" i="10" s="1"/>
  <c r="HQ262" i="2"/>
  <c r="AA261" i="10" s="1"/>
  <c r="HQ263" i="2"/>
  <c r="AA262" i="10" s="1"/>
  <c r="HQ264" i="2"/>
  <c r="AA263" i="10" s="1"/>
  <c r="HQ265" i="2"/>
  <c r="AA264" i="10" s="1"/>
  <c r="HQ266" i="2"/>
  <c r="AA265" i="10" s="1"/>
  <c r="HQ267" i="2"/>
  <c r="AA266" i="10" s="1"/>
  <c r="HQ268" i="2"/>
  <c r="AA267" i="10" s="1"/>
  <c r="HQ269" i="2"/>
  <c r="AA268" i="10" s="1"/>
  <c r="HQ270" i="2"/>
  <c r="AA269" i="10" s="1"/>
  <c r="HQ271" i="2"/>
  <c r="AA270" i="10" s="1"/>
  <c r="HQ272" i="2"/>
  <c r="AA271" i="10" s="1"/>
  <c r="HQ273" i="2"/>
  <c r="AA272" i="10" s="1"/>
  <c r="HQ274" i="2"/>
  <c r="AA273" i="10" s="1"/>
  <c r="HQ275" i="2"/>
  <c r="AA274" i="10" s="1"/>
  <c r="HQ276" i="2"/>
  <c r="AA275" i="10" s="1"/>
  <c r="HQ277" i="2"/>
  <c r="AA276" i="10" s="1"/>
  <c r="HQ278" i="2"/>
  <c r="AA277" i="10" s="1"/>
  <c r="HQ279" i="2"/>
  <c r="AA278" i="10" s="1"/>
  <c r="HQ280" i="2"/>
  <c r="AA279" i="10" s="1"/>
  <c r="HQ281" i="2"/>
  <c r="AA280" i="10" s="1"/>
  <c r="HQ282" i="2"/>
  <c r="AA281" i="10" s="1"/>
  <c r="HQ283" i="2"/>
  <c r="AA282" i="10" s="1"/>
  <c r="HQ284" i="2"/>
  <c r="HQ285" i="2"/>
  <c r="AA284" i="10" s="1"/>
  <c r="HQ286" i="2"/>
  <c r="AA285" i="10" s="1"/>
  <c r="HQ287" i="2"/>
  <c r="AA286" i="10" s="1"/>
  <c r="HQ288" i="2"/>
  <c r="AA287" i="10" s="1"/>
  <c r="HQ289" i="2"/>
  <c r="AA288" i="10" s="1"/>
  <c r="HQ290" i="2"/>
  <c r="AA289" i="10" s="1"/>
  <c r="HQ291" i="2"/>
  <c r="AA290" i="10" s="1"/>
  <c r="HQ292" i="2"/>
  <c r="AA291" i="10" s="1"/>
  <c r="HQ293" i="2"/>
  <c r="AA292" i="10" s="1"/>
  <c r="HQ294" i="2"/>
  <c r="AA293" i="10" s="1"/>
  <c r="HQ295" i="2"/>
  <c r="AA294" i="10" s="1"/>
  <c r="HQ296" i="2"/>
  <c r="AA295" i="10" s="1"/>
  <c r="HQ297" i="2"/>
  <c r="AA296" i="10" s="1"/>
  <c r="HQ298" i="2"/>
  <c r="AA297" i="10" s="1"/>
  <c r="HQ299" i="2"/>
  <c r="AA298" i="10" s="1"/>
  <c r="HQ300" i="2"/>
  <c r="AA299" i="10" s="1"/>
  <c r="HQ301" i="2"/>
  <c r="AA300" i="10" s="1"/>
  <c r="HQ302" i="2"/>
  <c r="AA301" i="10" s="1"/>
  <c r="HQ303" i="2"/>
  <c r="AA302" i="10" s="1"/>
  <c r="HQ304" i="2"/>
  <c r="AA303" i="10" s="1"/>
  <c r="HQ305" i="2"/>
  <c r="AA304" i="10" s="1"/>
  <c r="HQ306" i="2"/>
  <c r="AA305" i="10" s="1"/>
  <c r="HQ307" i="2"/>
  <c r="AA306" i="10" s="1"/>
  <c r="HQ308" i="2"/>
  <c r="AA307" i="10" s="1"/>
  <c r="HQ309" i="2"/>
  <c r="AA308" i="10" s="1"/>
  <c r="HQ310" i="2"/>
  <c r="AA309" i="10" s="1"/>
  <c r="HQ311" i="2"/>
  <c r="AA310" i="10" s="1"/>
  <c r="HQ312" i="2"/>
  <c r="AA311" i="10" s="1"/>
  <c r="HQ313" i="2"/>
  <c r="AA312" i="10" s="1"/>
  <c r="HQ314" i="2"/>
  <c r="AA313" i="10" s="1"/>
  <c r="HQ315" i="2"/>
  <c r="AA314" i="10" s="1"/>
  <c r="HQ316" i="2"/>
  <c r="AA315" i="10" s="1"/>
  <c r="HQ317" i="2"/>
  <c r="AA316" i="10" s="1"/>
  <c r="HQ318" i="2"/>
  <c r="AA317" i="10" s="1"/>
  <c r="HQ319" i="2"/>
  <c r="AA318" i="10" s="1"/>
  <c r="HQ320" i="2"/>
  <c r="AA319" i="10" s="1"/>
  <c r="HQ321" i="2"/>
  <c r="AA320" i="10" s="1"/>
  <c r="HQ322" i="2"/>
  <c r="AA321" i="10" s="1"/>
  <c r="HQ323" i="2"/>
  <c r="AA322" i="10" s="1"/>
  <c r="HQ324" i="2"/>
  <c r="AA323" i="10" s="1"/>
  <c r="HQ325" i="2"/>
  <c r="AA324" i="10" s="1"/>
  <c r="HQ326" i="2"/>
  <c r="AA325" i="10" s="1"/>
  <c r="HQ327" i="2"/>
  <c r="AA326" i="10" s="1"/>
  <c r="HQ328" i="2"/>
  <c r="AA327" i="10" s="1"/>
  <c r="HQ329" i="2"/>
  <c r="AA328" i="10" s="1"/>
  <c r="HQ330" i="2"/>
  <c r="AA329" i="10" s="1"/>
  <c r="HQ331" i="2"/>
  <c r="AA330" i="10" s="1"/>
  <c r="HQ332" i="2"/>
  <c r="AA331" i="10" s="1"/>
  <c r="HQ333" i="2"/>
  <c r="AA332" i="10" s="1"/>
  <c r="HQ334" i="2"/>
  <c r="AA333" i="10" s="1"/>
  <c r="HQ335" i="2"/>
  <c r="AA334" i="10" s="1"/>
  <c r="HQ336" i="2"/>
  <c r="AA335" i="10" s="1"/>
  <c r="HQ337" i="2"/>
  <c r="AA336" i="10" s="1"/>
  <c r="HQ338" i="2"/>
  <c r="AA337" i="10" s="1"/>
  <c r="HQ339" i="2"/>
  <c r="AA338" i="10" s="1"/>
  <c r="HQ340" i="2"/>
  <c r="AA339" i="10" s="1"/>
  <c r="HQ341" i="2"/>
  <c r="AA340" i="10" s="1"/>
  <c r="HQ342" i="2"/>
  <c r="AA341" i="10" s="1"/>
  <c r="HQ343" i="2"/>
  <c r="AA342" i="10" s="1"/>
  <c r="HQ344" i="2"/>
  <c r="AA343" i="10" s="1"/>
  <c r="HQ345" i="2"/>
  <c r="HQ346" i="2"/>
  <c r="AA345" i="10" s="1"/>
  <c r="HQ347" i="2"/>
  <c r="AA346" i="10" s="1"/>
  <c r="HQ348" i="2"/>
  <c r="AA347" i="10" s="1"/>
  <c r="HQ349" i="2"/>
  <c r="AA348" i="10" s="1"/>
  <c r="HQ350" i="2"/>
  <c r="AA349" i="10" s="1"/>
  <c r="HQ351" i="2"/>
  <c r="AA350" i="10" s="1"/>
  <c r="HQ352" i="2"/>
  <c r="AA351" i="10" s="1"/>
  <c r="HQ353" i="2"/>
  <c r="AA352" i="10" s="1"/>
  <c r="HQ354" i="2"/>
  <c r="AA353" i="10" s="1"/>
  <c r="HQ355" i="2"/>
  <c r="AA354" i="10" s="1"/>
  <c r="HQ356" i="2"/>
  <c r="AA355" i="10" s="1"/>
  <c r="HQ357" i="2"/>
  <c r="AA356" i="10" s="1"/>
  <c r="HQ358" i="2"/>
  <c r="AA357" i="10" s="1"/>
  <c r="HQ359" i="2"/>
  <c r="AA358" i="10" s="1"/>
  <c r="HQ360" i="2"/>
  <c r="AA359" i="10" s="1"/>
  <c r="HQ361" i="2"/>
  <c r="AA360" i="10" s="1"/>
  <c r="HQ362" i="2"/>
  <c r="AA361" i="10" s="1"/>
  <c r="HQ363" i="2"/>
  <c r="AA362" i="10" s="1"/>
  <c r="HQ364" i="2"/>
  <c r="AA363" i="10" s="1"/>
  <c r="HQ365" i="2"/>
  <c r="AA364" i="10" s="1"/>
  <c r="HQ366" i="2"/>
  <c r="AA365" i="10" s="1"/>
  <c r="HQ367" i="2"/>
  <c r="AA366" i="10" s="1"/>
  <c r="HQ368" i="2"/>
  <c r="AA367" i="10" s="1"/>
  <c r="HQ369" i="2"/>
  <c r="AA368" i="10" s="1"/>
  <c r="HQ370" i="2"/>
  <c r="AA369" i="10" s="1"/>
  <c r="HQ371" i="2"/>
  <c r="AA370" i="10" s="1"/>
  <c r="HQ372" i="2"/>
  <c r="AA371" i="10" s="1"/>
  <c r="HQ373" i="2"/>
  <c r="AA372" i="10" s="1"/>
  <c r="HQ374" i="2"/>
  <c r="AA373" i="10" s="1"/>
  <c r="HQ375" i="2"/>
  <c r="AA374" i="10" s="1"/>
  <c r="HQ376" i="2"/>
  <c r="AA375" i="10" s="1"/>
  <c r="HQ377" i="2"/>
  <c r="AA376" i="10" s="1"/>
  <c r="HQ378" i="2"/>
  <c r="AA377" i="10" s="1"/>
  <c r="HQ379" i="2"/>
  <c r="AA378" i="10" s="1"/>
  <c r="HQ380" i="2"/>
  <c r="AA379" i="10" s="1"/>
  <c r="HQ381" i="2"/>
  <c r="AA380" i="10" s="1"/>
  <c r="HQ382" i="2"/>
  <c r="AA381" i="10" s="1"/>
  <c r="HQ383" i="2"/>
  <c r="AA382" i="10" s="1"/>
  <c r="HQ384" i="2"/>
  <c r="AA383" i="10" s="1"/>
  <c r="HQ385" i="2"/>
  <c r="AA384" i="10" s="1"/>
  <c r="HQ386" i="2"/>
  <c r="AA385" i="10" s="1"/>
  <c r="HQ387" i="2"/>
  <c r="AA386" i="10" s="1"/>
  <c r="HQ388" i="2"/>
  <c r="AA387" i="10" s="1"/>
  <c r="HQ389" i="2"/>
  <c r="AA388" i="10" s="1"/>
  <c r="HQ390" i="2"/>
  <c r="AA389" i="10" s="1"/>
  <c r="HQ391" i="2"/>
  <c r="AA390" i="10" s="1"/>
  <c r="HQ392" i="2"/>
  <c r="AA391" i="10" s="1"/>
  <c r="HQ393" i="2"/>
  <c r="AA392" i="10" s="1"/>
  <c r="HQ394" i="2"/>
  <c r="AA393" i="10" s="1"/>
  <c r="HQ395" i="2"/>
  <c r="AA394" i="10" s="1"/>
  <c r="HQ396" i="2"/>
  <c r="AA395" i="10" s="1"/>
  <c r="HQ397" i="2"/>
  <c r="AA396" i="10" s="1"/>
  <c r="HQ398" i="2"/>
  <c r="AA397" i="10" s="1"/>
  <c r="HQ399" i="2"/>
  <c r="AA398" i="10" s="1"/>
  <c r="HQ400" i="2"/>
  <c r="AA399" i="10" s="1"/>
  <c r="HQ401" i="2"/>
  <c r="AA400" i="10" s="1"/>
  <c r="HQ402" i="2"/>
  <c r="AA401" i="10" s="1"/>
  <c r="HQ403" i="2"/>
  <c r="AA402" i="10" s="1"/>
  <c r="HQ404" i="2"/>
  <c r="AA403" i="10" s="1"/>
  <c r="HQ405" i="2"/>
  <c r="AA404" i="10" s="1"/>
  <c r="HQ406" i="2"/>
  <c r="AA405" i="10" s="1"/>
  <c r="HQ407" i="2"/>
  <c r="AA406" i="10" s="1"/>
  <c r="HQ408" i="2"/>
  <c r="AA407" i="10" s="1"/>
  <c r="HQ409" i="2"/>
  <c r="AA408" i="10" s="1"/>
  <c r="HQ410" i="2"/>
  <c r="AA409" i="10" s="1"/>
  <c r="HQ411" i="2"/>
  <c r="AA410" i="10" s="1"/>
  <c r="HQ412" i="2"/>
  <c r="AA411" i="10" s="1"/>
  <c r="HQ413" i="2"/>
  <c r="AA412" i="10" s="1"/>
  <c r="HQ414" i="2"/>
  <c r="AA413" i="10" s="1"/>
  <c r="HQ415" i="2"/>
  <c r="AA414" i="10" s="1"/>
  <c r="HQ416" i="2"/>
  <c r="AA415" i="10" s="1"/>
  <c r="HQ417" i="2"/>
  <c r="AA416" i="10" s="1"/>
  <c r="HQ418" i="2"/>
  <c r="AA417" i="10" s="1"/>
  <c r="HQ419" i="2"/>
  <c r="AA418" i="10" s="1"/>
  <c r="HQ420" i="2"/>
  <c r="AA419" i="10" s="1"/>
  <c r="HQ421" i="2"/>
  <c r="AA420" i="10" s="1"/>
  <c r="HQ422" i="2"/>
  <c r="AA421" i="10" s="1"/>
  <c r="HQ423" i="2"/>
  <c r="AA422" i="10" s="1"/>
  <c r="HQ424" i="2"/>
  <c r="AA423" i="10" s="1"/>
  <c r="HQ425" i="2"/>
  <c r="AA424" i="10" s="1"/>
  <c r="HQ426" i="2"/>
  <c r="AA425" i="10" s="1"/>
  <c r="HQ427" i="2"/>
  <c r="AA426" i="10" s="1"/>
  <c r="HQ428" i="2"/>
  <c r="AA427" i="10" s="1"/>
  <c r="HQ429" i="2"/>
  <c r="AA428" i="10" s="1"/>
  <c r="HQ430" i="2"/>
  <c r="AA429" i="10" s="1"/>
  <c r="HQ431" i="2"/>
  <c r="AA430" i="10" s="1"/>
  <c r="HQ435" i="2"/>
  <c r="AA434" i="10" s="1"/>
  <c r="HQ436" i="2"/>
  <c r="AA435" i="10" s="1"/>
  <c r="HQ437" i="2"/>
  <c r="AA436" i="10" s="1"/>
  <c r="HQ438" i="2"/>
  <c r="AA437" i="10" s="1"/>
  <c r="HQ439" i="2"/>
  <c r="AA438" i="10" s="1"/>
  <c r="HH5" i="2"/>
  <c r="Z4" i="10" s="1"/>
  <c r="HH6" i="2"/>
  <c r="Z5" i="10" s="1"/>
  <c r="HH7" i="2"/>
  <c r="Z6" i="10" s="1"/>
  <c r="HH8" i="2"/>
  <c r="Z7" i="10" s="1"/>
  <c r="HH9" i="2"/>
  <c r="Z8" i="10" s="1"/>
  <c r="HH10" i="2"/>
  <c r="Z9" i="10" s="1"/>
  <c r="HH11" i="2"/>
  <c r="Z10" i="10" s="1"/>
  <c r="HH12" i="2"/>
  <c r="Z11" i="10" s="1"/>
  <c r="HH13" i="2"/>
  <c r="Z12" i="10" s="1"/>
  <c r="HH14" i="2"/>
  <c r="Z13" i="10" s="1"/>
  <c r="HH15" i="2"/>
  <c r="Z14" i="10" s="1"/>
  <c r="HH16" i="2"/>
  <c r="Z15" i="10" s="1"/>
  <c r="HH17" i="2"/>
  <c r="Z16" i="10" s="1"/>
  <c r="HH18" i="2"/>
  <c r="Z17" i="10" s="1"/>
  <c r="HH19" i="2"/>
  <c r="Z18" i="10" s="1"/>
  <c r="HH20" i="2"/>
  <c r="Z19" i="10" s="1"/>
  <c r="HH21" i="2"/>
  <c r="Z20" i="10" s="1"/>
  <c r="HH22" i="2"/>
  <c r="Z21" i="10" s="1"/>
  <c r="HH23" i="2"/>
  <c r="Z22" i="10" s="1"/>
  <c r="HH24" i="2"/>
  <c r="Z23" i="10" s="1"/>
  <c r="HH25" i="2"/>
  <c r="Z24" i="10" s="1"/>
  <c r="HH26" i="2"/>
  <c r="Z25" i="10" s="1"/>
  <c r="HH27" i="2"/>
  <c r="Z26" i="10" s="1"/>
  <c r="HH28" i="2"/>
  <c r="Z27" i="10" s="1"/>
  <c r="HH29" i="2"/>
  <c r="Z28" i="10" s="1"/>
  <c r="HH30" i="2"/>
  <c r="Z29" i="10" s="1"/>
  <c r="HH31" i="2"/>
  <c r="Z30" i="10" s="1"/>
  <c r="HH32" i="2"/>
  <c r="Z31" i="10" s="1"/>
  <c r="HH33" i="2"/>
  <c r="Z32" i="10" s="1"/>
  <c r="HH34" i="2"/>
  <c r="Z33" i="10" s="1"/>
  <c r="HH35" i="2"/>
  <c r="Z34" i="10" s="1"/>
  <c r="HH36" i="2"/>
  <c r="Z35" i="10" s="1"/>
  <c r="HH37" i="2"/>
  <c r="Z36" i="10" s="1"/>
  <c r="HH38" i="2"/>
  <c r="Z37" i="10" s="1"/>
  <c r="HH39" i="2"/>
  <c r="Z38" i="10" s="1"/>
  <c r="HH40" i="2"/>
  <c r="Z39" i="10" s="1"/>
  <c r="HH41" i="2"/>
  <c r="Z40" i="10" s="1"/>
  <c r="HH42" i="2"/>
  <c r="Z41" i="10" s="1"/>
  <c r="HH43" i="2"/>
  <c r="Z42" i="10" s="1"/>
  <c r="HH44" i="2"/>
  <c r="Z43" i="10" s="1"/>
  <c r="HH45" i="2"/>
  <c r="Z44" i="10" s="1"/>
  <c r="HH46" i="2"/>
  <c r="Z45" i="10" s="1"/>
  <c r="HH47" i="2"/>
  <c r="Z46" i="10" s="1"/>
  <c r="HH48" i="2"/>
  <c r="Z47" i="10" s="1"/>
  <c r="HH49" i="2"/>
  <c r="Z48" i="10" s="1"/>
  <c r="HH50" i="2"/>
  <c r="Z49" i="10" s="1"/>
  <c r="HH51" i="2"/>
  <c r="Z50" i="10" s="1"/>
  <c r="HH52" i="2"/>
  <c r="Z51" i="10" s="1"/>
  <c r="HH53" i="2"/>
  <c r="Z52" i="10" s="1"/>
  <c r="HH54" i="2"/>
  <c r="Z53" i="10" s="1"/>
  <c r="HH55" i="2"/>
  <c r="Z54" i="10" s="1"/>
  <c r="HH56" i="2"/>
  <c r="Z55" i="10" s="1"/>
  <c r="HH57" i="2"/>
  <c r="Z56" i="10" s="1"/>
  <c r="HH58" i="2"/>
  <c r="Z57" i="10" s="1"/>
  <c r="HH59" i="2"/>
  <c r="Z58" i="10" s="1"/>
  <c r="HH60" i="2"/>
  <c r="Z59" i="10" s="1"/>
  <c r="HH61" i="2"/>
  <c r="Z60" i="10" s="1"/>
  <c r="HH62" i="2"/>
  <c r="Z61" i="10" s="1"/>
  <c r="HH63" i="2"/>
  <c r="Z62" i="10" s="1"/>
  <c r="HH64" i="2"/>
  <c r="Z63" i="10" s="1"/>
  <c r="HH65" i="2"/>
  <c r="Z64" i="10" s="1"/>
  <c r="HH66" i="2"/>
  <c r="Z65" i="10" s="1"/>
  <c r="HH67" i="2"/>
  <c r="Z66" i="10" s="1"/>
  <c r="HH68" i="2"/>
  <c r="Z67" i="10" s="1"/>
  <c r="HH69" i="2"/>
  <c r="Z68" i="10" s="1"/>
  <c r="HH70" i="2"/>
  <c r="Z69" i="10" s="1"/>
  <c r="HH71" i="2"/>
  <c r="Z70" i="10" s="1"/>
  <c r="HH72" i="2"/>
  <c r="Z71" i="10" s="1"/>
  <c r="HH73" i="2"/>
  <c r="Z72" i="10" s="1"/>
  <c r="HH74" i="2"/>
  <c r="Z73" i="10" s="1"/>
  <c r="HH75" i="2"/>
  <c r="Z74" i="10" s="1"/>
  <c r="HH76" i="2"/>
  <c r="Z75" i="10" s="1"/>
  <c r="HH77" i="2"/>
  <c r="Z76" i="10" s="1"/>
  <c r="HH78" i="2"/>
  <c r="Z77" i="10" s="1"/>
  <c r="HH79" i="2"/>
  <c r="Z78" i="10" s="1"/>
  <c r="HH80" i="2"/>
  <c r="Z79" i="10" s="1"/>
  <c r="HH81" i="2"/>
  <c r="Z80" i="10" s="1"/>
  <c r="HH82" i="2"/>
  <c r="Z81" i="10" s="1"/>
  <c r="HH83" i="2"/>
  <c r="Z82" i="10" s="1"/>
  <c r="HH84" i="2"/>
  <c r="Z83" i="10" s="1"/>
  <c r="HH85" i="2"/>
  <c r="Z84" i="10" s="1"/>
  <c r="HH86" i="2"/>
  <c r="Z85" i="10" s="1"/>
  <c r="HH87" i="2"/>
  <c r="Z86" i="10" s="1"/>
  <c r="HH88" i="2"/>
  <c r="Z87" i="10" s="1"/>
  <c r="HH89" i="2"/>
  <c r="Z88" i="10" s="1"/>
  <c r="HH90" i="2"/>
  <c r="Z89" i="10" s="1"/>
  <c r="HH91" i="2"/>
  <c r="Z90" i="10" s="1"/>
  <c r="HH92" i="2"/>
  <c r="Z91" i="10" s="1"/>
  <c r="HH93" i="2"/>
  <c r="Z92" i="10" s="1"/>
  <c r="HH94" i="2"/>
  <c r="Z93" i="10" s="1"/>
  <c r="HH95" i="2"/>
  <c r="Z94" i="10" s="1"/>
  <c r="HH96" i="2"/>
  <c r="Z95" i="10" s="1"/>
  <c r="HH97" i="2"/>
  <c r="Z96" i="10" s="1"/>
  <c r="HH98" i="2"/>
  <c r="Z97" i="10" s="1"/>
  <c r="HH99" i="2"/>
  <c r="Z98" i="10" s="1"/>
  <c r="HH100" i="2"/>
  <c r="Z99" i="10" s="1"/>
  <c r="HH101" i="2"/>
  <c r="Z100" i="10" s="1"/>
  <c r="HH102" i="2"/>
  <c r="Z101" i="10" s="1"/>
  <c r="HH103" i="2"/>
  <c r="Z102" i="10" s="1"/>
  <c r="HH104" i="2"/>
  <c r="Z103" i="10" s="1"/>
  <c r="HH105" i="2"/>
  <c r="Z104" i="10" s="1"/>
  <c r="HH106" i="2"/>
  <c r="Z105" i="10" s="1"/>
  <c r="HH107" i="2"/>
  <c r="Z106" i="10" s="1"/>
  <c r="HH108" i="2"/>
  <c r="Z107" i="10" s="1"/>
  <c r="HH109" i="2"/>
  <c r="Z108" i="10" s="1"/>
  <c r="HH110" i="2"/>
  <c r="Z109" i="10" s="1"/>
  <c r="HH111" i="2"/>
  <c r="Z110" i="10" s="1"/>
  <c r="HH112" i="2"/>
  <c r="Z111" i="10" s="1"/>
  <c r="HH113" i="2"/>
  <c r="Z112" i="10" s="1"/>
  <c r="HH114" i="2"/>
  <c r="Z113" i="10" s="1"/>
  <c r="HH115" i="2"/>
  <c r="Z114" i="10" s="1"/>
  <c r="HH116" i="2"/>
  <c r="Z115" i="10" s="1"/>
  <c r="HH117" i="2"/>
  <c r="Z116" i="10" s="1"/>
  <c r="HH118" i="2"/>
  <c r="Z117" i="10" s="1"/>
  <c r="HH119" i="2"/>
  <c r="Z118" i="10" s="1"/>
  <c r="HH120" i="2"/>
  <c r="Z119" i="10" s="1"/>
  <c r="HH121" i="2"/>
  <c r="Z120" i="10" s="1"/>
  <c r="HH122" i="2"/>
  <c r="Z121" i="10" s="1"/>
  <c r="HH123" i="2"/>
  <c r="Z122" i="10" s="1"/>
  <c r="HH124" i="2"/>
  <c r="Z123" i="10" s="1"/>
  <c r="HH125" i="2"/>
  <c r="Z124" i="10" s="1"/>
  <c r="HH126" i="2"/>
  <c r="Z125" i="10" s="1"/>
  <c r="HH127" i="2"/>
  <c r="Z126" i="10" s="1"/>
  <c r="HH128" i="2"/>
  <c r="Z127" i="10" s="1"/>
  <c r="HH129" i="2"/>
  <c r="Z128" i="10" s="1"/>
  <c r="HH130" i="2"/>
  <c r="Z129" i="10" s="1"/>
  <c r="HH131" i="2"/>
  <c r="Z130" i="10" s="1"/>
  <c r="HH132" i="2"/>
  <c r="Z131" i="10" s="1"/>
  <c r="HH133" i="2"/>
  <c r="Z132" i="10" s="1"/>
  <c r="HH134" i="2"/>
  <c r="Z133" i="10" s="1"/>
  <c r="HH135" i="2"/>
  <c r="Z134" i="10" s="1"/>
  <c r="HH136" i="2"/>
  <c r="Z135" i="10" s="1"/>
  <c r="HH137" i="2"/>
  <c r="Z136" i="10" s="1"/>
  <c r="HH138" i="2"/>
  <c r="Z137" i="10" s="1"/>
  <c r="HH139" i="2"/>
  <c r="Z138" i="10" s="1"/>
  <c r="HH140" i="2"/>
  <c r="Z139" i="10" s="1"/>
  <c r="HH141" i="2"/>
  <c r="Z140" i="10" s="1"/>
  <c r="HH142" i="2"/>
  <c r="Z141" i="10" s="1"/>
  <c r="HH143" i="2"/>
  <c r="Z142" i="10" s="1"/>
  <c r="HH144" i="2"/>
  <c r="Z143" i="10" s="1"/>
  <c r="HH145" i="2"/>
  <c r="Z144" i="10" s="1"/>
  <c r="HH146" i="2"/>
  <c r="Z145" i="10" s="1"/>
  <c r="HH147" i="2"/>
  <c r="Z146" i="10" s="1"/>
  <c r="HH148" i="2"/>
  <c r="Z147" i="10" s="1"/>
  <c r="HH149" i="2"/>
  <c r="Z148" i="10" s="1"/>
  <c r="HH150" i="2"/>
  <c r="Z149" i="10" s="1"/>
  <c r="HH151" i="2"/>
  <c r="Z150" i="10" s="1"/>
  <c r="HH152" i="2"/>
  <c r="Z151" i="10" s="1"/>
  <c r="HH153" i="2"/>
  <c r="Z152" i="10" s="1"/>
  <c r="HH154" i="2"/>
  <c r="Z153" i="10" s="1"/>
  <c r="HH155" i="2"/>
  <c r="Z154" i="10" s="1"/>
  <c r="HH156" i="2"/>
  <c r="Z155" i="10" s="1"/>
  <c r="HH157" i="2"/>
  <c r="Z156" i="10" s="1"/>
  <c r="HH158" i="2"/>
  <c r="Z157" i="10" s="1"/>
  <c r="HH159" i="2"/>
  <c r="Z158" i="10" s="1"/>
  <c r="HH160" i="2"/>
  <c r="Z159" i="10" s="1"/>
  <c r="HH161" i="2"/>
  <c r="Z160" i="10" s="1"/>
  <c r="HH162" i="2"/>
  <c r="Z161" i="10" s="1"/>
  <c r="HH163" i="2"/>
  <c r="Z162" i="10" s="1"/>
  <c r="HH164" i="2"/>
  <c r="Z163" i="10" s="1"/>
  <c r="HH165" i="2"/>
  <c r="Z164" i="10" s="1"/>
  <c r="HH166" i="2"/>
  <c r="Z165" i="10" s="1"/>
  <c r="HH167" i="2"/>
  <c r="Z166" i="10" s="1"/>
  <c r="HH168" i="2"/>
  <c r="Z167" i="10" s="1"/>
  <c r="HH169" i="2"/>
  <c r="Z168" i="10" s="1"/>
  <c r="HH170" i="2"/>
  <c r="Z169" i="10" s="1"/>
  <c r="HH171" i="2"/>
  <c r="Z170" i="10" s="1"/>
  <c r="HH172" i="2"/>
  <c r="Z171" i="10" s="1"/>
  <c r="HH173" i="2"/>
  <c r="Z172" i="10" s="1"/>
  <c r="HH174" i="2"/>
  <c r="Z173" i="10" s="1"/>
  <c r="HH175" i="2"/>
  <c r="Z174" i="10" s="1"/>
  <c r="HH176" i="2"/>
  <c r="Z175" i="10" s="1"/>
  <c r="HH177" i="2"/>
  <c r="Z176" i="10" s="1"/>
  <c r="HH178" i="2"/>
  <c r="Z177" i="10" s="1"/>
  <c r="HH179" i="2"/>
  <c r="Z178" i="10" s="1"/>
  <c r="HH180" i="2"/>
  <c r="Z179" i="10" s="1"/>
  <c r="HH181" i="2"/>
  <c r="Z180" i="10" s="1"/>
  <c r="HH182" i="2"/>
  <c r="Z181" i="10" s="1"/>
  <c r="HH183" i="2"/>
  <c r="Z182" i="10" s="1"/>
  <c r="HH184" i="2"/>
  <c r="Z183" i="10" s="1"/>
  <c r="HH185" i="2"/>
  <c r="Z184" i="10" s="1"/>
  <c r="HH186" i="2"/>
  <c r="Z185" i="10" s="1"/>
  <c r="HH187" i="2"/>
  <c r="Z186" i="10" s="1"/>
  <c r="HH188" i="2"/>
  <c r="Z187" i="10" s="1"/>
  <c r="HH189" i="2"/>
  <c r="Z188" i="10" s="1"/>
  <c r="HH190" i="2"/>
  <c r="Z189" i="10" s="1"/>
  <c r="HH191" i="2"/>
  <c r="Z190" i="10" s="1"/>
  <c r="HH192" i="2"/>
  <c r="Z191" i="10" s="1"/>
  <c r="HH193" i="2"/>
  <c r="Z192" i="10" s="1"/>
  <c r="HH194" i="2"/>
  <c r="Z193" i="10" s="1"/>
  <c r="HH195" i="2"/>
  <c r="Z194" i="10" s="1"/>
  <c r="HH196" i="2"/>
  <c r="Z195" i="10" s="1"/>
  <c r="HH197" i="2"/>
  <c r="Z196" i="10" s="1"/>
  <c r="HH198" i="2"/>
  <c r="Z197" i="10" s="1"/>
  <c r="HH199" i="2"/>
  <c r="Z198" i="10" s="1"/>
  <c r="HH200" i="2"/>
  <c r="Z199" i="10" s="1"/>
  <c r="HH201" i="2"/>
  <c r="Z200" i="10" s="1"/>
  <c r="HH202" i="2"/>
  <c r="Z201" i="10" s="1"/>
  <c r="HH203" i="2"/>
  <c r="Z202" i="10" s="1"/>
  <c r="HH204" i="2"/>
  <c r="Z203" i="10" s="1"/>
  <c r="HH205" i="2"/>
  <c r="Z204" i="10" s="1"/>
  <c r="HH206" i="2"/>
  <c r="Z205" i="10" s="1"/>
  <c r="HH207" i="2"/>
  <c r="Z206" i="10" s="1"/>
  <c r="HH208" i="2"/>
  <c r="Z207" i="10" s="1"/>
  <c r="HH209" i="2"/>
  <c r="Z208" i="10" s="1"/>
  <c r="HH210" i="2"/>
  <c r="Z209" i="10" s="1"/>
  <c r="HH211" i="2"/>
  <c r="Z210" i="10" s="1"/>
  <c r="HH212" i="2"/>
  <c r="Z211" i="10" s="1"/>
  <c r="HH213" i="2"/>
  <c r="Z212" i="10" s="1"/>
  <c r="HH214" i="2"/>
  <c r="Z213" i="10" s="1"/>
  <c r="HH215" i="2"/>
  <c r="Z214" i="10" s="1"/>
  <c r="HH216" i="2"/>
  <c r="Z215" i="10" s="1"/>
  <c r="HH217" i="2"/>
  <c r="Z216" i="10" s="1"/>
  <c r="HH218" i="2"/>
  <c r="Z217" i="10" s="1"/>
  <c r="HH219" i="2"/>
  <c r="Z218" i="10" s="1"/>
  <c r="HH220" i="2"/>
  <c r="Z219" i="10" s="1"/>
  <c r="HH221" i="2"/>
  <c r="Z220" i="10" s="1"/>
  <c r="HH222" i="2"/>
  <c r="Z221" i="10" s="1"/>
  <c r="HH223" i="2"/>
  <c r="Z222" i="10" s="1"/>
  <c r="HH224" i="2"/>
  <c r="Z223" i="10" s="1"/>
  <c r="HH225" i="2"/>
  <c r="Z224" i="10" s="1"/>
  <c r="HH226" i="2"/>
  <c r="Z225" i="10" s="1"/>
  <c r="HH227" i="2"/>
  <c r="Z226" i="10" s="1"/>
  <c r="HH228" i="2"/>
  <c r="Z227" i="10" s="1"/>
  <c r="HH229" i="2"/>
  <c r="Z228" i="10" s="1"/>
  <c r="HH230" i="2"/>
  <c r="Z229" i="10" s="1"/>
  <c r="HH231" i="2"/>
  <c r="Z230" i="10" s="1"/>
  <c r="HH232" i="2"/>
  <c r="Z231" i="10" s="1"/>
  <c r="HH233" i="2"/>
  <c r="Z232" i="10" s="1"/>
  <c r="HH234" i="2"/>
  <c r="Z233" i="10" s="1"/>
  <c r="HH235" i="2"/>
  <c r="Z234" i="10" s="1"/>
  <c r="HH236" i="2"/>
  <c r="Z235" i="10" s="1"/>
  <c r="HH237" i="2"/>
  <c r="Z236" i="10" s="1"/>
  <c r="HH238" i="2"/>
  <c r="Z237" i="10" s="1"/>
  <c r="HH239" i="2"/>
  <c r="Z238" i="10" s="1"/>
  <c r="HH240" i="2"/>
  <c r="Z239" i="10" s="1"/>
  <c r="HH241" i="2"/>
  <c r="Z240" i="10" s="1"/>
  <c r="HH242" i="2"/>
  <c r="Z241" i="10" s="1"/>
  <c r="HH243" i="2"/>
  <c r="Z242" i="10" s="1"/>
  <c r="HH244" i="2"/>
  <c r="HH245" i="2"/>
  <c r="Z244" i="10" s="1"/>
  <c r="HH246" i="2"/>
  <c r="Z245" i="10" s="1"/>
  <c r="HH247" i="2"/>
  <c r="Z246" i="10" s="1"/>
  <c r="HH248" i="2"/>
  <c r="Z247" i="10" s="1"/>
  <c r="HH249" i="2"/>
  <c r="Z248" i="10" s="1"/>
  <c r="HH250" i="2"/>
  <c r="Z249" i="10" s="1"/>
  <c r="HH251" i="2"/>
  <c r="Z250" i="10" s="1"/>
  <c r="HH252" i="2"/>
  <c r="Z251" i="10" s="1"/>
  <c r="HH253" i="2"/>
  <c r="Z252" i="10" s="1"/>
  <c r="HH254" i="2"/>
  <c r="Z253" i="10" s="1"/>
  <c r="HH255" i="2"/>
  <c r="Z254" i="10" s="1"/>
  <c r="HH256" i="2"/>
  <c r="Z255" i="10" s="1"/>
  <c r="HH257" i="2"/>
  <c r="Z256" i="10" s="1"/>
  <c r="HH258" i="2"/>
  <c r="Z257" i="10" s="1"/>
  <c r="HH259" i="2"/>
  <c r="Z258" i="10" s="1"/>
  <c r="HH260" i="2"/>
  <c r="Z259" i="10" s="1"/>
  <c r="HH261" i="2"/>
  <c r="Z260" i="10" s="1"/>
  <c r="HH262" i="2"/>
  <c r="Z261" i="10" s="1"/>
  <c r="HH263" i="2"/>
  <c r="Z262" i="10" s="1"/>
  <c r="HH264" i="2"/>
  <c r="Z263" i="10" s="1"/>
  <c r="HH265" i="2"/>
  <c r="Z264" i="10" s="1"/>
  <c r="HH266" i="2"/>
  <c r="Z265" i="10" s="1"/>
  <c r="HH267" i="2"/>
  <c r="Z266" i="10" s="1"/>
  <c r="HH268" i="2"/>
  <c r="Z267" i="10" s="1"/>
  <c r="HH269" i="2"/>
  <c r="Z268" i="10" s="1"/>
  <c r="HH270" i="2"/>
  <c r="Z269" i="10" s="1"/>
  <c r="HH271" i="2"/>
  <c r="Z270" i="10" s="1"/>
  <c r="HH272" i="2"/>
  <c r="Z271" i="10" s="1"/>
  <c r="HH273" i="2"/>
  <c r="Z272" i="10" s="1"/>
  <c r="HH274" i="2"/>
  <c r="Z273" i="10" s="1"/>
  <c r="HH275" i="2"/>
  <c r="Z274" i="10" s="1"/>
  <c r="HH276" i="2"/>
  <c r="Z275" i="10" s="1"/>
  <c r="HH277" i="2"/>
  <c r="Z276" i="10" s="1"/>
  <c r="HH278" i="2"/>
  <c r="Z277" i="10" s="1"/>
  <c r="HH279" i="2"/>
  <c r="Z278" i="10" s="1"/>
  <c r="HH280" i="2"/>
  <c r="Z279" i="10" s="1"/>
  <c r="HH281" i="2"/>
  <c r="Z280" i="10" s="1"/>
  <c r="HH282" i="2"/>
  <c r="Z281" i="10" s="1"/>
  <c r="HH283" i="2"/>
  <c r="Z282" i="10" s="1"/>
  <c r="HH284" i="2"/>
  <c r="HH285" i="2"/>
  <c r="Z284" i="10" s="1"/>
  <c r="HH286" i="2"/>
  <c r="Z285" i="10" s="1"/>
  <c r="HH287" i="2"/>
  <c r="HH288" i="2"/>
  <c r="Z287" i="10" s="1"/>
  <c r="HH289" i="2"/>
  <c r="Z288" i="10" s="1"/>
  <c r="HH290" i="2"/>
  <c r="Z289" i="10" s="1"/>
  <c r="HH291" i="2"/>
  <c r="Z290" i="10" s="1"/>
  <c r="HH292" i="2"/>
  <c r="HH293" i="2"/>
  <c r="Z292" i="10" s="1"/>
  <c r="HH294" i="2"/>
  <c r="Z293" i="10" s="1"/>
  <c r="HH295" i="2"/>
  <c r="Z294" i="10" s="1"/>
  <c r="HH296" i="2"/>
  <c r="Z295" i="10" s="1"/>
  <c r="HH297" i="2"/>
  <c r="Z296" i="10" s="1"/>
  <c r="HH298" i="2"/>
  <c r="Z297" i="10" s="1"/>
  <c r="HH299" i="2"/>
  <c r="Z298" i="10" s="1"/>
  <c r="HH300" i="2"/>
  <c r="Z299" i="10" s="1"/>
  <c r="HH301" i="2"/>
  <c r="Z300" i="10" s="1"/>
  <c r="HH302" i="2"/>
  <c r="Z301" i="10" s="1"/>
  <c r="HH303" i="2"/>
  <c r="Z302" i="10" s="1"/>
  <c r="HH304" i="2"/>
  <c r="Z303" i="10" s="1"/>
  <c r="HH305" i="2"/>
  <c r="Z304" i="10" s="1"/>
  <c r="HH306" i="2"/>
  <c r="Z305" i="10" s="1"/>
  <c r="HH307" i="2"/>
  <c r="Z306" i="10" s="1"/>
  <c r="HH308" i="2"/>
  <c r="Z307" i="10" s="1"/>
  <c r="HH309" i="2"/>
  <c r="Z308" i="10" s="1"/>
  <c r="HH310" i="2"/>
  <c r="Z309" i="10" s="1"/>
  <c r="HH311" i="2"/>
  <c r="Z310" i="10" s="1"/>
  <c r="HH312" i="2"/>
  <c r="Z311" i="10" s="1"/>
  <c r="HH313" i="2"/>
  <c r="Z312" i="10" s="1"/>
  <c r="HH314" i="2"/>
  <c r="Z313" i="10" s="1"/>
  <c r="HH315" i="2"/>
  <c r="Z314" i="10" s="1"/>
  <c r="HH316" i="2"/>
  <c r="Z315" i="10" s="1"/>
  <c r="HH317" i="2"/>
  <c r="Z316" i="10" s="1"/>
  <c r="HH318" i="2"/>
  <c r="Z317" i="10" s="1"/>
  <c r="HH319" i="2"/>
  <c r="Z318" i="10" s="1"/>
  <c r="HH320" i="2"/>
  <c r="Z319" i="10" s="1"/>
  <c r="HH321" i="2"/>
  <c r="Z320" i="10" s="1"/>
  <c r="HH322" i="2"/>
  <c r="Z321" i="10" s="1"/>
  <c r="HH323" i="2"/>
  <c r="Z322" i="10" s="1"/>
  <c r="HH324" i="2"/>
  <c r="Z323" i="10" s="1"/>
  <c r="HH325" i="2"/>
  <c r="Z324" i="10" s="1"/>
  <c r="HH326" i="2"/>
  <c r="Z325" i="10" s="1"/>
  <c r="HH327" i="2"/>
  <c r="Z326" i="10" s="1"/>
  <c r="HH328" i="2"/>
  <c r="Z327" i="10" s="1"/>
  <c r="HH329" i="2"/>
  <c r="Z328" i="10" s="1"/>
  <c r="HH330" i="2"/>
  <c r="Z329" i="10" s="1"/>
  <c r="HH331" i="2"/>
  <c r="Z330" i="10" s="1"/>
  <c r="HH332" i="2"/>
  <c r="Z331" i="10" s="1"/>
  <c r="HH333" i="2"/>
  <c r="Z332" i="10" s="1"/>
  <c r="HH334" i="2"/>
  <c r="Z333" i="10" s="1"/>
  <c r="HH335" i="2"/>
  <c r="Z334" i="10" s="1"/>
  <c r="HH336" i="2"/>
  <c r="Z335" i="10" s="1"/>
  <c r="HH337" i="2"/>
  <c r="Z336" i="10" s="1"/>
  <c r="HH338" i="2"/>
  <c r="Z337" i="10" s="1"/>
  <c r="HH339" i="2"/>
  <c r="Z338" i="10" s="1"/>
  <c r="HH340" i="2"/>
  <c r="Z339" i="10" s="1"/>
  <c r="HH341" i="2"/>
  <c r="Z340" i="10" s="1"/>
  <c r="HH342" i="2"/>
  <c r="Z341" i="10" s="1"/>
  <c r="HH343" i="2"/>
  <c r="Z342" i="10" s="1"/>
  <c r="HH344" i="2"/>
  <c r="Z343" i="10" s="1"/>
  <c r="HH345" i="2"/>
  <c r="HH346" i="2"/>
  <c r="Z345" i="10" s="1"/>
  <c r="HH347" i="2"/>
  <c r="Z346" i="10" s="1"/>
  <c r="HH348" i="2"/>
  <c r="Z347" i="10" s="1"/>
  <c r="HH349" i="2"/>
  <c r="Z348" i="10" s="1"/>
  <c r="HH350" i="2"/>
  <c r="Z349" i="10" s="1"/>
  <c r="HH351" i="2"/>
  <c r="Z350" i="10" s="1"/>
  <c r="HH352" i="2"/>
  <c r="Z351" i="10" s="1"/>
  <c r="HH353" i="2"/>
  <c r="Z352" i="10" s="1"/>
  <c r="HH354" i="2"/>
  <c r="Z353" i="10" s="1"/>
  <c r="HH355" i="2"/>
  <c r="Z354" i="10" s="1"/>
  <c r="HH356" i="2"/>
  <c r="Z355" i="10" s="1"/>
  <c r="HH357" i="2"/>
  <c r="Z356" i="10" s="1"/>
  <c r="HH358" i="2"/>
  <c r="Z357" i="10" s="1"/>
  <c r="HH359" i="2"/>
  <c r="Z358" i="10" s="1"/>
  <c r="HH360" i="2"/>
  <c r="Z359" i="10" s="1"/>
  <c r="HH361" i="2"/>
  <c r="Z360" i="10" s="1"/>
  <c r="HH362" i="2"/>
  <c r="Z361" i="10" s="1"/>
  <c r="HH363" i="2"/>
  <c r="Z362" i="10" s="1"/>
  <c r="HH364" i="2"/>
  <c r="Z363" i="10" s="1"/>
  <c r="HH365" i="2"/>
  <c r="Z364" i="10" s="1"/>
  <c r="HH366" i="2"/>
  <c r="Z365" i="10" s="1"/>
  <c r="HH367" i="2"/>
  <c r="Z366" i="10" s="1"/>
  <c r="HH368" i="2"/>
  <c r="Z367" i="10" s="1"/>
  <c r="HH369" i="2"/>
  <c r="Z368" i="10" s="1"/>
  <c r="HH370" i="2"/>
  <c r="Z369" i="10" s="1"/>
  <c r="HH371" i="2"/>
  <c r="Z370" i="10" s="1"/>
  <c r="HH372" i="2"/>
  <c r="Z371" i="10" s="1"/>
  <c r="HH373" i="2"/>
  <c r="Z372" i="10" s="1"/>
  <c r="HH374" i="2"/>
  <c r="Z373" i="10" s="1"/>
  <c r="HH375" i="2"/>
  <c r="Z374" i="10" s="1"/>
  <c r="HH376" i="2"/>
  <c r="Z375" i="10" s="1"/>
  <c r="HH377" i="2"/>
  <c r="Z376" i="10" s="1"/>
  <c r="HH378" i="2"/>
  <c r="Z377" i="10" s="1"/>
  <c r="HH379" i="2"/>
  <c r="Z378" i="10" s="1"/>
  <c r="HH380" i="2"/>
  <c r="Z379" i="10" s="1"/>
  <c r="HH381" i="2"/>
  <c r="Z380" i="10" s="1"/>
  <c r="HH382" i="2"/>
  <c r="Z381" i="10" s="1"/>
  <c r="HH383" i="2"/>
  <c r="Z382" i="10" s="1"/>
  <c r="HH384" i="2"/>
  <c r="Z383" i="10" s="1"/>
  <c r="HH385" i="2"/>
  <c r="Z384" i="10" s="1"/>
  <c r="HH386" i="2"/>
  <c r="Z385" i="10" s="1"/>
  <c r="HH387" i="2"/>
  <c r="Z386" i="10" s="1"/>
  <c r="HH388" i="2"/>
  <c r="Z387" i="10" s="1"/>
  <c r="HH389" i="2"/>
  <c r="Z388" i="10" s="1"/>
  <c r="HH390" i="2"/>
  <c r="Z389" i="10" s="1"/>
  <c r="HH391" i="2"/>
  <c r="Z390" i="10" s="1"/>
  <c r="HH392" i="2"/>
  <c r="Z391" i="10" s="1"/>
  <c r="HH393" i="2"/>
  <c r="Z392" i="10" s="1"/>
  <c r="HH394" i="2"/>
  <c r="Z393" i="10" s="1"/>
  <c r="HH395" i="2"/>
  <c r="Z394" i="10" s="1"/>
  <c r="HH396" i="2"/>
  <c r="Z395" i="10" s="1"/>
  <c r="HH397" i="2"/>
  <c r="Z396" i="10" s="1"/>
  <c r="HH398" i="2"/>
  <c r="Z397" i="10" s="1"/>
  <c r="HH399" i="2"/>
  <c r="Z398" i="10" s="1"/>
  <c r="HH400" i="2"/>
  <c r="Z399" i="10" s="1"/>
  <c r="HH401" i="2"/>
  <c r="Z400" i="10" s="1"/>
  <c r="HH402" i="2"/>
  <c r="Z401" i="10" s="1"/>
  <c r="HH403" i="2"/>
  <c r="Z402" i="10" s="1"/>
  <c r="HH404" i="2"/>
  <c r="Z403" i="10" s="1"/>
  <c r="HH405" i="2"/>
  <c r="Z404" i="10" s="1"/>
  <c r="HH406" i="2"/>
  <c r="Z405" i="10" s="1"/>
  <c r="HH407" i="2"/>
  <c r="Z406" i="10" s="1"/>
  <c r="HH408" i="2"/>
  <c r="Z407" i="10" s="1"/>
  <c r="HH409" i="2"/>
  <c r="Z408" i="10" s="1"/>
  <c r="HH410" i="2"/>
  <c r="Z409" i="10" s="1"/>
  <c r="HH411" i="2"/>
  <c r="Z410" i="10" s="1"/>
  <c r="HH412" i="2"/>
  <c r="Z411" i="10" s="1"/>
  <c r="HH413" i="2"/>
  <c r="Z412" i="10" s="1"/>
  <c r="HH414" i="2"/>
  <c r="Z413" i="10" s="1"/>
  <c r="HH415" i="2"/>
  <c r="Z414" i="10" s="1"/>
  <c r="HH416" i="2"/>
  <c r="Z415" i="10" s="1"/>
  <c r="HH417" i="2"/>
  <c r="Z416" i="10" s="1"/>
  <c r="HH418" i="2"/>
  <c r="Z417" i="10" s="1"/>
  <c r="HH419" i="2"/>
  <c r="Z418" i="10" s="1"/>
  <c r="HH420" i="2"/>
  <c r="Z419" i="10" s="1"/>
  <c r="HH421" i="2"/>
  <c r="Z420" i="10" s="1"/>
  <c r="HH422" i="2"/>
  <c r="Z421" i="10" s="1"/>
  <c r="HH423" i="2"/>
  <c r="Z422" i="10" s="1"/>
  <c r="HH424" i="2"/>
  <c r="Z423" i="10" s="1"/>
  <c r="HH425" i="2"/>
  <c r="Z424" i="10" s="1"/>
  <c r="HH426" i="2"/>
  <c r="Z425" i="10" s="1"/>
  <c r="HH427" i="2"/>
  <c r="Z426" i="10" s="1"/>
  <c r="HH428" i="2"/>
  <c r="Z427" i="10" s="1"/>
  <c r="HH429" i="2"/>
  <c r="Z428" i="10" s="1"/>
  <c r="HH430" i="2"/>
  <c r="Z429" i="10" s="1"/>
  <c r="HH431" i="2"/>
  <c r="Z430" i="10" s="1"/>
  <c r="HH435" i="2"/>
  <c r="Z434" i="10" s="1"/>
  <c r="HH436" i="2"/>
  <c r="Z435" i="10" s="1"/>
  <c r="HH437" i="2"/>
  <c r="Z436" i="10" s="1"/>
  <c r="HH438" i="2"/>
  <c r="Z437" i="10" s="1"/>
  <c r="HH439" i="2"/>
  <c r="Z438" i="10" s="1"/>
  <c r="GU5" i="2"/>
  <c r="GU6" i="2"/>
  <c r="GU7" i="2"/>
  <c r="GU8" i="2"/>
  <c r="GU9" i="2"/>
  <c r="GU10" i="2"/>
  <c r="GU11" i="2"/>
  <c r="GU12" i="2"/>
  <c r="GU13" i="2"/>
  <c r="GU14" i="2"/>
  <c r="GU15" i="2"/>
  <c r="GU16" i="2"/>
  <c r="GU17" i="2"/>
  <c r="GU18" i="2"/>
  <c r="GU19" i="2"/>
  <c r="GU20" i="2"/>
  <c r="GU21" i="2"/>
  <c r="GU22" i="2"/>
  <c r="GU23" i="2"/>
  <c r="GU24" i="2"/>
  <c r="GU25" i="2"/>
  <c r="GU26" i="2"/>
  <c r="GU27" i="2"/>
  <c r="GU28" i="2"/>
  <c r="GU29" i="2"/>
  <c r="GU30" i="2"/>
  <c r="GU31" i="2"/>
  <c r="GU32" i="2"/>
  <c r="GU33" i="2"/>
  <c r="GU34" i="2"/>
  <c r="GU35" i="2"/>
  <c r="GU36" i="2"/>
  <c r="GU37" i="2"/>
  <c r="GU38" i="2"/>
  <c r="GU39" i="2"/>
  <c r="GU40" i="2"/>
  <c r="GU41" i="2"/>
  <c r="GU42" i="2"/>
  <c r="GU43" i="2"/>
  <c r="GU44" i="2"/>
  <c r="GU45" i="2"/>
  <c r="GU46" i="2"/>
  <c r="GU47" i="2"/>
  <c r="GU48" i="2"/>
  <c r="GU49" i="2"/>
  <c r="GU50" i="2"/>
  <c r="GU51" i="2"/>
  <c r="GU52" i="2"/>
  <c r="GU53" i="2"/>
  <c r="GU54" i="2"/>
  <c r="GU55" i="2"/>
  <c r="GU56" i="2"/>
  <c r="GU57" i="2"/>
  <c r="GU58" i="2"/>
  <c r="GU59" i="2"/>
  <c r="GU60" i="2"/>
  <c r="GU61" i="2"/>
  <c r="GU62" i="2"/>
  <c r="GU63" i="2"/>
  <c r="GU64" i="2"/>
  <c r="GU65" i="2"/>
  <c r="GU66" i="2"/>
  <c r="GU67" i="2"/>
  <c r="GU68" i="2"/>
  <c r="GU69" i="2"/>
  <c r="GU70" i="2"/>
  <c r="GU71" i="2"/>
  <c r="GU72" i="2"/>
  <c r="GU73" i="2"/>
  <c r="GU74" i="2"/>
  <c r="GU75" i="2"/>
  <c r="GU76" i="2"/>
  <c r="GU77" i="2"/>
  <c r="GU78" i="2"/>
  <c r="GU79" i="2"/>
  <c r="GU80" i="2"/>
  <c r="GU81" i="2"/>
  <c r="GU82" i="2"/>
  <c r="GU83" i="2"/>
  <c r="GU84" i="2"/>
  <c r="GU85" i="2"/>
  <c r="GU86" i="2"/>
  <c r="GU87" i="2"/>
  <c r="GU88" i="2"/>
  <c r="GU89" i="2"/>
  <c r="GU90" i="2"/>
  <c r="GU91" i="2"/>
  <c r="GU92" i="2"/>
  <c r="GU93" i="2"/>
  <c r="GU94" i="2"/>
  <c r="GU95" i="2"/>
  <c r="GU96" i="2"/>
  <c r="GU97" i="2"/>
  <c r="GU98" i="2"/>
  <c r="GU99" i="2"/>
  <c r="GU100" i="2"/>
  <c r="GU101" i="2"/>
  <c r="GU102" i="2"/>
  <c r="GU103" i="2"/>
  <c r="GU104" i="2"/>
  <c r="GU105" i="2"/>
  <c r="GU106" i="2"/>
  <c r="GU107" i="2"/>
  <c r="GU108" i="2"/>
  <c r="GU109" i="2"/>
  <c r="GU110" i="2"/>
  <c r="GU111" i="2"/>
  <c r="GU112" i="2"/>
  <c r="GU113" i="2"/>
  <c r="GU114" i="2"/>
  <c r="GU115" i="2"/>
  <c r="GU116" i="2"/>
  <c r="GU117" i="2"/>
  <c r="GU118" i="2"/>
  <c r="GU119" i="2"/>
  <c r="GU120" i="2"/>
  <c r="GU121" i="2"/>
  <c r="GU122" i="2"/>
  <c r="GU123" i="2"/>
  <c r="GU124" i="2"/>
  <c r="GU125" i="2"/>
  <c r="GU126" i="2"/>
  <c r="GU127" i="2"/>
  <c r="GU128" i="2"/>
  <c r="GU129" i="2"/>
  <c r="GU130" i="2"/>
  <c r="GU131" i="2"/>
  <c r="GU132" i="2"/>
  <c r="GU133" i="2"/>
  <c r="GU134" i="2"/>
  <c r="GU135" i="2"/>
  <c r="GU136" i="2"/>
  <c r="GU137" i="2"/>
  <c r="GU138" i="2"/>
  <c r="GU139" i="2"/>
  <c r="GU140" i="2"/>
  <c r="GU141" i="2"/>
  <c r="GU142" i="2"/>
  <c r="GU143" i="2"/>
  <c r="GU144" i="2"/>
  <c r="GU145" i="2"/>
  <c r="GU146" i="2"/>
  <c r="GU147" i="2"/>
  <c r="GU148" i="2"/>
  <c r="GU149" i="2"/>
  <c r="GU150" i="2"/>
  <c r="GU151" i="2"/>
  <c r="GU152" i="2"/>
  <c r="GU153" i="2"/>
  <c r="GU154" i="2"/>
  <c r="GU155" i="2"/>
  <c r="GU156" i="2"/>
  <c r="GU157" i="2"/>
  <c r="GU158" i="2"/>
  <c r="GU159" i="2"/>
  <c r="GU160" i="2"/>
  <c r="GU161" i="2"/>
  <c r="GU162" i="2"/>
  <c r="GU163" i="2"/>
  <c r="GU164" i="2"/>
  <c r="GU165" i="2"/>
  <c r="GU166" i="2"/>
  <c r="GU167" i="2"/>
  <c r="GU168" i="2"/>
  <c r="GU169" i="2"/>
  <c r="GU170" i="2"/>
  <c r="GU171" i="2"/>
  <c r="GU172" i="2"/>
  <c r="GU173" i="2"/>
  <c r="GU174" i="2"/>
  <c r="GU175" i="2"/>
  <c r="GU176" i="2"/>
  <c r="GU177" i="2"/>
  <c r="GU178" i="2"/>
  <c r="GU179" i="2"/>
  <c r="GU180" i="2"/>
  <c r="GU181" i="2"/>
  <c r="GU182" i="2"/>
  <c r="GU183" i="2"/>
  <c r="GU184" i="2"/>
  <c r="GU185" i="2"/>
  <c r="GU186" i="2"/>
  <c r="GU187" i="2"/>
  <c r="GU188" i="2"/>
  <c r="GU189" i="2"/>
  <c r="GU190" i="2"/>
  <c r="GU191" i="2"/>
  <c r="GU192" i="2"/>
  <c r="GU193" i="2"/>
  <c r="GU194" i="2"/>
  <c r="GU195" i="2"/>
  <c r="GU196" i="2"/>
  <c r="GU197" i="2"/>
  <c r="GU198" i="2"/>
  <c r="GU199" i="2"/>
  <c r="GU200" i="2"/>
  <c r="GU201" i="2"/>
  <c r="GU202" i="2"/>
  <c r="GU203" i="2"/>
  <c r="GU204" i="2"/>
  <c r="GU205" i="2"/>
  <c r="GU206" i="2"/>
  <c r="GU207" i="2"/>
  <c r="GU208" i="2"/>
  <c r="GU209" i="2"/>
  <c r="GU210" i="2"/>
  <c r="GU211" i="2"/>
  <c r="GU212" i="2"/>
  <c r="GU213" i="2"/>
  <c r="GU214" i="2"/>
  <c r="GU215" i="2"/>
  <c r="GU216" i="2"/>
  <c r="GU217" i="2"/>
  <c r="GU218" i="2"/>
  <c r="GU219" i="2"/>
  <c r="GU220" i="2"/>
  <c r="GU221" i="2"/>
  <c r="GU222" i="2"/>
  <c r="GU223" i="2"/>
  <c r="GU224" i="2"/>
  <c r="GU225" i="2"/>
  <c r="GU226" i="2"/>
  <c r="GU227" i="2"/>
  <c r="GU228" i="2"/>
  <c r="GU229" i="2"/>
  <c r="GU230" i="2"/>
  <c r="GU231" i="2"/>
  <c r="GU232" i="2"/>
  <c r="GU233" i="2"/>
  <c r="GU234" i="2"/>
  <c r="GU235" i="2"/>
  <c r="GU236" i="2"/>
  <c r="GU237" i="2"/>
  <c r="GU238" i="2"/>
  <c r="GU239" i="2"/>
  <c r="GU240" i="2"/>
  <c r="GU241" i="2"/>
  <c r="GU242" i="2"/>
  <c r="GU243" i="2"/>
  <c r="GU244" i="2"/>
  <c r="GU245" i="2"/>
  <c r="GU246" i="2"/>
  <c r="GU247" i="2"/>
  <c r="GU248" i="2"/>
  <c r="GU249" i="2"/>
  <c r="GU250" i="2"/>
  <c r="GU251" i="2"/>
  <c r="GU252" i="2"/>
  <c r="GU253" i="2"/>
  <c r="GU254" i="2"/>
  <c r="GU255" i="2"/>
  <c r="GU256" i="2"/>
  <c r="GU257" i="2"/>
  <c r="GU258" i="2"/>
  <c r="GU259" i="2"/>
  <c r="GU260" i="2"/>
  <c r="GU261" i="2"/>
  <c r="GU262" i="2"/>
  <c r="GU263" i="2"/>
  <c r="GU264" i="2"/>
  <c r="GU265" i="2"/>
  <c r="GU266" i="2"/>
  <c r="GU267" i="2"/>
  <c r="GU268" i="2"/>
  <c r="GU269" i="2"/>
  <c r="GU270" i="2"/>
  <c r="GU271" i="2"/>
  <c r="GU272" i="2"/>
  <c r="GU273" i="2"/>
  <c r="GU274" i="2"/>
  <c r="GU275" i="2"/>
  <c r="GU276" i="2"/>
  <c r="GU277" i="2"/>
  <c r="GU278" i="2"/>
  <c r="GU279" i="2"/>
  <c r="GU280" i="2"/>
  <c r="GU281" i="2"/>
  <c r="GU282" i="2"/>
  <c r="GU283" i="2"/>
  <c r="GU284" i="2"/>
  <c r="GU285" i="2"/>
  <c r="GU286" i="2"/>
  <c r="GU287" i="2"/>
  <c r="GU288" i="2"/>
  <c r="GU289" i="2"/>
  <c r="GU290" i="2"/>
  <c r="GU291" i="2"/>
  <c r="GU292" i="2"/>
  <c r="GU293" i="2"/>
  <c r="GU294" i="2"/>
  <c r="GU295" i="2"/>
  <c r="GU296" i="2"/>
  <c r="GU297" i="2"/>
  <c r="GU298" i="2"/>
  <c r="GU299" i="2"/>
  <c r="GU300" i="2"/>
  <c r="GU301" i="2"/>
  <c r="GU302" i="2"/>
  <c r="GU303" i="2"/>
  <c r="GU304" i="2"/>
  <c r="GU305" i="2"/>
  <c r="GU306" i="2"/>
  <c r="GU307" i="2"/>
  <c r="GU308" i="2"/>
  <c r="GU309" i="2"/>
  <c r="GU310" i="2"/>
  <c r="GU311" i="2"/>
  <c r="GU312" i="2"/>
  <c r="GU313" i="2"/>
  <c r="GU314" i="2"/>
  <c r="GU315" i="2"/>
  <c r="GU316" i="2"/>
  <c r="GU317" i="2"/>
  <c r="GU318" i="2"/>
  <c r="GU319" i="2"/>
  <c r="GU320" i="2"/>
  <c r="GU321" i="2"/>
  <c r="GU322" i="2"/>
  <c r="GU323" i="2"/>
  <c r="GU324" i="2"/>
  <c r="GU325" i="2"/>
  <c r="GU326" i="2"/>
  <c r="GU327" i="2"/>
  <c r="GU328" i="2"/>
  <c r="GU329" i="2"/>
  <c r="GU330" i="2"/>
  <c r="GU331" i="2"/>
  <c r="GU332" i="2"/>
  <c r="GU333" i="2"/>
  <c r="GU334" i="2"/>
  <c r="GU335" i="2"/>
  <c r="GU336" i="2"/>
  <c r="GU337" i="2"/>
  <c r="GU338" i="2"/>
  <c r="GU339" i="2"/>
  <c r="GU340" i="2"/>
  <c r="GU341" i="2"/>
  <c r="GU342" i="2"/>
  <c r="GU343" i="2"/>
  <c r="GU344" i="2"/>
  <c r="GU345" i="2"/>
  <c r="GU346" i="2"/>
  <c r="GU347" i="2"/>
  <c r="GU348" i="2"/>
  <c r="GU349" i="2"/>
  <c r="GU350" i="2"/>
  <c r="GU351" i="2"/>
  <c r="GU352" i="2"/>
  <c r="GU353" i="2"/>
  <c r="GU354" i="2"/>
  <c r="GU355" i="2"/>
  <c r="GU356" i="2"/>
  <c r="GU357" i="2"/>
  <c r="GU358" i="2"/>
  <c r="GU359" i="2"/>
  <c r="GU360" i="2"/>
  <c r="GU361" i="2"/>
  <c r="GU362" i="2"/>
  <c r="GU363" i="2"/>
  <c r="GU364" i="2"/>
  <c r="GU365" i="2"/>
  <c r="GU366" i="2"/>
  <c r="GU367" i="2"/>
  <c r="GU368" i="2"/>
  <c r="GU369" i="2"/>
  <c r="GU370" i="2"/>
  <c r="GU371" i="2"/>
  <c r="GU372" i="2"/>
  <c r="GU373" i="2"/>
  <c r="GU374" i="2"/>
  <c r="GU375" i="2"/>
  <c r="GU376" i="2"/>
  <c r="GU377" i="2"/>
  <c r="GU378" i="2"/>
  <c r="GU379" i="2"/>
  <c r="GU380" i="2"/>
  <c r="GU381" i="2"/>
  <c r="GU382" i="2"/>
  <c r="GU383" i="2"/>
  <c r="GU384" i="2"/>
  <c r="GU385" i="2"/>
  <c r="GU386" i="2"/>
  <c r="GU387" i="2"/>
  <c r="GU388" i="2"/>
  <c r="GU389" i="2"/>
  <c r="GU390" i="2"/>
  <c r="GU391" i="2"/>
  <c r="GU392" i="2"/>
  <c r="GU393" i="2"/>
  <c r="GU394" i="2"/>
  <c r="GU395" i="2"/>
  <c r="GU396" i="2"/>
  <c r="GU397" i="2"/>
  <c r="GU398" i="2"/>
  <c r="GU399" i="2"/>
  <c r="GU400" i="2"/>
  <c r="GU401" i="2"/>
  <c r="GU402" i="2"/>
  <c r="GU403" i="2"/>
  <c r="GU404" i="2"/>
  <c r="GU405" i="2"/>
  <c r="GU406" i="2"/>
  <c r="GU407" i="2"/>
  <c r="GU408" i="2"/>
  <c r="GU409" i="2"/>
  <c r="GU410" i="2"/>
  <c r="GU411" i="2"/>
  <c r="GU412" i="2"/>
  <c r="GU413" i="2"/>
  <c r="GU414" i="2"/>
  <c r="GU415" i="2"/>
  <c r="GU416" i="2"/>
  <c r="GU417" i="2"/>
  <c r="GU418" i="2"/>
  <c r="GU419" i="2"/>
  <c r="GU420" i="2"/>
  <c r="GU421" i="2"/>
  <c r="GU422" i="2"/>
  <c r="GU423" i="2"/>
  <c r="GU424" i="2"/>
  <c r="GU425" i="2"/>
  <c r="GU426" i="2"/>
  <c r="GU427" i="2"/>
  <c r="GU428" i="2"/>
  <c r="GU429" i="2"/>
  <c r="GU430" i="2"/>
  <c r="GU431" i="2"/>
  <c r="GU435" i="2"/>
  <c r="GU436" i="2"/>
  <c r="GU437" i="2"/>
  <c r="GU438" i="2"/>
  <c r="GU439" i="2"/>
  <c r="GY5" i="2"/>
  <c r="GY6" i="2"/>
  <c r="GY7" i="2"/>
  <c r="GY8" i="2"/>
  <c r="GY9" i="2"/>
  <c r="GY10" i="2"/>
  <c r="GY11" i="2"/>
  <c r="GY12" i="2"/>
  <c r="GY13" i="2"/>
  <c r="GY14" i="2"/>
  <c r="GY15" i="2"/>
  <c r="GY16" i="2"/>
  <c r="GY17" i="2"/>
  <c r="GY18" i="2"/>
  <c r="GY19" i="2"/>
  <c r="GY20" i="2"/>
  <c r="GY21" i="2"/>
  <c r="GY22" i="2"/>
  <c r="GY23" i="2"/>
  <c r="GY24" i="2"/>
  <c r="GY25" i="2"/>
  <c r="GY26" i="2"/>
  <c r="GY27" i="2"/>
  <c r="GY28" i="2"/>
  <c r="GY29" i="2"/>
  <c r="GY30" i="2"/>
  <c r="GY31" i="2"/>
  <c r="GY32" i="2"/>
  <c r="GY33" i="2"/>
  <c r="GY34" i="2"/>
  <c r="GY35" i="2"/>
  <c r="GY36" i="2"/>
  <c r="GY37" i="2"/>
  <c r="GY38" i="2"/>
  <c r="GY39" i="2"/>
  <c r="GY40" i="2"/>
  <c r="GY41" i="2"/>
  <c r="GY42" i="2"/>
  <c r="GY43" i="2"/>
  <c r="GY44" i="2"/>
  <c r="GY45" i="2"/>
  <c r="GY46" i="2"/>
  <c r="GY47" i="2"/>
  <c r="GY48" i="2"/>
  <c r="GY49" i="2"/>
  <c r="GY50" i="2"/>
  <c r="GY51" i="2"/>
  <c r="GY52" i="2"/>
  <c r="GY53" i="2"/>
  <c r="GY54" i="2"/>
  <c r="GY55" i="2"/>
  <c r="GY56" i="2"/>
  <c r="GY57" i="2"/>
  <c r="GY58" i="2"/>
  <c r="GY59" i="2"/>
  <c r="GY60" i="2"/>
  <c r="GY61" i="2"/>
  <c r="GY62" i="2"/>
  <c r="GY63" i="2"/>
  <c r="GY64" i="2"/>
  <c r="GY65" i="2"/>
  <c r="GY66" i="2"/>
  <c r="GY67" i="2"/>
  <c r="GY68" i="2"/>
  <c r="GY69" i="2"/>
  <c r="GY70" i="2"/>
  <c r="GY71" i="2"/>
  <c r="GY72" i="2"/>
  <c r="GY73" i="2"/>
  <c r="GY74" i="2"/>
  <c r="GY75" i="2"/>
  <c r="GY76" i="2"/>
  <c r="GY77" i="2"/>
  <c r="GY78" i="2"/>
  <c r="GY79" i="2"/>
  <c r="GY80" i="2"/>
  <c r="GY81" i="2"/>
  <c r="GY82" i="2"/>
  <c r="GY83" i="2"/>
  <c r="GY84" i="2"/>
  <c r="GY85" i="2"/>
  <c r="GY86" i="2"/>
  <c r="GY87" i="2"/>
  <c r="GY88" i="2"/>
  <c r="GY89" i="2"/>
  <c r="GY90" i="2"/>
  <c r="GY91" i="2"/>
  <c r="GY92" i="2"/>
  <c r="GY93" i="2"/>
  <c r="GY94" i="2"/>
  <c r="GY95" i="2"/>
  <c r="GY96" i="2"/>
  <c r="GY97" i="2"/>
  <c r="GY98" i="2"/>
  <c r="GY99" i="2"/>
  <c r="GY100" i="2"/>
  <c r="GY101" i="2"/>
  <c r="GY102" i="2"/>
  <c r="GY103" i="2"/>
  <c r="GY104" i="2"/>
  <c r="GY105" i="2"/>
  <c r="GY106" i="2"/>
  <c r="GY107" i="2"/>
  <c r="GY108" i="2"/>
  <c r="GY109" i="2"/>
  <c r="GY110" i="2"/>
  <c r="GY111" i="2"/>
  <c r="GY112" i="2"/>
  <c r="GY113" i="2"/>
  <c r="GY114" i="2"/>
  <c r="GY115" i="2"/>
  <c r="GY116" i="2"/>
  <c r="GY117" i="2"/>
  <c r="GY118" i="2"/>
  <c r="GY119" i="2"/>
  <c r="GY120" i="2"/>
  <c r="GY121" i="2"/>
  <c r="GY122" i="2"/>
  <c r="GY123" i="2"/>
  <c r="GY124" i="2"/>
  <c r="GY125" i="2"/>
  <c r="GY126" i="2"/>
  <c r="GY127" i="2"/>
  <c r="GY128" i="2"/>
  <c r="GY129" i="2"/>
  <c r="GY130" i="2"/>
  <c r="GY131" i="2"/>
  <c r="GY132" i="2"/>
  <c r="GY133" i="2"/>
  <c r="GY134" i="2"/>
  <c r="GY135" i="2"/>
  <c r="GY136" i="2"/>
  <c r="GY137" i="2"/>
  <c r="GY138" i="2"/>
  <c r="GY139" i="2"/>
  <c r="GY140" i="2"/>
  <c r="GY141" i="2"/>
  <c r="GY142" i="2"/>
  <c r="GY143" i="2"/>
  <c r="GY144" i="2"/>
  <c r="GY145" i="2"/>
  <c r="GY146" i="2"/>
  <c r="GY147" i="2"/>
  <c r="GY148" i="2"/>
  <c r="GY149" i="2"/>
  <c r="GY150" i="2"/>
  <c r="GY151" i="2"/>
  <c r="GY152" i="2"/>
  <c r="GY153" i="2"/>
  <c r="GY154" i="2"/>
  <c r="GY155" i="2"/>
  <c r="GY156" i="2"/>
  <c r="GY157" i="2"/>
  <c r="GY158" i="2"/>
  <c r="GY159" i="2"/>
  <c r="GY160" i="2"/>
  <c r="GY161" i="2"/>
  <c r="GY162" i="2"/>
  <c r="GY163" i="2"/>
  <c r="GY164" i="2"/>
  <c r="GY165" i="2"/>
  <c r="GY166" i="2"/>
  <c r="GY167" i="2"/>
  <c r="GY168" i="2"/>
  <c r="GY169" i="2"/>
  <c r="GY170" i="2"/>
  <c r="GY171" i="2"/>
  <c r="GY172" i="2"/>
  <c r="GY173" i="2"/>
  <c r="GY174" i="2"/>
  <c r="GY175" i="2"/>
  <c r="GY176" i="2"/>
  <c r="GY177" i="2"/>
  <c r="GY178" i="2"/>
  <c r="GY179" i="2"/>
  <c r="GY180" i="2"/>
  <c r="GY181" i="2"/>
  <c r="GY182" i="2"/>
  <c r="GY183" i="2"/>
  <c r="GY184" i="2"/>
  <c r="GY185" i="2"/>
  <c r="GY186" i="2"/>
  <c r="GY187" i="2"/>
  <c r="GY188" i="2"/>
  <c r="GY189" i="2"/>
  <c r="GY190" i="2"/>
  <c r="GY191" i="2"/>
  <c r="GY192" i="2"/>
  <c r="GY193" i="2"/>
  <c r="GY194" i="2"/>
  <c r="GY195" i="2"/>
  <c r="GY196" i="2"/>
  <c r="GY197" i="2"/>
  <c r="GY198" i="2"/>
  <c r="GY199" i="2"/>
  <c r="GY200" i="2"/>
  <c r="GY201" i="2"/>
  <c r="GY202" i="2"/>
  <c r="GY203" i="2"/>
  <c r="GY204" i="2"/>
  <c r="GY205" i="2"/>
  <c r="GY206" i="2"/>
  <c r="GY207" i="2"/>
  <c r="GY208" i="2"/>
  <c r="GY209" i="2"/>
  <c r="GY210" i="2"/>
  <c r="GY211" i="2"/>
  <c r="GY212" i="2"/>
  <c r="GY213" i="2"/>
  <c r="GY214" i="2"/>
  <c r="GY215" i="2"/>
  <c r="GY216" i="2"/>
  <c r="GY217" i="2"/>
  <c r="GY218" i="2"/>
  <c r="GY219" i="2"/>
  <c r="GY220" i="2"/>
  <c r="GY221" i="2"/>
  <c r="GY222" i="2"/>
  <c r="GY223" i="2"/>
  <c r="GY224" i="2"/>
  <c r="GY225" i="2"/>
  <c r="GY226" i="2"/>
  <c r="GY227" i="2"/>
  <c r="GY228" i="2"/>
  <c r="GY229" i="2"/>
  <c r="GY230" i="2"/>
  <c r="GY231" i="2"/>
  <c r="GY232" i="2"/>
  <c r="GY233" i="2"/>
  <c r="GY234" i="2"/>
  <c r="GY235" i="2"/>
  <c r="GY236" i="2"/>
  <c r="GY237" i="2"/>
  <c r="GY238" i="2"/>
  <c r="GY239" i="2"/>
  <c r="GY240" i="2"/>
  <c r="GY241" i="2"/>
  <c r="GY242" i="2"/>
  <c r="GY243" i="2"/>
  <c r="GY244" i="2"/>
  <c r="GY245" i="2"/>
  <c r="GY246" i="2"/>
  <c r="GY247" i="2"/>
  <c r="GY248" i="2"/>
  <c r="GY249" i="2"/>
  <c r="GY250" i="2"/>
  <c r="GY251" i="2"/>
  <c r="GY252" i="2"/>
  <c r="GY253" i="2"/>
  <c r="GY254" i="2"/>
  <c r="GY255" i="2"/>
  <c r="GY256" i="2"/>
  <c r="GY257" i="2"/>
  <c r="GY258" i="2"/>
  <c r="GY259" i="2"/>
  <c r="GY260" i="2"/>
  <c r="GY261" i="2"/>
  <c r="GY262" i="2"/>
  <c r="GY263" i="2"/>
  <c r="GY264" i="2"/>
  <c r="GY265" i="2"/>
  <c r="GY266" i="2"/>
  <c r="GY267" i="2"/>
  <c r="GY268" i="2"/>
  <c r="GY269" i="2"/>
  <c r="GY270" i="2"/>
  <c r="GY271" i="2"/>
  <c r="GY272" i="2"/>
  <c r="GY273" i="2"/>
  <c r="GY274" i="2"/>
  <c r="GY275" i="2"/>
  <c r="GY276" i="2"/>
  <c r="GY277" i="2"/>
  <c r="GY278" i="2"/>
  <c r="GY279" i="2"/>
  <c r="GY280" i="2"/>
  <c r="GY281" i="2"/>
  <c r="GY282" i="2"/>
  <c r="GY283" i="2"/>
  <c r="GY284" i="2"/>
  <c r="GY285" i="2"/>
  <c r="GY286" i="2"/>
  <c r="GY287" i="2"/>
  <c r="GY288" i="2"/>
  <c r="GY289" i="2"/>
  <c r="GY290" i="2"/>
  <c r="GY291" i="2"/>
  <c r="GY292" i="2"/>
  <c r="GY293" i="2"/>
  <c r="GY294" i="2"/>
  <c r="GY295" i="2"/>
  <c r="GY296" i="2"/>
  <c r="GY297" i="2"/>
  <c r="GY298" i="2"/>
  <c r="GY299" i="2"/>
  <c r="GY300" i="2"/>
  <c r="GY301" i="2"/>
  <c r="GY302" i="2"/>
  <c r="GY303" i="2"/>
  <c r="GY304" i="2"/>
  <c r="GY305" i="2"/>
  <c r="GY306" i="2"/>
  <c r="GY307" i="2"/>
  <c r="GY308" i="2"/>
  <c r="GY309" i="2"/>
  <c r="GY310" i="2"/>
  <c r="GY311" i="2"/>
  <c r="GY312" i="2"/>
  <c r="GY313" i="2"/>
  <c r="GY314" i="2"/>
  <c r="GY315" i="2"/>
  <c r="GY316" i="2"/>
  <c r="GY317" i="2"/>
  <c r="GY318" i="2"/>
  <c r="GY319" i="2"/>
  <c r="GY320" i="2"/>
  <c r="GY321" i="2"/>
  <c r="GY322" i="2"/>
  <c r="GY323" i="2"/>
  <c r="GY324" i="2"/>
  <c r="GY325" i="2"/>
  <c r="GY326" i="2"/>
  <c r="GY327" i="2"/>
  <c r="GY328" i="2"/>
  <c r="GY329" i="2"/>
  <c r="GY330" i="2"/>
  <c r="GY331" i="2"/>
  <c r="GY332" i="2"/>
  <c r="GY333" i="2"/>
  <c r="GY334" i="2"/>
  <c r="GY335" i="2"/>
  <c r="GY336" i="2"/>
  <c r="GY337" i="2"/>
  <c r="GY338" i="2"/>
  <c r="GY339" i="2"/>
  <c r="GY340" i="2"/>
  <c r="GY341" i="2"/>
  <c r="GY342" i="2"/>
  <c r="GY343" i="2"/>
  <c r="GY344" i="2"/>
  <c r="GY345" i="2"/>
  <c r="GY346" i="2"/>
  <c r="GY347" i="2"/>
  <c r="GY348" i="2"/>
  <c r="GY349" i="2"/>
  <c r="GY350" i="2"/>
  <c r="GY351" i="2"/>
  <c r="GY352" i="2"/>
  <c r="GY353" i="2"/>
  <c r="GY354" i="2"/>
  <c r="GY355" i="2"/>
  <c r="GY356" i="2"/>
  <c r="GY357" i="2"/>
  <c r="GY358" i="2"/>
  <c r="GY359" i="2"/>
  <c r="GY360" i="2"/>
  <c r="GY361" i="2"/>
  <c r="GY362" i="2"/>
  <c r="GY363" i="2"/>
  <c r="GY364" i="2"/>
  <c r="GY365" i="2"/>
  <c r="GY366" i="2"/>
  <c r="GY367" i="2"/>
  <c r="GY368" i="2"/>
  <c r="GY369" i="2"/>
  <c r="GY370" i="2"/>
  <c r="GY371" i="2"/>
  <c r="GY372" i="2"/>
  <c r="GY373" i="2"/>
  <c r="GY374" i="2"/>
  <c r="GY375" i="2"/>
  <c r="GY376" i="2"/>
  <c r="GY377" i="2"/>
  <c r="GY378" i="2"/>
  <c r="GY379" i="2"/>
  <c r="GY380" i="2"/>
  <c r="GY381" i="2"/>
  <c r="GY382" i="2"/>
  <c r="GY383" i="2"/>
  <c r="GY384" i="2"/>
  <c r="GY385" i="2"/>
  <c r="GY386" i="2"/>
  <c r="GY387" i="2"/>
  <c r="GY388" i="2"/>
  <c r="GY389" i="2"/>
  <c r="GY390" i="2"/>
  <c r="GY391" i="2"/>
  <c r="GY392" i="2"/>
  <c r="GY393" i="2"/>
  <c r="GY394" i="2"/>
  <c r="GY395" i="2"/>
  <c r="GY396" i="2"/>
  <c r="GY397" i="2"/>
  <c r="GY398" i="2"/>
  <c r="GY399" i="2"/>
  <c r="GY400" i="2"/>
  <c r="GY401" i="2"/>
  <c r="GY402" i="2"/>
  <c r="GY403" i="2"/>
  <c r="GY404" i="2"/>
  <c r="GY405" i="2"/>
  <c r="GY406" i="2"/>
  <c r="GY407" i="2"/>
  <c r="GY408" i="2"/>
  <c r="GY409" i="2"/>
  <c r="GY410" i="2"/>
  <c r="GY411" i="2"/>
  <c r="GY412" i="2"/>
  <c r="GY413" i="2"/>
  <c r="GY414" i="2"/>
  <c r="GY415" i="2"/>
  <c r="GY416" i="2"/>
  <c r="GY417" i="2"/>
  <c r="GY418" i="2"/>
  <c r="GY419" i="2"/>
  <c r="GY420" i="2"/>
  <c r="GY421" i="2"/>
  <c r="GY422" i="2"/>
  <c r="GY423" i="2"/>
  <c r="GY424" i="2"/>
  <c r="GY425" i="2"/>
  <c r="GY426" i="2"/>
  <c r="GY427" i="2"/>
  <c r="GY428" i="2"/>
  <c r="GY429" i="2"/>
  <c r="GY430" i="2"/>
  <c r="GY431" i="2"/>
  <c r="GY435" i="2"/>
  <c r="GY436" i="2"/>
  <c r="GY437" i="2"/>
  <c r="GY438" i="2"/>
  <c r="GY439" i="2"/>
  <c r="GQ5" i="2"/>
  <c r="GQ6" i="2"/>
  <c r="GQ7" i="2"/>
  <c r="GQ8" i="2"/>
  <c r="GQ9" i="2"/>
  <c r="GQ10" i="2"/>
  <c r="GQ11" i="2"/>
  <c r="GQ12" i="2"/>
  <c r="GQ13" i="2"/>
  <c r="GQ14" i="2"/>
  <c r="GQ15" i="2"/>
  <c r="GQ16" i="2"/>
  <c r="GQ17" i="2"/>
  <c r="GQ18" i="2"/>
  <c r="GQ19" i="2"/>
  <c r="GQ20" i="2"/>
  <c r="GQ21" i="2"/>
  <c r="GQ22" i="2"/>
  <c r="GQ23" i="2"/>
  <c r="GQ24" i="2"/>
  <c r="GQ25" i="2"/>
  <c r="GQ26" i="2"/>
  <c r="GQ27" i="2"/>
  <c r="GQ28" i="2"/>
  <c r="GQ29" i="2"/>
  <c r="GQ30" i="2"/>
  <c r="GQ31" i="2"/>
  <c r="GQ32" i="2"/>
  <c r="GQ33" i="2"/>
  <c r="GQ34" i="2"/>
  <c r="GQ35" i="2"/>
  <c r="GQ36" i="2"/>
  <c r="GQ37" i="2"/>
  <c r="GQ38" i="2"/>
  <c r="GQ39" i="2"/>
  <c r="GQ40" i="2"/>
  <c r="GQ41" i="2"/>
  <c r="GQ42" i="2"/>
  <c r="GQ43" i="2"/>
  <c r="GQ44" i="2"/>
  <c r="GQ45" i="2"/>
  <c r="GQ46" i="2"/>
  <c r="GQ47" i="2"/>
  <c r="GQ48" i="2"/>
  <c r="GQ49" i="2"/>
  <c r="GQ50" i="2"/>
  <c r="GQ51" i="2"/>
  <c r="GQ52" i="2"/>
  <c r="GQ53" i="2"/>
  <c r="GQ54" i="2"/>
  <c r="GQ55" i="2"/>
  <c r="GQ56" i="2"/>
  <c r="GQ57" i="2"/>
  <c r="GQ58" i="2"/>
  <c r="GQ59" i="2"/>
  <c r="GQ60" i="2"/>
  <c r="GQ61" i="2"/>
  <c r="GQ62" i="2"/>
  <c r="GQ63" i="2"/>
  <c r="GQ64" i="2"/>
  <c r="GQ65" i="2"/>
  <c r="GQ66" i="2"/>
  <c r="GQ67" i="2"/>
  <c r="GQ68" i="2"/>
  <c r="GQ69" i="2"/>
  <c r="GQ70" i="2"/>
  <c r="GQ71" i="2"/>
  <c r="GQ72" i="2"/>
  <c r="GQ73" i="2"/>
  <c r="GQ74" i="2"/>
  <c r="GQ75" i="2"/>
  <c r="GQ76" i="2"/>
  <c r="GQ77" i="2"/>
  <c r="GQ78" i="2"/>
  <c r="GQ79" i="2"/>
  <c r="GQ80" i="2"/>
  <c r="GQ81" i="2"/>
  <c r="GQ82" i="2"/>
  <c r="GQ83" i="2"/>
  <c r="GQ84" i="2"/>
  <c r="GQ85" i="2"/>
  <c r="GQ86" i="2"/>
  <c r="GQ87" i="2"/>
  <c r="GQ88" i="2"/>
  <c r="GQ89" i="2"/>
  <c r="GQ90" i="2"/>
  <c r="GQ91" i="2"/>
  <c r="GQ92" i="2"/>
  <c r="GQ93" i="2"/>
  <c r="GQ94" i="2"/>
  <c r="GQ95" i="2"/>
  <c r="GQ96" i="2"/>
  <c r="GQ97" i="2"/>
  <c r="GQ98" i="2"/>
  <c r="GQ99" i="2"/>
  <c r="GQ100" i="2"/>
  <c r="GQ101" i="2"/>
  <c r="GQ102" i="2"/>
  <c r="GQ103" i="2"/>
  <c r="GQ104" i="2"/>
  <c r="GQ105" i="2"/>
  <c r="GQ106" i="2"/>
  <c r="GQ107" i="2"/>
  <c r="GQ108" i="2"/>
  <c r="GQ109" i="2"/>
  <c r="GQ110" i="2"/>
  <c r="GQ111" i="2"/>
  <c r="GQ112" i="2"/>
  <c r="GQ113" i="2"/>
  <c r="GQ114" i="2"/>
  <c r="GQ115" i="2"/>
  <c r="GQ116" i="2"/>
  <c r="GQ117" i="2"/>
  <c r="GQ118" i="2"/>
  <c r="GQ119" i="2"/>
  <c r="GQ120" i="2"/>
  <c r="GQ121" i="2"/>
  <c r="GQ122" i="2"/>
  <c r="GQ123" i="2"/>
  <c r="GQ124" i="2"/>
  <c r="GQ125" i="2"/>
  <c r="GQ126" i="2"/>
  <c r="GQ127" i="2"/>
  <c r="GQ128" i="2"/>
  <c r="GQ129" i="2"/>
  <c r="GQ130" i="2"/>
  <c r="GQ131" i="2"/>
  <c r="GQ132" i="2"/>
  <c r="GQ133" i="2"/>
  <c r="GQ134" i="2"/>
  <c r="GQ135" i="2"/>
  <c r="GQ136" i="2"/>
  <c r="GQ137" i="2"/>
  <c r="GQ138" i="2"/>
  <c r="GQ139" i="2"/>
  <c r="GQ140" i="2"/>
  <c r="GQ141" i="2"/>
  <c r="GQ142" i="2"/>
  <c r="GQ143" i="2"/>
  <c r="GQ144" i="2"/>
  <c r="GQ145" i="2"/>
  <c r="GQ146" i="2"/>
  <c r="GQ147" i="2"/>
  <c r="GQ148" i="2"/>
  <c r="GQ149" i="2"/>
  <c r="GQ150" i="2"/>
  <c r="GQ151" i="2"/>
  <c r="GQ152" i="2"/>
  <c r="GQ153" i="2"/>
  <c r="GQ154" i="2"/>
  <c r="GQ155" i="2"/>
  <c r="GQ156" i="2"/>
  <c r="GQ157" i="2"/>
  <c r="GQ158" i="2"/>
  <c r="GQ159" i="2"/>
  <c r="GQ160" i="2"/>
  <c r="GQ161" i="2"/>
  <c r="GQ162" i="2"/>
  <c r="GQ163" i="2"/>
  <c r="GQ164" i="2"/>
  <c r="GQ165" i="2"/>
  <c r="GQ166" i="2"/>
  <c r="GQ167" i="2"/>
  <c r="GQ168" i="2"/>
  <c r="GQ169" i="2"/>
  <c r="GQ170" i="2"/>
  <c r="GQ171" i="2"/>
  <c r="GQ172" i="2"/>
  <c r="GQ173" i="2"/>
  <c r="GQ174" i="2"/>
  <c r="GQ175" i="2"/>
  <c r="GQ176" i="2"/>
  <c r="GQ177" i="2"/>
  <c r="GQ178" i="2"/>
  <c r="GQ179" i="2"/>
  <c r="GQ180" i="2"/>
  <c r="GQ181" i="2"/>
  <c r="GQ182" i="2"/>
  <c r="GQ183" i="2"/>
  <c r="GQ184" i="2"/>
  <c r="GQ185" i="2"/>
  <c r="GQ186" i="2"/>
  <c r="GQ187" i="2"/>
  <c r="GQ188" i="2"/>
  <c r="GQ189" i="2"/>
  <c r="GQ190" i="2"/>
  <c r="GQ191" i="2"/>
  <c r="GQ192" i="2"/>
  <c r="GQ193" i="2"/>
  <c r="GQ194" i="2"/>
  <c r="GQ195" i="2"/>
  <c r="GQ196" i="2"/>
  <c r="GQ197" i="2"/>
  <c r="GQ198" i="2"/>
  <c r="GQ199" i="2"/>
  <c r="GQ200" i="2"/>
  <c r="GQ201" i="2"/>
  <c r="GQ202" i="2"/>
  <c r="GQ203" i="2"/>
  <c r="GQ204" i="2"/>
  <c r="GQ205" i="2"/>
  <c r="GQ206" i="2"/>
  <c r="GQ207" i="2"/>
  <c r="GQ208" i="2"/>
  <c r="GQ209" i="2"/>
  <c r="GQ210" i="2"/>
  <c r="GQ211" i="2"/>
  <c r="GQ212" i="2"/>
  <c r="GQ213" i="2"/>
  <c r="GQ214" i="2"/>
  <c r="GQ215" i="2"/>
  <c r="GQ216" i="2"/>
  <c r="GQ217" i="2"/>
  <c r="GQ218" i="2"/>
  <c r="GQ219" i="2"/>
  <c r="GQ220" i="2"/>
  <c r="GQ221" i="2"/>
  <c r="GQ222" i="2"/>
  <c r="GQ223" i="2"/>
  <c r="GQ224" i="2"/>
  <c r="GQ225" i="2"/>
  <c r="GQ226" i="2"/>
  <c r="GQ227" i="2"/>
  <c r="GQ228" i="2"/>
  <c r="GQ229" i="2"/>
  <c r="GQ230" i="2"/>
  <c r="GQ231" i="2"/>
  <c r="GQ232" i="2"/>
  <c r="GQ233" i="2"/>
  <c r="GQ234" i="2"/>
  <c r="GQ235" i="2"/>
  <c r="GQ236" i="2"/>
  <c r="GQ237" i="2"/>
  <c r="GQ238" i="2"/>
  <c r="GQ239" i="2"/>
  <c r="GQ240" i="2"/>
  <c r="GQ241" i="2"/>
  <c r="GQ242" i="2"/>
  <c r="GQ243" i="2"/>
  <c r="GQ244" i="2"/>
  <c r="GQ245" i="2"/>
  <c r="GQ246" i="2"/>
  <c r="GQ247" i="2"/>
  <c r="GQ248" i="2"/>
  <c r="GQ249" i="2"/>
  <c r="GQ250" i="2"/>
  <c r="GQ251" i="2"/>
  <c r="GQ252" i="2"/>
  <c r="GQ253" i="2"/>
  <c r="GQ254" i="2"/>
  <c r="GQ255" i="2"/>
  <c r="GQ256" i="2"/>
  <c r="GQ257" i="2"/>
  <c r="GQ258" i="2"/>
  <c r="GQ259" i="2"/>
  <c r="GQ260" i="2"/>
  <c r="GQ261" i="2"/>
  <c r="GQ262" i="2"/>
  <c r="GQ263" i="2"/>
  <c r="GQ264" i="2"/>
  <c r="GQ265" i="2"/>
  <c r="GQ266" i="2"/>
  <c r="GQ267" i="2"/>
  <c r="GQ268" i="2"/>
  <c r="GQ269" i="2"/>
  <c r="GQ270" i="2"/>
  <c r="GQ271" i="2"/>
  <c r="GQ272" i="2"/>
  <c r="GQ273" i="2"/>
  <c r="GQ274" i="2"/>
  <c r="GQ275" i="2"/>
  <c r="GQ276" i="2"/>
  <c r="GQ277" i="2"/>
  <c r="GQ278" i="2"/>
  <c r="GQ279" i="2"/>
  <c r="GQ280" i="2"/>
  <c r="GQ281" i="2"/>
  <c r="GQ282" i="2"/>
  <c r="GQ283" i="2"/>
  <c r="GQ284" i="2"/>
  <c r="GQ285" i="2"/>
  <c r="GQ286" i="2"/>
  <c r="GQ287" i="2"/>
  <c r="GQ288" i="2"/>
  <c r="GQ289" i="2"/>
  <c r="GQ290" i="2"/>
  <c r="GQ291" i="2"/>
  <c r="GQ292" i="2"/>
  <c r="GQ293" i="2"/>
  <c r="GQ294" i="2"/>
  <c r="GQ295" i="2"/>
  <c r="GQ296" i="2"/>
  <c r="GQ297" i="2"/>
  <c r="GQ298" i="2"/>
  <c r="GQ299" i="2"/>
  <c r="GQ300" i="2"/>
  <c r="GQ301" i="2"/>
  <c r="GQ302" i="2"/>
  <c r="GQ303" i="2"/>
  <c r="GQ304" i="2"/>
  <c r="GQ305" i="2"/>
  <c r="GQ306" i="2"/>
  <c r="GQ307" i="2"/>
  <c r="GQ308" i="2"/>
  <c r="GQ309" i="2"/>
  <c r="GQ310" i="2"/>
  <c r="GQ311" i="2"/>
  <c r="GQ312" i="2"/>
  <c r="GQ313" i="2"/>
  <c r="GQ314" i="2"/>
  <c r="GQ315" i="2"/>
  <c r="GQ316" i="2"/>
  <c r="GQ317" i="2"/>
  <c r="GQ318" i="2"/>
  <c r="GQ319" i="2"/>
  <c r="GQ320" i="2"/>
  <c r="GQ321" i="2"/>
  <c r="GQ322" i="2"/>
  <c r="GQ323" i="2"/>
  <c r="GQ324" i="2"/>
  <c r="GQ325" i="2"/>
  <c r="GQ326" i="2"/>
  <c r="GQ327" i="2"/>
  <c r="GQ328" i="2"/>
  <c r="GQ329" i="2"/>
  <c r="GQ330" i="2"/>
  <c r="GQ331" i="2"/>
  <c r="GQ332" i="2"/>
  <c r="GQ333" i="2"/>
  <c r="GQ334" i="2"/>
  <c r="GQ335" i="2"/>
  <c r="GQ336" i="2"/>
  <c r="GQ337" i="2"/>
  <c r="GQ338" i="2"/>
  <c r="GQ339" i="2"/>
  <c r="GQ340" i="2"/>
  <c r="GQ341" i="2"/>
  <c r="GQ342" i="2"/>
  <c r="GQ343" i="2"/>
  <c r="GQ344" i="2"/>
  <c r="GQ345" i="2"/>
  <c r="GQ346" i="2"/>
  <c r="GQ347" i="2"/>
  <c r="GQ348" i="2"/>
  <c r="GQ349" i="2"/>
  <c r="GQ350" i="2"/>
  <c r="GQ351" i="2"/>
  <c r="GQ352" i="2"/>
  <c r="GQ353" i="2"/>
  <c r="GQ354" i="2"/>
  <c r="GQ355" i="2"/>
  <c r="GQ356" i="2"/>
  <c r="GQ357" i="2"/>
  <c r="GQ358" i="2"/>
  <c r="GQ359" i="2"/>
  <c r="GQ360" i="2"/>
  <c r="GQ361" i="2"/>
  <c r="GQ362" i="2"/>
  <c r="GQ363" i="2"/>
  <c r="GQ364" i="2"/>
  <c r="GQ365" i="2"/>
  <c r="GQ366" i="2"/>
  <c r="GQ367" i="2"/>
  <c r="GQ368" i="2"/>
  <c r="GQ369" i="2"/>
  <c r="GQ370" i="2"/>
  <c r="GQ371" i="2"/>
  <c r="GQ372" i="2"/>
  <c r="GQ373" i="2"/>
  <c r="GQ374" i="2"/>
  <c r="GQ375" i="2"/>
  <c r="GQ376" i="2"/>
  <c r="GQ377" i="2"/>
  <c r="GQ378" i="2"/>
  <c r="GQ379" i="2"/>
  <c r="GQ380" i="2"/>
  <c r="GQ381" i="2"/>
  <c r="GQ382" i="2"/>
  <c r="GQ383" i="2"/>
  <c r="GQ384" i="2"/>
  <c r="GQ385" i="2"/>
  <c r="GQ386" i="2"/>
  <c r="GQ387" i="2"/>
  <c r="GQ388" i="2"/>
  <c r="GQ389" i="2"/>
  <c r="GQ390" i="2"/>
  <c r="GQ391" i="2"/>
  <c r="GQ392" i="2"/>
  <c r="GQ393" i="2"/>
  <c r="GQ394" i="2"/>
  <c r="GQ395" i="2"/>
  <c r="GQ396" i="2"/>
  <c r="GQ397" i="2"/>
  <c r="GQ398" i="2"/>
  <c r="GQ399" i="2"/>
  <c r="GQ400" i="2"/>
  <c r="GQ401" i="2"/>
  <c r="GQ402" i="2"/>
  <c r="GQ403" i="2"/>
  <c r="GQ404" i="2"/>
  <c r="GQ405" i="2"/>
  <c r="GQ406" i="2"/>
  <c r="GQ407" i="2"/>
  <c r="GQ408" i="2"/>
  <c r="GQ409" i="2"/>
  <c r="GQ410" i="2"/>
  <c r="GQ411" i="2"/>
  <c r="GQ412" i="2"/>
  <c r="GQ413" i="2"/>
  <c r="GQ414" i="2"/>
  <c r="GQ415" i="2"/>
  <c r="GQ416" i="2"/>
  <c r="GQ417" i="2"/>
  <c r="GQ418" i="2"/>
  <c r="GQ419" i="2"/>
  <c r="GQ420" i="2"/>
  <c r="GQ421" i="2"/>
  <c r="GQ422" i="2"/>
  <c r="GQ423" i="2"/>
  <c r="GQ424" i="2"/>
  <c r="GQ425" i="2"/>
  <c r="GQ426" i="2"/>
  <c r="GQ427" i="2"/>
  <c r="GQ428" i="2"/>
  <c r="GQ429" i="2"/>
  <c r="GQ430" i="2"/>
  <c r="GQ431" i="2"/>
  <c r="GQ435" i="2"/>
  <c r="GQ436" i="2"/>
  <c r="GQ437" i="2"/>
  <c r="GQ438" i="2"/>
  <c r="GQ439" i="2"/>
  <c r="GK5" i="2"/>
  <c r="Y4" i="10" s="1"/>
  <c r="GK6" i="2"/>
  <c r="Y5" i="10" s="1"/>
  <c r="GK7" i="2"/>
  <c r="Y6" i="10" s="1"/>
  <c r="GK8" i="2"/>
  <c r="Y7" i="10" s="1"/>
  <c r="GK9" i="2"/>
  <c r="Y8" i="10" s="1"/>
  <c r="GK10" i="2"/>
  <c r="Y9" i="10" s="1"/>
  <c r="GK11" i="2"/>
  <c r="Y10" i="10" s="1"/>
  <c r="GK12" i="2"/>
  <c r="Y11" i="10" s="1"/>
  <c r="GK13" i="2"/>
  <c r="Y12" i="10" s="1"/>
  <c r="GK14" i="2"/>
  <c r="Y13" i="10" s="1"/>
  <c r="GK15" i="2"/>
  <c r="Y14" i="10" s="1"/>
  <c r="GK16" i="2"/>
  <c r="Y15" i="10" s="1"/>
  <c r="GK17" i="2"/>
  <c r="Y16" i="10" s="1"/>
  <c r="GK18" i="2"/>
  <c r="Y17" i="10" s="1"/>
  <c r="GK19" i="2"/>
  <c r="Y18" i="10" s="1"/>
  <c r="GK20" i="2"/>
  <c r="Y19" i="10" s="1"/>
  <c r="GK21" i="2"/>
  <c r="Y20" i="10" s="1"/>
  <c r="GK22" i="2"/>
  <c r="Y21" i="10" s="1"/>
  <c r="GK23" i="2"/>
  <c r="Y22" i="10" s="1"/>
  <c r="GK24" i="2"/>
  <c r="Y23" i="10" s="1"/>
  <c r="GK25" i="2"/>
  <c r="Y24" i="10" s="1"/>
  <c r="GK26" i="2"/>
  <c r="Y25" i="10" s="1"/>
  <c r="GK27" i="2"/>
  <c r="Y26" i="10" s="1"/>
  <c r="GK28" i="2"/>
  <c r="Y27" i="10" s="1"/>
  <c r="GK29" i="2"/>
  <c r="Y28" i="10" s="1"/>
  <c r="GK30" i="2"/>
  <c r="Y29" i="10" s="1"/>
  <c r="GK31" i="2"/>
  <c r="Y30" i="10" s="1"/>
  <c r="GK32" i="2"/>
  <c r="Y31" i="10" s="1"/>
  <c r="GK33" i="2"/>
  <c r="Y32" i="10" s="1"/>
  <c r="GK34" i="2"/>
  <c r="Y33" i="10" s="1"/>
  <c r="GK35" i="2"/>
  <c r="Y34" i="10" s="1"/>
  <c r="GK36" i="2"/>
  <c r="Y35" i="10" s="1"/>
  <c r="GK37" i="2"/>
  <c r="Y36" i="10" s="1"/>
  <c r="GK38" i="2"/>
  <c r="Y37" i="10" s="1"/>
  <c r="GK39" i="2"/>
  <c r="Y38" i="10" s="1"/>
  <c r="GK40" i="2"/>
  <c r="Y39" i="10" s="1"/>
  <c r="GK41" i="2"/>
  <c r="Y40" i="10" s="1"/>
  <c r="GK42" i="2"/>
  <c r="Y41" i="10" s="1"/>
  <c r="GK43" i="2"/>
  <c r="Y42" i="10" s="1"/>
  <c r="GK44" i="2"/>
  <c r="Y43" i="10" s="1"/>
  <c r="GK45" i="2"/>
  <c r="Y44" i="10" s="1"/>
  <c r="GK46" i="2"/>
  <c r="Y45" i="10" s="1"/>
  <c r="GK47" i="2"/>
  <c r="Y46" i="10" s="1"/>
  <c r="GK48" i="2"/>
  <c r="Y47" i="10" s="1"/>
  <c r="GK49" i="2"/>
  <c r="Y48" i="10" s="1"/>
  <c r="GK50" i="2"/>
  <c r="Y49" i="10" s="1"/>
  <c r="GK51" i="2"/>
  <c r="Y50" i="10" s="1"/>
  <c r="GK52" i="2"/>
  <c r="Y51" i="10" s="1"/>
  <c r="GK53" i="2"/>
  <c r="Y52" i="10" s="1"/>
  <c r="GK54" i="2"/>
  <c r="Y53" i="10" s="1"/>
  <c r="GK55" i="2"/>
  <c r="Y54" i="10" s="1"/>
  <c r="GK56" i="2"/>
  <c r="Y55" i="10" s="1"/>
  <c r="GK57" i="2"/>
  <c r="Y56" i="10" s="1"/>
  <c r="GK58" i="2"/>
  <c r="Y57" i="10" s="1"/>
  <c r="GK59" i="2"/>
  <c r="Y58" i="10" s="1"/>
  <c r="GK60" i="2"/>
  <c r="Y59" i="10" s="1"/>
  <c r="GK61" i="2"/>
  <c r="Y60" i="10" s="1"/>
  <c r="GK62" i="2"/>
  <c r="Y61" i="10" s="1"/>
  <c r="GK63" i="2"/>
  <c r="Y62" i="10" s="1"/>
  <c r="GK64" i="2"/>
  <c r="Y63" i="10" s="1"/>
  <c r="GK65" i="2"/>
  <c r="Y64" i="10" s="1"/>
  <c r="GK66" i="2"/>
  <c r="Y65" i="10" s="1"/>
  <c r="GK67" i="2"/>
  <c r="Y66" i="10" s="1"/>
  <c r="GK68" i="2"/>
  <c r="Y67" i="10" s="1"/>
  <c r="GK69" i="2"/>
  <c r="Y68" i="10" s="1"/>
  <c r="GK70" i="2"/>
  <c r="Y69" i="10" s="1"/>
  <c r="GK71" i="2"/>
  <c r="Y70" i="10" s="1"/>
  <c r="GK72" i="2"/>
  <c r="Y71" i="10" s="1"/>
  <c r="GK73" i="2"/>
  <c r="Y72" i="10" s="1"/>
  <c r="GK74" i="2"/>
  <c r="Y73" i="10" s="1"/>
  <c r="GK75" i="2"/>
  <c r="Y74" i="10" s="1"/>
  <c r="GK76" i="2"/>
  <c r="Y75" i="10" s="1"/>
  <c r="GK77" i="2"/>
  <c r="Y76" i="10" s="1"/>
  <c r="GK78" i="2"/>
  <c r="Y77" i="10" s="1"/>
  <c r="GK79" i="2"/>
  <c r="Y78" i="10" s="1"/>
  <c r="GK80" i="2"/>
  <c r="Y79" i="10" s="1"/>
  <c r="GK81" i="2"/>
  <c r="Y80" i="10" s="1"/>
  <c r="GK82" i="2"/>
  <c r="Y81" i="10" s="1"/>
  <c r="GK83" i="2"/>
  <c r="Y82" i="10" s="1"/>
  <c r="GK84" i="2"/>
  <c r="Y83" i="10" s="1"/>
  <c r="GK85" i="2"/>
  <c r="Y84" i="10" s="1"/>
  <c r="GK86" i="2"/>
  <c r="Y85" i="10" s="1"/>
  <c r="GK87" i="2"/>
  <c r="Y86" i="10" s="1"/>
  <c r="GK88" i="2"/>
  <c r="Y87" i="10" s="1"/>
  <c r="GK89" i="2"/>
  <c r="Y88" i="10" s="1"/>
  <c r="GK90" i="2"/>
  <c r="Y89" i="10" s="1"/>
  <c r="GK91" i="2"/>
  <c r="Y90" i="10" s="1"/>
  <c r="GK92" i="2"/>
  <c r="Y91" i="10" s="1"/>
  <c r="GK93" i="2"/>
  <c r="Y92" i="10" s="1"/>
  <c r="GK94" i="2"/>
  <c r="Y93" i="10" s="1"/>
  <c r="GK95" i="2"/>
  <c r="Y94" i="10" s="1"/>
  <c r="GK96" i="2"/>
  <c r="Y95" i="10" s="1"/>
  <c r="GK97" i="2"/>
  <c r="Y96" i="10" s="1"/>
  <c r="GK98" i="2"/>
  <c r="Y97" i="10" s="1"/>
  <c r="GK99" i="2"/>
  <c r="Y98" i="10" s="1"/>
  <c r="GK100" i="2"/>
  <c r="Y99" i="10" s="1"/>
  <c r="GK101" i="2"/>
  <c r="Y100" i="10" s="1"/>
  <c r="GK102" i="2"/>
  <c r="Y101" i="10" s="1"/>
  <c r="GK103" i="2"/>
  <c r="Y102" i="10" s="1"/>
  <c r="GK104" i="2"/>
  <c r="Y103" i="10" s="1"/>
  <c r="GK105" i="2"/>
  <c r="Y104" i="10" s="1"/>
  <c r="GK106" i="2"/>
  <c r="Y105" i="10" s="1"/>
  <c r="GK107" i="2"/>
  <c r="Y106" i="10" s="1"/>
  <c r="GK108" i="2"/>
  <c r="Y107" i="10" s="1"/>
  <c r="GK109" i="2"/>
  <c r="Y108" i="10" s="1"/>
  <c r="GK110" i="2"/>
  <c r="Y109" i="10" s="1"/>
  <c r="GK111" i="2"/>
  <c r="Y110" i="10" s="1"/>
  <c r="GK112" i="2"/>
  <c r="Y111" i="10" s="1"/>
  <c r="GK113" i="2"/>
  <c r="Y112" i="10" s="1"/>
  <c r="GK114" i="2"/>
  <c r="Y113" i="10" s="1"/>
  <c r="GK115" i="2"/>
  <c r="Y114" i="10" s="1"/>
  <c r="GK116" i="2"/>
  <c r="Y115" i="10" s="1"/>
  <c r="GK117" i="2"/>
  <c r="Y116" i="10" s="1"/>
  <c r="GK118" i="2"/>
  <c r="Y117" i="10" s="1"/>
  <c r="GK119" i="2"/>
  <c r="Y118" i="10" s="1"/>
  <c r="GK120" i="2"/>
  <c r="Y119" i="10" s="1"/>
  <c r="GK121" i="2"/>
  <c r="Y120" i="10" s="1"/>
  <c r="GK122" i="2"/>
  <c r="Y121" i="10" s="1"/>
  <c r="GK123" i="2"/>
  <c r="Y122" i="10" s="1"/>
  <c r="GK124" i="2"/>
  <c r="Y123" i="10" s="1"/>
  <c r="GK125" i="2"/>
  <c r="Y124" i="10" s="1"/>
  <c r="GK126" i="2"/>
  <c r="Y125" i="10" s="1"/>
  <c r="GK127" i="2"/>
  <c r="Y126" i="10" s="1"/>
  <c r="GK128" i="2"/>
  <c r="Y127" i="10" s="1"/>
  <c r="GK129" i="2"/>
  <c r="Y128" i="10" s="1"/>
  <c r="GK130" i="2"/>
  <c r="Y129" i="10" s="1"/>
  <c r="GK131" i="2"/>
  <c r="Y130" i="10" s="1"/>
  <c r="GK132" i="2"/>
  <c r="Y131" i="10" s="1"/>
  <c r="GK133" i="2"/>
  <c r="Y132" i="10" s="1"/>
  <c r="GK134" i="2"/>
  <c r="Y133" i="10" s="1"/>
  <c r="GK135" i="2"/>
  <c r="Y134" i="10" s="1"/>
  <c r="GK136" i="2"/>
  <c r="Y135" i="10" s="1"/>
  <c r="GK137" i="2"/>
  <c r="Y136" i="10" s="1"/>
  <c r="GK138" i="2"/>
  <c r="Y137" i="10" s="1"/>
  <c r="GK139" i="2"/>
  <c r="Y138" i="10" s="1"/>
  <c r="GK140" i="2"/>
  <c r="Y139" i="10" s="1"/>
  <c r="GK141" i="2"/>
  <c r="Y140" i="10" s="1"/>
  <c r="GK142" i="2"/>
  <c r="Y141" i="10" s="1"/>
  <c r="GK143" i="2"/>
  <c r="Y142" i="10" s="1"/>
  <c r="GK144" i="2"/>
  <c r="Y143" i="10" s="1"/>
  <c r="GK145" i="2"/>
  <c r="Y144" i="10" s="1"/>
  <c r="GK146" i="2"/>
  <c r="Y145" i="10" s="1"/>
  <c r="GK147" i="2"/>
  <c r="Y146" i="10" s="1"/>
  <c r="GK148" i="2"/>
  <c r="Y147" i="10" s="1"/>
  <c r="GK149" i="2"/>
  <c r="Y148" i="10" s="1"/>
  <c r="GK150" i="2"/>
  <c r="Y149" i="10" s="1"/>
  <c r="GK151" i="2"/>
  <c r="Y150" i="10" s="1"/>
  <c r="GK152" i="2"/>
  <c r="Y151" i="10" s="1"/>
  <c r="GK153" i="2"/>
  <c r="Y152" i="10" s="1"/>
  <c r="GK154" i="2"/>
  <c r="Y153" i="10" s="1"/>
  <c r="GK155" i="2"/>
  <c r="Y154" i="10" s="1"/>
  <c r="GK156" i="2"/>
  <c r="Y155" i="10" s="1"/>
  <c r="GK157" i="2"/>
  <c r="Y156" i="10" s="1"/>
  <c r="GK158" i="2"/>
  <c r="Y157" i="10" s="1"/>
  <c r="GK159" i="2"/>
  <c r="Y158" i="10" s="1"/>
  <c r="GK160" i="2"/>
  <c r="Y159" i="10" s="1"/>
  <c r="GK161" i="2"/>
  <c r="Y160" i="10" s="1"/>
  <c r="GK162" i="2"/>
  <c r="Y161" i="10" s="1"/>
  <c r="GK163" i="2"/>
  <c r="Y162" i="10" s="1"/>
  <c r="GK164" i="2"/>
  <c r="Y163" i="10" s="1"/>
  <c r="GK165" i="2"/>
  <c r="Y164" i="10" s="1"/>
  <c r="GK166" i="2"/>
  <c r="Y165" i="10" s="1"/>
  <c r="GK167" i="2"/>
  <c r="Y166" i="10" s="1"/>
  <c r="GK168" i="2"/>
  <c r="Y167" i="10" s="1"/>
  <c r="GK169" i="2"/>
  <c r="Y168" i="10" s="1"/>
  <c r="GK170" i="2"/>
  <c r="Y169" i="10" s="1"/>
  <c r="GK171" i="2"/>
  <c r="Y170" i="10" s="1"/>
  <c r="GK172" i="2"/>
  <c r="Y171" i="10" s="1"/>
  <c r="GK173" i="2"/>
  <c r="Y172" i="10" s="1"/>
  <c r="GK174" i="2"/>
  <c r="Y173" i="10" s="1"/>
  <c r="GK175" i="2"/>
  <c r="Y174" i="10" s="1"/>
  <c r="GK176" i="2"/>
  <c r="Y175" i="10" s="1"/>
  <c r="GK177" i="2"/>
  <c r="Y176" i="10" s="1"/>
  <c r="GK178" i="2"/>
  <c r="Y177" i="10" s="1"/>
  <c r="GK179" i="2"/>
  <c r="Y178" i="10" s="1"/>
  <c r="GK180" i="2"/>
  <c r="Y179" i="10" s="1"/>
  <c r="GK181" i="2"/>
  <c r="Y180" i="10" s="1"/>
  <c r="GK182" i="2"/>
  <c r="Y181" i="10" s="1"/>
  <c r="GK183" i="2"/>
  <c r="Y182" i="10" s="1"/>
  <c r="GK184" i="2"/>
  <c r="Y183" i="10" s="1"/>
  <c r="GK185" i="2"/>
  <c r="Y184" i="10" s="1"/>
  <c r="GK186" i="2"/>
  <c r="Y185" i="10" s="1"/>
  <c r="GK187" i="2"/>
  <c r="Y186" i="10" s="1"/>
  <c r="GK188" i="2"/>
  <c r="Y187" i="10" s="1"/>
  <c r="GK189" i="2"/>
  <c r="Y188" i="10" s="1"/>
  <c r="GK190" i="2"/>
  <c r="Y189" i="10" s="1"/>
  <c r="GK191" i="2"/>
  <c r="Y190" i="10" s="1"/>
  <c r="GK192" i="2"/>
  <c r="Y191" i="10" s="1"/>
  <c r="GK193" i="2"/>
  <c r="Y192" i="10" s="1"/>
  <c r="GK194" i="2"/>
  <c r="Y193" i="10" s="1"/>
  <c r="GK195" i="2"/>
  <c r="Y194" i="10" s="1"/>
  <c r="GK196" i="2"/>
  <c r="Y195" i="10" s="1"/>
  <c r="GK197" i="2"/>
  <c r="Y196" i="10" s="1"/>
  <c r="GK198" i="2"/>
  <c r="Y197" i="10" s="1"/>
  <c r="GK199" i="2"/>
  <c r="Y198" i="10" s="1"/>
  <c r="GK200" i="2"/>
  <c r="Y199" i="10" s="1"/>
  <c r="GK201" i="2"/>
  <c r="Y200" i="10" s="1"/>
  <c r="GK202" i="2"/>
  <c r="Y201" i="10" s="1"/>
  <c r="GK203" i="2"/>
  <c r="Y202" i="10" s="1"/>
  <c r="GK204" i="2"/>
  <c r="Y203" i="10" s="1"/>
  <c r="GK205" i="2"/>
  <c r="Y204" i="10" s="1"/>
  <c r="GK206" i="2"/>
  <c r="Y205" i="10" s="1"/>
  <c r="GK207" i="2"/>
  <c r="Y206" i="10" s="1"/>
  <c r="GK208" i="2"/>
  <c r="Y207" i="10" s="1"/>
  <c r="GK209" i="2"/>
  <c r="Y208" i="10" s="1"/>
  <c r="GK210" i="2"/>
  <c r="Y209" i="10" s="1"/>
  <c r="GK211" i="2"/>
  <c r="Y210" i="10" s="1"/>
  <c r="GK212" i="2"/>
  <c r="Y211" i="10" s="1"/>
  <c r="GK213" i="2"/>
  <c r="Y212" i="10" s="1"/>
  <c r="GK214" i="2"/>
  <c r="Y213" i="10" s="1"/>
  <c r="GK215" i="2"/>
  <c r="Y214" i="10" s="1"/>
  <c r="GK216" i="2"/>
  <c r="Y215" i="10" s="1"/>
  <c r="GK217" i="2"/>
  <c r="Y216" i="10" s="1"/>
  <c r="GK218" i="2"/>
  <c r="Y217" i="10" s="1"/>
  <c r="GK219" i="2"/>
  <c r="Y218" i="10" s="1"/>
  <c r="GK220" i="2"/>
  <c r="Y219" i="10" s="1"/>
  <c r="GK221" i="2"/>
  <c r="Y220" i="10" s="1"/>
  <c r="GK222" i="2"/>
  <c r="Y221" i="10" s="1"/>
  <c r="GK223" i="2"/>
  <c r="Y222" i="10" s="1"/>
  <c r="GK224" i="2"/>
  <c r="Y223" i="10" s="1"/>
  <c r="GK225" i="2"/>
  <c r="Y224" i="10" s="1"/>
  <c r="GK226" i="2"/>
  <c r="Y225" i="10" s="1"/>
  <c r="GK227" i="2"/>
  <c r="Y226" i="10" s="1"/>
  <c r="GK228" i="2"/>
  <c r="Y227" i="10" s="1"/>
  <c r="GK229" i="2"/>
  <c r="Y228" i="10" s="1"/>
  <c r="GK230" i="2"/>
  <c r="Y229" i="10" s="1"/>
  <c r="GK231" i="2"/>
  <c r="Y230" i="10" s="1"/>
  <c r="GK232" i="2"/>
  <c r="Y231" i="10" s="1"/>
  <c r="GK233" i="2"/>
  <c r="Y232" i="10" s="1"/>
  <c r="GK234" i="2"/>
  <c r="Y233" i="10" s="1"/>
  <c r="GK235" i="2"/>
  <c r="Y234" i="10" s="1"/>
  <c r="GK236" i="2"/>
  <c r="Y235" i="10" s="1"/>
  <c r="GK237" i="2"/>
  <c r="Y236" i="10" s="1"/>
  <c r="GK238" i="2"/>
  <c r="Y237" i="10" s="1"/>
  <c r="GK239" i="2"/>
  <c r="Y238" i="10" s="1"/>
  <c r="GK240" i="2"/>
  <c r="Y239" i="10" s="1"/>
  <c r="GK241" i="2"/>
  <c r="Y240" i="10" s="1"/>
  <c r="GK242" i="2"/>
  <c r="Y241" i="10" s="1"/>
  <c r="GK243" i="2"/>
  <c r="Y242" i="10" s="1"/>
  <c r="GK244" i="2"/>
  <c r="Y243" i="10" s="1"/>
  <c r="GK245" i="2"/>
  <c r="Y244" i="10" s="1"/>
  <c r="GK246" i="2"/>
  <c r="Y245" i="10" s="1"/>
  <c r="GK247" i="2"/>
  <c r="Y246" i="10" s="1"/>
  <c r="GK248" i="2"/>
  <c r="Y247" i="10" s="1"/>
  <c r="GK249" i="2"/>
  <c r="Y248" i="10" s="1"/>
  <c r="GK250" i="2"/>
  <c r="Y249" i="10" s="1"/>
  <c r="GK251" i="2"/>
  <c r="Y250" i="10" s="1"/>
  <c r="GK252" i="2"/>
  <c r="Y251" i="10" s="1"/>
  <c r="GK253" i="2"/>
  <c r="Y252" i="10" s="1"/>
  <c r="GK254" i="2"/>
  <c r="Y253" i="10" s="1"/>
  <c r="GK255" i="2"/>
  <c r="Y254" i="10" s="1"/>
  <c r="GK256" i="2"/>
  <c r="Y255" i="10" s="1"/>
  <c r="GK257" i="2"/>
  <c r="Y256" i="10" s="1"/>
  <c r="GK258" i="2"/>
  <c r="Y257" i="10" s="1"/>
  <c r="GK259" i="2"/>
  <c r="Y258" i="10" s="1"/>
  <c r="GK260" i="2"/>
  <c r="Y259" i="10" s="1"/>
  <c r="GK261" i="2"/>
  <c r="Y260" i="10" s="1"/>
  <c r="GK262" i="2"/>
  <c r="Y261" i="10" s="1"/>
  <c r="GK263" i="2"/>
  <c r="Y262" i="10" s="1"/>
  <c r="GK264" i="2"/>
  <c r="Y263" i="10" s="1"/>
  <c r="GK265" i="2"/>
  <c r="Y264" i="10" s="1"/>
  <c r="GK266" i="2"/>
  <c r="Y265" i="10" s="1"/>
  <c r="GK267" i="2"/>
  <c r="Y266" i="10" s="1"/>
  <c r="GK268" i="2"/>
  <c r="Y267" i="10" s="1"/>
  <c r="GK269" i="2"/>
  <c r="Y268" i="10" s="1"/>
  <c r="GK270" i="2"/>
  <c r="Y269" i="10" s="1"/>
  <c r="GK271" i="2"/>
  <c r="Y270" i="10" s="1"/>
  <c r="GK272" i="2"/>
  <c r="Y271" i="10" s="1"/>
  <c r="GK273" i="2"/>
  <c r="Y272" i="10" s="1"/>
  <c r="GK274" i="2"/>
  <c r="Y273" i="10" s="1"/>
  <c r="GK275" i="2"/>
  <c r="Y274" i="10" s="1"/>
  <c r="GK276" i="2"/>
  <c r="Y275" i="10" s="1"/>
  <c r="GK277" i="2"/>
  <c r="Y276" i="10" s="1"/>
  <c r="GK278" i="2"/>
  <c r="Y277" i="10" s="1"/>
  <c r="GK279" i="2"/>
  <c r="Y278" i="10" s="1"/>
  <c r="GK280" i="2"/>
  <c r="Y279" i="10" s="1"/>
  <c r="GK281" i="2"/>
  <c r="Y280" i="10" s="1"/>
  <c r="GK282" i="2"/>
  <c r="Y281" i="10" s="1"/>
  <c r="GK283" i="2"/>
  <c r="Y282" i="10" s="1"/>
  <c r="GK284" i="2"/>
  <c r="Y283" i="10" s="1"/>
  <c r="GK285" i="2"/>
  <c r="Y284" i="10" s="1"/>
  <c r="GK286" i="2"/>
  <c r="Y285" i="10" s="1"/>
  <c r="GK287" i="2"/>
  <c r="Y286" i="10" s="1"/>
  <c r="GK288" i="2"/>
  <c r="Y287" i="10" s="1"/>
  <c r="GK289" i="2"/>
  <c r="Y288" i="10" s="1"/>
  <c r="GK290" i="2"/>
  <c r="Y289" i="10" s="1"/>
  <c r="GK291" i="2"/>
  <c r="Y290" i="10" s="1"/>
  <c r="GK292" i="2"/>
  <c r="Y291" i="10" s="1"/>
  <c r="GK293" i="2"/>
  <c r="Y292" i="10" s="1"/>
  <c r="GK294" i="2"/>
  <c r="Y293" i="10" s="1"/>
  <c r="GK295" i="2"/>
  <c r="Y294" i="10" s="1"/>
  <c r="GK296" i="2"/>
  <c r="Y295" i="10" s="1"/>
  <c r="GK297" i="2"/>
  <c r="Y296" i="10" s="1"/>
  <c r="GK298" i="2"/>
  <c r="Y297" i="10" s="1"/>
  <c r="GK299" i="2"/>
  <c r="Y298" i="10" s="1"/>
  <c r="GK300" i="2"/>
  <c r="Y299" i="10" s="1"/>
  <c r="GK301" i="2"/>
  <c r="Y300" i="10" s="1"/>
  <c r="GK302" i="2"/>
  <c r="Y301" i="10" s="1"/>
  <c r="GK303" i="2"/>
  <c r="Y302" i="10" s="1"/>
  <c r="GK304" i="2"/>
  <c r="Y303" i="10" s="1"/>
  <c r="GK305" i="2"/>
  <c r="Y304" i="10" s="1"/>
  <c r="GK306" i="2"/>
  <c r="Y305" i="10" s="1"/>
  <c r="GK307" i="2"/>
  <c r="Y306" i="10" s="1"/>
  <c r="GK308" i="2"/>
  <c r="Y307" i="10" s="1"/>
  <c r="GK309" i="2"/>
  <c r="Y308" i="10" s="1"/>
  <c r="GK310" i="2"/>
  <c r="Y309" i="10" s="1"/>
  <c r="GK311" i="2"/>
  <c r="Y310" i="10" s="1"/>
  <c r="GK312" i="2"/>
  <c r="Y311" i="10" s="1"/>
  <c r="GK313" i="2"/>
  <c r="Y312" i="10" s="1"/>
  <c r="GK314" i="2"/>
  <c r="Y313" i="10" s="1"/>
  <c r="GK315" i="2"/>
  <c r="Y314" i="10" s="1"/>
  <c r="GK316" i="2"/>
  <c r="Y315" i="10" s="1"/>
  <c r="GK317" i="2"/>
  <c r="Y316" i="10" s="1"/>
  <c r="GK318" i="2"/>
  <c r="Y317" i="10" s="1"/>
  <c r="GK319" i="2"/>
  <c r="Y318" i="10" s="1"/>
  <c r="GK320" i="2"/>
  <c r="Y319" i="10" s="1"/>
  <c r="GK321" i="2"/>
  <c r="Y320" i="10" s="1"/>
  <c r="GK322" i="2"/>
  <c r="Y321" i="10" s="1"/>
  <c r="GK323" i="2"/>
  <c r="Y322" i="10" s="1"/>
  <c r="GK324" i="2"/>
  <c r="Y323" i="10" s="1"/>
  <c r="GK325" i="2"/>
  <c r="Y324" i="10" s="1"/>
  <c r="GK326" i="2"/>
  <c r="Y325" i="10" s="1"/>
  <c r="GK327" i="2"/>
  <c r="Y326" i="10" s="1"/>
  <c r="GK328" i="2"/>
  <c r="Y327" i="10" s="1"/>
  <c r="GK329" i="2"/>
  <c r="Y328" i="10" s="1"/>
  <c r="GK330" i="2"/>
  <c r="Y329" i="10" s="1"/>
  <c r="GK331" i="2"/>
  <c r="Y330" i="10" s="1"/>
  <c r="GK332" i="2"/>
  <c r="Y331" i="10" s="1"/>
  <c r="GK333" i="2"/>
  <c r="Y332" i="10" s="1"/>
  <c r="GK334" i="2"/>
  <c r="Y333" i="10" s="1"/>
  <c r="GK335" i="2"/>
  <c r="Y334" i="10" s="1"/>
  <c r="GK336" i="2"/>
  <c r="Y335" i="10" s="1"/>
  <c r="GK337" i="2"/>
  <c r="Y336" i="10" s="1"/>
  <c r="GK338" i="2"/>
  <c r="Y337" i="10" s="1"/>
  <c r="GK339" i="2"/>
  <c r="Y338" i="10" s="1"/>
  <c r="GK340" i="2"/>
  <c r="Y339" i="10" s="1"/>
  <c r="GK341" i="2"/>
  <c r="Y340" i="10" s="1"/>
  <c r="GK342" i="2"/>
  <c r="Y341" i="10" s="1"/>
  <c r="GK343" i="2"/>
  <c r="Y342" i="10" s="1"/>
  <c r="GK344" i="2"/>
  <c r="Y343" i="10" s="1"/>
  <c r="GK345" i="2"/>
  <c r="GK346" i="2"/>
  <c r="Y345" i="10" s="1"/>
  <c r="GK347" i="2"/>
  <c r="Y346" i="10" s="1"/>
  <c r="GK348" i="2"/>
  <c r="Y347" i="10" s="1"/>
  <c r="GK349" i="2"/>
  <c r="Y348" i="10" s="1"/>
  <c r="GK350" i="2"/>
  <c r="Y349" i="10" s="1"/>
  <c r="GK351" i="2"/>
  <c r="Y350" i="10" s="1"/>
  <c r="GK352" i="2"/>
  <c r="Y351" i="10" s="1"/>
  <c r="GK353" i="2"/>
  <c r="Y352" i="10" s="1"/>
  <c r="GK354" i="2"/>
  <c r="Y353" i="10" s="1"/>
  <c r="GK355" i="2"/>
  <c r="Y354" i="10" s="1"/>
  <c r="GK356" i="2"/>
  <c r="Y355" i="10" s="1"/>
  <c r="GK357" i="2"/>
  <c r="Y356" i="10" s="1"/>
  <c r="GK358" i="2"/>
  <c r="Y357" i="10" s="1"/>
  <c r="GK359" i="2"/>
  <c r="Y358" i="10" s="1"/>
  <c r="GK360" i="2"/>
  <c r="Y359" i="10" s="1"/>
  <c r="GK361" i="2"/>
  <c r="Y360" i="10" s="1"/>
  <c r="GK362" i="2"/>
  <c r="Y361" i="10" s="1"/>
  <c r="GK363" i="2"/>
  <c r="Y362" i="10" s="1"/>
  <c r="GK364" i="2"/>
  <c r="Y363" i="10" s="1"/>
  <c r="GK365" i="2"/>
  <c r="Y364" i="10" s="1"/>
  <c r="GK366" i="2"/>
  <c r="Y365" i="10" s="1"/>
  <c r="GK367" i="2"/>
  <c r="Y366" i="10" s="1"/>
  <c r="GK368" i="2"/>
  <c r="Y367" i="10" s="1"/>
  <c r="GK369" i="2"/>
  <c r="Y368" i="10" s="1"/>
  <c r="GK370" i="2"/>
  <c r="Y369" i="10" s="1"/>
  <c r="GK371" i="2"/>
  <c r="Y370" i="10" s="1"/>
  <c r="GK372" i="2"/>
  <c r="Y371" i="10" s="1"/>
  <c r="GK373" i="2"/>
  <c r="Y372" i="10" s="1"/>
  <c r="GK374" i="2"/>
  <c r="Y373" i="10" s="1"/>
  <c r="GK375" i="2"/>
  <c r="Y374" i="10" s="1"/>
  <c r="GK376" i="2"/>
  <c r="Y375" i="10" s="1"/>
  <c r="GK377" i="2"/>
  <c r="Y376" i="10" s="1"/>
  <c r="GK378" i="2"/>
  <c r="Y377" i="10" s="1"/>
  <c r="GK379" i="2"/>
  <c r="Y378" i="10" s="1"/>
  <c r="GK380" i="2"/>
  <c r="Y379" i="10" s="1"/>
  <c r="GK381" i="2"/>
  <c r="Y380" i="10" s="1"/>
  <c r="GK382" i="2"/>
  <c r="Y381" i="10" s="1"/>
  <c r="GK383" i="2"/>
  <c r="Y382" i="10" s="1"/>
  <c r="GK384" i="2"/>
  <c r="Y383" i="10" s="1"/>
  <c r="GK385" i="2"/>
  <c r="Y384" i="10" s="1"/>
  <c r="GK386" i="2"/>
  <c r="Y385" i="10" s="1"/>
  <c r="GK387" i="2"/>
  <c r="Y386" i="10" s="1"/>
  <c r="GK388" i="2"/>
  <c r="Y387" i="10" s="1"/>
  <c r="GK389" i="2"/>
  <c r="Y388" i="10" s="1"/>
  <c r="GK390" i="2"/>
  <c r="Y389" i="10" s="1"/>
  <c r="GK391" i="2"/>
  <c r="Y390" i="10" s="1"/>
  <c r="GK392" i="2"/>
  <c r="Y391" i="10" s="1"/>
  <c r="GK393" i="2"/>
  <c r="Y392" i="10" s="1"/>
  <c r="GK394" i="2"/>
  <c r="Y393" i="10" s="1"/>
  <c r="GK395" i="2"/>
  <c r="Y394" i="10" s="1"/>
  <c r="GK396" i="2"/>
  <c r="Y395" i="10" s="1"/>
  <c r="GK397" i="2"/>
  <c r="Y396" i="10" s="1"/>
  <c r="GK398" i="2"/>
  <c r="Y397" i="10" s="1"/>
  <c r="GK399" i="2"/>
  <c r="Y398" i="10" s="1"/>
  <c r="GK400" i="2"/>
  <c r="Y399" i="10" s="1"/>
  <c r="GK401" i="2"/>
  <c r="Y400" i="10" s="1"/>
  <c r="GK402" i="2"/>
  <c r="Y401" i="10" s="1"/>
  <c r="GK403" i="2"/>
  <c r="Y402" i="10" s="1"/>
  <c r="GK404" i="2"/>
  <c r="Y403" i="10" s="1"/>
  <c r="GK405" i="2"/>
  <c r="Y404" i="10" s="1"/>
  <c r="GK406" i="2"/>
  <c r="Y405" i="10" s="1"/>
  <c r="GK407" i="2"/>
  <c r="Y406" i="10" s="1"/>
  <c r="GK408" i="2"/>
  <c r="Y407" i="10" s="1"/>
  <c r="GK409" i="2"/>
  <c r="Y408" i="10" s="1"/>
  <c r="GK410" i="2"/>
  <c r="Y409" i="10" s="1"/>
  <c r="GK411" i="2"/>
  <c r="Y410" i="10" s="1"/>
  <c r="GK412" i="2"/>
  <c r="Y411" i="10" s="1"/>
  <c r="GK413" i="2"/>
  <c r="Y412" i="10" s="1"/>
  <c r="GK414" i="2"/>
  <c r="Y413" i="10" s="1"/>
  <c r="GK415" i="2"/>
  <c r="Y414" i="10" s="1"/>
  <c r="GK416" i="2"/>
  <c r="Y415" i="10" s="1"/>
  <c r="GK417" i="2"/>
  <c r="Y416" i="10" s="1"/>
  <c r="GK418" i="2"/>
  <c r="Y417" i="10" s="1"/>
  <c r="GK419" i="2"/>
  <c r="Y418" i="10" s="1"/>
  <c r="GK420" i="2"/>
  <c r="Y419" i="10" s="1"/>
  <c r="GK421" i="2"/>
  <c r="Y420" i="10" s="1"/>
  <c r="GK422" i="2"/>
  <c r="Y421" i="10" s="1"/>
  <c r="GK423" i="2"/>
  <c r="Y422" i="10" s="1"/>
  <c r="GK424" i="2"/>
  <c r="Y423" i="10" s="1"/>
  <c r="GK425" i="2"/>
  <c r="Y424" i="10" s="1"/>
  <c r="GK426" i="2"/>
  <c r="Y425" i="10" s="1"/>
  <c r="GK427" i="2"/>
  <c r="Y426" i="10" s="1"/>
  <c r="GK428" i="2"/>
  <c r="Y427" i="10" s="1"/>
  <c r="GK429" i="2"/>
  <c r="Y428" i="10" s="1"/>
  <c r="GK430" i="2"/>
  <c r="Y429" i="10" s="1"/>
  <c r="GK431" i="2"/>
  <c r="Y430" i="10" s="1"/>
  <c r="GK435" i="2"/>
  <c r="Y434" i="10" s="1"/>
  <c r="GK436" i="2"/>
  <c r="Y435" i="10" s="1"/>
  <c r="GK437" i="2"/>
  <c r="Y436" i="10" s="1"/>
  <c r="GK438" i="2"/>
  <c r="Y437" i="10" s="1"/>
  <c r="GK439" i="2"/>
  <c r="Y438" i="10" s="1"/>
  <c r="DR6" i="2"/>
  <c r="R5" i="10" s="1"/>
  <c r="DR7" i="2"/>
  <c r="R6" i="10" s="1"/>
  <c r="DR8" i="2"/>
  <c r="R7" i="10" s="1"/>
  <c r="DR9" i="2"/>
  <c r="R8" i="10" s="1"/>
  <c r="DR10" i="2"/>
  <c r="R9" i="10" s="1"/>
  <c r="DR11" i="2"/>
  <c r="R10" i="10" s="1"/>
  <c r="DR12" i="2"/>
  <c r="R11" i="10" s="1"/>
  <c r="DR13" i="2"/>
  <c r="R12" i="10" s="1"/>
  <c r="DR14" i="2"/>
  <c r="R13" i="10" s="1"/>
  <c r="DR15" i="2"/>
  <c r="R14" i="10" s="1"/>
  <c r="DR16" i="2"/>
  <c r="R15" i="10" s="1"/>
  <c r="DR17" i="2"/>
  <c r="R16" i="10" s="1"/>
  <c r="DR18" i="2"/>
  <c r="R17" i="10" s="1"/>
  <c r="DR19" i="2"/>
  <c r="R18" i="10" s="1"/>
  <c r="DR20" i="2"/>
  <c r="R19" i="10" s="1"/>
  <c r="DR21" i="2"/>
  <c r="R20" i="10" s="1"/>
  <c r="DR22" i="2"/>
  <c r="R21" i="10" s="1"/>
  <c r="DR23" i="2"/>
  <c r="R22" i="10" s="1"/>
  <c r="DR24" i="2"/>
  <c r="R23" i="10" s="1"/>
  <c r="DR25" i="2"/>
  <c r="R24" i="10" s="1"/>
  <c r="DR26" i="2"/>
  <c r="R25" i="10" s="1"/>
  <c r="DR27" i="2"/>
  <c r="R26" i="10" s="1"/>
  <c r="DR28" i="2"/>
  <c r="R27" i="10" s="1"/>
  <c r="DR29" i="2"/>
  <c r="R28" i="10" s="1"/>
  <c r="DR30" i="2"/>
  <c r="R29" i="10" s="1"/>
  <c r="DR31" i="2"/>
  <c r="R30" i="10" s="1"/>
  <c r="DR32" i="2"/>
  <c r="R31" i="10" s="1"/>
  <c r="DR33" i="2"/>
  <c r="R32" i="10" s="1"/>
  <c r="DR34" i="2"/>
  <c r="R33" i="10" s="1"/>
  <c r="DR35" i="2"/>
  <c r="R34" i="10" s="1"/>
  <c r="DR36" i="2"/>
  <c r="R35" i="10" s="1"/>
  <c r="DR37" i="2"/>
  <c r="R36" i="10" s="1"/>
  <c r="DR38" i="2"/>
  <c r="R37" i="10" s="1"/>
  <c r="DR39" i="2"/>
  <c r="R38" i="10" s="1"/>
  <c r="DR40" i="2"/>
  <c r="R39" i="10" s="1"/>
  <c r="DR41" i="2"/>
  <c r="R40" i="10" s="1"/>
  <c r="DR42" i="2"/>
  <c r="R41" i="10" s="1"/>
  <c r="DR43" i="2"/>
  <c r="R42" i="10" s="1"/>
  <c r="DR44" i="2"/>
  <c r="R43" i="10" s="1"/>
  <c r="DR45" i="2"/>
  <c r="R44" i="10" s="1"/>
  <c r="DR46" i="2"/>
  <c r="R45" i="10" s="1"/>
  <c r="DR47" i="2"/>
  <c r="R46" i="10" s="1"/>
  <c r="DR48" i="2"/>
  <c r="R47" i="10" s="1"/>
  <c r="DR49" i="2"/>
  <c r="R48" i="10" s="1"/>
  <c r="DR50" i="2"/>
  <c r="R49" i="10" s="1"/>
  <c r="DR51" i="2"/>
  <c r="R50" i="10" s="1"/>
  <c r="DR52" i="2"/>
  <c r="R51" i="10" s="1"/>
  <c r="DR53" i="2"/>
  <c r="R52" i="10" s="1"/>
  <c r="DR54" i="2"/>
  <c r="R53" i="10" s="1"/>
  <c r="DR55" i="2"/>
  <c r="R54" i="10" s="1"/>
  <c r="DR56" i="2"/>
  <c r="R55" i="10" s="1"/>
  <c r="DR57" i="2"/>
  <c r="R56" i="10" s="1"/>
  <c r="DR58" i="2"/>
  <c r="R57" i="10" s="1"/>
  <c r="DR59" i="2"/>
  <c r="R58" i="10" s="1"/>
  <c r="DR60" i="2"/>
  <c r="R59" i="10" s="1"/>
  <c r="DR61" i="2"/>
  <c r="R60" i="10" s="1"/>
  <c r="DR62" i="2"/>
  <c r="R61" i="10" s="1"/>
  <c r="DR63" i="2"/>
  <c r="R62" i="10" s="1"/>
  <c r="DR64" i="2"/>
  <c r="R63" i="10" s="1"/>
  <c r="DR65" i="2"/>
  <c r="R64" i="10" s="1"/>
  <c r="DR66" i="2"/>
  <c r="R65" i="10" s="1"/>
  <c r="DR67" i="2"/>
  <c r="R66" i="10" s="1"/>
  <c r="DR68" i="2"/>
  <c r="R67" i="10" s="1"/>
  <c r="DR69" i="2"/>
  <c r="R68" i="10" s="1"/>
  <c r="DR70" i="2"/>
  <c r="R69" i="10" s="1"/>
  <c r="DR71" i="2"/>
  <c r="R70" i="10" s="1"/>
  <c r="DR72" i="2"/>
  <c r="R71" i="10" s="1"/>
  <c r="DR73" i="2"/>
  <c r="R72" i="10" s="1"/>
  <c r="DR74" i="2"/>
  <c r="R73" i="10" s="1"/>
  <c r="DR75" i="2"/>
  <c r="R74" i="10" s="1"/>
  <c r="DR76" i="2"/>
  <c r="R75" i="10" s="1"/>
  <c r="DR77" i="2"/>
  <c r="R76" i="10" s="1"/>
  <c r="DR78" i="2"/>
  <c r="R77" i="10" s="1"/>
  <c r="DR79" i="2"/>
  <c r="R78" i="10" s="1"/>
  <c r="DR80" i="2"/>
  <c r="R79" i="10" s="1"/>
  <c r="DR81" i="2"/>
  <c r="R80" i="10" s="1"/>
  <c r="DR82" i="2"/>
  <c r="R81" i="10" s="1"/>
  <c r="DR83" i="2"/>
  <c r="R82" i="10" s="1"/>
  <c r="DR84" i="2"/>
  <c r="R83" i="10" s="1"/>
  <c r="DR85" i="2"/>
  <c r="R84" i="10" s="1"/>
  <c r="DR86" i="2"/>
  <c r="R85" i="10" s="1"/>
  <c r="DR87" i="2"/>
  <c r="R86" i="10" s="1"/>
  <c r="DR88" i="2"/>
  <c r="R87" i="10" s="1"/>
  <c r="DR89" i="2"/>
  <c r="R88" i="10" s="1"/>
  <c r="DR90" i="2"/>
  <c r="R89" i="10" s="1"/>
  <c r="DR91" i="2"/>
  <c r="R90" i="10" s="1"/>
  <c r="DR92" i="2"/>
  <c r="R91" i="10" s="1"/>
  <c r="DR93" i="2"/>
  <c r="R92" i="10" s="1"/>
  <c r="DR94" i="2"/>
  <c r="R93" i="10" s="1"/>
  <c r="DR95" i="2"/>
  <c r="R94" i="10" s="1"/>
  <c r="DR96" i="2"/>
  <c r="R95" i="10" s="1"/>
  <c r="DR97" i="2"/>
  <c r="R96" i="10" s="1"/>
  <c r="DR98" i="2"/>
  <c r="R97" i="10" s="1"/>
  <c r="DR99" i="2"/>
  <c r="R98" i="10" s="1"/>
  <c r="DR100" i="2"/>
  <c r="R99" i="10" s="1"/>
  <c r="DR101" i="2"/>
  <c r="R100" i="10" s="1"/>
  <c r="DR102" i="2"/>
  <c r="R101" i="10" s="1"/>
  <c r="DR103" i="2"/>
  <c r="R102" i="10" s="1"/>
  <c r="DR104" i="2"/>
  <c r="R103" i="10" s="1"/>
  <c r="DR105" i="2"/>
  <c r="R104" i="10" s="1"/>
  <c r="DR106" i="2"/>
  <c r="R105" i="10" s="1"/>
  <c r="DR107" i="2"/>
  <c r="R106" i="10" s="1"/>
  <c r="DR108" i="2"/>
  <c r="R107" i="10" s="1"/>
  <c r="DR109" i="2"/>
  <c r="R108" i="10" s="1"/>
  <c r="DR110" i="2"/>
  <c r="R109" i="10" s="1"/>
  <c r="DR111" i="2"/>
  <c r="R110" i="10" s="1"/>
  <c r="DR112" i="2"/>
  <c r="R111" i="10" s="1"/>
  <c r="DR113" i="2"/>
  <c r="R112" i="10" s="1"/>
  <c r="DR114" i="2"/>
  <c r="R113" i="10" s="1"/>
  <c r="DR115" i="2"/>
  <c r="R114" i="10" s="1"/>
  <c r="DR116" i="2"/>
  <c r="R115" i="10" s="1"/>
  <c r="DR117" i="2"/>
  <c r="R116" i="10" s="1"/>
  <c r="DR118" i="2"/>
  <c r="R117" i="10" s="1"/>
  <c r="DR119" i="2"/>
  <c r="R118" i="10" s="1"/>
  <c r="DR120" i="2"/>
  <c r="R119" i="10" s="1"/>
  <c r="DR121" i="2"/>
  <c r="R120" i="10" s="1"/>
  <c r="DR122" i="2"/>
  <c r="R121" i="10" s="1"/>
  <c r="DR123" i="2"/>
  <c r="R122" i="10" s="1"/>
  <c r="DR124" i="2"/>
  <c r="R123" i="10" s="1"/>
  <c r="DR125" i="2"/>
  <c r="R124" i="10" s="1"/>
  <c r="DR126" i="2"/>
  <c r="R125" i="10" s="1"/>
  <c r="DR127" i="2"/>
  <c r="R126" i="10" s="1"/>
  <c r="DR128" i="2"/>
  <c r="R127" i="10" s="1"/>
  <c r="DR129" i="2"/>
  <c r="R128" i="10" s="1"/>
  <c r="DR130" i="2"/>
  <c r="R129" i="10" s="1"/>
  <c r="DR131" i="2"/>
  <c r="R130" i="10" s="1"/>
  <c r="DR132" i="2"/>
  <c r="R131" i="10" s="1"/>
  <c r="DR133" i="2"/>
  <c r="R132" i="10" s="1"/>
  <c r="DR134" i="2"/>
  <c r="R133" i="10" s="1"/>
  <c r="DR135" i="2"/>
  <c r="R134" i="10" s="1"/>
  <c r="DR136" i="2"/>
  <c r="R135" i="10" s="1"/>
  <c r="DR137" i="2"/>
  <c r="R136" i="10" s="1"/>
  <c r="DR138" i="2"/>
  <c r="R137" i="10" s="1"/>
  <c r="DR139" i="2"/>
  <c r="R138" i="10" s="1"/>
  <c r="DR140" i="2"/>
  <c r="R139" i="10" s="1"/>
  <c r="DR141" i="2"/>
  <c r="R140" i="10" s="1"/>
  <c r="DR142" i="2"/>
  <c r="R141" i="10" s="1"/>
  <c r="DR143" i="2"/>
  <c r="R142" i="10" s="1"/>
  <c r="DR144" i="2"/>
  <c r="R143" i="10" s="1"/>
  <c r="DR145" i="2"/>
  <c r="R144" i="10" s="1"/>
  <c r="DR146" i="2"/>
  <c r="R145" i="10" s="1"/>
  <c r="DR147" i="2"/>
  <c r="R146" i="10" s="1"/>
  <c r="DR148" i="2"/>
  <c r="R147" i="10" s="1"/>
  <c r="DR149" i="2"/>
  <c r="R148" i="10" s="1"/>
  <c r="DR150" i="2"/>
  <c r="R149" i="10" s="1"/>
  <c r="DR151" i="2"/>
  <c r="R150" i="10" s="1"/>
  <c r="DR152" i="2"/>
  <c r="R151" i="10" s="1"/>
  <c r="DR153" i="2"/>
  <c r="R152" i="10" s="1"/>
  <c r="DR154" i="2"/>
  <c r="R153" i="10" s="1"/>
  <c r="DR155" i="2"/>
  <c r="R154" i="10" s="1"/>
  <c r="DR156" i="2"/>
  <c r="R155" i="10" s="1"/>
  <c r="DR157" i="2"/>
  <c r="R156" i="10" s="1"/>
  <c r="DR158" i="2"/>
  <c r="R157" i="10" s="1"/>
  <c r="DR159" i="2"/>
  <c r="R158" i="10" s="1"/>
  <c r="DR160" i="2"/>
  <c r="R159" i="10" s="1"/>
  <c r="DR161" i="2"/>
  <c r="R160" i="10" s="1"/>
  <c r="DR162" i="2"/>
  <c r="R161" i="10" s="1"/>
  <c r="DR163" i="2"/>
  <c r="R162" i="10" s="1"/>
  <c r="DR164" i="2"/>
  <c r="R163" i="10" s="1"/>
  <c r="DR165" i="2"/>
  <c r="R164" i="10" s="1"/>
  <c r="DR166" i="2"/>
  <c r="R165" i="10" s="1"/>
  <c r="DR167" i="2"/>
  <c r="R166" i="10" s="1"/>
  <c r="DR168" i="2"/>
  <c r="R167" i="10" s="1"/>
  <c r="DR169" i="2"/>
  <c r="R168" i="10" s="1"/>
  <c r="DR170" i="2"/>
  <c r="R169" i="10" s="1"/>
  <c r="DR171" i="2"/>
  <c r="R170" i="10" s="1"/>
  <c r="DR172" i="2"/>
  <c r="R171" i="10" s="1"/>
  <c r="DR173" i="2"/>
  <c r="R172" i="10" s="1"/>
  <c r="DR174" i="2"/>
  <c r="R173" i="10" s="1"/>
  <c r="DR175" i="2"/>
  <c r="R174" i="10" s="1"/>
  <c r="DR176" i="2"/>
  <c r="R175" i="10" s="1"/>
  <c r="DR177" i="2"/>
  <c r="R176" i="10" s="1"/>
  <c r="DR178" i="2"/>
  <c r="R177" i="10" s="1"/>
  <c r="DR179" i="2"/>
  <c r="R178" i="10" s="1"/>
  <c r="DR180" i="2"/>
  <c r="R179" i="10" s="1"/>
  <c r="DR181" i="2"/>
  <c r="R180" i="10" s="1"/>
  <c r="DR182" i="2"/>
  <c r="R181" i="10" s="1"/>
  <c r="DR183" i="2"/>
  <c r="R182" i="10" s="1"/>
  <c r="DR184" i="2"/>
  <c r="R183" i="10" s="1"/>
  <c r="DR185" i="2"/>
  <c r="R184" i="10" s="1"/>
  <c r="DR186" i="2"/>
  <c r="R185" i="10" s="1"/>
  <c r="DR187" i="2"/>
  <c r="R186" i="10" s="1"/>
  <c r="DR188" i="2"/>
  <c r="R187" i="10" s="1"/>
  <c r="DR189" i="2"/>
  <c r="R188" i="10" s="1"/>
  <c r="DR190" i="2"/>
  <c r="R189" i="10" s="1"/>
  <c r="DR191" i="2"/>
  <c r="R190" i="10" s="1"/>
  <c r="DR192" i="2"/>
  <c r="R191" i="10" s="1"/>
  <c r="DR193" i="2"/>
  <c r="R192" i="10" s="1"/>
  <c r="DR194" i="2"/>
  <c r="R193" i="10" s="1"/>
  <c r="DR195" i="2"/>
  <c r="R194" i="10" s="1"/>
  <c r="DR196" i="2"/>
  <c r="R195" i="10" s="1"/>
  <c r="DR197" i="2"/>
  <c r="R196" i="10" s="1"/>
  <c r="DR198" i="2"/>
  <c r="R197" i="10" s="1"/>
  <c r="DR199" i="2"/>
  <c r="R198" i="10" s="1"/>
  <c r="DR200" i="2"/>
  <c r="R199" i="10" s="1"/>
  <c r="DR201" i="2"/>
  <c r="R200" i="10" s="1"/>
  <c r="DR202" i="2"/>
  <c r="R201" i="10" s="1"/>
  <c r="DR203" i="2"/>
  <c r="R202" i="10" s="1"/>
  <c r="DR204" i="2"/>
  <c r="R203" i="10" s="1"/>
  <c r="DR205" i="2"/>
  <c r="R204" i="10" s="1"/>
  <c r="DR206" i="2"/>
  <c r="R205" i="10" s="1"/>
  <c r="DR207" i="2"/>
  <c r="R206" i="10" s="1"/>
  <c r="DR208" i="2"/>
  <c r="R207" i="10" s="1"/>
  <c r="DR209" i="2"/>
  <c r="R208" i="10" s="1"/>
  <c r="DR210" i="2"/>
  <c r="R209" i="10" s="1"/>
  <c r="DR211" i="2"/>
  <c r="R210" i="10" s="1"/>
  <c r="DR212" i="2"/>
  <c r="R211" i="10" s="1"/>
  <c r="DR213" i="2"/>
  <c r="R212" i="10" s="1"/>
  <c r="DR214" i="2"/>
  <c r="R213" i="10" s="1"/>
  <c r="DR215" i="2"/>
  <c r="R214" i="10" s="1"/>
  <c r="DR216" i="2"/>
  <c r="R215" i="10" s="1"/>
  <c r="DR217" i="2"/>
  <c r="R216" i="10" s="1"/>
  <c r="DR218" i="2"/>
  <c r="R217" i="10" s="1"/>
  <c r="DR219" i="2"/>
  <c r="R218" i="10" s="1"/>
  <c r="DR220" i="2"/>
  <c r="R219" i="10" s="1"/>
  <c r="DR221" i="2"/>
  <c r="R220" i="10" s="1"/>
  <c r="DR222" i="2"/>
  <c r="R221" i="10" s="1"/>
  <c r="DR223" i="2"/>
  <c r="R222" i="10" s="1"/>
  <c r="DR224" i="2"/>
  <c r="R223" i="10" s="1"/>
  <c r="DR225" i="2"/>
  <c r="R224" i="10" s="1"/>
  <c r="DR226" i="2"/>
  <c r="R225" i="10" s="1"/>
  <c r="DR227" i="2"/>
  <c r="R226" i="10" s="1"/>
  <c r="DR228" i="2"/>
  <c r="R227" i="10" s="1"/>
  <c r="DR229" i="2"/>
  <c r="R228" i="10" s="1"/>
  <c r="DR230" i="2"/>
  <c r="R229" i="10" s="1"/>
  <c r="DR231" i="2"/>
  <c r="R230" i="10" s="1"/>
  <c r="DR232" i="2"/>
  <c r="R231" i="10" s="1"/>
  <c r="DR233" i="2"/>
  <c r="R232" i="10" s="1"/>
  <c r="DR234" i="2"/>
  <c r="R233" i="10" s="1"/>
  <c r="DR235" i="2"/>
  <c r="R234" i="10" s="1"/>
  <c r="DR236" i="2"/>
  <c r="R235" i="10" s="1"/>
  <c r="DR237" i="2"/>
  <c r="R236" i="10" s="1"/>
  <c r="DR238" i="2"/>
  <c r="R237" i="10" s="1"/>
  <c r="DR239" i="2"/>
  <c r="R238" i="10" s="1"/>
  <c r="DR240" i="2"/>
  <c r="R239" i="10" s="1"/>
  <c r="DR241" i="2"/>
  <c r="R240" i="10" s="1"/>
  <c r="DR242" i="2"/>
  <c r="R241" i="10" s="1"/>
  <c r="DR243" i="2"/>
  <c r="R242" i="10" s="1"/>
  <c r="DR244" i="2"/>
  <c r="R243" i="10" s="1"/>
  <c r="DR245" i="2"/>
  <c r="R244" i="10" s="1"/>
  <c r="DR246" i="2"/>
  <c r="R245" i="10" s="1"/>
  <c r="DR247" i="2"/>
  <c r="R246" i="10" s="1"/>
  <c r="DR248" i="2"/>
  <c r="R247" i="10" s="1"/>
  <c r="DR249" i="2"/>
  <c r="R248" i="10" s="1"/>
  <c r="DR250" i="2"/>
  <c r="R249" i="10" s="1"/>
  <c r="DR251" i="2"/>
  <c r="R250" i="10" s="1"/>
  <c r="DR252" i="2"/>
  <c r="R251" i="10" s="1"/>
  <c r="DR253" i="2"/>
  <c r="R252" i="10" s="1"/>
  <c r="DR254" i="2"/>
  <c r="R253" i="10" s="1"/>
  <c r="DR255" i="2"/>
  <c r="R254" i="10" s="1"/>
  <c r="DR256" i="2"/>
  <c r="R255" i="10" s="1"/>
  <c r="DR257" i="2"/>
  <c r="R256" i="10" s="1"/>
  <c r="DR258" i="2"/>
  <c r="R257" i="10" s="1"/>
  <c r="DR259" i="2"/>
  <c r="R258" i="10" s="1"/>
  <c r="DR260" i="2"/>
  <c r="R259" i="10" s="1"/>
  <c r="DR261" i="2"/>
  <c r="R260" i="10" s="1"/>
  <c r="DR262" i="2"/>
  <c r="R261" i="10" s="1"/>
  <c r="DR263" i="2"/>
  <c r="R262" i="10" s="1"/>
  <c r="DR264" i="2"/>
  <c r="R263" i="10" s="1"/>
  <c r="DR265" i="2"/>
  <c r="R264" i="10" s="1"/>
  <c r="DR266" i="2"/>
  <c r="R265" i="10" s="1"/>
  <c r="DR267" i="2"/>
  <c r="R266" i="10" s="1"/>
  <c r="DR268" i="2"/>
  <c r="R267" i="10" s="1"/>
  <c r="DR269" i="2"/>
  <c r="R268" i="10" s="1"/>
  <c r="DR270" i="2"/>
  <c r="R269" i="10" s="1"/>
  <c r="DR272" i="2"/>
  <c r="R271" i="10" s="1"/>
  <c r="DR273" i="2"/>
  <c r="R272" i="10" s="1"/>
  <c r="DR275" i="2"/>
  <c r="R274" i="10" s="1"/>
  <c r="DR276" i="2"/>
  <c r="R275" i="10" s="1"/>
  <c r="DR277" i="2"/>
  <c r="R276" i="10" s="1"/>
  <c r="DR279" i="2"/>
  <c r="R278" i="10" s="1"/>
  <c r="DR280" i="2"/>
  <c r="R279" i="10" s="1"/>
  <c r="DR281" i="2"/>
  <c r="R280" i="10" s="1"/>
  <c r="DR283" i="2"/>
  <c r="R282" i="10" s="1"/>
  <c r="DR284" i="2"/>
  <c r="R283" i="10" s="1"/>
  <c r="DR285" i="2"/>
  <c r="R284" i="10" s="1"/>
  <c r="DR286" i="2"/>
  <c r="R285" i="10" s="1"/>
  <c r="DR287" i="2"/>
  <c r="R286" i="10" s="1"/>
  <c r="DR288" i="2"/>
  <c r="R287" i="10" s="1"/>
  <c r="DR289" i="2"/>
  <c r="R288" i="10" s="1"/>
  <c r="DR290" i="2"/>
  <c r="R289" i="10" s="1"/>
  <c r="DR292" i="2"/>
  <c r="R291" i="10" s="1"/>
  <c r="DR293" i="2"/>
  <c r="R292" i="10" s="1"/>
  <c r="DR295" i="2"/>
  <c r="R294" i="10" s="1"/>
  <c r="DR297" i="2"/>
  <c r="R296" i="10" s="1"/>
  <c r="DR298" i="2"/>
  <c r="R297" i="10" s="1"/>
  <c r="DR299" i="2"/>
  <c r="R298" i="10" s="1"/>
  <c r="DR302" i="2"/>
  <c r="R301" i="10" s="1"/>
  <c r="DR303" i="2"/>
  <c r="R302" i="10" s="1"/>
  <c r="DR305" i="2"/>
  <c r="R304" i="10" s="1"/>
  <c r="DR306" i="2"/>
  <c r="R305" i="10" s="1"/>
  <c r="DR308" i="2"/>
  <c r="R307" i="10" s="1"/>
  <c r="DR309" i="2"/>
  <c r="R308" i="10" s="1"/>
  <c r="DR310" i="2"/>
  <c r="R309" i="10" s="1"/>
  <c r="DR311" i="2"/>
  <c r="R310" i="10" s="1"/>
  <c r="DR312" i="2"/>
  <c r="R311" i="10" s="1"/>
  <c r="DR313" i="2"/>
  <c r="R312" i="10" s="1"/>
  <c r="DR317" i="2"/>
  <c r="R316" i="10" s="1"/>
  <c r="DR318" i="2"/>
  <c r="R317" i="10" s="1"/>
  <c r="DR320" i="2"/>
  <c r="R319" i="10" s="1"/>
  <c r="DR321" i="2"/>
  <c r="R320" i="10" s="1"/>
  <c r="DR323" i="2"/>
  <c r="R322" i="10" s="1"/>
  <c r="DR324" i="2"/>
  <c r="R323" i="10" s="1"/>
  <c r="DR325" i="2"/>
  <c r="R324" i="10" s="1"/>
  <c r="DR326" i="2"/>
  <c r="R325" i="10" s="1"/>
  <c r="DR328" i="2"/>
  <c r="R327" i="10" s="1"/>
  <c r="DR329" i="2"/>
  <c r="R328" i="10" s="1"/>
  <c r="DR330" i="2"/>
  <c r="R329" i="10" s="1"/>
  <c r="DR331" i="2"/>
  <c r="R330" i="10" s="1"/>
  <c r="DR333" i="2"/>
  <c r="R332" i="10" s="1"/>
  <c r="DR334" i="2"/>
  <c r="R333" i="10" s="1"/>
  <c r="DR335" i="2"/>
  <c r="R334" i="10" s="1"/>
  <c r="DR336" i="2"/>
  <c r="R335" i="10" s="1"/>
  <c r="DR337" i="2"/>
  <c r="R336" i="10" s="1"/>
  <c r="DR338" i="2"/>
  <c r="R337" i="10" s="1"/>
  <c r="DR339" i="2"/>
  <c r="R338" i="10" s="1"/>
  <c r="DR340" i="2"/>
  <c r="R339" i="10" s="1"/>
  <c r="DR341" i="2"/>
  <c r="R340" i="10" s="1"/>
  <c r="DR342" i="2"/>
  <c r="R341" i="10" s="1"/>
  <c r="DR343" i="2"/>
  <c r="R342" i="10" s="1"/>
  <c r="DR344" i="2"/>
  <c r="R343" i="10" s="1"/>
  <c r="DR345" i="2"/>
  <c r="R344" i="10" s="1"/>
  <c r="DR346" i="2"/>
  <c r="R345" i="10" s="1"/>
  <c r="DR352" i="2"/>
  <c r="R351" i="10" s="1"/>
  <c r="DR353" i="2"/>
  <c r="R352" i="10" s="1"/>
  <c r="DR354" i="2"/>
  <c r="R353" i="10" s="1"/>
  <c r="DR355" i="2"/>
  <c r="R354" i="10" s="1"/>
  <c r="DR356" i="2"/>
  <c r="R355" i="10" s="1"/>
  <c r="DR357" i="2"/>
  <c r="R356" i="10" s="1"/>
  <c r="DR358" i="2"/>
  <c r="R357" i="10" s="1"/>
  <c r="DR359" i="2"/>
  <c r="R358" i="10" s="1"/>
  <c r="DR360" i="2"/>
  <c r="R359" i="10" s="1"/>
  <c r="DR361" i="2"/>
  <c r="R360" i="10" s="1"/>
  <c r="DR362" i="2"/>
  <c r="R361" i="10" s="1"/>
  <c r="DR363" i="2"/>
  <c r="R362" i="10" s="1"/>
  <c r="DR364" i="2"/>
  <c r="R363" i="10" s="1"/>
  <c r="DR365" i="2"/>
  <c r="R364" i="10" s="1"/>
  <c r="DR366" i="2"/>
  <c r="R365" i="10" s="1"/>
  <c r="DR367" i="2"/>
  <c r="R366" i="10" s="1"/>
  <c r="DR368" i="2"/>
  <c r="R367" i="10" s="1"/>
  <c r="DR369" i="2"/>
  <c r="R368" i="10" s="1"/>
  <c r="DR370" i="2"/>
  <c r="R369" i="10" s="1"/>
  <c r="DR371" i="2"/>
  <c r="R370" i="10" s="1"/>
  <c r="DR372" i="2"/>
  <c r="R371" i="10" s="1"/>
  <c r="DR373" i="2"/>
  <c r="R372" i="10" s="1"/>
  <c r="DR374" i="2"/>
  <c r="R373" i="10" s="1"/>
  <c r="DR375" i="2"/>
  <c r="R374" i="10" s="1"/>
  <c r="DR376" i="2"/>
  <c r="R375" i="10" s="1"/>
  <c r="DR377" i="2"/>
  <c r="R376" i="10" s="1"/>
  <c r="DR378" i="2"/>
  <c r="R377" i="10" s="1"/>
  <c r="DR379" i="2"/>
  <c r="R378" i="10" s="1"/>
  <c r="DR380" i="2"/>
  <c r="R379" i="10" s="1"/>
  <c r="DR381" i="2"/>
  <c r="R380" i="10" s="1"/>
  <c r="DR382" i="2"/>
  <c r="R381" i="10" s="1"/>
  <c r="DR383" i="2"/>
  <c r="R382" i="10" s="1"/>
  <c r="DR384" i="2"/>
  <c r="R383" i="10" s="1"/>
  <c r="DR385" i="2"/>
  <c r="R384" i="10" s="1"/>
  <c r="DR386" i="2"/>
  <c r="R385" i="10" s="1"/>
  <c r="DR387" i="2"/>
  <c r="R386" i="10" s="1"/>
  <c r="DR388" i="2"/>
  <c r="R387" i="10" s="1"/>
  <c r="DR389" i="2"/>
  <c r="R388" i="10" s="1"/>
  <c r="DR390" i="2"/>
  <c r="R389" i="10" s="1"/>
  <c r="DR391" i="2"/>
  <c r="R390" i="10" s="1"/>
  <c r="DR392" i="2"/>
  <c r="R391" i="10" s="1"/>
  <c r="DR393" i="2"/>
  <c r="R392" i="10" s="1"/>
  <c r="DR394" i="2"/>
  <c r="R393" i="10" s="1"/>
  <c r="DR395" i="2"/>
  <c r="R394" i="10" s="1"/>
  <c r="DR396" i="2"/>
  <c r="R395" i="10" s="1"/>
  <c r="DR397" i="2"/>
  <c r="R396" i="10" s="1"/>
  <c r="DR398" i="2"/>
  <c r="R397" i="10" s="1"/>
  <c r="DR399" i="2"/>
  <c r="R398" i="10" s="1"/>
  <c r="DR400" i="2"/>
  <c r="R399" i="10" s="1"/>
  <c r="DR401" i="2"/>
  <c r="R400" i="10" s="1"/>
  <c r="DR402" i="2"/>
  <c r="R401" i="10" s="1"/>
  <c r="DR403" i="2"/>
  <c r="R402" i="10" s="1"/>
  <c r="DR404" i="2"/>
  <c r="R403" i="10" s="1"/>
  <c r="DR405" i="2"/>
  <c r="R404" i="10" s="1"/>
  <c r="DR406" i="2"/>
  <c r="R405" i="10" s="1"/>
  <c r="DR407" i="2"/>
  <c r="R406" i="10" s="1"/>
  <c r="DR408" i="2"/>
  <c r="R407" i="10" s="1"/>
  <c r="DR409" i="2"/>
  <c r="R408" i="10" s="1"/>
  <c r="DR410" i="2"/>
  <c r="R409" i="10" s="1"/>
  <c r="DR411" i="2"/>
  <c r="R410" i="10" s="1"/>
  <c r="DR412" i="2"/>
  <c r="R411" i="10" s="1"/>
  <c r="DR413" i="2"/>
  <c r="R412" i="10" s="1"/>
  <c r="DR414" i="2"/>
  <c r="R413" i="10" s="1"/>
  <c r="DR415" i="2"/>
  <c r="R414" i="10" s="1"/>
  <c r="DR416" i="2"/>
  <c r="R415" i="10" s="1"/>
  <c r="DR417" i="2"/>
  <c r="R416" i="10" s="1"/>
  <c r="DR418" i="2"/>
  <c r="R417" i="10" s="1"/>
  <c r="DR419" i="2"/>
  <c r="R418" i="10" s="1"/>
  <c r="DR420" i="2"/>
  <c r="R419" i="10" s="1"/>
  <c r="DR421" i="2"/>
  <c r="R420" i="10" s="1"/>
  <c r="DR422" i="2"/>
  <c r="R421" i="10" s="1"/>
  <c r="DR423" i="2"/>
  <c r="R422" i="10" s="1"/>
  <c r="DR424" i="2"/>
  <c r="R423" i="10" s="1"/>
  <c r="DR425" i="2"/>
  <c r="R424" i="10" s="1"/>
  <c r="DR426" i="2"/>
  <c r="R425" i="10" s="1"/>
  <c r="DR427" i="2"/>
  <c r="R426" i="10" s="1"/>
  <c r="DR428" i="2"/>
  <c r="R427" i="10" s="1"/>
  <c r="DR429" i="2"/>
  <c r="R428" i="10" s="1"/>
  <c r="DR430" i="2"/>
  <c r="R429" i="10" s="1"/>
  <c r="DR431" i="2"/>
  <c r="R430" i="10" s="1"/>
  <c r="DR435" i="2"/>
  <c r="R434" i="10" s="1"/>
  <c r="DR436" i="2"/>
  <c r="R435" i="10" s="1"/>
  <c r="DR437" i="2"/>
  <c r="R436" i="10" s="1"/>
  <c r="DR438" i="2"/>
  <c r="R437" i="10" s="1"/>
  <c r="DR439" i="2"/>
  <c r="R438" i="10" s="1"/>
  <c r="DR5" i="2"/>
  <c r="R4" i="10" s="1"/>
  <c r="EA5" i="2"/>
  <c r="S4" i="10" s="1"/>
  <c r="EA6" i="2"/>
  <c r="S5" i="10" s="1"/>
  <c r="EA7" i="2"/>
  <c r="S6" i="10" s="1"/>
  <c r="EA8" i="2"/>
  <c r="S7" i="10" s="1"/>
  <c r="EA9" i="2"/>
  <c r="S8" i="10" s="1"/>
  <c r="EA10" i="2"/>
  <c r="S9" i="10" s="1"/>
  <c r="EA11" i="2"/>
  <c r="S10" i="10" s="1"/>
  <c r="EA12" i="2"/>
  <c r="S11" i="10" s="1"/>
  <c r="EA13" i="2"/>
  <c r="S12" i="10" s="1"/>
  <c r="EA14" i="2"/>
  <c r="S13" i="10" s="1"/>
  <c r="EA15" i="2"/>
  <c r="S14" i="10" s="1"/>
  <c r="EA16" i="2"/>
  <c r="S15" i="10" s="1"/>
  <c r="EA17" i="2"/>
  <c r="S16" i="10" s="1"/>
  <c r="EA18" i="2"/>
  <c r="S17" i="10" s="1"/>
  <c r="EA19" i="2"/>
  <c r="S18" i="10" s="1"/>
  <c r="EA20" i="2"/>
  <c r="S19" i="10" s="1"/>
  <c r="EA21" i="2"/>
  <c r="S20" i="10" s="1"/>
  <c r="EA22" i="2"/>
  <c r="S21" i="10" s="1"/>
  <c r="EA23" i="2"/>
  <c r="S22" i="10" s="1"/>
  <c r="EA24" i="2"/>
  <c r="S23" i="10" s="1"/>
  <c r="EA25" i="2"/>
  <c r="S24" i="10" s="1"/>
  <c r="EA26" i="2"/>
  <c r="S25" i="10" s="1"/>
  <c r="EA27" i="2"/>
  <c r="S26" i="10" s="1"/>
  <c r="EA28" i="2"/>
  <c r="S27" i="10" s="1"/>
  <c r="EA29" i="2"/>
  <c r="S28" i="10" s="1"/>
  <c r="EA30" i="2"/>
  <c r="S29" i="10" s="1"/>
  <c r="EA31" i="2"/>
  <c r="S30" i="10" s="1"/>
  <c r="EA32" i="2"/>
  <c r="S31" i="10" s="1"/>
  <c r="EA33" i="2"/>
  <c r="S32" i="10" s="1"/>
  <c r="EA34" i="2"/>
  <c r="S33" i="10" s="1"/>
  <c r="EA35" i="2"/>
  <c r="S34" i="10" s="1"/>
  <c r="EA36" i="2"/>
  <c r="S35" i="10" s="1"/>
  <c r="EA37" i="2"/>
  <c r="S36" i="10" s="1"/>
  <c r="EA38" i="2"/>
  <c r="S37" i="10" s="1"/>
  <c r="EA39" i="2"/>
  <c r="S38" i="10" s="1"/>
  <c r="EA40" i="2"/>
  <c r="S39" i="10" s="1"/>
  <c r="EA41" i="2"/>
  <c r="S40" i="10" s="1"/>
  <c r="EA42" i="2"/>
  <c r="S41" i="10" s="1"/>
  <c r="EA43" i="2"/>
  <c r="S42" i="10" s="1"/>
  <c r="EA44" i="2"/>
  <c r="S43" i="10" s="1"/>
  <c r="EA45" i="2"/>
  <c r="S44" i="10" s="1"/>
  <c r="EA46" i="2"/>
  <c r="S45" i="10" s="1"/>
  <c r="EA47" i="2"/>
  <c r="S46" i="10" s="1"/>
  <c r="EA48" i="2"/>
  <c r="S47" i="10" s="1"/>
  <c r="EA49" i="2"/>
  <c r="S48" i="10" s="1"/>
  <c r="EA50" i="2"/>
  <c r="S49" i="10" s="1"/>
  <c r="EA51" i="2"/>
  <c r="S50" i="10" s="1"/>
  <c r="EA52" i="2"/>
  <c r="S51" i="10" s="1"/>
  <c r="EA53" i="2"/>
  <c r="S52" i="10" s="1"/>
  <c r="EA54" i="2"/>
  <c r="S53" i="10" s="1"/>
  <c r="EA55" i="2"/>
  <c r="S54" i="10" s="1"/>
  <c r="EA56" i="2"/>
  <c r="S55" i="10" s="1"/>
  <c r="EA57" i="2"/>
  <c r="S56" i="10" s="1"/>
  <c r="EA58" i="2"/>
  <c r="S57" i="10" s="1"/>
  <c r="EA59" i="2"/>
  <c r="S58" i="10" s="1"/>
  <c r="EA60" i="2"/>
  <c r="S59" i="10" s="1"/>
  <c r="EA61" i="2"/>
  <c r="S60" i="10" s="1"/>
  <c r="EA62" i="2"/>
  <c r="S61" i="10" s="1"/>
  <c r="EA63" i="2"/>
  <c r="S62" i="10" s="1"/>
  <c r="EA64" i="2"/>
  <c r="S63" i="10" s="1"/>
  <c r="EA65" i="2"/>
  <c r="S64" i="10" s="1"/>
  <c r="EA66" i="2"/>
  <c r="S65" i="10" s="1"/>
  <c r="EA67" i="2"/>
  <c r="S66" i="10" s="1"/>
  <c r="EA68" i="2"/>
  <c r="S67" i="10" s="1"/>
  <c r="EA69" i="2"/>
  <c r="S68" i="10" s="1"/>
  <c r="EA70" i="2"/>
  <c r="S69" i="10" s="1"/>
  <c r="EA71" i="2"/>
  <c r="S70" i="10" s="1"/>
  <c r="EA72" i="2"/>
  <c r="S71" i="10" s="1"/>
  <c r="EA73" i="2"/>
  <c r="S72" i="10" s="1"/>
  <c r="EA74" i="2"/>
  <c r="S73" i="10" s="1"/>
  <c r="EA75" i="2"/>
  <c r="S74" i="10" s="1"/>
  <c r="EA76" i="2"/>
  <c r="S75" i="10" s="1"/>
  <c r="EA77" i="2"/>
  <c r="S76" i="10" s="1"/>
  <c r="EA78" i="2"/>
  <c r="S77" i="10" s="1"/>
  <c r="EA79" i="2"/>
  <c r="S78" i="10" s="1"/>
  <c r="EA80" i="2"/>
  <c r="S79" i="10" s="1"/>
  <c r="EA81" i="2"/>
  <c r="S80" i="10" s="1"/>
  <c r="EA82" i="2"/>
  <c r="S81" i="10" s="1"/>
  <c r="EA83" i="2"/>
  <c r="S82" i="10" s="1"/>
  <c r="EA84" i="2"/>
  <c r="S83" i="10" s="1"/>
  <c r="EA85" i="2"/>
  <c r="S84" i="10" s="1"/>
  <c r="EA86" i="2"/>
  <c r="S85" i="10" s="1"/>
  <c r="EA87" i="2"/>
  <c r="S86" i="10" s="1"/>
  <c r="EA88" i="2"/>
  <c r="S87" i="10" s="1"/>
  <c r="EA89" i="2"/>
  <c r="S88" i="10" s="1"/>
  <c r="EA90" i="2"/>
  <c r="S89" i="10" s="1"/>
  <c r="EA91" i="2"/>
  <c r="S90" i="10" s="1"/>
  <c r="EA92" i="2"/>
  <c r="S91" i="10" s="1"/>
  <c r="EA93" i="2"/>
  <c r="S92" i="10" s="1"/>
  <c r="EA94" i="2"/>
  <c r="S93" i="10" s="1"/>
  <c r="EA95" i="2"/>
  <c r="S94" i="10" s="1"/>
  <c r="EA96" i="2"/>
  <c r="S95" i="10" s="1"/>
  <c r="EA97" i="2"/>
  <c r="S96" i="10" s="1"/>
  <c r="EA98" i="2"/>
  <c r="S97" i="10" s="1"/>
  <c r="EA99" i="2"/>
  <c r="S98" i="10" s="1"/>
  <c r="EA100" i="2"/>
  <c r="S99" i="10" s="1"/>
  <c r="EA101" i="2"/>
  <c r="S100" i="10" s="1"/>
  <c r="EA102" i="2"/>
  <c r="S101" i="10" s="1"/>
  <c r="EA103" i="2"/>
  <c r="S102" i="10" s="1"/>
  <c r="EA104" i="2"/>
  <c r="S103" i="10" s="1"/>
  <c r="EA105" i="2"/>
  <c r="S104" i="10" s="1"/>
  <c r="EA106" i="2"/>
  <c r="S105" i="10" s="1"/>
  <c r="EA107" i="2"/>
  <c r="S106" i="10" s="1"/>
  <c r="EA108" i="2"/>
  <c r="S107" i="10" s="1"/>
  <c r="EA109" i="2"/>
  <c r="S108" i="10" s="1"/>
  <c r="EA110" i="2"/>
  <c r="S109" i="10" s="1"/>
  <c r="EA111" i="2"/>
  <c r="S110" i="10" s="1"/>
  <c r="EA112" i="2"/>
  <c r="S111" i="10" s="1"/>
  <c r="EA113" i="2"/>
  <c r="S112" i="10" s="1"/>
  <c r="EA114" i="2"/>
  <c r="S113" i="10" s="1"/>
  <c r="EA115" i="2"/>
  <c r="S114" i="10" s="1"/>
  <c r="EA116" i="2"/>
  <c r="S115" i="10" s="1"/>
  <c r="EA117" i="2"/>
  <c r="S116" i="10" s="1"/>
  <c r="EA118" i="2"/>
  <c r="S117" i="10" s="1"/>
  <c r="EA119" i="2"/>
  <c r="S118" i="10" s="1"/>
  <c r="EA120" i="2"/>
  <c r="S119" i="10" s="1"/>
  <c r="EA121" i="2"/>
  <c r="S120" i="10" s="1"/>
  <c r="EA122" i="2"/>
  <c r="S121" i="10" s="1"/>
  <c r="EA123" i="2"/>
  <c r="S122" i="10" s="1"/>
  <c r="EA124" i="2"/>
  <c r="S123" i="10" s="1"/>
  <c r="EA125" i="2"/>
  <c r="S124" i="10" s="1"/>
  <c r="EA126" i="2"/>
  <c r="S125" i="10" s="1"/>
  <c r="EA127" i="2"/>
  <c r="S126" i="10" s="1"/>
  <c r="EA128" i="2"/>
  <c r="S127" i="10" s="1"/>
  <c r="EA129" i="2"/>
  <c r="S128" i="10" s="1"/>
  <c r="EA130" i="2"/>
  <c r="S129" i="10" s="1"/>
  <c r="EA131" i="2"/>
  <c r="S130" i="10" s="1"/>
  <c r="EA132" i="2"/>
  <c r="S131" i="10" s="1"/>
  <c r="EA133" i="2"/>
  <c r="S132" i="10" s="1"/>
  <c r="EA134" i="2"/>
  <c r="S133" i="10" s="1"/>
  <c r="EA135" i="2"/>
  <c r="S134" i="10" s="1"/>
  <c r="EA136" i="2"/>
  <c r="S135" i="10" s="1"/>
  <c r="EA137" i="2"/>
  <c r="S136" i="10" s="1"/>
  <c r="EA138" i="2"/>
  <c r="S137" i="10" s="1"/>
  <c r="EA139" i="2"/>
  <c r="S138" i="10" s="1"/>
  <c r="EA140" i="2"/>
  <c r="S139" i="10" s="1"/>
  <c r="EA141" i="2"/>
  <c r="S140" i="10" s="1"/>
  <c r="EA142" i="2"/>
  <c r="S141" i="10" s="1"/>
  <c r="EA143" i="2"/>
  <c r="S142" i="10" s="1"/>
  <c r="EA144" i="2"/>
  <c r="S143" i="10" s="1"/>
  <c r="EA145" i="2"/>
  <c r="S144" i="10" s="1"/>
  <c r="EA146" i="2"/>
  <c r="S145" i="10" s="1"/>
  <c r="EA147" i="2"/>
  <c r="S146" i="10" s="1"/>
  <c r="EA148" i="2"/>
  <c r="S147" i="10" s="1"/>
  <c r="EA149" i="2"/>
  <c r="S148" i="10" s="1"/>
  <c r="EA150" i="2"/>
  <c r="S149" i="10" s="1"/>
  <c r="EA151" i="2"/>
  <c r="S150" i="10" s="1"/>
  <c r="EA152" i="2"/>
  <c r="S151" i="10" s="1"/>
  <c r="EA153" i="2"/>
  <c r="S152" i="10" s="1"/>
  <c r="EA154" i="2"/>
  <c r="S153" i="10" s="1"/>
  <c r="EA155" i="2"/>
  <c r="S154" i="10" s="1"/>
  <c r="EA156" i="2"/>
  <c r="S155" i="10" s="1"/>
  <c r="EA157" i="2"/>
  <c r="S156" i="10" s="1"/>
  <c r="EA158" i="2"/>
  <c r="S157" i="10" s="1"/>
  <c r="EA159" i="2"/>
  <c r="S158" i="10" s="1"/>
  <c r="EA160" i="2"/>
  <c r="S159" i="10" s="1"/>
  <c r="EA161" i="2"/>
  <c r="S160" i="10" s="1"/>
  <c r="EA162" i="2"/>
  <c r="S161" i="10" s="1"/>
  <c r="EA163" i="2"/>
  <c r="S162" i="10" s="1"/>
  <c r="EA164" i="2"/>
  <c r="S163" i="10" s="1"/>
  <c r="EA165" i="2"/>
  <c r="S164" i="10" s="1"/>
  <c r="EA166" i="2"/>
  <c r="S165" i="10" s="1"/>
  <c r="EA167" i="2"/>
  <c r="S166" i="10" s="1"/>
  <c r="EA168" i="2"/>
  <c r="S167" i="10" s="1"/>
  <c r="EA169" i="2"/>
  <c r="S168" i="10" s="1"/>
  <c r="EA170" i="2"/>
  <c r="S169" i="10" s="1"/>
  <c r="EA171" i="2"/>
  <c r="S170" i="10" s="1"/>
  <c r="EA172" i="2"/>
  <c r="S171" i="10" s="1"/>
  <c r="EA173" i="2"/>
  <c r="S172" i="10" s="1"/>
  <c r="EA174" i="2"/>
  <c r="S173" i="10" s="1"/>
  <c r="EA175" i="2"/>
  <c r="S174" i="10" s="1"/>
  <c r="EA176" i="2"/>
  <c r="S175" i="10" s="1"/>
  <c r="EA177" i="2"/>
  <c r="S176" i="10" s="1"/>
  <c r="EA178" i="2"/>
  <c r="S177" i="10" s="1"/>
  <c r="EA179" i="2"/>
  <c r="S178" i="10" s="1"/>
  <c r="EA180" i="2"/>
  <c r="S179" i="10" s="1"/>
  <c r="EA181" i="2"/>
  <c r="S180" i="10" s="1"/>
  <c r="EA182" i="2"/>
  <c r="S181" i="10" s="1"/>
  <c r="EA183" i="2"/>
  <c r="S182" i="10" s="1"/>
  <c r="EA184" i="2"/>
  <c r="S183" i="10" s="1"/>
  <c r="EA185" i="2"/>
  <c r="S184" i="10" s="1"/>
  <c r="EA186" i="2"/>
  <c r="S185" i="10" s="1"/>
  <c r="EA187" i="2"/>
  <c r="S186" i="10" s="1"/>
  <c r="EA188" i="2"/>
  <c r="S187" i="10" s="1"/>
  <c r="EA189" i="2"/>
  <c r="S188" i="10" s="1"/>
  <c r="EA190" i="2"/>
  <c r="S189" i="10" s="1"/>
  <c r="EA191" i="2"/>
  <c r="S190" i="10" s="1"/>
  <c r="EA192" i="2"/>
  <c r="S191" i="10" s="1"/>
  <c r="EA193" i="2"/>
  <c r="S192" i="10" s="1"/>
  <c r="EA194" i="2"/>
  <c r="S193" i="10" s="1"/>
  <c r="EA195" i="2"/>
  <c r="S194" i="10" s="1"/>
  <c r="EA196" i="2"/>
  <c r="S195" i="10" s="1"/>
  <c r="EA197" i="2"/>
  <c r="S196" i="10" s="1"/>
  <c r="EA198" i="2"/>
  <c r="S197" i="10" s="1"/>
  <c r="EA199" i="2"/>
  <c r="S198" i="10" s="1"/>
  <c r="EA200" i="2"/>
  <c r="S199" i="10" s="1"/>
  <c r="EA201" i="2"/>
  <c r="S200" i="10" s="1"/>
  <c r="EA202" i="2"/>
  <c r="S201" i="10" s="1"/>
  <c r="EA203" i="2"/>
  <c r="S202" i="10" s="1"/>
  <c r="EA204" i="2"/>
  <c r="S203" i="10" s="1"/>
  <c r="EA205" i="2"/>
  <c r="S204" i="10" s="1"/>
  <c r="EA206" i="2"/>
  <c r="S205" i="10" s="1"/>
  <c r="EA207" i="2"/>
  <c r="S206" i="10" s="1"/>
  <c r="EA208" i="2"/>
  <c r="S207" i="10" s="1"/>
  <c r="EA209" i="2"/>
  <c r="S208" i="10" s="1"/>
  <c r="EA210" i="2"/>
  <c r="S209" i="10" s="1"/>
  <c r="EA211" i="2"/>
  <c r="S210" i="10" s="1"/>
  <c r="EA212" i="2"/>
  <c r="S211" i="10" s="1"/>
  <c r="EA213" i="2"/>
  <c r="S212" i="10" s="1"/>
  <c r="EA214" i="2"/>
  <c r="S213" i="10" s="1"/>
  <c r="EA215" i="2"/>
  <c r="S214" i="10" s="1"/>
  <c r="EA216" i="2"/>
  <c r="S215" i="10" s="1"/>
  <c r="EA217" i="2"/>
  <c r="S216" i="10" s="1"/>
  <c r="EA218" i="2"/>
  <c r="S217" i="10" s="1"/>
  <c r="EA219" i="2"/>
  <c r="S218" i="10" s="1"/>
  <c r="EA220" i="2"/>
  <c r="S219" i="10" s="1"/>
  <c r="EA221" i="2"/>
  <c r="S220" i="10" s="1"/>
  <c r="EA222" i="2"/>
  <c r="S221" i="10" s="1"/>
  <c r="EA223" i="2"/>
  <c r="S222" i="10" s="1"/>
  <c r="EA224" i="2"/>
  <c r="S223" i="10" s="1"/>
  <c r="EA225" i="2"/>
  <c r="S224" i="10" s="1"/>
  <c r="EA226" i="2"/>
  <c r="S225" i="10" s="1"/>
  <c r="EA227" i="2"/>
  <c r="S226" i="10" s="1"/>
  <c r="EA228" i="2"/>
  <c r="S227" i="10" s="1"/>
  <c r="EA229" i="2"/>
  <c r="S228" i="10" s="1"/>
  <c r="EA230" i="2"/>
  <c r="S229" i="10" s="1"/>
  <c r="EA231" i="2"/>
  <c r="S230" i="10" s="1"/>
  <c r="EA232" i="2"/>
  <c r="S231" i="10" s="1"/>
  <c r="EA233" i="2"/>
  <c r="S232" i="10" s="1"/>
  <c r="EA234" i="2"/>
  <c r="S233" i="10" s="1"/>
  <c r="EA235" i="2"/>
  <c r="S234" i="10" s="1"/>
  <c r="EA236" i="2"/>
  <c r="S235" i="10" s="1"/>
  <c r="EA237" i="2"/>
  <c r="EA238" i="2"/>
  <c r="EA239" i="2"/>
  <c r="S238" i="10" s="1"/>
  <c r="EA240" i="2"/>
  <c r="S239" i="10" s="1"/>
  <c r="EA241" i="2"/>
  <c r="S240" i="10" s="1"/>
  <c r="EA242" i="2"/>
  <c r="S241" i="10" s="1"/>
  <c r="EA243" i="2"/>
  <c r="S242" i="10" s="1"/>
  <c r="EA244" i="2"/>
  <c r="S243" i="10" s="1"/>
  <c r="EA245" i="2"/>
  <c r="S244" i="10" s="1"/>
  <c r="EA246" i="2"/>
  <c r="S245" i="10" s="1"/>
  <c r="EA247" i="2"/>
  <c r="S246" i="10" s="1"/>
  <c r="EA248" i="2"/>
  <c r="S247" i="10" s="1"/>
  <c r="EA249" i="2"/>
  <c r="S248" i="10" s="1"/>
  <c r="EA250" i="2"/>
  <c r="S249" i="10" s="1"/>
  <c r="EA251" i="2"/>
  <c r="S250" i="10" s="1"/>
  <c r="EA252" i="2"/>
  <c r="S251" i="10" s="1"/>
  <c r="EA253" i="2"/>
  <c r="S252" i="10" s="1"/>
  <c r="EA254" i="2"/>
  <c r="S253" i="10" s="1"/>
  <c r="EA255" i="2"/>
  <c r="S254" i="10" s="1"/>
  <c r="EA256" i="2"/>
  <c r="S255" i="10" s="1"/>
  <c r="EA257" i="2"/>
  <c r="S256" i="10" s="1"/>
  <c r="EA258" i="2"/>
  <c r="S257" i="10" s="1"/>
  <c r="EA259" i="2"/>
  <c r="S258" i="10" s="1"/>
  <c r="EA260" i="2"/>
  <c r="S259" i="10" s="1"/>
  <c r="EA261" i="2"/>
  <c r="EA262" i="2"/>
  <c r="EA263" i="2"/>
  <c r="S262" i="10" s="1"/>
  <c r="EA264" i="2"/>
  <c r="S263" i="10" s="1"/>
  <c r="EA265" i="2"/>
  <c r="S264" i="10" s="1"/>
  <c r="EA266" i="2"/>
  <c r="S265" i="10" s="1"/>
  <c r="EA267" i="2"/>
  <c r="S266" i="10" s="1"/>
  <c r="EA268" i="2"/>
  <c r="S267" i="10" s="1"/>
  <c r="EA269" i="2"/>
  <c r="S268" i="10" s="1"/>
  <c r="EA270" i="2"/>
  <c r="S269" i="10" s="1"/>
  <c r="EA272" i="2"/>
  <c r="S271" i="10" s="1"/>
  <c r="EA273" i="2"/>
  <c r="S272" i="10" s="1"/>
  <c r="EA275" i="2"/>
  <c r="S274" i="10" s="1"/>
  <c r="EA276" i="2"/>
  <c r="EA277" i="2"/>
  <c r="S276" i="10" s="1"/>
  <c r="EA279" i="2"/>
  <c r="S278" i="10" s="1"/>
  <c r="EA280" i="2"/>
  <c r="S279" i="10" s="1"/>
  <c r="EA281" i="2"/>
  <c r="S280" i="10" s="1"/>
  <c r="EA283" i="2"/>
  <c r="S282" i="10" s="1"/>
  <c r="EA284" i="2"/>
  <c r="S283" i="10" s="1"/>
  <c r="EA285" i="2"/>
  <c r="S284" i="10" s="1"/>
  <c r="EA286" i="2"/>
  <c r="S285" i="10" s="1"/>
  <c r="EA287" i="2"/>
  <c r="S286" i="10" s="1"/>
  <c r="EA288" i="2"/>
  <c r="S287" i="10" s="1"/>
  <c r="EA289" i="2"/>
  <c r="S288" i="10" s="1"/>
  <c r="EA290" i="2"/>
  <c r="S289" i="10" s="1"/>
  <c r="EA292" i="2"/>
  <c r="S291" i="10" s="1"/>
  <c r="EA293" i="2"/>
  <c r="S292" i="10" s="1"/>
  <c r="EA295" i="2"/>
  <c r="S294" i="10" s="1"/>
  <c r="EA297" i="2"/>
  <c r="S296" i="10" s="1"/>
  <c r="EA298" i="2"/>
  <c r="S297" i="10" s="1"/>
  <c r="EA299" i="2"/>
  <c r="S298" i="10" s="1"/>
  <c r="EA302" i="2"/>
  <c r="S301" i="10" s="1"/>
  <c r="EA303" i="2"/>
  <c r="S302" i="10" s="1"/>
  <c r="EA305" i="2"/>
  <c r="S304" i="10" s="1"/>
  <c r="EA306" i="2"/>
  <c r="S305" i="10" s="1"/>
  <c r="EA308" i="2"/>
  <c r="S307" i="10" s="1"/>
  <c r="EA309" i="2"/>
  <c r="S308" i="10" s="1"/>
  <c r="EA310" i="2"/>
  <c r="S309" i="10" s="1"/>
  <c r="EA311" i="2"/>
  <c r="S310" i="10" s="1"/>
  <c r="EA312" i="2"/>
  <c r="S311" i="10" s="1"/>
  <c r="EA313" i="2"/>
  <c r="S312" i="10" s="1"/>
  <c r="EA317" i="2"/>
  <c r="S316" i="10" s="1"/>
  <c r="EA318" i="2"/>
  <c r="S317" i="10" s="1"/>
  <c r="EA320" i="2"/>
  <c r="S319" i="10" s="1"/>
  <c r="EA321" i="2"/>
  <c r="EA323" i="2"/>
  <c r="S322" i="10" s="1"/>
  <c r="EA324" i="2"/>
  <c r="S323" i="10" s="1"/>
  <c r="EA325" i="2"/>
  <c r="S324" i="10" s="1"/>
  <c r="EA326" i="2"/>
  <c r="EA328" i="2"/>
  <c r="S327" i="10" s="1"/>
  <c r="EA329" i="2"/>
  <c r="S328" i="10" s="1"/>
  <c r="EA330" i="2"/>
  <c r="S329" i="10" s="1"/>
  <c r="EA331" i="2"/>
  <c r="S330" i="10" s="1"/>
  <c r="EA333" i="2"/>
  <c r="S332" i="10" s="1"/>
  <c r="EA334" i="2"/>
  <c r="S333" i="10" s="1"/>
  <c r="EA335" i="2"/>
  <c r="S334" i="10" s="1"/>
  <c r="EA336" i="2"/>
  <c r="S335" i="10" s="1"/>
  <c r="EA337" i="2"/>
  <c r="S336" i="10" s="1"/>
  <c r="EA338" i="2"/>
  <c r="S337" i="10" s="1"/>
  <c r="EA339" i="2"/>
  <c r="S338" i="10" s="1"/>
  <c r="EA340" i="2"/>
  <c r="S339" i="10" s="1"/>
  <c r="EA341" i="2"/>
  <c r="S340" i="10" s="1"/>
  <c r="EA342" i="2"/>
  <c r="S341" i="10" s="1"/>
  <c r="EA343" i="2"/>
  <c r="S342" i="10" s="1"/>
  <c r="EA344" i="2"/>
  <c r="S343" i="10" s="1"/>
  <c r="EA345" i="2"/>
  <c r="S344" i="10" s="1"/>
  <c r="EA346" i="2"/>
  <c r="S345" i="10" s="1"/>
  <c r="EA352" i="2"/>
  <c r="S351" i="10" s="1"/>
  <c r="EA353" i="2"/>
  <c r="S352" i="10" s="1"/>
  <c r="EA354" i="2"/>
  <c r="S353" i="10" s="1"/>
  <c r="EA355" i="2"/>
  <c r="S354" i="10" s="1"/>
  <c r="EA356" i="2"/>
  <c r="S355" i="10" s="1"/>
  <c r="EA357" i="2"/>
  <c r="S356" i="10" s="1"/>
  <c r="EA358" i="2"/>
  <c r="S357" i="10" s="1"/>
  <c r="EA359" i="2"/>
  <c r="S358" i="10" s="1"/>
  <c r="EA360" i="2"/>
  <c r="S359" i="10" s="1"/>
  <c r="EA361" i="2"/>
  <c r="S360" i="10" s="1"/>
  <c r="EA362" i="2"/>
  <c r="S361" i="10" s="1"/>
  <c r="EA363" i="2"/>
  <c r="S362" i="10" s="1"/>
  <c r="EA364" i="2"/>
  <c r="S363" i="10" s="1"/>
  <c r="EA365" i="2"/>
  <c r="S364" i="10" s="1"/>
  <c r="EA366" i="2"/>
  <c r="S365" i="10" s="1"/>
  <c r="EA367" i="2"/>
  <c r="S366" i="10" s="1"/>
  <c r="EA368" i="2"/>
  <c r="S367" i="10" s="1"/>
  <c r="EA369" i="2"/>
  <c r="S368" i="10" s="1"/>
  <c r="EA370" i="2"/>
  <c r="S369" i="10" s="1"/>
  <c r="EA371" i="2"/>
  <c r="S370" i="10" s="1"/>
  <c r="EA372" i="2"/>
  <c r="S371" i="10" s="1"/>
  <c r="EA373" i="2"/>
  <c r="S372" i="10" s="1"/>
  <c r="EA374" i="2"/>
  <c r="S373" i="10" s="1"/>
  <c r="EA375" i="2"/>
  <c r="S374" i="10" s="1"/>
  <c r="EA376" i="2"/>
  <c r="S375" i="10" s="1"/>
  <c r="EA377" i="2"/>
  <c r="S376" i="10" s="1"/>
  <c r="EA378" i="2"/>
  <c r="S377" i="10" s="1"/>
  <c r="EA379" i="2"/>
  <c r="S378" i="10" s="1"/>
  <c r="EA380" i="2"/>
  <c r="S379" i="10" s="1"/>
  <c r="EA381" i="2"/>
  <c r="S380" i="10" s="1"/>
  <c r="EA382" i="2"/>
  <c r="S381" i="10" s="1"/>
  <c r="EA383" i="2"/>
  <c r="S382" i="10" s="1"/>
  <c r="EA384" i="2"/>
  <c r="S383" i="10" s="1"/>
  <c r="EA385" i="2"/>
  <c r="S384" i="10" s="1"/>
  <c r="EA386" i="2"/>
  <c r="S385" i="10" s="1"/>
  <c r="EA387" i="2"/>
  <c r="S386" i="10" s="1"/>
  <c r="EA388" i="2"/>
  <c r="S387" i="10" s="1"/>
  <c r="EA389" i="2"/>
  <c r="S388" i="10" s="1"/>
  <c r="EA390" i="2"/>
  <c r="S389" i="10" s="1"/>
  <c r="EA391" i="2"/>
  <c r="S390" i="10" s="1"/>
  <c r="EA392" i="2"/>
  <c r="S391" i="10" s="1"/>
  <c r="EA393" i="2"/>
  <c r="S392" i="10" s="1"/>
  <c r="EA394" i="2"/>
  <c r="S393" i="10" s="1"/>
  <c r="EA395" i="2"/>
  <c r="S394" i="10" s="1"/>
  <c r="EA396" i="2"/>
  <c r="S395" i="10" s="1"/>
  <c r="EA397" i="2"/>
  <c r="S396" i="10" s="1"/>
  <c r="EA398" i="2"/>
  <c r="S397" i="10" s="1"/>
  <c r="EA399" i="2"/>
  <c r="S398" i="10" s="1"/>
  <c r="EA400" i="2"/>
  <c r="S399" i="10" s="1"/>
  <c r="EA401" i="2"/>
  <c r="S400" i="10" s="1"/>
  <c r="EA402" i="2"/>
  <c r="S401" i="10" s="1"/>
  <c r="EA403" i="2"/>
  <c r="S402" i="10" s="1"/>
  <c r="EA404" i="2"/>
  <c r="S403" i="10" s="1"/>
  <c r="EA405" i="2"/>
  <c r="S404" i="10" s="1"/>
  <c r="EA406" i="2"/>
  <c r="S405" i="10" s="1"/>
  <c r="EA407" i="2"/>
  <c r="S406" i="10" s="1"/>
  <c r="EA408" i="2"/>
  <c r="S407" i="10" s="1"/>
  <c r="EA409" i="2"/>
  <c r="S408" i="10" s="1"/>
  <c r="EA410" i="2"/>
  <c r="S409" i="10" s="1"/>
  <c r="EA411" i="2"/>
  <c r="S410" i="10" s="1"/>
  <c r="EA412" i="2"/>
  <c r="S411" i="10" s="1"/>
  <c r="EA413" i="2"/>
  <c r="S412" i="10" s="1"/>
  <c r="EA414" i="2"/>
  <c r="S413" i="10" s="1"/>
  <c r="EA415" i="2"/>
  <c r="S414" i="10" s="1"/>
  <c r="EA416" i="2"/>
  <c r="S415" i="10" s="1"/>
  <c r="EA417" i="2"/>
  <c r="S416" i="10" s="1"/>
  <c r="EA418" i="2"/>
  <c r="S417" i="10" s="1"/>
  <c r="EA419" i="2"/>
  <c r="S418" i="10" s="1"/>
  <c r="EA420" i="2"/>
  <c r="S419" i="10" s="1"/>
  <c r="EA421" i="2"/>
  <c r="S420" i="10" s="1"/>
  <c r="EA422" i="2"/>
  <c r="S421" i="10" s="1"/>
  <c r="EA423" i="2"/>
  <c r="S422" i="10" s="1"/>
  <c r="EA424" i="2"/>
  <c r="S423" i="10" s="1"/>
  <c r="EA425" i="2"/>
  <c r="S424" i="10" s="1"/>
  <c r="EA426" i="2"/>
  <c r="S425" i="10" s="1"/>
  <c r="EA427" i="2"/>
  <c r="S426" i="10" s="1"/>
  <c r="EA428" i="2"/>
  <c r="S427" i="10" s="1"/>
  <c r="EA429" i="2"/>
  <c r="S428" i="10" s="1"/>
  <c r="EA430" i="2"/>
  <c r="S429" i="10" s="1"/>
  <c r="EA431" i="2"/>
  <c r="S430" i="10" s="1"/>
  <c r="EA435" i="2"/>
  <c r="S434" i="10" s="1"/>
  <c r="EA436" i="2"/>
  <c r="S435" i="10" s="1"/>
  <c r="EA437" i="2"/>
  <c r="S436" i="10" s="1"/>
  <c r="EA438" i="2"/>
  <c r="S437" i="10" s="1"/>
  <c r="EA439" i="2"/>
  <c r="S438" i="10" s="1"/>
  <c r="DI5" i="2"/>
  <c r="P4" i="10" s="1"/>
  <c r="DI6" i="2"/>
  <c r="P5" i="10" s="1"/>
  <c r="DI7" i="2"/>
  <c r="P6" i="10" s="1"/>
  <c r="DI8" i="2"/>
  <c r="P7" i="10" s="1"/>
  <c r="DI9" i="2"/>
  <c r="P8" i="10" s="1"/>
  <c r="DI10" i="2"/>
  <c r="P9" i="10" s="1"/>
  <c r="DI11" i="2"/>
  <c r="P10" i="10" s="1"/>
  <c r="DI12" i="2"/>
  <c r="P11" i="10" s="1"/>
  <c r="DI13" i="2"/>
  <c r="P12" i="10" s="1"/>
  <c r="DI14" i="2"/>
  <c r="P13" i="10" s="1"/>
  <c r="DI15" i="2"/>
  <c r="P14" i="10" s="1"/>
  <c r="DI16" i="2"/>
  <c r="P15" i="10" s="1"/>
  <c r="DI17" i="2"/>
  <c r="P16" i="10" s="1"/>
  <c r="DI18" i="2"/>
  <c r="P17" i="10" s="1"/>
  <c r="DI19" i="2"/>
  <c r="P18" i="10" s="1"/>
  <c r="DI20" i="2"/>
  <c r="P19" i="10" s="1"/>
  <c r="DI21" i="2"/>
  <c r="P20" i="10" s="1"/>
  <c r="DI22" i="2"/>
  <c r="P21" i="10" s="1"/>
  <c r="DI23" i="2"/>
  <c r="P22" i="10" s="1"/>
  <c r="DI24" i="2"/>
  <c r="P23" i="10" s="1"/>
  <c r="DI25" i="2"/>
  <c r="P24" i="10" s="1"/>
  <c r="DI26" i="2"/>
  <c r="P25" i="10" s="1"/>
  <c r="DI27" i="2"/>
  <c r="P26" i="10" s="1"/>
  <c r="DI28" i="2"/>
  <c r="P27" i="10" s="1"/>
  <c r="DI29" i="2"/>
  <c r="P28" i="10" s="1"/>
  <c r="DI30" i="2"/>
  <c r="P29" i="10" s="1"/>
  <c r="DI31" i="2"/>
  <c r="P30" i="10" s="1"/>
  <c r="DI32" i="2"/>
  <c r="P31" i="10" s="1"/>
  <c r="DI33" i="2"/>
  <c r="P32" i="10" s="1"/>
  <c r="DI34" i="2"/>
  <c r="P33" i="10" s="1"/>
  <c r="DI35" i="2"/>
  <c r="P34" i="10" s="1"/>
  <c r="DI36" i="2"/>
  <c r="P35" i="10" s="1"/>
  <c r="DI37" i="2"/>
  <c r="P36" i="10" s="1"/>
  <c r="DI38" i="2"/>
  <c r="P37" i="10" s="1"/>
  <c r="DI39" i="2"/>
  <c r="P38" i="10" s="1"/>
  <c r="DI40" i="2"/>
  <c r="P39" i="10" s="1"/>
  <c r="DI41" i="2"/>
  <c r="P40" i="10" s="1"/>
  <c r="DI42" i="2"/>
  <c r="P41" i="10" s="1"/>
  <c r="DI43" i="2"/>
  <c r="P42" i="10" s="1"/>
  <c r="DI44" i="2"/>
  <c r="P43" i="10" s="1"/>
  <c r="DI45" i="2"/>
  <c r="P44" i="10" s="1"/>
  <c r="DI46" i="2"/>
  <c r="P45" i="10" s="1"/>
  <c r="DI47" i="2"/>
  <c r="P46" i="10" s="1"/>
  <c r="DI48" i="2"/>
  <c r="P47" i="10" s="1"/>
  <c r="DI49" i="2"/>
  <c r="P48" i="10" s="1"/>
  <c r="DI50" i="2"/>
  <c r="P49" i="10" s="1"/>
  <c r="DI51" i="2"/>
  <c r="P50" i="10" s="1"/>
  <c r="DI52" i="2"/>
  <c r="P51" i="10" s="1"/>
  <c r="DI53" i="2"/>
  <c r="P52" i="10" s="1"/>
  <c r="DI54" i="2"/>
  <c r="P53" i="10" s="1"/>
  <c r="DI55" i="2"/>
  <c r="P54" i="10" s="1"/>
  <c r="DI56" i="2"/>
  <c r="P55" i="10" s="1"/>
  <c r="DI57" i="2"/>
  <c r="P56" i="10" s="1"/>
  <c r="DI58" i="2"/>
  <c r="P57" i="10" s="1"/>
  <c r="DI59" i="2"/>
  <c r="P58" i="10" s="1"/>
  <c r="DI60" i="2"/>
  <c r="P59" i="10" s="1"/>
  <c r="DI61" i="2"/>
  <c r="P60" i="10" s="1"/>
  <c r="DI62" i="2"/>
  <c r="P61" i="10" s="1"/>
  <c r="DI63" i="2"/>
  <c r="P62" i="10" s="1"/>
  <c r="DI64" i="2"/>
  <c r="P63" i="10" s="1"/>
  <c r="DI65" i="2"/>
  <c r="P64" i="10" s="1"/>
  <c r="DI66" i="2"/>
  <c r="P65" i="10" s="1"/>
  <c r="DI67" i="2"/>
  <c r="P66" i="10" s="1"/>
  <c r="DI68" i="2"/>
  <c r="P67" i="10" s="1"/>
  <c r="DI69" i="2"/>
  <c r="P68" i="10" s="1"/>
  <c r="DI70" i="2"/>
  <c r="P69" i="10" s="1"/>
  <c r="DI71" i="2"/>
  <c r="P70" i="10" s="1"/>
  <c r="DI72" i="2"/>
  <c r="P71" i="10" s="1"/>
  <c r="DI73" i="2"/>
  <c r="P72" i="10" s="1"/>
  <c r="DI74" i="2"/>
  <c r="P73" i="10" s="1"/>
  <c r="DI75" i="2"/>
  <c r="P74" i="10" s="1"/>
  <c r="DI76" i="2"/>
  <c r="P75" i="10" s="1"/>
  <c r="DI77" i="2"/>
  <c r="P76" i="10" s="1"/>
  <c r="DI78" i="2"/>
  <c r="P77" i="10" s="1"/>
  <c r="DI79" i="2"/>
  <c r="P78" i="10" s="1"/>
  <c r="DI80" i="2"/>
  <c r="P79" i="10" s="1"/>
  <c r="DI81" i="2"/>
  <c r="P80" i="10" s="1"/>
  <c r="DI82" i="2"/>
  <c r="P81" i="10" s="1"/>
  <c r="DI83" i="2"/>
  <c r="P82" i="10" s="1"/>
  <c r="DI84" i="2"/>
  <c r="P83" i="10" s="1"/>
  <c r="DI85" i="2"/>
  <c r="P84" i="10" s="1"/>
  <c r="DI86" i="2"/>
  <c r="P85" i="10" s="1"/>
  <c r="DI87" i="2"/>
  <c r="P86" i="10" s="1"/>
  <c r="DI88" i="2"/>
  <c r="P87" i="10" s="1"/>
  <c r="DI89" i="2"/>
  <c r="P88" i="10" s="1"/>
  <c r="DI90" i="2"/>
  <c r="P89" i="10" s="1"/>
  <c r="DI91" i="2"/>
  <c r="P90" i="10" s="1"/>
  <c r="DI92" i="2"/>
  <c r="P91" i="10" s="1"/>
  <c r="DI93" i="2"/>
  <c r="P92" i="10" s="1"/>
  <c r="DI94" i="2"/>
  <c r="P93" i="10" s="1"/>
  <c r="DI95" i="2"/>
  <c r="P94" i="10" s="1"/>
  <c r="DI96" i="2"/>
  <c r="P95" i="10" s="1"/>
  <c r="DI97" i="2"/>
  <c r="P96" i="10" s="1"/>
  <c r="DI98" i="2"/>
  <c r="P97" i="10" s="1"/>
  <c r="DI99" i="2"/>
  <c r="P98" i="10" s="1"/>
  <c r="DI100" i="2"/>
  <c r="P99" i="10" s="1"/>
  <c r="DI101" i="2"/>
  <c r="P100" i="10" s="1"/>
  <c r="DI102" i="2"/>
  <c r="P101" i="10" s="1"/>
  <c r="DI103" i="2"/>
  <c r="P102" i="10" s="1"/>
  <c r="DI104" i="2"/>
  <c r="P103" i="10" s="1"/>
  <c r="DI105" i="2"/>
  <c r="P104" i="10" s="1"/>
  <c r="DI106" i="2"/>
  <c r="P105" i="10" s="1"/>
  <c r="DI107" i="2"/>
  <c r="P106" i="10" s="1"/>
  <c r="DI108" i="2"/>
  <c r="P107" i="10" s="1"/>
  <c r="DI109" i="2"/>
  <c r="P108" i="10" s="1"/>
  <c r="DI110" i="2"/>
  <c r="P109" i="10" s="1"/>
  <c r="DI111" i="2"/>
  <c r="P110" i="10" s="1"/>
  <c r="DI112" i="2"/>
  <c r="P111" i="10" s="1"/>
  <c r="DI113" i="2"/>
  <c r="P112" i="10" s="1"/>
  <c r="DI114" i="2"/>
  <c r="P113" i="10" s="1"/>
  <c r="DI115" i="2"/>
  <c r="P114" i="10" s="1"/>
  <c r="DI116" i="2"/>
  <c r="P115" i="10" s="1"/>
  <c r="DI117" i="2"/>
  <c r="P116" i="10" s="1"/>
  <c r="DI118" i="2"/>
  <c r="P117" i="10" s="1"/>
  <c r="DI119" i="2"/>
  <c r="P118" i="10" s="1"/>
  <c r="DI120" i="2"/>
  <c r="P119" i="10" s="1"/>
  <c r="DI121" i="2"/>
  <c r="P120" i="10" s="1"/>
  <c r="DI122" i="2"/>
  <c r="P121" i="10" s="1"/>
  <c r="DI123" i="2"/>
  <c r="P122" i="10" s="1"/>
  <c r="DI124" i="2"/>
  <c r="P123" i="10" s="1"/>
  <c r="DI125" i="2"/>
  <c r="P124" i="10" s="1"/>
  <c r="DI126" i="2"/>
  <c r="P125" i="10" s="1"/>
  <c r="DI127" i="2"/>
  <c r="P126" i="10" s="1"/>
  <c r="DI128" i="2"/>
  <c r="P127" i="10" s="1"/>
  <c r="DI129" i="2"/>
  <c r="P128" i="10" s="1"/>
  <c r="DI130" i="2"/>
  <c r="P129" i="10" s="1"/>
  <c r="DI131" i="2"/>
  <c r="P130" i="10" s="1"/>
  <c r="DI132" i="2"/>
  <c r="P131" i="10" s="1"/>
  <c r="DI133" i="2"/>
  <c r="P132" i="10" s="1"/>
  <c r="DI134" i="2"/>
  <c r="P133" i="10" s="1"/>
  <c r="DI135" i="2"/>
  <c r="P134" i="10" s="1"/>
  <c r="DI136" i="2"/>
  <c r="P135" i="10" s="1"/>
  <c r="DI137" i="2"/>
  <c r="P136" i="10" s="1"/>
  <c r="DI138" i="2"/>
  <c r="P137" i="10" s="1"/>
  <c r="DI139" i="2"/>
  <c r="P138" i="10" s="1"/>
  <c r="DI140" i="2"/>
  <c r="P139" i="10" s="1"/>
  <c r="DI141" i="2"/>
  <c r="P140" i="10" s="1"/>
  <c r="DI142" i="2"/>
  <c r="P141" i="10" s="1"/>
  <c r="DI143" i="2"/>
  <c r="P142" i="10" s="1"/>
  <c r="DI144" i="2"/>
  <c r="P143" i="10" s="1"/>
  <c r="DI145" i="2"/>
  <c r="P144" i="10" s="1"/>
  <c r="DI146" i="2"/>
  <c r="P145" i="10" s="1"/>
  <c r="DI147" i="2"/>
  <c r="P146" i="10" s="1"/>
  <c r="DI148" i="2"/>
  <c r="P147" i="10" s="1"/>
  <c r="DI149" i="2"/>
  <c r="P148" i="10" s="1"/>
  <c r="DI150" i="2"/>
  <c r="P149" i="10" s="1"/>
  <c r="DI151" i="2"/>
  <c r="P150" i="10" s="1"/>
  <c r="DI152" i="2"/>
  <c r="P151" i="10" s="1"/>
  <c r="DI153" i="2"/>
  <c r="P152" i="10" s="1"/>
  <c r="DI154" i="2"/>
  <c r="P153" i="10" s="1"/>
  <c r="DI155" i="2"/>
  <c r="P154" i="10" s="1"/>
  <c r="DI156" i="2"/>
  <c r="P155" i="10" s="1"/>
  <c r="DI157" i="2"/>
  <c r="P156" i="10" s="1"/>
  <c r="DI158" i="2"/>
  <c r="P157" i="10" s="1"/>
  <c r="DI159" i="2"/>
  <c r="P158" i="10" s="1"/>
  <c r="DI160" i="2"/>
  <c r="P159" i="10" s="1"/>
  <c r="DI161" i="2"/>
  <c r="P160" i="10" s="1"/>
  <c r="DI162" i="2"/>
  <c r="P161" i="10" s="1"/>
  <c r="DI163" i="2"/>
  <c r="P162" i="10" s="1"/>
  <c r="DI164" i="2"/>
  <c r="P163" i="10" s="1"/>
  <c r="DI165" i="2"/>
  <c r="P164" i="10" s="1"/>
  <c r="DI166" i="2"/>
  <c r="P165" i="10" s="1"/>
  <c r="DI167" i="2"/>
  <c r="P166" i="10" s="1"/>
  <c r="DI168" i="2"/>
  <c r="P167" i="10" s="1"/>
  <c r="DI169" i="2"/>
  <c r="P168" i="10" s="1"/>
  <c r="DI170" i="2"/>
  <c r="P169" i="10" s="1"/>
  <c r="DI171" i="2"/>
  <c r="P170" i="10" s="1"/>
  <c r="DI172" i="2"/>
  <c r="P171" i="10" s="1"/>
  <c r="DI173" i="2"/>
  <c r="P172" i="10" s="1"/>
  <c r="DI174" i="2"/>
  <c r="P173" i="10" s="1"/>
  <c r="DI175" i="2"/>
  <c r="P174" i="10" s="1"/>
  <c r="DI176" i="2"/>
  <c r="P175" i="10" s="1"/>
  <c r="DI177" i="2"/>
  <c r="P176" i="10" s="1"/>
  <c r="DI178" i="2"/>
  <c r="P177" i="10" s="1"/>
  <c r="DI179" i="2"/>
  <c r="P178" i="10" s="1"/>
  <c r="DI180" i="2"/>
  <c r="P179" i="10" s="1"/>
  <c r="DI181" i="2"/>
  <c r="P180" i="10" s="1"/>
  <c r="DI182" i="2"/>
  <c r="P181" i="10" s="1"/>
  <c r="DI183" i="2"/>
  <c r="P182" i="10" s="1"/>
  <c r="DI184" i="2"/>
  <c r="P183" i="10" s="1"/>
  <c r="DI185" i="2"/>
  <c r="P184" i="10" s="1"/>
  <c r="DI186" i="2"/>
  <c r="P185" i="10" s="1"/>
  <c r="DI187" i="2"/>
  <c r="P186" i="10" s="1"/>
  <c r="DI188" i="2"/>
  <c r="P187" i="10" s="1"/>
  <c r="DI189" i="2"/>
  <c r="P188" i="10" s="1"/>
  <c r="DI190" i="2"/>
  <c r="P189" i="10" s="1"/>
  <c r="DI191" i="2"/>
  <c r="P190" i="10" s="1"/>
  <c r="DI192" i="2"/>
  <c r="P191" i="10" s="1"/>
  <c r="DI193" i="2"/>
  <c r="P192" i="10" s="1"/>
  <c r="DI194" i="2"/>
  <c r="P193" i="10" s="1"/>
  <c r="DI195" i="2"/>
  <c r="P194" i="10" s="1"/>
  <c r="DI196" i="2"/>
  <c r="P195" i="10" s="1"/>
  <c r="DI197" i="2"/>
  <c r="P196" i="10" s="1"/>
  <c r="DI198" i="2"/>
  <c r="P197" i="10" s="1"/>
  <c r="DI199" i="2"/>
  <c r="P198" i="10" s="1"/>
  <c r="DI200" i="2"/>
  <c r="P199" i="10" s="1"/>
  <c r="DI201" i="2"/>
  <c r="P200" i="10" s="1"/>
  <c r="DI202" i="2"/>
  <c r="P201" i="10" s="1"/>
  <c r="DI203" i="2"/>
  <c r="P202" i="10" s="1"/>
  <c r="DI204" i="2"/>
  <c r="P203" i="10" s="1"/>
  <c r="DI205" i="2"/>
  <c r="P204" i="10" s="1"/>
  <c r="DI206" i="2"/>
  <c r="P205" i="10" s="1"/>
  <c r="DI207" i="2"/>
  <c r="P206" i="10" s="1"/>
  <c r="DI208" i="2"/>
  <c r="P207" i="10" s="1"/>
  <c r="DI209" i="2"/>
  <c r="P208" i="10" s="1"/>
  <c r="DI210" i="2"/>
  <c r="P209" i="10" s="1"/>
  <c r="DI211" i="2"/>
  <c r="P210" i="10" s="1"/>
  <c r="DI212" i="2"/>
  <c r="P211" i="10" s="1"/>
  <c r="DI213" i="2"/>
  <c r="P212" i="10" s="1"/>
  <c r="DI214" i="2"/>
  <c r="P213" i="10" s="1"/>
  <c r="DI215" i="2"/>
  <c r="P214" i="10" s="1"/>
  <c r="DI216" i="2"/>
  <c r="P215" i="10" s="1"/>
  <c r="DI217" i="2"/>
  <c r="P216" i="10" s="1"/>
  <c r="DI218" i="2"/>
  <c r="P217" i="10" s="1"/>
  <c r="DI219" i="2"/>
  <c r="P218" i="10" s="1"/>
  <c r="DI220" i="2"/>
  <c r="P219" i="10" s="1"/>
  <c r="DI221" i="2"/>
  <c r="P220" i="10" s="1"/>
  <c r="DI222" i="2"/>
  <c r="P221" i="10" s="1"/>
  <c r="DI223" i="2"/>
  <c r="P222" i="10" s="1"/>
  <c r="DI224" i="2"/>
  <c r="P223" i="10" s="1"/>
  <c r="DI225" i="2"/>
  <c r="P224" i="10" s="1"/>
  <c r="DI226" i="2"/>
  <c r="P225" i="10" s="1"/>
  <c r="DI227" i="2"/>
  <c r="P226" i="10" s="1"/>
  <c r="DI228" i="2"/>
  <c r="P227" i="10" s="1"/>
  <c r="DI229" i="2"/>
  <c r="P228" i="10" s="1"/>
  <c r="DI230" i="2"/>
  <c r="P229" i="10" s="1"/>
  <c r="DI231" i="2"/>
  <c r="P230" i="10" s="1"/>
  <c r="DI232" i="2"/>
  <c r="P231" i="10" s="1"/>
  <c r="DI233" i="2"/>
  <c r="P232" i="10" s="1"/>
  <c r="DI234" i="2"/>
  <c r="P233" i="10" s="1"/>
  <c r="DI235" i="2"/>
  <c r="P234" i="10" s="1"/>
  <c r="DI236" i="2"/>
  <c r="P235" i="10" s="1"/>
  <c r="DI237" i="2"/>
  <c r="P236" i="10" s="1"/>
  <c r="DI238" i="2"/>
  <c r="P237" i="10" s="1"/>
  <c r="DI239" i="2"/>
  <c r="P238" i="10" s="1"/>
  <c r="DI240" i="2"/>
  <c r="P239" i="10" s="1"/>
  <c r="DI241" i="2"/>
  <c r="P240" i="10" s="1"/>
  <c r="DI242" i="2"/>
  <c r="P241" i="10" s="1"/>
  <c r="DI243" i="2"/>
  <c r="P242" i="10" s="1"/>
  <c r="DI244" i="2"/>
  <c r="P243" i="10" s="1"/>
  <c r="DI245" i="2"/>
  <c r="P244" i="10" s="1"/>
  <c r="DI246" i="2"/>
  <c r="P245" i="10" s="1"/>
  <c r="DI247" i="2"/>
  <c r="P246" i="10" s="1"/>
  <c r="DI248" i="2"/>
  <c r="P247" i="10" s="1"/>
  <c r="DI249" i="2"/>
  <c r="P248" i="10" s="1"/>
  <c r="DI250" i="2"/>
  <c r="P249" i="10" s="1"/>
  <c r="DI251" i="2"/>
  <c r="P250" i="10" s="1"/>
  <c r="DI252" i="2"/>
  <c r="P251" i="10" s="1"/>
  <c r="DI253" i="2"/>
  <c r="P252" i="10" s="1"/>
  <c r="DI254" i="2"/>
  <c r="P253" i="10" s="1"/>
  <c r="DI255" i="2"/>
  <c r="P254" i="10" s="1"/>
  <c r="DI256" i="2"/>
  <c r="P255" i="10" s="1"/>
  <c r="DI257" i="2"/>
  <c r="P256" i="10" s="1"/>
  <c r="DI258" i="2"/>
  <c r="P257" i="10" s="1"/>
  <c r="DI259" i="2"/>
  <c r="P258" i="10" s="1"/>
  <c r="DI260" i="2"/>
  <c r="P259" i="10" s="1"/>
  <c r="DI261" i="2"/>
  <c r="P260" i="10" s="1"/>
  <c r="DI262" i="2"/>
  <c r="P261" i="10" s="1"/>
  <c r="DI263" i="2"/>
  <c r="P262" i="10" s="1"/>
  <c r="DI264" i="2"/>
  <c r="P263" i="10" s="1"/>
  <c r="DI265" i="2"/>
  <c r="P264" i="10" s="1"/>
  <c r="DI266" i="2"/>
  <c r="P265" i="10" s="1"/>
  <c r="DI267" i="2"/>
  <c r="P266" i="10" s="1"/>
  <c r="DI268" i="2"/>
  <c r="P267" i="10" s="1"/>
  <c r="DI269" i="2"/>
  <c r="P268" i="10" s="1"/>
  <c r="DI270" i="2"/>
  <c r="P269" i="10" s="1"/>
  <c r="DI272" i="2"/>
  <c r="P271" i="10" s="1"/>
  <c r="DI273" i="2"/>
  <c r="P272" i="10" s="1"/>
  <c r="DI275" i="2"/>
  <c r="P274" i="10" s="1"/>
  <c r="DI276" i="2"/>
  <c r="P275" i="10" s="1"/>
  <c r="DI277" i="2"/>
  <c r="P276" i="10" s="1"/>
  <c r="DI279" i="2"/>
  <c r="P278" i="10" s="1"/>
  <c r="DI280" i="2"/>
  <c r="P279" i="10" s="1"/>
  <c r="DI281" i="2"/>
  <c r="P280" i="10" s="1"/>
  <c r="DI283" i="2"/>
  <c r="P282" i="10" s="1"/>
  <c r="DI284" i="2"/>
  <c r="P283" i="10" s="1"/>
  <c r="DI285" i="2"/>
  <c r="P284" i="10" s="1"/>
  <c r="DI286" i="2"/>
  <c r="P285" i="10" s="1"/>
  <c r="DI287" i="2"/>
  <c r="P286" i="10" s="1"/>
  <c r="DI288" i="2"/>
  <c r="P287" i="10" s="1"/>
  <c r="DI289" i="2"/>
  <c r="P288" i="10" s="1"/>
  <c r="DI290" i="2"/>
  <c r="P289" i="10" s="1"/>
  <c r="DI292" i="2"/>
  <c r="P291" i="10" s="1"/>
  <c r="DI293" i="2"/>
  <c r="P292" i="10" s="1"/>
  <c r="DI295" i="2"/>
  <c r="P294" i="10" s="1"/>
  <c r="DI297" i="2"/>
  <c r="P296" i="10" s="1"/>
  <c r="DI298" i="2"/>
  <c r="P297" i="10" s="1"/>
  <c r="DI299" i="2"/>
  <c r="P298" i="10" s="1"/>
  <c r="DI302" i="2"/>
  <c r="P301" i="10" s="1"/>
  <c r="DI303" i="2"/>
  <c r="P302" i="10" s="1"/>
  <c r="DI305" i="2"/>
  <c r="P304" i="10" s="1"/>
  <c r="DI306" i="2"/>
  <c r="P305" i="10" s="1"/>
  <c r="DI308" i="2"/>
  <c r="P307" i="10" s="1"/>
  <c r="DI309" i="2"/>
  <c r="P308" i="10" s="1"/>
  <c r="DI310" i="2"/>
  <c r="P309" i="10" s="1"/>
  <c r="DI311" i="2"/>
  <c r="P310" i="10" s="1"/>
  <c r="DI312" i="2"/>
  <c r="P311" i="10" s="1"/>
  <c r="DI313" i="2"/>
  <c r="P312" i="10" s="1"/>
  <c r="DI317" i="2"/>
  <c r="P316" i="10" s="1"/>
  <c r="DI318" i="2"/>
  <c r="P317" i="10" s="1"/>
  <c r="DI320" i="2"/>
  <c r="P319" i="10" s="1"/>
  <c r="DI321" i="2"/>
  <c r="P320" i="10" s="1"/>
  <c r="DI323" i="2"/>
  <c r="P322" i="10" s="1"/>
  <c r="DI324" i="2"/>
  <c r="P323" i="10" s="1"/>
  <c r="DI325" i="2"/>
  <c r="P324" i="10" s="1"/>
  <c r="DI326" i="2"/>
  <c r="P325" i="10" s="1"/>
  <c r="DI328" i="2"/>
  <c r="P327" i="10" s="1"/>
  <c r="DI329" i="2"/>
  <c r="P328" i="10" s="1"/>
  <c r="DI330" i="2"/>
  <c r="P329" i="10" s="1"/>
  <c r="DI331" i="2"/>
  <c r="P330" i="10" s="1"/>
  <c r="DI333" i="2"/>
  <c r="P332" i="10" s="1"/>
  <c r="DI334" i="2"/>
  <c r="P333" i="10" s="1"/>
  <c r="DI335" i="2"/>
  <c r="P334" i="10" s="1"/>
  <c r="DI336" i="2"/>
  <c r="P335" i="10" s="1"/>
  <c r="DI337" i="2"/>
  <c r="P336" i="10" s="1"/>
  <c r="DI338" i="2"/>
  <c r="P337" i="10" s="1"/>
  <c r="DI339" i="2"/>
  <c r="P338" i="10" s="1"/>
  <c r="DI340" i="2"/>
  <c r="P339" i="10" s="1"/>
  <c r="DI341" i="2"/>
  <c r="P340" i="10" s="1"/>
  <c r="DI342" i="2"/>
  <c r="P341" i="10" s="1"/>
  <c r="DI343" i="2"/>
  <c r="P342" i="10" s="1"/>
  <c r="DI344" i="2"/>
  <c r="P343" i="10" s="1"/>
  <c r="DI345" i="2"/>
  <c r="P344" i="10" s="1"/>
  <c r="DI346" i="2"/>
  <c r="P345" i="10" s="1"/>
  <c r="DI347" i="2"/>
  <c r="P346" i="10" s="1"/>
  <c r="DI348" i="2"/>
  <c r="P347" i="10" s="1"/>
  <c r="DI349" i="2"/>
  <c r="P348" i="10" s="1"/>
  <c r="DI350" i="2"/>
  <c r="P349" i="10" s="1"/>
  <c r="DI351" i="2"/>
  <c r="P350" i="10" s="1"/>
  <c r="DI352" i="2"/>
  <c r="P351" i="10" s="1"/>
  <c r="DI353" i="2"/>
  <c r="P352" i="10" s="1"/>
  <c r="DI354" i="2"/>
  <c r="P353" i="10" s="1"/>
  <c r="DI355" i="2"/>
  <c r="P354" i="10" s="1"/>
  <c r="DI356" i="2"/>
  <c r="P355" i="10" s="1"/>
  <c r="DI357" i="2"/>
  <c r="P356" i="10" s="1"/>
  <c r="DI358" i="2"/>
  <c r="P357" i="10" s="1"/>
  <c r="DI359" i="2"/>
  <c r="P358" i="10" s="1"/>
  <c r="DI360" i="2"/>
  <c r="P359" i="10" s="1"/>
  <c r="DI361" i="2"/>
  <c r="P360" i="10" s="1"/>
  <c r="DI362" i="2"/>
  <c r="P361" i="10" s="1"/>
  <c r="DI363" i="2"/>
  <c r="P362" i="10" s="1"/>
  <c r="DI364" i="2"/>
  <c r="P363" i="10" s="1"/>
  <c r="DI365" i="2"/>
  <c r="P364" i="10" s="1"/>
  <c r="DI366" i="2"/>
  <c r="P365" i="10" s="1"/>
  <c r="DI367" i="2"/>
  <c r="P366" i="10" s="1"/>
  <c r="DI368" i="2"/>
  <c r="P367" i="10" s="1"/>
  <c r="DI369" i="2"/>
  <c r="P368" i="10" s="1"/>
  <c r="DI370" i="2"/>
  <c r="P369" i="10" s="1"/>
  <c r="DI371" i="2"/>
  <c r="P370" i="10" s="1"/>
  <c r="DI372" i="2"/>
  <c r="P371" i="10" s="1"/>
  <c r="DI373" i="2"/>
  <c r="P372" i="10" s="1"/>
  <c r="DI374" i="2"/>
  <c r="P373" i="10" s="1"/>
  <c r="DI375" i="2"/>
  <c r="P374" i="10" s="1"/>
  <c r="DI376" i="2"/>
  <c r="P375" i="10" s="1"/>
  <c r="DI377" i="2"/>
  <c r="P376" i="10" s="1"/>
  <c r="DI378" i="2"/>
  <c r="P377" i="10" s="1"/>
  <c r="DI379" i="2"/>
  <c r="P378" i="10" s="1"/>
  <c r="DI380" i="2"/>
  <c r="P379" i="10" s="1"/>
  <c r="DI381" i="2"/>
  <c r="P380" i="10" s="1"/>
  <c r="DI382" i="2"/>
  <c r="P381" i="10" s="1"/>
  <c r="DI383" i="2"/>
  <c r="P382" i="10" s="1"/>
  <c r="DI384" i="2"/>
  <c r="P383" i="10" s="1"/>
  <c r="DI385" i="2"/>
  <c r="P384" i="10" s="1"/>
  <c r="DI386" i="2"/>
  <c r="P385" i="10" s="1"/>
  <c r="DI387" i="2"/>
  <c r="P386" i="10" s="1"/>
  <c r="DI388" i="2"/>
  <c r="P387" i="10" s="1"/>
  <c r="DI389" i="2"/>
  <c r="P388" i="10" s="1"/>
  <c r="DI390" i="2"/>
  <c r="P389" i="10" s="1"/>
  <c r="DI391" i="2"/>
  <c r="P390" i="10" s="1"/>
  <c r="DI392" i="2"/>
  <c r="P391" i="10" s="1"/>
  <c r="DI393" i="2"/>
  <c r="P392" i="10" s="1"/>
  <c r="DI394" i="2"/>
  <c r="P393" i="10" s="1"/>
  <c r="DI395" i="2"/>
  <c r="P394" i="10" s="1"/>
  <c r="DI396" i="2"/>
  <c r="P395" i="10" s="1"/>
  <c r="DI397" i="2"/>
  <c r="P396" i="10" s="1"/>
  <c r="DI398" i="2"/>
  <c r="P397" i="10" s="1"/>
  <c r="DI399" i="2"/>
  <c r="P398" i="10" s="1"/>
  <c r="DI400" i="2"/>
  <c r="P399" i="10" s="1"/>
  <c r="DI401" i="2"/>
  <c r="P400" i="10" s="1"/>
  <c r="DI402" i="2"/>
  <c r="P401" i="10" s="1"/>
  <c r="DI403" i="2"/>
  <c r="P402" i="10" s="1"/>
  <c r="DI404" i="2"/>
  <c r="P403" i="10" s="1"/>
  <c r="DI405" i="2"/>
  <c r="P404" i="10" s="1"/>
  <c r="DI406" i="2"/>
  <c r="P405" i="10" s="1"/>
  <c r="DI407" i="2"/>
  <c r="P406" i="10" s="1"/>
  <c r="DI408" i="2"/>
  <c r="P407" i="10" s="1"/>
  <c r="DI409" i="2"/>
  <c r="P408" i="10" s="1"/>
  <c r="DI410" i="2"/>
  <c r="P409" i="10" s="1"/>
  <c r="DI411" i="2"/>
  <c r="P410" i="10" s="1"/>
  <c r="DI412" i="2"/>
  <c r="P411" i="10" s="1"/>
  <c r="DI413" i="2"/>
  <c r="P412" i="10" s="1"/>
  <c r="DI414" i="2"/>
  <c r="P413" i="10" s="1"/>
  <c r="DI415" i="2"/>
  <c r="P414" i="10" s="1"/>
  <c r="DI416" i="2"/>
  <c r="P415" i="10" s="1"/>
  <c r="DI417" i="2"/>
  <c r="P416" i="10" s="1"/>
  <c r="DI418" i="2"/>
  <c r="P417" i="10" s="1"/>
  <c r="DI419" i="2"/>
  <c r="P418" i="10" s="1"/>
  <c r="DI420" i="2"/>
  <c r="P419" i="10" s="1"/>
  <c r="DI421" i="2"/>
  <c r="P420" i="10" s="1"/>
  <c r="DI422" i="2"/>
  <c r="P421" i="10" s="1"/>
  <c r="DI423" i="2"/>
  <c r="P422" i="10" s="1"/>
  <c r="DI424" i="2"/>
  <c r="P423" i="10" s="1"/>
  <c r="DI425" i="2"/>
  <c r="P424" i="10" s="1"/>
  <c r="DI426" i="2"/>
  <c r="P425" i="10" s="1"/>
  <c r="DI427" i="2"/>
  <c r="P426" i="10" s="1"/>
  <c r="DI428" i="2"/>
  <c r="P427" i="10" s="1"/>
  <c r="DI429" i="2"/>
  <c r="P428" i="10" s="1"/>
  <c r="DI430" i="2"/>
  <c r="P429" i="10" s="1"/>
  <c r="DI431" i="2"/>
  <c r="P430" i="10" s="1"/>
  <c r="DI435" i="2"/>
  <c r="P434" i="10" s="1"/>
  <c r="DI436" i="2"/>
  <c r="P435" i="10" s="1"/>
  <c r="DI437" i="2"/>
  <c r="P436" i="10" s="1"/>
  <c r="DI438" i="2"/>
  <c r="P437" i="10" s="1"/>
  <c r="DI439" i="2"/>
  <c r="P438" i="10" s="1"/>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1" i="10"/>
  <c r="O272" i="10"/>
  <c r="O274" i="10"/>
  <c r="O275" i="10"/>
  <c r="O276" i="10"/>
  <c r="O278" i="10"/>
  <c r="O279" i="10"/>
  <c r="O280" i="10"/>
  <c r="O282" i="10"/>
  <c r="O283" i="10"/>
  <c r="O284" i="10"/>
  <c r="O285" i="10"/>
  <c r="O286" i="10"/>
  <c r="O287" i="10"/>
  <c r="O288" i="10"/>
  <c r="O289" i="10"/>
  <c r="O291" i="10"/>
  <c r="O292" i="10"/>
  <c r="O294" i="10"/>
  <c r="O296" i="10"/>
  <c r="O297" i="10"/>
  <c r="O298" i="10"/>
  <c r="O301" i="10"/>
  <c r="O302" i="10"/>
  <c r="O304" i="10"/>
  <c r="O305" i="10"/>
  <c r="O307" i="10"/>
  <c r="O308" i="10"/>
  <c r="O309" i="10"/>
  <c r="O310" i="10"/>
  <c r="O311" i="10"/>
  <c r="O312" i="10"/>
  <c r="O316" i="10"/>
  <c r="O317" i="10"/>
  <c r="O319" i="10"/>
  <c r="O320" i="10"/>
  <c r="O322" i="10"/>
  <c r="O323" i="10"/>
  <c r="O324" i="10"/>
  <c r="O325" i="10"/>
  <c r="O327" i="10"/>
  <c r="O328" i="10"/>
  <c r="O329" i="10"/>
  <c r="O330"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4" i="10"/>
  <c r="O435" i="10"/>
  <c r="O436" i="10"/>
  <c r="O437" i="10"/>
  <c r="O438" i="10"/>
  <c r="ES240" i="2"/>
  <c r="ES239" i="2"/>
  <c r="AB382" i="10" l="1"/>
  <c r="AB375" i="10"/>
  <c r="AK12" i="9"/>
  <c r="AF10" i="9"/>
  <c r="AB286" i="10"/>
  <c r="AB264" i="10"/>
  <c r="AB242" i="10"/>
  <c r="AB220" i="10"/>
  <c r="AB329" i="10"/>
  <c r="AB307" i="10"/>
  <c r="AB263" i="10"/>
  <c r="AB241" i="10"/>
  <c r="AB197" i="10"/>
  <c r="AB328" i="10"/>
  <c r="AB306" i="10"/>
  <c r="AB262" i="10"/>
  <c r="AB240" i="10"/>
  <c r="AB218" i="10"/>
  <c r="AB127" i="10"/>
  <c r="AB327" i="10"/>
  <c r="AB283" i="10"/>
  <c r="AB261" i="10"/>
  <c r="AB239" i="10"/>
  <c r="AB126" i="10"/>
  <c r="AB326" i="10"/>
  <c r="AB282" i="10"/>
  <c r="AB172" i="10"/>
  <c r="AB303" i="10"/>
  <c r="AB77" i="10"/>
  <c r="AB324" i="10"/>
  <c r="AB236" i="10"/>
  <c r="AB170" i="10"/>
  <c r="AB323" i="10"/>
  <c r="AB279" i="10"/>
  <c r="AB257" i="10"/>
  <c r="AB191" i="10"/>
  <c r="AB169" i="10"/>
  <c r="AB322" i="10"/>
  <c r="AB300" i="10"/>
  <c r="AB278" i="10"/>
  <c r="AB212" i="10"/>
  <c r="AB168" i="10"/>
  <c r="AB321" i="10"/>
  <c r="AB277" i="10"/>
  <c r="AB189" i="10"/>
  <c r="AB167" i="10"/>
  <c r="AB210" i="10"/>
  <c r="AB56" i="10"/>
  <c r="AB319" i="10"/>
  <c r="AB275" i="10"/>
  <c r="AB187" i="10"/>
  <c r="AB33" i="10"/>
  <c r="AB252" i="10"/>
  <c r="AB208" i="10"/>
  <c r="AB29" i="10"/>
  <c r="AB339" i="10"/>
  <c r="AB295" i="10"/>
  <c r="AB273" i="10"/>
  <c r="AB251" i="10"/>
  <c r="AB207" i="10"/>
  <c r="AB316" i="10"/>
  <c r="AB250" i="10"/>
  <c r="AB206" i="10"/>
  <c r="AB315" i="10"/>
  <c r="AB293" i="10"/>
  <c r="AB249" i="10"/>
  <c r="AB227" i="10"/>
  <c r="AB205" i="10"/>
  <c r="AB336" i="10"/>
  <c r="AB270" i="10"/>
  <c r="AB248" i="10"/>
  <c r="AB226" i="10"/>
  <c r="AB182" i="10"/>
  <c r="AB335" i="10"/>
  <c r="AB291" i="10"/>
  <c r="AB247" i="10"/>
  <c r="AB225" i="10"/>
  <c r="AB203" i="10"/>
  <c r="AB290" i="10"/>
  <c r="AB268" i="10"/>
  <c r="AB246" i="10"/>
  <c r="AB224" i="10"/>
  <c r="AB333" i="10"/>
  <c r="AB267" i="10"/>
  <c r="AB245" i="10"/>
  <c r="AB223" i="10"/>
  <c r="AB332" i="10"/>
  <c r="AB288" i="10"/>
  <c r="AB266" i="10"/>
  <c r="AB244" i="10"/>
  <c r="AB222" i="10"/>
  <c r="AB265" i="10"/>
  <c r="AB243" i="10"/>
  <c r="AB177" i="10"/>
  <c r="AB344" i="10"/>
  <c r="AA344" i="10"/>
  <c r="Z344" i="10"/>
  <c r="Y344" i="10"/>
  <c r="S260" i="10"/>
  <c r="BC6" i="3"/>
  <c r="S261" i="10"/>
  <c r="BC5" i="3"/>
  <c r="S275" i="10"/>
  <c r="BC7" i="3"/>
  <c r="S320" i="10"/>
  <c r="BC9" i="3"/>
  <c r="S325" i="10"/>
  <c r="BC8" i="3"/>
  <c r="S236" i="10"/>
  <c r="BC11" i="3"/>
  <c r="S237" i="10"/>
  <c r="BC10" i="3"/>
  <c r="AS11" i="3"/>
  <c r="AP11" i="3"/>
  <c r="AR11" i="3"/>
  <c r="AQ11" i="3"/>
  <c r="AA283" i="10"/>
  <c r="Z243" i="10"/>
  <c r="Z283" i="10"/>
  <c r="Z286" i="10"/>
  <c r="Z291" i="10"/>
  <c r="Q129" i="2"/>
  <c r="H128" i="10" s="1"/>
  <c r="AB128" i="10"/>
  <c r="Q130" i="2"/>
  <c r="H129" i="10" s="1"/>
  <c r="AB129" i="10"/>
  <c r="Q131" i="2"/>
  <c r="H130" i="10" s="1"/>
  <c r="AB130" i="10"/>
  <c r="Q132" i="2"/>
  <c r="H131" i="10" s="1"/>
  <c r="AB131" i="10"/>
  <c r="Q133" i="2"/>
  <c r="H132" i="10" s="1"/>
  <c r="AB132" i="10"/>
  <c r="Q134" i="2"/>
  <c r="H133" i="10" s="1"/>
  <c r="AB133" i="10"/>
  <c r="Q135" i="2"/>
  <c r="H134" i="10" s="1"/>
  <c r="AB134" i="10"/>
  <c r="Q137" i="2"/>
  <c r="H136" i="10" s="1"/>
  <c r="AB136" i="10"/>
  <c r="Q138" i="2"/>
  <c r="H137" i="10" s="1"/>
  <c r="AB137" i="10"/>
  <c r="Q139" i="2"/>
  <c r="H138" i="10" s="1"/>
  <c r="AB138" i="10"/>
  <c r="Q140" i="2"/>
  <c r="H139" i="10" s="1"/>
  <c r="AB139" i="10"/>
  <c r="Q141" i="2"/>
  <c r="H140" i="10" s="1"/>
  <c r="AB140" i="10"/>
  <c r="Q142" i="2"/>
  <c r="H141" i="10" s="1"/>
  <c r="AB141" i="10"/>
  <c r="Q143" i="2"/>
  <c r="H142" i="10" s="1"/>
  <c r="AB142" i="10"/>
  <c r="Q144" i="2"/>
  <c r="H143" i="10" s="1"/>
  <c r="AB143" i="10"/>
  <c r="Q145" i="2"/>
  <c r="H144" i="10" s="1"/>
  <c r="AB144" i="10"/>
  <c r="Q146" i="2"/>
  <c r="H145" i="10" s="1"/>
  <c r="AB145" i="10"/>
  <c r="Q147" i="2"/>
  <c r="H146" i="10" s="1"/>
  <c r="AB146" i="10"/>
  <c r="Q148" i="2"/>
  <c r="H147" i="10" s="1"/>
  <c r="AB147" i="10"/>
  <c r="Q149" i="2"/>
  <c r="H148" i="10" s="1"/>
  <c r="AB148" i="10"/>
  <c r="Q152" i="2"/>
  <c r="H151" i="10" s="1"/>
  <c r="AB151" i="10"/>
  <c r="Q153" i="2"/>
  <c r="H152" i="10" s="1"/>
  <c r="AB152" i="10"/>
  <c r="Q154" i="2"/>
  <c r="H153" i="10" s="1"/>
  <c r="AB153" i="10"/>
  <c r="Q155" i="2"/>
  <c r="H154" i="10" s="1"/>
  <c r="AB154" i="10"/>
  <c r="Q156" i="2"/>
  <c r="H155" i="10" s="1"/>
  <c r="AB155" i="10"/>
  <c r="Q157" i="2"/>
  <c r="H156" i="10" s="1"/>
  <c r="AB156" i="10"/>
  <c r="Q158" i="2"/>
  <c r="H157" i="10" s="1"/>
  <c r="AB157" i="10"/>
  <c r="Q159" i="2"/>
  <c r="H158" i="10" s="1"/>
  <c r="AB158" i="10"/>
  <c r="Q160" i="2"/>
  <c r="H159" i="10" s="1"/>
  <c r="AB159" i="10"/>
  <c r="Q161" i="2"/>
  <c r="H160" i="10" s="1"/>
  <c r="AB160" i="10"/>
  <c r="Q162" i="2"/>
  <c r="H161" i="10" s="1"/>
  <c r="AB161" i="10"/>
  <c r="Q163" i="2"/>
  <c r="H162" i="10" s="1"/>
  <c r="AB162" i="10"/>
  <c r="Q164" i="2"/>
  <c r="H163" i="10" s="1"/>
  <c r="AB163" i="10"/>
  <c r="Q165" i="2"/>
  <c r="H164" i="10" s="1"/>
  <c r="AB164" i="10"/>
  <c r="Q166" i="2"/>
  <c r="H165" i="10" s="1"/>
  <c r="AB165" i="10"/>
  <c r="Q172" i="2"/>
  <c r="H171" i="10" s="1"/>
  <c r="AB171" i="10"/>
  <c r="Q174" i="2"/>
  <c r="H173" i="10" s="1"/>
  <c r="AB173" i="10"/>
  <c r="Q179" i="2"/>
  <c r="H178" i="10" s="1"/>
  <c r="AB178" i="10"/>
  <c r="Q180" i="2"/>
  <c r="H179" i="10" s="1"/>
  <c r="AB179" i="10"/>
  <c r="Q181" i="2"/>
  <c r="H180" i="10" s="1"/>
  <c r="AB180" i="10"/>
  <c r="Q182" i="2"/>
  <c r="H181" i="10" s="1"/>
  <c r="AB181" i="10"/>
  <c r="Q184" i="2"/>
  <c r="H183" i="10" s="1"/>
  <c r="AB183" i="10"/>
  <c r="Q185" i="2"/>
  <c r="H184" i="10" s="1"/>
  <c r="AB184" i="10"/>
  <c r="Q186" i="2"/>
  <c r="H185" i="10" s="1"/>
  <c r="AB185" i="10"/>
  <c r="Q187" i="2"/>
  <c r="H186" i="10" s="1"/>
  <c r="AB186" i="10"/>
  <c r="Q189" i="2"/>
  <c r="H188" i="10" s="1"/>
  <c r="AB188" i="10"/>
  <c r="Q191" i="2"/>
  <c r="H190" i="10" s="1"/>
  <c r="AB190" i="10"/>
  <c r="Q193" i="2"/>
  <c r="H192" i="10" s="1"/>
  <c r="AB192" i="10"/>
  <c r="Q194" i="2"/>
  <c r="H193" i="10" s="1"/>
  <c r="AB193" i="10"/>
  <c r="Q195" i="2"/>
  <c r="H194" i="10" s="1"/>
  <c r="AB194" i="10"/>
  <c r="Q196" i="2"/>
  <c r="H195" i="10" s="1"/>
  <c r="AB195" i="10"/>
  <c r="Q197" i="2"/>
  <c r="H196" i="10" s="1"/>
  <c r="AB196" i="10"/>
  <c r="Q199" i="2"/>
  <c r="H198" i="10" s="1"/>
  <c r="AB198" i="10"/>
  <c r="Q200" i="2"/>
  <c r="H199" i="10" s="1"/>
  <c r="AB199" i="10"/>
  <c r="Q201" i="2"/>
  <c r="H200" i="10" s="1"/>
  <c r="AB200" i="10"/>
  <c r="Q202" i="2"/>
  <c r="H201" i="10" s="1"/>
  <c r="AB201" i="10"/>
  <c r="Q203" i="2"/>
  <c r="H202" i="10" s="1"/>
  <c r="AB202" i="10"/>
  <c r="Q205" i="2"/>
  <c r="H204" i="10" s="1"/>
  <c r="AB204" i="10"/>
  <c r="Q212" i="2"/>
  <c r="H211" i="10" s="1"/>
  <c r="AB211" i="10"/>
  <c r="Q214" i="2"/>
  <c r="H213" i="10" s="1"/>
  <c r="AB213" i="10"/>
  <c r="Q215" i="2"/>
  <c r="H214" i="10" s="1"/>
  <c r="AB214" i="10"/>
  <c r="Q216" i="2"/>
  <c r="H215" i="10" s="1"/>
  <c r="AB215" i="10"/>
  <c r="Q217" i="2"/>
  <c r="H216" i="10" s="1"/>
  <c r="AB216" i="10"/>
  <c r="Q218" i="2"/>
  <c r="H217" i="10" s="1"/>
  <c r="AB217" i="10"/>
  <c r="Q220" i="2"/>
  <c r="H219" i="10" s="1"/>
  <c r="AB219" i="10"/>
  <c r="Q222" i="2"/>
  <c r="H221" i="10" s="1"/>
  <c r="AB221" i="10"/>
  <c r="Q229" i="2"/>
  <c r="H228" i="10" s="1"/>
  <c r="AB228" i="10"/>
  <c r="Q230" i="2"/>
  <c r="H229" i="10" s="1"/>
  <c r="AB229" i="10"/>
  <c r="Q231" i="2"/>
  <c r="H230" i="10" s="1"/>
  <c r="AB230" i="10"/>
  <c r="Q232" i="2"/>
  <c r="H231" i="10" s="1"/>
  <c r="AB231" i="10"/>
  <c r="Q233" i="2"/>
  <c r="H232" i="10" s="1"/>
  <c r="AB232" i="10"/>
  <c r="Q234" i="2"/>
  <c r="H233" i="10" s="1"/>
  <c r="AB233" i="10"/>
  <c r="Q235" i="2"/>
  <c r="H234" i="10" s="1"/>
  <c r="AB234" i="10"/>
  <c r="Q236" i="2"/>
  <c r="H235" i="10" s="1"/>
  <c r="AB235" i="10"/>
  <c r="Q238" i="2"/>
  <c r="AB237" i="10"/>
  <c r="Q239" i="2"/>
  <c r="AB238" i="10"/>
  <c r="Q254" i="2"/>
  <c r="AB253" i="10"/>
  <c r="Q255" i="2"/>
  <c r="AB254" i="10"/>
  <c r="Q256" i="2"/>
  <c r="AB255" i="10"/>
  <c r="Q257" i="2"/>
  <c r="AB256" i="10"/>
  <c r="Q259" i="2"/>
  <c r="AB258" i="10"/>
  <c r="Q260" i="2"/>
  <c r="AB259" i="10"/>
  <c r="Q261" i="2"/>
  <c r="AB260" i="10"/>
  <c r="Q272" i="2"/>
  <c r="AB271" i="10"/>
  <c r="Q273" i="2"/>
  <c r="AB272" i="10"/>
  <c r="Q275" i="2"/>
  <c r="AB274" i="10"/>
  <c r="Q281" i="2"/>
  <c r="AB280" i="10"/>
  <c r="Q285" i="2"/>
  <c r="AB284" i="10"/>
  <c r="Q286" i="2"/>
  <c r="AB285" i="10"/>
  <c r="Q288" i="2"/>
  <c r="AB287" i="10"/>
  <c r="Q293" i="2"/>
  <c r="AB292" i="10"/>
  <c r="Q297" i="2"/>
  <c r="AB296" i="10"/>
  <c r="Q298" i="2"/>
  <c r="AB297" i="10"/>
  <c r="Q299" i="2"/>
  <c r="AB298" i="10"/>
  <c r="Q302" i="2"/>
  <c r="AB301" i="10"/>
  <c r="Q303" i="2"/>
  <c r="AB302" i="10"/>
  <c r="Q305" i="2"/>
  <c r="AB304" i="10"/>
  <c r="Q306" i="2"/>
  <c r="AB305" i="10"/>
  <c r="Q309" i="2"/>
  <c r="AB308" i="10"/>
  <c r="Q310" i="2"/>
  <c r="AB309" i="10"/>
  <c r="Q311" i="2"/>
  <c r="AB310" i="10"/>
  <c r="Q312" i="2"/>
  <c r="AB311" i="10"/>
  <c r="Q313" i="2"/>
  <c r="AB312" i="10"/>
  <c r="Q318" i="2"/>
  <c r="AB317" i="10"/>
  <c r="Q326" i="2"/>
  <c r="AB325" i="10"/>
  <c r="Q331" i="2"/>
  <c r="AB330" i="10"/>
  <c r="Q335" i="2"/>
  <c r="AB334" i="10"/>
  <c r="Q338" i="2"/>
  <c r="AB337" i="10"/>
  <c r="Q339" i="2"/>
  <c r="AB338" i="10"/>
  <c r="Q341" i="2"/>
  <c r="AB340" i="10"/>
  <c r="Q342" i="2"/>
  <c r="AB341" i="10"/>
  <c r="Q343" i="2"/>
  <c r="AB342" i="10"/>
  <c r="Q344" i="2"/>
  <c r="AB343" i="10"/>
  <c r="Q385" i="2"/>
  <c r="AB384" i="10"/>
  <c r="Q390" i="2"/>
  <c r="AB389" i="10"/>
  <c r="Q436" i="2"/>
  <c r="H435" i="10" s="1"/>
  <c r="Q435" i="2"/>
  <c r="AY5" i="3"/>
  <c r="AZ5" i="3"/>
  <c r="BA5" i="3"/>
  <c r="M5" i="3"/>
  <c r="N5" i="3"/>
  <c r="P5" i="3"/>
  <c r="Q5" i="3"/>
  <c r="AB5" i="3"/>
  <c r="AC5" i="3"/>
  <c r="Y5" i="3"/>
  <c r="Z5" i="3"/>
  <c r="G5" i="3"/>
  <c r="H5" i="3"/>
  <c r="J5" i="3"/>
  <c r="K5" i="3"/>
  <c r="AE5" i="3"/>
  <c r="AF5" i="3"/>
  <c r="AH5" i="3"/>
  <c r="AI5" i="3"/>
  <c r="AT11" i="3"/>
  <c r="AU11" i="3"/>
  <c r="AY9" i="3"/>
  <c r="AZ9" i="3"/>
  <c r="BA9" i="3"/>
  <c r="AY8" i="3"/>
  <c r="AZ8" i="3"/>
  <c r="BA8" i="3"/>
  <c r="AY7" i="3"/>
  <c r="AZ7" i="3"/>
  <c r="BA7" i="3"/>
  <c r="AY10" i="3"/>
  <c r="AZ10" i="3"/>
  <c r="BA10" i="3"/>
  <c r="AY11" i="3"/>
  <c r="AZ11" i="3"/>
  <c r="BA11" i="3"/>
  <c r="BA6" i="3"/>
  <c r="AZ6" i="3"/>
  <c r="AY6" i="3"/>
  <c r="AE8" i="3"/>
  <c r="AF8" i="3"/>
  <c r="AH8" i="3"/>
  <c r="AI8" i="3"/>
  <c r="AH10" i="3"/>
  <c r="AI10" i="3"/>
  <c r="AE10" i="3"/>
  <c r="AF10" i="3"/>
  <c r="AE7" i="3"/>
  <c r="AF7" i="3"/>
  <c r="AH7" i="3"/>
  <c r="AI7" i="3"/>
  <c r="AE9" i="3"/>
  <c r="AF9" i="3"/>
  <c r="AH9" i="3"/>
  <c r="AI9" i="3"/>
  <c r="AE11" i="3"/>
  <c r="AF11" i="3"/>
  <c r="AH11" i="3"/>
  <c r="AI11" i="3"/>
  <c r="AI6" i="3"/>
  <c r="AH6" i="3"/>
  <c r="AF6" i="3"/>
  <c r="AE6" i="3"/>
  <c r="Y7" i="3"/>
  <c r="Z7" i="3"/>
  <c r="AB7" i="3"/>
  <c r="AC7" i="3"/>
  <c r="Y9" i="3"/>
  <c r="Z9" i="3"/>
  <c r="AB9" i="3"/>
  <c r="AC9" i="3"/>
  <c r="Y11" i="3"/>
  <c r="AB11" i="3"/>
  <c r="AC11" i="3"/>
  <c r="Z11" i="3"/>
  <c r="Y8" i="3"/>
  <c r="Z8" i="3"/>
  <c r="AB8" i="3"/>
  <c r="AC8" i="3"/>
  <c r="AB10" i="3"/>
  <c r="AC10" i="3"/>
  <c r="Y10" i="3"/>
  <c r="Z10" i="3"/>
  <c r="AC6" i="3"/>
  <c r="AB6" i="3"/>
  <c r="Z6" i="3"/>
  <c r="Y6" i="3"/>
  <c r="M9" i="3"/>
  <c r="N9" i="3"/>
  <c r="Q9" i="3"/>
  <c r="P9" i="3"/>
  <c r="P10" i="3"/>
  <c r="Q10" i="3"/>
  <c r="M10" i="3"/>
  <c r="N10" i="3"/>
  <c r="M8" i="3"/>
  <c r="N8" i="3"/>
  <c r="P8" i="3"/>
  <c r="Q8" i="3"/>
  <c r="M11" i="3"/>
  <c r="N11" i="3"/>
  <c r="P11" i="3"/>
  <c r="Q11" i="3"/>
  <c r="M7" i="3"/>
  <c r="N7" i="3"/>
  <c r="P7" i="3"/>
  <c r="Q7" i="3"/>
  <c r="Q6" i="3"/>
  <c r="P6" i="3"/>
  <c r="N6" i="3"/>
  <c r="M6" i="3"/>
  <c r="G11" i="3"/>
  <c r="H11" i="3"/>
  <c r="J11" i="3"/>
  <c r="K11" i="3"/>
  <c r="G8" i="3"/>
  <c r="H8" i="3"/>
  <c r="J8" i="3"/>
  <c r="K8" i="3"/>
  <c r="G10" i="3"/>
  <c r="H10" i="3"/>
  <c r="J10" i="3"/>
  <c r="K10" i="3"/>
  <c r="G9" i="3"/>
  <c r="H9" i="3"/>
  <c r="J9" i="3"/>
  <c r="K9" i="3"/>
  <c r="G7" i="3"/>
  <c r="H7" i="3"/>
  <c r="J7" i="3"/>
  <c r="K7" i="3"/>
  <c r="J6" i="3"/>
  <c r="K6" i="3"/>
  <c r="H6" i="3"/>
  <c r="G6" i="3"/>
  <c r="ES238" i="2"/>
  <c r="DR3" i="2"/>
  <c r="EA3" i="2"/>
  <c r="P23" i="3"/>
  <c r="N23" i="3"/>
  <c r="M23" i="3"/>
  <c r="Q23" i="3"/>
  <c r="S21" i="3"/>
  <c r="T21" i="3"/>
  <c r="W21" i="3"/>
  <c r="U21" i="3" s="1"/>
  <c r="K21" i="3"/>
  <c r="J21" i="3"/>
  <c r="H21" i="3"/>
  <c r="G21" i="3"/>
  <c r="AE19" i="3"/>
  <c r="AI19" i="3"/>
  <c r="AH19" i="3"/>
  <c r="AF19" i="3"/>
  <c r="AC20" i="3"/>
  <c r="Z20" i="3"/>
  <c r="AB20" i="3"/>
  <c r="Y20" i="3"/>
  <c r="M20" i="3"/>
  <c r="N20" i="3"/>
  <c r="P20" i="3"/>
  <c r="Q20" i="3"/>
  <c r="J20" i="3"/>
  <c r="H20" i="3"/>
  <c r="K20" i="3"/>
  <c r="G20" i="3"/>
  <c r="M19" i="3"/>
  <c r="N19" i="3"/>
  <c r="P19" i="3"/>
  <c r="Q19" i="3"/>
  <c r="AE20" i="3"/>
  <c r="AF20" i="3"/>
  <c r="AH20" i="3"/>
  <c r="AI20" i="3"/>
  <c r="AH23" i="3"/>
  <c r="AF23" i="3"/>
  <c r="AI23" i="3"/>
  <c r="AE23" i="3"/>
  <c r="AC21" i="3"/>
  <c r="Y21" i="3"/>
  <c r="Z21" i="3"/>
  <c r="AB21" i="3"/>
  <c r="M21" i="3"/>
  <c r="N21" i="3"/>
  <c r="P21" i="3"/>
  <c r="Q21" i="3"/>
  <c r="S19" i="3"/>
  <c r="T19" i="3"/>
  <c r="W19" i="3"/>
  <c r="U19" i="3" s="1"/>
  <c r="G19" i="3"/>
  <c r="H19" i="3"/>
  <c r="J19" i="3"/>
  <c r="K19" i="3"/>
  <c r="S23" i="3"/>
  <c r="T23" i="3"/>
  <c r="W23" i="3"/>
  <c r="U23" i="3" s="1"/>
  <c r="G23" i="3"/>
  <c r="H23" i="3"/>
  <c r="K23" i="3"/>
  <c r="J23" i="3"/>
  <c r="AF21" i="3"/>
  <c r="AH21" i="3"/>
  <c r="AI21" i="3"/>
  <c r="AE21" i="3"/>
  <c r="Z19" i="3"/>
  <c r="AB19" i="3"/>
  <c r="AC19" i="3"/>
  <c r="Y19" i="3"/>
  <c r="S20" i="3"/>
  <c r="T20" i="3"/>
  <c r="W20" i="3"/>
  <c r="U20" i="3" s="1"/>
  <c r="AC23" i="3"/>
  <c r="Y23" i="3"/>
  <c r="Z23" i="3"/>
  <c r="AB23" i="3"/>
  <c r="AI18" i="3"/>
  <c r="AH18" i="3"/>
  <c r="AF18" i="3"/>
  <c r="AE18" i="3"/>
  <c r="AC18" i="3"/>
  <c r="AB18" i="3"/>
  <c r="Z18" i="3"/>
  <c r="Y18" i="3"/>
  <c r="W18" i="3"/>
  <c r="U18" i="3" s="1"/>
  <c r="T18" i="3"/>
  <c r="S18" i="3"/>
  <c r="Q18" i="3"/>
  <c r="P18" i="3"/>
  <c r="N18" i="3"/>
  <c r="M18" i="3"/>
  <c r="K18" i="3"/>
  <c r="J18" i="3"/>
  <c r="H18" i="3"/>
  <c r="G18" i="3"/>
  <c r="AQ12" i="9" l="1"/>
  <c r="AN12" i="9"/>
  <c r="H384" i="10"/>
  <c r="AQ10" i="9"/>
  <c r="AN10" i="9"/>
  <c r="H389" i="10"/>
  <c r="H341" i="10"/>
  <c r="H309" i="10"/>
  <c r="H285" i="10"/>
  <c r="H254" i="10"/>
  <c r="H340" i="10"/>
  <c r="H308" i="10"/>
  <c r="H284" i="10"/>
  <c r="H253" i="10"/>
  <c r="H338" i="10"/>
  <c r="H305" i="10"/>
  <c r="H280" i="10"/>
  <c r="H238" i="10"/>
  <c r="H337" i="10"/>
  <c r="H304" i="10"/>
  <c r="H274" i="10"/>
  <c r="H237" i="10"/>
  <c r="H334" i="10"/>
  <c r="H302" i="10"/>
  <c r="H272" i="10"/>
  <c r="H330" i="10"/>
  <c r="H301" i="10"/>
  <c r="H271" i="10"/>
  <c r="H325" i="10"/>
  <c r="H298" i="10"/>
  <c r="H260" i="10"/>
  <c r="H317" i="10"/>
  <c r="H297" i="10"/>
  <c r="H259" i="10"/>
  <c r="H312" i="10"/>
  <c r="H296" i="10"/>
  <c r="H258" i="10"/>
  <c r="H343" i="10"/>
  <c r="H311" i="10"/>
  <c r="H292" i="10"/>
  <c r="H256" i="10"/>
  <c r="H342" i="10"/>
  <c r="H310" i="10"/>
  <c r="H287" i="10"/>
  <c r="H255" i="10"/>
  <c r="H434" i="10"/>
  <c r="AQ10" i="3"/>
  <c r="AP10" i="3"/>
  <c r="AP12" i="3" s="1"/>
  <c r="AS10" i="3"/>
  <c r="AR10" i="3"/>
  <c r="BC12" i="3"/>
  <c r="BA12" i="3"/>
  <c r="BD5" i="3"/>
  <c r="BB5" i="3"/>
  <c r="AZ12" i="3"/>
  <c r="AY12" i="3"/>
  <c r="AI12" i="3"/>
  <c r="AH12" i="3"/>
  <c r="AF12" i="3"/>
  <c r="AE12" i="3"/>
  <c r="Z12" i="3"/>
  <c r="Y12" i="3"/>
  <c r="AC12" i="3"/>
  <c r="AB12" i="3"/>
  <c r="K12" i="3"/>
  <c r="J12" i="3"/>
  <c r="H12" i="3"/>
  <c r="G12" i="3"/>
  <c r="Q12" i="3"/>
  <c r="P12" i="3"/>
  <c r="N12" i="3"/>
  <c r="M12" i="3"/>
  <c r="I5" i="3"/>
  <c r="AA5" i="3"/>
  <c r="O5" i="3"/>
  <c r="AG5" i="3"/>
  <c r="AD5" i="3"/>
  <c r="F5" i="3"/>
  <c r="X5" i="3"/>
  <c r="L5" i="3"/>
  <c r="BB11" i="3"/>
  <c r="BD11" i="3"/>
  <c r="BD7" i="3"/>
  <c r="BB10" i="3"/>
  <c r="BD10" i="3"/>
  <c r="BB7" i="3"/>
  <c r="BB8" i="3"/>
  <c r="BD8" i="3"/>
  <c r="BD9" i="3"/>
  <c r="BB9" i="3"/>
  <c r="BB6" i="3"/>
  <c r="BD6" i="3"/>
  <c r="AG10" i="3"/>
  <c r="AG9" i="3"/>
  <c r="AD8" i="3"/>
  <c r="AG11" i="3"/>
  <c r="AD7" i="3"/>
  <c r="AD10" i="3"/>
  <c r="AG8" i="3"/>
  <c r="AD11" i="3"/>
  <c r="AD9" i="3"/>
  <c r="AG7" i="3"/>
  <c r="AA8" i="3"/>
  <c r="X9" i="3"/>
  <c r="X7" i="3"/>
  <c r="X11" i="3"/>
  <c r="X10" i="3"/>
  <c r="AA10" i="3"/>
  <c r="X8" i="3"/>
  <c r="AA11" i="3"/>
  <c r="AA9" i="3"/>
  <c r="AA7" i="3"/>
  <c r="O11" i="3"/>
  <c r="L9" i="3"/>
  <c r="L8" i="3"/>
  <c r="O9" i="3"/>
  <c r="O7" i="3"/>
  <c r="L7" i="3"/>
  <c r="L11" i="3"/>
  <c r="O8" i="3"/>
  <c r="L10" i="3"/>
  <c r="O10" i="3"/>
  <c r="I11" i="3"/>
  <c r="F8" i="3"/>
  <c r="F10" i="3"/>
  <c r="I7" i="3"/>
  <c r="F7" i="3"/>
  <c r="I9" i="3"/>
  <c r="F9" i="3"/>
  <c r="I10" i="3"/>
  <c r="I8" i="3"/>
  <c r="F11" i="3"/>
  <c r="L20" i="3"/>
  <c r="L18" i="3"/>
  <c r="AG20" i="3"/>
  <c r="L23" i="3"/>
  <c r="AG21" i="3"/>
  <c r="AG18" i="3"/>
  <c r="AD23" i="3"/>
  <c r="AG23" i="3"/>
  <c r="AG19" i="3"/>
  <c r="X20" i="3"/>
  <c r="X18" i="3"/>
  <c r="AA20" i="3"/>
  <c r="AD18" i="3"/>
  <c r="AD19" i="3"/>
  <c r="AA23" i="3"/>
  <c r="AD20" i="3"/>
  <c r="AD21" i="3"/>
  <c r="U24" i="3"/>
  <c r="X21" i="3"/>
  <c r="AA18" i="3"/>
  <c r="AA19" i="3"/>
  <c r="AA21" i="3"/>
  <c r="X23" i="3"/>
  <c r="X19" i="3"/>
  <c r="O18" i="3"/>
  <c r="I23" i="3"/>
  <c r="R23" i="3"/>
  <c r="R21" i="3"/>
  <c r="R20" i="3"/>
  <c r="R19" i="3"/>
  <c r="R18" i="3"/>
  <c r="O19" i="3"/>
  <c r="L19" i="3"/>
  <c r="O21" i="3"/>
  <c r="O23" i="3"/>
  <c r="L21" i="3"/>
  <c r="O20" i="3"/>
  <c r="F23" i="3"/>
  <c r="I19" i="3"/>
  <c r="I21" i="3"/>
  <c r="I18" i="3"/>
  <c r="I20" i="3"/>
  <c r="F21" i="3"/>
  <c r="F18" i="3"/>
  <c r="F19" i="3"/>
  <c r="F20" i="3"/>
  <c r="AG6" i="3"/>
  <c r="AD6" i="3"/>
  <c r="AA6" i="3"/>
  <c r="X6" i="3"/>
  <c r="U6" i="3"/>
  <c r="U12" i="3" s="1"/>
  <c r="R6" i="3"/>
  <c r="R12" i="3" s="1"/>
  <c r="O6" i="3"/>
  <c r="L6" i="3"/>
  <c r="I6" i="3"/>
  <c r="F6" i="3"/>
  <c r="AE24" i="3"/>
  <c r="AB24" i="3"/>
  <c r="AF24" i="3"/>
  <c r="G24" i="3"/>
  <c r="W24" i="3"/>
  <c r="Y24" i="3"/>
  <c r="Z24" i="3"/>
  <c r="AC24" i="3"/>
  <c r="AH24" i="3"/>
  <c r="AI24" i="3"/>
  <c r="H24" i="3"/>
  <c r="M24" i="3"/>
  <c r="J24" i="3"/>
  <c r="K24" i="3"/>
  <c r="N24" i="3"/>
  <c r="P24" i="3"/>
  <c r="S24" i="3"/>
  <c r="Q24" i="3"/>
  <c r="T24" i="3"/>
  <c r="V24" i="3"/>
  <c r="CF309" i="2"/>
  <c r="AD355" i="2"/>
  <c r="DP3" i="2"/>
  <c r="DM3" i="2"/>
  <c r="AQ7" i="9" l="1"/>
  <c r="AN7" i="9"/>
  <c r="AQ12" i="3"/>
  <c r="AR12" i="3"/>
  <c r="AS12" i="3"/>
  <c r="AG12" i="3"/>
  <c r="AD12" i="3"/>
  <c r="X12" i="3"/>
  <c r="AA12" i="3"/>
  <c r="L12" i="3"/>
  <c r="O12" i="3"/>
  <c r="I12" i="3"/>
  <c r="F12" i="3"/>
  <c r="X24" i="3"/>
  <c r="R24" i="3"/>
  <c r="AG24" i="3"/>
  <c r="AD24" i="3"/>
  <c r="AA24" i="3"/>
  <c r="L24" i="3"/>
  <c r="O24" i="3"/>
  <c r="I24" i="3"/>
  <c r="F24" i="3"/>
  <c r="AF345" i="2" l="1"/>
  <c r="AF3" i="2" s="1"/>
  <c r="AB354" i="2"/>
  <c r="AA354" i="2" s="1"/>
  <c r="AB352" i="2"/>
  <c r="AA352" i="2" s="1"/>
  <c r="AB387" i="2" l="1"/>
  <c r="AA387" i="2" s="1"/>
  <c r="AB388" i="2"/>
  <c r="AA388" i="2" s="1"/>
  <c r="DH431" i="2"/>
  <c r="DD431" i="2"/>
  <c r="DH430" i="2"/>
  <c r="DD430" i="2"/>
  <c r="DH429" i="2"/>
  <c r="DD429" i="2"/>
  <c r="DH428" i="2"/>
  <c r="DD428" i="2"/>
  <c r="DH394" i="2"/>
  <c r="DD394" i="2"/>
  <c r="DH393" i="2"/>
  <c r="DD393" i="2"/>
  <c r="DH392" i="2"/>
  <c r="DD392" i="2"/>
  <c r="P428" i="2"/>
  <c r="P429" i="2"/>
  <c r="P430" i="2"/>
  <c r="P431" i="2"/>
  <c r="AB428" i="2"/>
  <c r="AA428" i="2" s="1"/>
  <c r="AB429" i="2"/>
  <c r="AA429" i="2" s="1"/>
  <c r="AB430" i="2"/>
  <c r="AA430" i="2" s="1"/>
  <c r="AB431" i="2"/>
  <c r="AA431" i="2" s="1"/>
  <c r="CQ428" i="2"/>
  <c r="CQ429" i="2"/>
  <c r="CQ430" i="2"/>
  <c r="CQ431" i="2"/>
  <c r="CR428" i="2"/>
  <c r="CR429" i="2"/>
  <c r="CR430" i="2"/>
  <c r="CR431" i="2"/>
  <c r="CS428" i="2"/>
  <c r="CS429" i="2"/>
  <c r="CS430" i="2"/>
  <c r="CS431" i="2"/>
  <c r="CT428" i="2"/>
  <c r="CT429" i="2"/>
  <c r="CT430" i="2"/>
  <c r="CT431" i="2"/>
  <c r="FN428" i="2"/>
  <c r="FN429" i="2"/>
  <c r="FN430" i="2"/>
  <c r="FN431" i="2"/>
  <c r="FT428" i="2"/>
  <c r="FU428" i="2" s="1"/>
  <c r="FT429" i="2"/>
  <c r="FU429" i="2" s="1"/>
  <c r="FT430" i="2"/>
  <c r="FU430" i="2" s="1"/>
  <c r="FT431" i="2"/>
  <c r="FU431" i="2" s="1"/>
  <c r="FV428" i="2"/>
  <c r="FV429" i="2"/>
  <c r="FV430" i="2"/>
  <c r="FV431" i="2"/>
  <c r="HC428" i="2"/>
  <c r="HC429" i="2"/>
  <c r="HC430" i="2"/>
  <c r="HC431" i="2"/>
  <c r="P392" i="2"/>
  <c r="P393" i="2"/>
  <c r="P394" i="2"/>
  <c r="V392" i="2"/>
  <c r="L391" i="10" s="1"/>
  <c r="V393" i="2"/>
  <c r="L392" i="10" s="1"/>
  <c r="V394" i="2"/>
  <c r="L393" i="10" s="1"/>
  <c r="AB392" i="2"/>
  <c r="AA392" i="2" s="1"/>
  <c r="AB393" i="2"/>
  <c r="AA393" i="2" s="1"/>
  <c r="AB394" i="2"/>
  <c r="AA394" i="2" s="1"/>
  <c r="CQ392" i="2"/>
  <c r="CQ393" i="2"/>
  <c r="CQ394" i="2"/>
  <c r="CR392" i="2"/>
  <c r="CR393" i="2"/>
  <c r="CR394" i="2"/>
  <c r="CS392" i="2"/>
  <c r="CS393" i="2"/>
  <c r="CS394" i="2"/>
  <c r="CT392" i="2"/>
  <c r="CT393" i="2"/>
  <c r="CT394" i="2"/>
  <c r="FN392" i="2"/>
  <c r="FN393" i="2"/>
  <c r="FN394" i="2"/>
  <c r="FT392" i="2"/>
  <c r="FU392" i="2" s="1"/>
  <c r="FT393" i="2"/>
  <c r="FU393" i="2" s="1"/>
  <c r="FT394" i="2"/>
  <c r="FU394" i="2" s="1"/>
  <c r="FV392" i="2"/>
  <c r="FV393" i="2"/>
  <c r="FV394" i="2"/>
  <c r="HC392" i="2"/>
  <c r="HC393" i="2"/>
  <c r="HC394" i="2"/>
  <c r="AL431" i="2" l="1"/>
  <c r="AJ430" i="2"/>
  <c r="AJ429" i="2"/>
  <c r="AJ428" i="2"/>
  <c r="AL394" i="2"/>
  <c r="AI394" i="2"/>
  <c r="AI392" i="2"/>
  <c r="BJ394" i="2"/>
  <c r="Q394" i="2" s="1"/>
  <c r="H393" i="10" s="1"/>
  <c r="BJ393" i="2"/>
  <c r="Q393" i="2" s="1"/>
  <c r="H392" i="10" s="1"/>
  <c r="BJ431" i="2"/>
  <c r="Q431" i="2" s="1"/>
  <c r="H430" i="10" s="1"/>
  <c r="BJ430" i="2"/>
  <c r="Q430" i="2" s="1"/>
  <c r="H429" i="10" s="1"/>
  <c r="BJ429" i="2"/>
  <c r="Q429" i="2" s="1"/>
  <c r="BJ428" i="2"/>
  <c r="Q428" i="2" s="1"/>
  <c r="H427" i="10" s="1"/>
  <c r="AI431" i="2"/>
  <c r="AI430" i="2"/>
  <c r="AI429" i="2"/>
  <c r="AI428" i="2"/>
  <c r="AL430" i="2"/>
  <c r="AL429" i="2"/>
  <c r="AL428" i="2"/>
  <c r="AK431" i="2"/>
  <c r="CP431" i="2" s="1"/>
  <c r="T431" i="2" s="1"/>
  <c r="AK430" i="2"/>
  <c r="CP430" i="2" s="1"/>
  <c r="T430" i="2" s="1"/>
  <c r="AK429" i="2"/>
  <c r="CP429" i="2" s="1"/>
  <c r="T429" i="2" s="1"/>
  <c r="AK428" i="2"/>
  <c r="CP428" i="2" s="1"/>
  <c r="T428" i="2" s="1"/>
  <c r="AJ431" i="2"/>
  <c r="BJ392" i="2"/>
  <c r="Q392" i="2" s="1"/>
  <c r="H391" i="10" s="1"/>
  <c r="AI393" i="2"/>
  <c r="AJ392" i="2"/>
  <c r="AL393" i="2"/>
  <c r="AL392" i="2"/>
  <c r="AK394" i="2"/>
  <c r="CP394" i="2" s="1"/>
  <c r="T394" i="2" s="1"/>
  <c r="AK393" i="2"/>
  <c r="CP393" i="2" s="1"/>
  <c r="T393" i="2" s="1"/>
  <c r="AK392" i="2"/>
  <c r="CP392" i="2" s="1"/>
  <c r="T392" i="2" s="1"/>
  <c r="AJ394" i="2"/>
  <c r="AJ393" i="2"/>
  <c r="H428" i="10" l="1"/>
  <c r="U431" i="2"/>
  <c r="K430" i="10" s="1"/>
  <c r="J430" i="10"/>
  <c r="U430" i="2"/>
  <c r="K429" i="10" s="1"/>
  <c r="J429" i="10"/>
  <c r="U429" i="2"/>
  <c r="K428" i="10" s="1"/>
  <c r="J428" i="10"/>
  <c r="U428" i="2"/>
  <c r="K427" i="10" s="1"/>
  <c r="J427" i="10"/>
  <c r="U394" i="2"/>
  <c r="K393" i="10" s="1"/>
  <c r="J393" i="10"/>
  <c r="U393" i="2"/>
  <c r="K392" i="10" s="1"/>
  <c r="J392" i="10"/>
  <c r="U392" i="2"/>
  <c r="K391" i="10" s="1"/>
  <c r="J391" i="10"/>
  <c r="CJ429" i="2"/>
  <c r="W428" i="2"/>
  <c r="M427" i="10" s="1"/>
  <c r="N427" i="10" s="1"/>
  <c r="W393" i="2"/>
  <c r="M392" i="10" s="1"/>
  <c r="N392" i="10" s="1"/>
  <c r="W394" i="2"/>
  <c r="M393" i="10" s="1"/>
  <c r="N393" i="10" s="1"/>
  <c r="CJ392" i="2"/>
  <c r="AH431" i="2"/>
  <c r="AH392" i="2"/>
  <c r="AH393" i="2"/>
  <c r="AH394" i="2"/>
  <c r="AH430" i="2"/>
  <c r="AH429" i="2"/>
  <c r="AH428" i="2"/>
  <c r="CJ431" i="2"/>
  <c r="W431" i="2"/>
  <c r="M430" i="10" s="1"/>
  <c r="N430" i="10" s="1"/>
  <c r="CJ430" i="2"/>
  <c r="W430" i="2"/>
  <c r="M429" i="10" s="1"/>
  <c r="N429" i="10" s="1"/>
  <c r="CJ393" i="2"/>
  <c r="CJ394" i="2"/>
  <c r="W429" i="2"/>
  <c r="M428" i="10" s="1"/>
  <c r="N428" i="10" s="1"/>
  <c r="CJ428" i="2"/>
  <c r="W392" i="2"/>
  <c r="M391" i="10" s="1"/>
  <c r="N391" i="10" s="1"/>
  <c r="AD427" i="2" l="1"/>
  <c r="AD417" i="2"/>
  <c r="AD3" i="2" s="1"/>
  <c r="DH379" i="2" l="1"/>
  <c r="DH421" i="2"/>
  <c r="DH422" i="2"/>
  <c r="AB379" i="2" l="1"/>
  <c r="AA379" i="2" s="1"/>
  <c r="N28" i="8"/>
  <c r="M28" i="8"/>
  <c r="L28" i="8"/>
  <c r="K28" i="8"/>
  <c r="J28" i="8"/>
  <c r="I28" i="8"/>
  <c r="I21" i="8"/>
  <c r="J21" i="8"/>
  <c r="K21" i="8"/>
  <c r="L21" i="8"/>
  <c r="M21" i="8"/>
  <c r="N21" i="8"/>
  <c r="I14" i="8"/>
  <c r="J14" i="8"/>
  <c r="K14" i="8"/>
  <c r="L14" i="8"/>
  <c r="M14" i="8"/>
  <c r="N14" i="8"/>
  <c r="E4" i="8"/>
  <c r="F4" i="8"/>
  <c r="G4" i="8"/>
  <c r="H4" i="8"/>
  <c r="O28" i="8" l="1"/>
  <c r="O21" i="8"/>
  <c r="O14" i="8"/>
  <c r="AO19" i="3" l="1"/>
  <c r="AO20" i="3"/>
  <c r="AO21" i="3"/>
  <c r="AO22" i="3"/>
  <c r="AO23" i="3"/>
  <c r="AO18" i="3"/>
  <c r="AN19" i="3"/>
  <c r="AN20" i="3"/>
  <c r="AN21" i="3"/>
  <c r="AN22" i="3"/>
  <c r="AN23" i="3"/>
  <c r="AN18" i="3"/>
  <c r="AJ22" i="3"/>
  <c r="AK22" i="3"/>
  <c r="AM22" i="3"/>
  <c r="E22" i="3"/>
  <c r="D19" i="3"/>
  <c r="D20" i="3"/>
  <c r="D21" i="3"/>
  <c r="D22" i="3"/>
  <c r="D23" i="3"/>
  <c r="D18" i="3"/>
  <c r="D24" i="3" l="1"/>
  <c r="P345" i="2" l="1"/>
  <c r="DH425" i="2" l="1"/>
  <c r="DD425" i="2"/>
  <c r="DH426" i="2"/>
  <c r="DD426" i="2"/>
  <c r="DH427" i="2"/>
  <c r="DD427" i="2"/>
  <c r="DH395" i="2"/>
  <c r="DD395" i="2"/>
  <c r="DH396" i="2"/>
  <c r="DD396" i="2"/>
  <c r="DH406" i="2"/>
  <c r="DD406" i="2"/>
  <c r="DH407" i="2"/>
  <c r="DD407" i="2"/>
  <c r="DH414" i="2"/>
  <c r="DD414" i="2"/>
  <c r="DH413" i="2"/>
  <c r="DD413" i="2"/>
  <c r="DH412" i="2"/>
  <c r="DD412" i="2"/>
  <c r="DH411" i="2"/>
  <c r="DD411" i="2"/>
  <c r="DH410" i="2"/>
  <c r="DD410" i="2"/>
  <c r="DH409" i="2"/>
  <c r="DD409" i="2"/>
  <c r="DH408" i="2"/>
  <c r="DD408" i="2"/>
  <c r="DH405" i="2"/>
  <c r="DD405" i="2"/>
  <c r="DH404" i="2"/>
  <c r="DD404" i="2"/>
  <c r="DH403" i="2"/>
  <c r="DD403" i="2"/>
  <c r="DH402" i="2"/>
  <c r="DD402" i="2"/>
  <c r="DH401" i="2"/>
  <c r="DD401" i="2"/>
  <c r="DH400" i="2"/>
  <c r="DD400" i="2"/>
  <c r="DH399" i="2"/>
  <c r="DD399" i="2"/>
  <c r="DH398" i="2"/>
  <c r="DD398" i="2"/>
  <c r="DD397" i="2"/>
  <c r="P415" i="2"/>
  <c r="P417" i="2"/>
  <c r="P419" i="2"/>
  <c r="P420" i="2"/>
  <c r="P421" i="2"/>
  <c r="P422" i="2"/>
  <c r="P423" i="2"/>
  <c r="P349" i="2"/>
  <c r="P351" i="2"/>
  <c r="P352" i="2"/>
  <c r="P355" i="2"/>
  <c r="P371" i="2"/>
  <c r="P376" i="2"/>
  <c r="P377" i="2"/>
  <c r="P386" i="2"/>
  <c r="P388" i="2"/>
  <c r="P389" i="2"/>
  <c r="FT346" i="2"/>
  <c r="FU346" i="2" s="1"/>
  <c r="FT347" i="2"/>
  <c r="FU347" i="2" s="1"/>
  <c r="FT348" i="2"/>
  <c r="FU348" i="2" s="1"/>
  <c r="FT349" i="2"/>
  <c r="FU349" i="2" s="1"/>
  <c r="FT352" i="2"/>
  <c r="FU352" i="2" s="1"/>
  <c r="FT355" i="2"/>
  <c r="FU355" i="2" s="1"/>
  <c r="FT357" i="2"/>
  <c r="FU357" i="2" s="1"/>
  <c r="FT358" i="2"/>
  <c r="FU358" i="2" s="1"/>
  <c r="FT359" i="2"/>
  <c r="FU359" i="2" s="1"/>
  <c r="FT360" i="2"/>
  <c r="FU360" i="2" s="1"/>
  <c r="FT361" i="2"/>
  <c r="FU361" i="2" s="1"/>
  <c r="FT363" i="2"/>
  <c r="FU363" i="2" s="1"/>
  <c r="FT364" i="2"/>
  <c r="FU364" i="2" s="1"/>
  <c r="FT366" i="2"/>
  <c r="FU366" i="2" s="1"/>
  <c r="FT367" i="2"/>
  <c r="FU367" i="2" s="1"/>
  <c r="FT370" i="2"/>
  <c r="FU370" i="2" s="1"/>
  <c r="FT371" i="2"/>
  <c r="FU371" i="2" s="1"/>
  <c r="FT373" i="2"/>
  <c r="FU373" i="2" s="1"/>
  <c r="FT374" i="2"/>
  <c r="FU374" i="2" s="1"/>
  <c r="FT377" i="2"/>
  <c r="FU377" i="2" s="1"/>
  <c r="FT378" i="2"/>
  <c r="FU378" i="2" s="1"/>
  <c r="FT379" i="2"/>
  <c r="FU379" i="2" s="1"/>
  <c r="FT380" i="2"/>
  <c r="FU380" i="2" s="1"/>
  <c r="FT381" i="2"/>
  <c r="FU381" i="2" s="1"/>
  <c r="FT385" i="2"/>
  <c r="FU385" i="2" s="1"/>
  <c r="FT388" i="2"/>
  <c r="FU388" i="2" s="1"/>
  <c r="FT390" i="2"/>
  <c r="FU390" i="2" s="1"/>
  <c r="FT391" i="2"/>
  <c r="FU391" i="2" s="1"/>
  <c r="FU345" i="2"/>
  <c r="CS436" i="2"/>
  <c r="CR437" i="2"/>
  <c r="CR438" i="2"/>
  <c r="CR439" i="2"/>
  <c r="P435" i="2"/>
  <c r="P436" i="2"/>
  <c r="P437" i="2"/>
  <c r="P438" i="2"/>
  <c r="P439" i="2"/>
  <c r="V437" i="2"/>
  <c r="L436" i="10" s="1"/>
  <c r="V438" i="2"/>
  <c r="L437" i="10" s="1"/>
  <c r="V439" i="2"/>
  <c r="L438" i="10" s="1"/>
  <c r="AB435" i="2"/>
  <c r="AA435" i="2" s="1"/>
  <c r="AB436" i="2"/>
  <c r="AA436" i="2" s="1"/>
  <c r="AB437" i="2"/>
  <c r="AA437" i="2" s="1"/>
  <c r="AB438" i="2"/>
  <c r="AA438" i="2" s="1"/>
  <c r="AB439" i="2"/>
  <c r="AA439" i="2" s="1"/>
  <c r="BJ439" i="2"/>
  <c r="BJ435" i="2"/>
  <c r="BJ438" i="2"/>
  <c r="BJ436" i="2"/>
  <c r="BJ437" i="2"/>
  <c r="CQ435" i="2"/>
  <c r="CQ438" i="2"/>
  <c r="CR435" i="2"/>
  <c r="CR436" i="2"/>
  <c r="CS435" i="2"/>
  <c r="CS438" i="2"/>
  <c r="CS439" i="2"/>
  <c r="CT435" i="2"/>
  <c r="CT436" i="2"/>
  <c r="CT438" i="2"/>
  <c r="FN435" i="2"/>
  <c r="FN436" i="2"/>
  <c r="FN437" i="2"/>
  <c r="FN438" i="2"/>
  <c r="FN439" i="2"/>
  <c r="FT435" i="2"/>
  <c r="FU435" i="2" s="1"/>
  <c r="FT436" i="2"/>
  <c r="FU436" i="2" s="1"/>
  <c r="FT437" i="2"/>
  <c r="FU437" i="2" s="1"/>
  <c r="FT438" i="2"/>
  <c r="FU438" i="2" s="1"/>
  <c r="FT439" i="2"/>
  <c r="FU439" i="2" s="1"/>
  <c r="FV435" i="2"/>
  <c r="FV436" i="2"/>
  <c r="FV437" i="2"/>
  <c r="FV438" i="2"/>
  <c r="FV439" i="2"/>
  <c r="HC435" i="2"/>
  <c r="HC436" i="2"/>
  <c r="HC437" i="2"/>
  <c r="HC438" i="2"/>
  <c r="HC439" i="2"/>
  <c r="CT409" i="2"/>
  <c r="CT410" i="2"/>
  <c r="CT411" i="2"/>
  <c r="CS412" i="2"/>
  <c r="CR413" i="2"/>
  <c r="CR414" i="2"/>
  <c r="CR415" i="2"/>
  <c r="CT416" i="2"/>
  <c r="CT417" i="2"/>
  <c r="CS418" i="2"/>
  <c r="CT419" i="2"/>
  <c r="CQ420" i="2"/>
  <c r="CQ421" i="2"/>
  <c r="CR422" i="2"/>
  <c r="CR423" i="2"/>
  <c r="CS424" i="2"/>
  <c r="CT426" i="2"/>
  <c r="CT427" i="2"/>
  <c r="CQ408" i="2"/>
  <c r="P408" i="2"/>
  <c r="P409" i="2"/>
  <c r="P410" i="2"/>
  <c r="P411" i="2"/>
  <c r="P412" i="2"/>
  <c r="P413" i="2"/>
  <c r="P414" i="2"/>
  <c r="P418" i="2"/>
  <c r="V417" i="2"/>
  <c r="L416" i="10" s="1"/>
  <c r="AB408" i="2"/>
  <c r="AA408" i="2" s="1"/>
  <c r="AB409" i="2"/>
  <c r="AA409" i="2" s="1"/>
  <c r="AB410" i="2"/>
  <c r="AA410" i="2" s="1"/>
  <c r="AB411" i="2"/>
  <c r="AA411" i="2" s="1"/>
  <c r="AB412" i="2"/>
  <c r="AA412" i="2" s="1"/>
  <c r="AB413" i="2"/>
  <c r="AA413" i="2" s="1"/>
  <c r="AB414" i="2"/>
  <c r="AA414" i="2" s="1"/>
  <c r="AB415" i="2"/>
  <c r="AA415" i="2" s="1"/>
  <c r="AB416" i="2"/>
  <c r="AA416" i="2" s="1"/>
  <c r="AB417" i="2"/>
  <c r="AA417" i="2" s="1"/>
  <c r="AB418" i="2"/>
  <c r="AA418" i="2" s="1"/>
  <c r="AB419" i="2"/>
  <c r="AA419" i="2" s="1"/>
  <c r="AB420" i="2"/>
  <c r="AA420" i="2" s="1"/>
  <c r="AB421" i="2"/>
  <c r="AA421" i="2" s="1"/>
  <c r="AB422" i="2"/>
  <c r="AA422" i="2" s="1"/>
  <c r="AB423" i="2"/>
  <c r="AA423" i="2" s="1"/>
  <c r="AB424" i="2"/>
  <c r="AA424" i="2" s="1"/>
  <c r="AB425" i="2"/>
  <c r="AA425" i="2" s="1"/>
  <c r="AB426" i="2"/>
  <c r="AA426" i="2" s="1"/>
  <c r="AB427" i="2"/>
  <c r="AA427" i="2" s="1"/>
  <c r="BJ408" i="2"/>
  <c r="BJ409" i="2"/>
  <c r="BJ416" i="2"/>
  <c r="BJ417" i="2"/>
  <c r="BJ419" i="2"/>
  <c r="BJ420" i="2"/>
  <c r="BJ421" i="2"/>
  <c r="BJ423" i="2"/>
  <c r="BJ426" i="2"/>
  <c r="BJ410" i="2"/>
  <c r="BJ411" i="2"/>
  <c r="BJ414" i="2"/>
  <c r="BJ418" i="2"/>
  <c r="BJ422" i="2"/>
  <c r="BJ425" i="2"/>
  <c r="BJ427" i="2"/>
  <c r="BJ412" i="2"/>
  <c r="BJ413" i="2"/>
  <c r="BJ424" i="2"/>
  <c r="BJ415" i="2"/>
  <c r="FN408" i="2"/>
  <c r="FN409" i="2"/>
  <c r="FN410" i="2"/>
  <c r="FN411" i="2"/>
  <c r="FN412" i="2"/>
  <c r="FN413" i="2"/>
  <c r="FN414" i="2"/>
  <c r="FN415" i="2"/>
  <c r="FN416" i="2"/>
  <c r="FN417" i="2"/>
  <c r="FN418" i="2"/>
  <c r="FN419" i="2"/>
  <c r="FN420" i="2"/>
  <c r="FN421" i="2"/>
  <c r="FN422" i="2"/>
  <c r="FN423" i="2"/>
  <c r="FN424" i="2"/>
  <c r="FN425" i="2"/>
  <c r="FN426" i="2"/>
  <c r="FN427" i="2"/>
  <c r="FT408" i="2"/>
  <c r="FU408" i="2" s="1"/>
  <c r="FT409" i="2"/>
  <c r="FU409" i="2" s="1"/>
  <c r="FT410" i="2"/>
  <c r="FU410" i="2" s="1"/>
  <c r="FT411" i="2"/>
  <c r="FU411" i="2" s="1"/>
  <c r="FT412" i="2"/>
  <c r="FU412" i="2" s="1"/>
  <c r="FT413" i="2"/>
  <c r="FU413" i="2" s="1"/>
  <c r="FT414" i="2"/>
  <c r="FU414" i="2" s="1"/>
  <c r="FT415" i="2"/>
  <c r="FU415" i="2" s="1"/>
  <c r="FT416" i="2"/>
  <c r="FU416" i="2" s="1"/>
  <c r="FT417" i="2"/>
  <c r="FU417" i="2" s="1"/>
  <c r="FT418" i="2"/>
  <c r="FU418" i="2" s="1"/>
  <c r="FT419" i="2"/>
  <c r="FU419" i="2" s="1"/>
  <c r="FT420" i="2"/>
  <c r="FU420" i="2" s="1"/>
  <c r="FT421" i="2"/>
  <c r="FU421" i="2" s="1"/>
  <c r="FT422" i="2"/>
  <c r="FU422" i="2" s="1"/>
  <c r="FT423" i="2"/>
  <c r="FU423" i="2" s="1"/>
  <c r="FT424" i="2"/>
  <c r="FU424" i="2" s="1"/>
  <c r="FT425" i="2"/>
  <c r="FU425" i="2" s="1"/>
  <c r="FT426" i="2"/>
  <c r="FU426" i="2" s="1"/>
  <c r="FT427" i="2"/>
  <c r="FU427" i="2" s="1"/>
  <c r="FV408" i="2"/>
  <c r="FV409" i="2"/>
  <c r="FV410" i="2"/>
  <c r="FV411" i="2"/>
  <c r="FV412" i="2"/>
  <c r="FV413" i="2"/>
  <c r="FV414" i="2"/>
  <c r="FV415" i="2"/>
  <c r="FV416" i="2"/>
  <c r="FV417" i="2"/>
  <c r="FV418" i="2"/>
  <c r="FV419" i="2"/>
  <c r="FV420" i="2"/>
  <c r="FV421" i="2"/>
  <c r="FV422" i="2"/>
  <c r="FV423" i="2"/>
  <c r="FV424" i="2"/>
  <c r="FV425" i="2"/>
  <c r="FV426" i="2"/>
  <c r="FV427" i="2"/>
  <c r="HC408" i="2"/>
  <c r="HC409" i="2"/>
  <c r="HC410" i="2"/>
  <c r="HC411" i="2"/>
  <c r="HC412" i="2"/>
  <c r="HC413" i="2"/>
  <c r="HC414" i="2"/>
  <c r="HC415" i="2"/>
  <c r="HC416" i="2"/>
  <c r="HC417" i="2"/>
  <c r="HC418" i="2"/>
  <c r="HC419" i="2"/>
  <c r="HC420" i="2"/>
  <c r="HC421" i="2"/>
  <c r="HC422" i="2"/>
  <c r="HC423" i="2"/>
  <c r="HC424" i="2"/>
  <c r="HC425" i="2"/>
  <c r="HC426" i="2"/>
  <c r="HC427" i="2"/>
  <c r="CS396" i="2"/>
  <c r="CS397" i="2"/>
  <c r="CR398" i="2"/>
  <c r="CT399" i="2"/>
  <c r="CR400" i="2"/>
  <c r="CQ402" i="2"/>
  <c r="CS403" i="2"/>
  <c r="CT404" i="2"/>
  <c r="CS405" i="2"/>
  <c r="CS406" i="2"/>
  <c r="CS407" i="2"/>
  <c r="CS395" i="2"/>
  <c r="P395" i="2"/>
  <c r="P396" i="2"/>
  <c r="P397" i="2"/>
  <c r="P398" i="2"/>
  <c r="P399" i="2"/>
  <c r="P400" i="2"/>
  <c r="P401" i="2"/>
  <c r="P402" i="2"/>
  <c r="P403" i="2"/>
  <c r="P404" i="2"/>
  <c r="P405" i="2"/>
  <c r="P406" i="2"/>
  <c r="P407" i="2"/>
  <c r="AB395" i="2"/>
  <c r="AA395" i="2" s="1"/>
  <c r="AB396" i="2"/>
  <c r="AA396" i="2" s="1"/>
  <c r="AB397" i="2"/>
  <c r="AA397" i="2" s="1"/>
  <c r="AB398" i="2"/>
  <c r="AA398" i="2" s="1"/>
  <c r="AB399" i="2"/>
  <c r="AA399" i="2" s="1"/>
  <c r="AB400" i="2"/>
  <c r="AA400" i="2" s="1"/>
  <c r="AB401" i="2"/>
  <c r="AB402" i="2"/>
  <c r="AA402" i="2" s="1"/>
  <c r="AB403" i="2"/>
  <c r="AA403" i="2" s="1"/>
  <c r="AB404" i="2"/>
  <c r="AA404" i="2" s="1"/>
  <c r="AB405" i="2"/>
  <c r="AA405" i="2" s="1"/>
  <c r="AB406" i="2"/>
  <c r="AA406" i="2" s="1"/>
  <c r="AB407" i="2"/>
  <c r="AA407" i="2" s="1"/>
  <c r="BJ407" i="2"/>
  <c r="BJ395" i="2"/>
  <c r="BJ396" i="2"/>
  <c r="BJ397" i="2"/>
  <c r="BJ398" i="2"/>
  <c r="BJ399" i="2"/>
  <c r="BJ400" i="2"/>
  <c r="BJ401" i="2"/>
  <c r="BJ402" i="2"/>
  <c r="BJ403" i="2"/>
  <c r="BJ404" i="2"/>
  <c r="BJ405" i="2"/>
  <c r="BJ406" i="2"/>
  <c r="FN395" i="2"/>
  <c r="FN396" i="2"/>
  <c r="FN397" i="2"/>
  <c r="FN398" i="2"/>
  <c r="FN399" i="2"/>
  <c r="FN400" i="2"/>
  <c r="FN401" i="2"/>
  <c r="FN402" i="2"/>
  <c r="FN403" i="2"/>
  <c r="FN404" i="2"/>
  <c r="FN405" i="2"/>
  <c r="FN406" i="2"/>
  <c r="FN407" i="2"/>
  <c r="FT395" i="2"/>
  <c r="FU395" i="2" s="1"/>
  <c r="FT396" i="2"/>
  <c r="FU396" i="2" s="1"/>
  <c r="FT397" i="2"/>
  <c r="FU397" i="2" s="1"/>
  <c r="FT398" i="2"/>
  <c r="FU398" i="2" s="1"/>
  <c r="FT399" i="2"/>
  <c r="FU399" i="2" s="1"/>
  <c r="FT400" i="2"/>
  <c r="FU400" i="2" s="1"/>
  <c r="FT401" i="2"/>
  <c r="FU401" i="2" s="1"/>
  <c r="FT402" i="2"/>
  <c r="FU402" i="2" s="1"/>
  <c r="FT403" i="2"/>
  <c r="FU403" i="2" s="1"/>
  <c r="FT404" i="2"/>
  <c r="FU404" i="2" s="1"/>
  <c r="FT405" i="2"/>
  <c r="FU405" i="2" s="1"/>
  <c r="FT406" i="2"/>
  <c r="FU406" i="2" s="1"/>
  <c r="FT407" i="2"/>
  <c r="FU407" i="2" s="1"/>
  <c r="FV395" i="2"/>
  <c r="FV396" i="2"/>
  <c r="FV397" i="2"/>
  <c r="FV398" i="2"/>
  <c r="FV399" i="2"/>
  <c r="FV400" i="2"/>
  <c r="FV401" i="2"/>
  <c r="FV402" i="2"/>
  <c r="FV403" i="2"/>
  <c r="FV404" i="2"/>
  <c r="FV405" i="2"/>
  <c r="FV406" i="2"/>
  <c r="FV407" i="2"/>
  <c r="HC395" i="2"/>
  <c r="HC396" i="2"/>
  <c r="HC397" i="2"/>
  <c r="HC398" i="2"/>
  <c r="HC399" i="2"/>
  <c r="HC400" i="2"/>
  <c r="HC401" i="2"/>
  <c r="HC402" i="2"/>
  <c r="HC403" i="2"/>
  <c r="HC404" i="2"/>
  <c r="HC405" i="2"/>
  <c r="HC406" i="2"/>
  <c r="HC407" i="2"/>
  <c r="CS370" i="2"/>
  <c r="CQ371" i="2"/>
  <c r="CR372" i="2"/>
  <c r="CR373" i="2"/>
  <c r="CQ374" i="2"/>
  <c r="CT375" i="2"/>
  <c r="CQ376" i="2"/>
  <c r="CR377" i="2"/>
  <c r="CR378" i="2"/>
  <c r="CR379" i="2"/>
  <c r="CS380" i="2"/>
  <c r="CS381" i="2"/>
  <c r="CT382" i="2"/>
  <c r="CS383" i="2"/>
  <c r="CR384" i="2"/>
  <c r="CQ385" i="2"/>
  <c r="CT386" i="2"/>
  <c r="CS387" i="2"/>
  <c r="CR388" i="2"/>
  <c r="CQ389" i="2"/>
  <c r="CS390" i="2"/>
  <c r="CR391" i="2"/>
  <c r="CQ369" i="2"/>
  <c r="P369" i="2"/>
  <c r="P370" i="2"/>
  <c r="P378" i="2"/>
  <c r="P379" i="2"/>
  <c r="P380" i="2"/>
  <c r="P381" i="2"/>
  <c r="P382" i="2"/>
  <c r="P383" i="2"/>
  <c r="P384" i="2"/>
  <c r="P385" i="2"/>
  <c r="P387" i="2"/>
  <c r="P390" i="2"/>
  <c r="P391" i="2"/>
  <c r="V369" i="2"/>
  <c r="L368" i="10" s="1"/>
  <c r="V370" i="2"/>
  <c r="L369" i="10" s="1"/>
  <c r="V371" i="2"/>
  <c r="L370" i="10" s="1"/>
  <c r="V372" i="2"/>
  <c r="L371" i="10" s="1"/>
  <c r="V373" i="2"/>
  <c r="L372" i="10" s="1"/>
  <c r="V374" i="2"/>
  <c r="L373" i="10" s="1"/>
  <c r="V375" i="2"/>
  <c r="L374" i="10" s="1"/>
  <c r="V376" i="2"/>
  <c r="L375" i="10" s="1"/>
  <c r="V377" i="2"/>
  <c r="L376" i="10" s="1"/>
  <c r="V378" i="2"/>
  <c r="L377" i="10" s="1"/>
  <c r="V380" i="2"/>
  <c r="L379" i="10" s="1"/>
  <c r="V381" i="2"/>
  <c r="L380" i="10" s="1"/>
  <c r="V382" i="2"/>
  <c r="L381" i="10" s="1"/>
  <c r="V383" i="2"/>
  <c r="L382" i="10" s="1"/>
  <c r="V384" i="2"/>
  <c r="L383" i="10" s="1"/>
  <c r="V385" i="2"/>
  <c r="L384" i="10" s="1"/>
  <c r="V386" i="2"/>
  <c r="L385" i="10" s="1"/>
  <c r="V387" i="2"/>
  <c r="L386" i="10" s="1"/>
  <c r="V388" i="2"/>
  <c r="L387" i="10" s="1"/>
  <c r="V389" i="2"/>
  <c r="L388" i="10" s="1"/>
  <c r="V390" i="2"/>
  <c r="L389" i="10" s="1"/>
  <c r="V391" i="2"/>
  <c r="L390" i="10" s="1"/>
  <c r="AB369" i="2"/>
  <c r="AA369" i="2" s="1"/>
  <c r="AB370" i="2"/>
  <c r="AA370" i="2" s="1"/>
  <c r="AB371" i="2"/>
  <c r="AA371" i="2" s="1"/>
  <c r="AB372" i="2"/>
  <c r="AA372" i="2" s="1"/>
  <c r="AB373" i="2"/>
  <c r="AA373" i="2" s="1"/>
  <c r="AB374" i="2"/>
  <c r="AA374" i="2" s="1"/>
  <c r="AB375" i="2"/>
  <c r="AA375" i="2" s="1"/>
  <c r="AB376" i="2"/>
  <c r="AA376" i="2" s="1"/>
  <c r="AB377" i="2"/>
  <c r="AA377" i="2" s="1"/>
  <c r="AB378" i="2"/>
  <c r="AA378" i="2" s="1"/>
  <c r="AB380" i="2"/>
  <c r="AA380" i="2" s="1"/>
  <c r="AB381" i="2"/>
  <c r="AA381" i="2" s="1"/>
  <c r="AB382" i="2"/>
  <c r="AA382" i="2" s="1"/>
  <c r="AB383" i="2"/>
  <c r="AA383" i="2" s="1"/>
  <c r="AB384" i="2"/>
  <c r="AA384" i="2" s="1"/>
  <c r="AB385" i="2"/>
  <c r="AA385" i="2" s="1"/>
  <c r="CP385" i="2" s="1"/>
  <c r="T385" i="2" s="1"/>
  <c r="J384" i="10" s="1"/>
  <c r="AB386" i="2"/>
  <c r="AA386" i="2" s="1"/>
  <c r="AB389" i="2"/>
  <c r="AA389" i="2" s="1"/>
  <c r="AB390" i="2"/>
  <c r="AA390" i="2" s="1"/>
  <c r="CP390" i="2" s="1"/>
  <c r="T390" i="2" s="1"/>
  <c r="J389" i="10" s="1"/>
  <c r="AB391" i="2"/>
  <c r="AA391" i="2" s="1"/>
  <c r="BJ371" i="2"/>
  <c r="BJ382" i="2"/>
  <c r="BJ369" i="2"/>
  <c r="BJ370" i="2"/>
  <c r="BJ372" i="2"/>
  <c r="BJ373" i="2"/>
  <c r="BJ375" i="2"/>
  <c r="BJ376" i="2"/>
  <c r="BJ377" i="2"/>
  <c r="BJ378" i="2"/>
  <c r="BJ379" i="2"/>
  <c r="BJ380" i="2"/>
  <c r="BJ381" i="2"/>
  <c r="BJ383" i="2"/>
  <c r="BJ384" i="2"/>
  <c r="BJ385" i="2"/>
  <c r="BJ386" i="2"/>
  <c r="BJ387" i="2"/>
  <c r="BJ388" i="2"/>
  <c r="BJ389" i="2"/>
  <c r="BJ390" i="2"/>
  <c r="BJ391" i="2"/>
  <c r="BJ374" i="2"/>
  <c r="FN369" i="2"/>
  <c r="FN370" i="2"/>
  <c r="FN371" i="2"/>
  <c r="FN372" i="2"/>
  <c r="FN373" i="2"/>
  <c r="FN374" i="2"/>
  <c r="FN375" i="2"/>
  <c r="FN376" i="2"/>
  <c r="FN377" i="2"/>
  <c r="FN378" i="2"/>
  <c r="FN379" i="2"/>
  <c r="FN380" i="2"/>
  <c r="FN381" i="2"/>
  <c r="FN382" i="2"/>
  <c r="FN383" i="2"/>
  <c r="FN384" i="2"/>
  <c r="FN385" i="2"/>
  <c r="FN386" i="2"/>
  <c r="FN387" i="2"/>
  <c r="FN388" i="2"/>
  <c r="FN389" i="2"/>
  <c r="FN390" i="2"/>
  <c r="FN391" i="2"/>
  <c r="FT369" i="2"/>
  <c r="FU369" i="2" s="1"/>
  <c r="FT372" i="2"/>
  <c r="FU372" i="2" s="1"/>
  <c r="FT375" i="2"/>
  <c r="FU375" i="2" s="1"/>
  <c r="FV369" i="2"/>
  <c r="FV370" i="2"/>
  <c r="FV371" i="2"/>
  <c r="FV372" i="2"/>
  <c r="FV373" i="2"/>
  <c r="FV374" i="2"/>
  <c r="FV375" i="2"/>
  <c r="FV376" i="2"/>
  <c r="FV377" i="2"/>
  <c r="FV378" i="2"/>
  <c r="FV379" i="2"/>
  <c r="FV380" i="2"/>
  <c r="FV381" i="2"/>
  <c r="FV382" i="2"/>
  <c r="FV383" i="2"/>
  <c r="FV384" i="2"/>
  <c r="FV385" i="2"/>
  <c r="FV386" i="2"/>
  <c r="FV387" i="2"/>
  <c r="FV388" i="2"/>
  <c r="FV389" i="2"/>
  <c r="FV390" i="2"/>
  <c r="FV391" i="2"/>
  <c r="HC369" i="2"/>
  <c r="HC370" i="2"/>
  <c r="HC371" i="2"/>
  <c r="HC372" i="2"/>
  <c r="HC373" i="2"/>
  <c r="HC374" i="2"/>
  <c r="HC375" i="2"/>
  <c r="HC376" i="2"/>
  <c r="HC377" i="2"/>
  <c r="HC378" i="2"/>
  <c r="HC379" i="2"/>
  <c r="HC380" i="2"/>
  <c r="HC381" i="2"/>
  <c r="HC382" i="2"/>
  <c r="HC383" i="2"/>
  <c r="HC384" i="2"/>
  <c r="HC385" i="2"/>
  <c r="HC386" i="2"/>
  <c r="HC387" i="2"/>
  <c r="HC388" i="2"/>
  <c r="HC389" i="2"/>
  <c r="HC390" i="2"/>
  <c r="HC391" i="2"/>
  <c r="CQ346" i="2"/>
  <c r="CT347" i="2"/>
  <c r="CT348" i="2"/>
  <c r="CQ349" i="2"/>
  <c r="CT350" i="2"/>
  <c r="CT351" i="2"/>
  <c r="CS352" i="2"/>
  <c r="CS353" i="2"/>
  <c r="CR354" i="2"/>
  <c r="CR355" i="2"/>
  <c r="CQ356" i="2"/>
  <c r="CT357" i="2"/>
  <c r="CT358" i="2"/>
  <c r="CS359" i="2"/>
  <c r="CQ360" i="2"/>
  <c r="CR361" i="2"/>
  <c r="CS362" i="2"/>
  <c r="CR363" i="2"/>
  <c r="CS364" i="2"/>
  <c r="CS365" i="2"/>
  <c r="CQ366" i="2"/>
  <c r="CS367" i="2"/>
  <c r="CR368" i="2"/>
  <c r="CT345" i="2"/>
  <c r="P346" i="2"/>
  <c r="P347" i="2"/>
  <c r="P348" i="2"/>
  <c r="P356" i="2"/>
  <c r="P357" i="2"/>
  <c r="P358" i="2"/>
  <c r="P359" i="2"/>
  <c r="P360" i="2"/>
  <c r="P361" i="2"/>
  <c r="P362" i="2"/>
  <c r="P363" i="2"/>
  <c r="P364" i="2"/>
  <c r="P366" i="2"/>
  <c r="P367" i="2"/>
  <c r="P368" i="2"/>
  <c r="V345" i="2"/>
  <c r="L344" i="10" s="1"/>
  <c r="V346" i="2"/>
  <c r="L345" i="10" s="1"/>
  <c r="V347" i="2"/>
  <c r="L346" i="10" s="1"/>
  <c r="V348" i="2"/>
  <c r="L347" i="10" s="1"/>
  <c r="V349" i="2"/>
  <c r="L348" i="10" s="1"/>
  <c r="V350" i="2"/>
  <c r="L349" i="10" s="1"/>
  <c r="V351" i="2"/>
  <c r="L350" i="10" s="1"/>
  <c r="V352" i="2"/>
  <c r="L351" i="10" s="1"/>
  <c r="V353" i="2"/>
  <c r="L352" i="10" s="1"/>
  <c r="V354" i="2"/>
  <c r="L353" i="10" s="1"/>
  <c r="V355" i="2"/>
  <c r="L354" i="10" s="1"/>
  <c r="V356" i="2"/>
  <c r="L355" i="10" s="1"/>
  <c r="V357" i="2"/>
  <c r="L356" i="10" s="1"/>
  <c r="V358" i="2"/>
  <c r="L357" i="10" s="1"/>
  <c r="V360" i="2"/>
  <c r="L359" i="10" s="1"/>
  <c r="V361" i="2"/>
  <c r="L360" i="10" s="1"/>
  <c r="V362" i="2"/>
  <c r="L361" i="10" s="1"/>
  <c r="V363" i="2"/>
  <c r="L362" i="10" s="1"/>
  <c r="V364" i="2"/>
  <c r="L363" i="10" s="1"/>
  <c r="V365" i="2"/>
  <c r="L364" i="10" s="1"/>
  <c r="V366" i="2"/>
  <c r="L365" i="10" s="1"/>
  <c r="V367" i="2"/>
  <c r="L366" i="10" s="1"/>
  <c r="AB345" i="2"/>
  <c r="AA345" i="2" s="1"/>
  <c r="AB346" i="2"/>
  <c r="AA346" i="2" s="1"/>
  <c r="AB347" i="2"/>
  <c r="AA347" i="2" s="1"/>
  <c r="AB348" i="2"/>
  <c r="AA348" i="2" s="1"/>
  <c r="AB349" i="2"/>
  <c r="AA349" i="2" s="1"/>
  <c r="AB350" i="2"/>
  <c r="AA350" i="2" s="1"/>
  <c r="AB351" i="2"/>
  <c r="AA351" i="2" s="1"/>
  <c r="AB353" i="2"/>
  <c r="AA353" i="2" s="1"/>
  <c r="AB355" i="2"/>
  <c r="AA355" i="2" s="1"/>
  <c r="AB356" i="2"/>
  <c r="AA356" i="2" s="1"/>
  <c r="AB357" i="2"/>
  <c r="AA357" i="2" s="1"/>
  <c r="AB358" i="2"/>
  <c r="AA358" i="2" s="1"/>
  <c r="AB359" i="2"/>
  <c r="AA359" i="2" s="1"/>
  <c r="AB360" i="2"/>
  <c r="AA360" i="2" s="1"/>
  <c r="AB361" i="2"/>
  <c r="AA361" i="2" s="1"/>
  <c r="AB362" i="2"/>
  <c r="AA362" i="2" s="1"/>
  <c r="AB363" i="2"/>
  <c r="AA363" i="2" s="1"/>
  <c r="AB364" i="2"/>
  <c r="AA364" i="2" s="1"/>
  <c r="AB365" i="2"/>
  <c r="AA365" i="2" s="1"/>
  <c r="AB366" i="2"/>
  <c r="AA366" i="2" s="1"/>
  <c r="AB367" i="2"/>
  <c r="AA367" i="2" s="1"/>
  <c r="AB368" i="2"/>
  <c r="AA368" i="2" s="1"/>
  <c r="BJ351" i="2"/>
  <c r="BJ352" i="2"/>
  <c r="BJ353" i="2"/>
  <c r="BJ354" i="2"/>
  <c r="BJ345" i="2"/>
  <c r="BJ346" i="2"/>
  <c r="BJ347" i="2"/>
  <c r="BJ348" i="2"/>
  <c r="BJ349" i="2"/>
  <c r="BJ350" i="2"/>
  <c r="BJ355" i="2"/>
  <c r="BJ356" i="2"/>
  <c r="BJ359" i="2"/>
  <c r="BJ360" i="2"/>
  <c r="BJ367" i="2"/>
  <c r="BJ368" i="2"/>
  <c r="BJ357" i="2"/>
  <c r="BJ358" i="2"/>
  <c r="FN345" i="2"/>
  <c r="FN346" i="2"/>
  <c r="FN347" i="2"/>
  <c r="FN348" i="2"/>
  <c r="FN349" i="2"/>
  <c r="FN350" i="2"/>
  <c r="FN351" i="2"/>
  <c r="FN352" i="2"/>
  <c r="FN353" i="2"/>
  <c r="FN354" i="2"/>
  <c r="FN355" i="2"/>
  <c r="FN356" i="2"/>
  <c r="FN357" i="2"/>
  <c r="FN358" i="2"/>
  <c r="FN359" i="2"/>
  <c r="FN360" i="2"/>
  <c r="FN361" i="2"/>
  <c r="FN362" i="2"/>
  <c r="FN363" i="2"/>
  <c r="FN364" i="2"/>
  <c r="FN365" i="2"/>
  <c r="FN366" i="2"/>
  <c r="FN367" i="2"/>
  <c r="FN368" i="2"/>
  <c r="FT362" i="2"/>
  <c r="FU362" i="2" s="1"/>
  <c r="FT365" i="2"/>
  <c r="FU365" i="2" s="1"/>
  <c r="FT368" i="2"/>
  <c r="FU368" i="2" s="1"/>
  <c r="FV345" i="2"/>
  <c r="FV346" i="2"/>
  <c r="FV347" i="2"/>
  <c r="FV348" i="2"/>
  <c r="FV349" i="2"/>
  <c r="FV350" i="2"/>
  <c r="FV351" i="2"/>
  <c r="FV352" i="2"/>
  <c r="FV353" i="2"/>
  <c r="FV354" i="2"/>
  <c r="FV355" i="2"/>
  <c r="FV356" i="2"/>
  <c r="FV357" i="2"/>
  <c r="FV358" i="2"/>
  <c r="FV359" i="2"/>
  <c r="FV360" i="2"/>
  <c r="FV361" i="2"/>
  <c r="FV362" i="2"/>
  <c r="FV363" i="2"/>
  <c r="FV364" i="2"/>
  <c r="FV365" i="2"/>
  <c r="FV366" i="2"/>
  <c r="FV367" i="2"/>
  <c r="FV368" i="2"/>
  <c r="HC345" i="2"/>
  <c r="HC346" i="2"/>
  <c r="HC347" i="2"/>
  <c r="HC348" i="2"/>
  <c r="HC349" i="2"/>
  <c r="HC350" i="2"/>
  <c r="HC351" i="2"/>
  <c r="HC352" i="2"/>
  <c r="HC353" i="2"/>
  <c r="HC354" i="2"/>
  <c r="HC355" i="2"/>
  <c r="HC356" i="2"/>
  <c r="HC357" i="2"/>
  <c r="HC358" i="2"/>
  <c r="HC359" i="2"/>
  <c r="HC360" i="2"/>
  <c r="HC361" i="2"/>
  <c r="HC362" i="2"/>
  <c r="HC363" i="2"/>
  <c r="HC364" i="2"/>
  <c r="HC365" i="2"/>
  <c r="HC366" i="2"/>
  <c r="HC367" i="2"/>
  <c r="HC368" i="2"/>
  <c r="Q376" i="2" l="1"/>
  <c r="Q383" i="2"/>
  <c r="H382" i="10" s="1"/>
  <c r="DD3" i="2"/>
  <c r="DH3" i="2"/>
  <c r="Q391" i="2"/>
  <c r="AK10" i="9" s="1"/>
  <c r="AK7" i="9" s="1"/>
  <c r="Q403" i="2"/>
  <c r="H402" i="10" s="1"/>
  <c r="Q422" i="2"/>
  <c r="H421" i="10" s="1"/>
  <c r="Q389" i="2"/>
  <c r="Q400" i="2"/>
  <c r="H399" i="10" s="1"/>
  <c r="Q427" i="2"/>
  <c r="H426" i="10" s="1"/>
  <c r="Q367" i="2"/>
  <c r="H366" i="10" s="1"/>
  <c r="Q387" i="2"/>
  <c r="H386" i="10" s="1"/>
  <c r="Q404" i="2"/>
  <c r="H403" i="10" s="1"/>
  <c r="Q415" i="2"/>
  <c r="H414" i="10" s="1"/>
  <c r="Q425" i="2"/>
  <c r="H424" i="10" s="1"/>
  <c r="Q402" i="2"/>
  <c r="H401" i="10" s="1"/>
  <c r="Q418" i="2"/>
  <c r="H417" i="10" s="1"/>
  <c r="Q358" i="2"/>
  <c r="H357" i="10" s="1"/>
  <c r="Q357" i="2"/>
  <c r="H356" i="10" s="1"/>
  <c r="Q401" i="2"/>
  <c r="H400" i="10" s="1"/>
  <c r="Q368" i="2"/>
  <c r="H367" i="10" s="1"/>
  <c r="Q388" i="2"/>
  <c r="H387" i="10" s="1"/>
  <c r="H370" i="10"/>
  <c r="Q348" i="2"/>
  <c r="H347" i="10" s="1"/>
  <c r="Q406" i="2"/>
  <c r="H405" i="10" s="1"/>
  <c r="Q405" i="2"/>
  <c r="H404" i="10" s="1"/>
  <c r="Q374" i="2"/>
  <c r="H373" i="10" s="1"/>
  <c r="Q382" i="2"/>
  <c r="H381" i="10" s="1"/>
  <c r="Q424" i="2"/>
  <c r="H423" i="10" s="1"/>
  <c r="Q439" i="2"/>
  <c r="H438" i="10" s="1"/>
  <c r="Q414" i="2"/>
  <c r="H413" i="10" s="1"/>
  <c r="Q420" i="2"/>
  <c r="H419" i="10" s="1"/>
  <c r="Q346" i="2"/>
  <c r="H416" i="10"/>
  <c r="Q426" i="2"/>
  <c r="H425" i="10" s="1"/>
  <c r="Q350" i="2"/>
  <c r="H349" i="10" s="1"/>
  <c r="Q407" i="2"/>
  <c r="H406" i="10" s="1"/>
  <c r="Q349" i="2"/>
  <c r="H348" i="10" s="1"/>
  <c r="Q421" i="2"/>
  <c r="H420" i="10" s="1"/>
  <c r="Q347" i="2"/>
  <c r="H376" i="10"/>
  <c r="Q345" i="2"/>
  <c r="Q416" i="2"/>
  <c r="H415" i="10" s="1"/>
  <c r="Q412" i="2"/>
  <c r="H411" i="10" s="1"/>
  <c r="Q360" i="2"/>
  <c r="H359" i="10" s="1"/>
  <c r="Q398" i="2"/>
  <c r="H397" i="10" s="1"/>
  <c r="Q359" i="2"/>
  <c r="H358" i="10" s="1"/>
  <c r="Q384" i="2"/>
  <c r="H383" i="10" s="1"/>
  <c r="Q397" i="2"/>
  <c r="H396" i="10" s="1"/>
  <c r="Q411" i="2"/>
  <c r="H410" i="10" s="1"/>
  <c r="Q419" i="2"/>
  <c r="H418" i="10" s="1"/>
  <c r="Q413" i="2"/>
  <c r="H412" i="10" s="1"/>
  <c r="Q379" i="2"/>
  <c r="H378" i="10" s="1"/>
  <c r="Q354" i="2"/>
  <c r="H353" i="10" s="1"/>
  <c r="Q373" i="2"/>
  <c r="H372" i="10" s="1"/>
  <c r="Q409" i="2"/>
  <c r="H408" i="10" s="1"/>
  <c r="Q386" i="2"/>
  <c r="H385" i="10" s="1"/>
  <c r="Q399" i="2"/>
  <c r="H398" i="10" s="1"/>
  <c r="Q355" i="2"/>
  <c r="H354" i="10" s="1"/>
  <c r="Q423" i="2"/>
  <c r="H422" i="10" s="1"/>
  <c r="Q353" i="2"/>
  <c r="Q372" i="2"/>
  <c r="H371" i="10" s="1"/>
  <c r="Q408" i="2"/>
  <c r="H407" i="10" s="1"/>
  <c r="Q437" i="2"/>
  <c r="Q410" i="2"/>
  <c r="H409" i="10" s="1"/>
  <c r="Q381" i="2"/>
  <c r="H380" i="10" s="1"/>
  <c r="H377" i="10"/>
  <c r="H375" i="10"/>
  <c r="Q352" i="2"/>
  <c r="Q370" i="2"/>
  <c r="H369" i="10" s="1"/>
  <c r="Q396" i="2"/>
  <c r="H395" i="10" s="1"/>
  <c r="Q395" i="2"/>
  <c r="Q380" i="2"/>
  <c r="H379" i="10" s="1"/>
  <c r="Q375" i="2"/>
  <c r="H374" i="10" s="1"/>
  <c r="Q351" i="2"/>
  <c r="H350" i="10" s="1"/>
  <c r="Q369" i="2"/>
  <c r="Q438" i="2"/>
  <c r="Q356" i="2"/>
  <c r="H355" i="10" s="1"/>
  <c r="CP345" i="2"/>
  <c r="T345" i="2" s="1"/>
  <c r="U385" i="2"/>
  <c r="K384" i="10" s="1"/>
  <c r="U390" i="2"/>
  <c r="K389" i="10" s="1"/>
  <c r="AA401" i="2"/>
  <c r="CS401" i="2"/>
  <c r="AI362" i="2"/>
  <c r="AK417" i="2"/>
  <c r="CP417" i="2" s="1"/>
  <c r="T417" i="2" s="1"/>
  <c r="AJ438" i="2"/>
  <c r="AI360" i="2"/>
  <c r="AK397" i="2"/>
  <c r="CP397" i="2" s="1"/>
  <c r="AJ427" i="2"/>
  <c r="AK415" i="2"/>
  <c r="CP415" i="2" s="1"/>
  <c r="T415" i="2" s="1"/>
  <c r="AJ436" i="2"/>
  <c r="AJ437" i="2"/>
  <c r="AK345" i="2"/>
  <c r="AJ426" i="2"/>
  <c r="AL414" i="2"/>
  <c r="AJ435" i="2"/>
  <c r="AL389" i="2"/>
  <c r="AI357" i="2"/>
  <c r="AL407" i="2"/>
  <c r="AJ395" i="2"/>
  <c r="AK413" i="2"/>
  <c r="CP413" i="2" s="1"/>
  <c r="T413" i="2" s="1"/>
  <c r="AI361" i="2"/>
  <c r="AJ368" i="2"/>
  <c r="AL406" i="2"/>
  <c r="AI424" i="2"/>
  <c r="AL412" i="2"/>
  <c r="AJ400" i="2"/>
  <c r="AI381" i="2"/>
  <c r="AK405" i="2"/>
  <c r="CP405" i="2" s="1"/>
  <c r="AI423" i="2"/>
  <c r="AI411" i="2"/>
  <c r="AI439" i="2"/>
  <c r="AK374" i="2"/>
  <c r="CP374" i="2" s="1"/>
  <c r="T374" i="2" s="1"/>
  <c r="AL404" i="2"/>
  <c r="AL410" i="2"/>
  <c r="AK346" i="2"/>
  <c r="AK398" i="2"/>
  <c r="CP398" i="2" s="1"/>
  <c r="AL409" i="2"/>
  <c r="AJ375" i="2"/>
  <c r="AL373" i="2"/>
  <c r="AJ416" i="2"/>
  <c r="AL350" i="2"/>
  <c r="AI377" i="2"/>
  <c r="AI402" i="2"/>
  <c r="AL408" i="2"/>
  <c r="AK349" i="2"/>
  <c r="CP349" i="2" s="1"/>
  <c r="T349" i="2" s="1"/>
  <c r="AI376" i="2"/>
  <c r="AI401" i="2"/>
  <c r="AI425" i="2"/>
  <c r="W423" i="2"/>
  <c r="M422" i="10" s="1"/>
  <c r="N422" i="10" s="1"/>
  <c r="W426" i="2"/>
  <c r="M425" i="10" s="1"/>
  <c r="N425" i="10" s="1"/>
  <c r="CJ421" i="2"/>
  <c r="CJ420" i="2"/>
  <c r="CJ419" i="2"/>
  <c r="W417" i="2"/>
  <c r="M416" i="10" s="1"/>
  <c r="N416" i="10" s="1"/>
  <c r="W416" i="2"/>
  <c r="M415" i="10" s="1"/>
  <c r="N415" i="10" s="1"/>
  <c r="CJ409" i="2"/>
  <c r="CJ408" i="2"/>
  <c r="W439" i="2"/>
  <c r="M438" i="10" s="1"/>
  <c r="N438" i="10" s="1"/>
  <c r="W359" i="2"/>
  <c r="M358" i="10" s="1"/>
  <c r="N358" i="10" s="1"/>
  <c r="CJ407" i="2"/>
  <c r="W360" i="2"/>
  <c r="M359" i="10" s="1"/>
  <c r="N359" i="10" s="1"/>
  <c r="W382" i="2"/>
  <c r="M381" i="10" s="1"/>
  <c r="N381" i="10" s="1"/>
  <c r="CJ371" i="2"/>
  <c r="AI378" i="2"/>
  <c r="AK23" i="3"/>
  <c r="AJ23" i="3"/>
  <c r="P424" i="2"/>
  <c r="P426" i="2"/>
  <c r="P425" i="2"/>
  <c r="P427" i="2"/>
  <c r="P416" i="2"/>
  <c r="P365" i="2"/>
  <c r="P354" i="2"/>
  <c r="P375" i="2"/>
  <c r="P353" i="2"/>
  <c r="P372" i="2"/>
  <c r="P350" i="2"/>
  <c r="P373" i="2"/>
  <c r="P374" i="2"/>
  <c r="FT384" i="2"/>
  <c r="FU384" i="2" s="1"/>
  <c r="FT351" i="2"/>
  <c r="FU351" i="2" s="1"/>
  <c r="FT389" i="2"/>
  <c r="FU389" i="2" s="1"/>
  <c r="FT387" i="2"/>
  <c r="FU387" i="2" s="1"/>
  <c r="FT376" i="2"/>
  <c r="FU376" i="2" s="1"/>
  <c r="FT354" i="2"/>
  <c r="FU354" i="2" s="1"/>
  <c r="FT383" i="2"/>
  <c r="FU383" i="2" s="1"/>
  <c r="FT382" i="2"/>
  <c r="FU382" i="2" s="1"/>
  <c r="FT356" i="2"/>
  <c r="FU356" i="2" s="1"/>
  <c r="FT386" i="2"/>
  <c r="FU386" i="2" s="1"/>
  <c r="FT353" i="2"/>
  <c r="FU353" i="2" s="1"/>
  <c r="FT350" i="2"/>
  <c r="FU350" i="2" s="1"/>
  <c r="CQ436" i="2"/>
  <c r="CR408" i="2"/>
  <c r="CS420" i="2"/>
  <c r="CQ437" i="2"/>
  <c r="CT376" i="2"/>
  <c r="CT439" i="2"/>
  <c r="CQ439" i="2"/>
  <c r="CR409" i="2"/>
  <c r="CQ412" i="2"/>
  <c r="CT400" i="2"/>
  <c r="CT408" i="2"/>
  <c r="CT437" i="2"/>
  <c r="CS437" i="2"/>
  <c r="AK439" i="2"/>
  <c r="CP439" i="2" s="1"/>
  <c r="T439" i="2" s="1"/>
  <c r="AL439" i="2"/>
  <c r="AK438" i="2"/>
  <c r="CP438" i="2" s="1"/>
  <c r="T438" i="2" s="1"/>
  <c r="AI438" i="2"/>
  <c r="AL435" i="2"/>
  <c r="AI435" i="2"/>
  <c r="CR411" i="2"/>
  <c r="CQ417" i="2"/>
  <c r="CT373" i="2"/>
  <c r="CQ418" i="2"/>
  <c r="CQ413" i="2"/>
  <c r="CJ439" i="2"/>
  <c r="CJ435" i="2"/>
  <c r="W435" i="2"/>
  <c r="M434" i="10" s="1"/>
  <c r="N434" i="10" s="1"/>
  <c r="W437" i="2"/>
  <c r="M436" i="10" s="1"/>
  <c r="N436" i="10" s="1"/>
  <c r="CJ437" i="2"/>
  <c r="W438" i="2"/>
  <c r="M437" i="10" s="1"/>
  <c r="N437" i="10" s="1"/>
  <c r="CJ438" i="2"/>
  <c r="W436" i="2"/>
  <c r="M435" i="10" s="1"/>
  <c r="N435" i="10" s="1"/>
  <c r="CJ436" i="2"/>
  <c r="AI437" i="2"/>
  <c r="CS413" i="2"/>
  <c r="AI436" i="2"/>
  <c r="CS408" i="2"/>
  <c r="CS410" i="2"/>
  <c r="CS409" i="2"/>
  <c r="CR419" i="2"/>
  <c r="CR418" i="2"/>
  <c r="AL438" i="2"/>
  <c r="CR412" i="2"/>
  <c r="AL437" i="2"/>
  <c r="AL436" i="2"/>
  <c r="CR410" i="2"/>
  <c r="AK437" i="2"/>
  <c r="CP437" i="2" s="1"/>
  <c r="T437" i="2" s="1"/>
  <c r="AK436" i="2"/>
  <c r="CP436" i="2" s="1"/>
  <c r="T436" i="2" s="1"/>
  <c r="AK435" i="2"/>
  <c r="CP435" i="2" s="1"/>
  <c r="T435" i="2" s="1"/>
  <c r="AJ439" i="2"/>
  <c r="CQ419" i="2"/>
  <c r="CQ410" i="2"/>
  <c r="CT372" i="2"/>
  <c r="CT413" i="2"/>
  <c r="CT420" i="2"/>
  <c r="CQ409" i="2"/>
  <c r="CT369" i="2"/>
  <c r="CR399" i="2"/>
  <c r="CR395" i="2"/>
  <c r="CR404" i="2"/>
  <c r="CR421" i="2"/>
  <c r="CQ404" i="2"/>
  <c r="CT423" i="2"/>
  <c r="CT418" i="2"/>
  <c r="CQ400" i="2"/>
  <c r="CT412" i="2"/>
  <c r="CS423" i="2"/>
  <c r="CS421" i="2"/>
  <c r="CQ395" i="2"/>
  <c r="CT374" i="2"/>
  <c r="CS415" i="2"/>
  <c r="CT371" i="2"/>
  <c r="CS414" i="2"/>
  <c r="CQ416" i="2"/>
  <c r="CT370" i="2"/>
  <c r="CQ415" i="2"/>
  <c r="CQ414" i="2"/>
  <c r="CS411" i="2"/>
  <c r="CS416" i="2"/>
  <c r="CR370" i="2"/>
  <c r="CT407" i="2"/>
  <c r="CR371" i="2"/>
  <c r="CR369" i="2"/>
  <c r="CT405" i="2"/>
  <c r="CT422" i="2"/>
  <c r="CQ411" i="2"/>
  <c r="CT396" i="2"/>
  <c r="CS404" i="2"/>
  <c r="CT415" i="2"/>
  <c r="CT414" i="2"/>
  <c r="CR416" i="2"/>
  <c r="CR397" i="2"/>
  <c r="CT395" i="2"/>
  <c r="CR396" i="2"/>
  <c r="CT424" i="2"/>
  <c r="CS422" i="2"/>
  <c r="CR420" i="2"/>
  <c r="CT421" i="2"/>
  <c r="CS419" i="2"/>
  <c r="CR417" i="2"/>
  <c r="CS417" i="2"/>
  <c r="CT425" i="2"/>
  <c r="CQ427" i="2"/>
  <c r="CQ426" i="2"/>
  <c r="CR427" i="2"/>
  <c r="CQ425" i="2"/>
  <c r="CR426" i="2"/>
  <c r="CS427" i="2"/>
  <c r="CR425" i="2"/>
  <c r="CQ423" i="2"/>
  <c r="CQ424" i="2"/>
  <c r="CS426" i="2"/>
  <c r="CR424" i="2"/>
  <c r="CQ422" i="2"/>
  <c r="AI410" i="2"/>
  <c r="AJ423" i="2"/>
  <c r="CJ416" i="2"/>
  <c r="CJ417" i="2"/>
  <c r="AL424" i="2"/>
  <c r="AL423" i="2"/>
  <c r="AK423" i="2"/>
  <c r="CP423" i="2" s="1"/>
  <c r="AL427" i="2"/>
  <c r="AK426" i="2"/>
  <c r="CP426" i="2" s="1"/>
  <c r="AL422" i="2"/>
  <c r="AJ425" i="2"/>
  <c r="AJ422" i="2"/>
  <c r="AJ420" i="2"/>
  <c r="AK427" i="2"/>
  <c r="CP427" i="2" s="1"/>
  <c r="T427" i="2" s="1"/>
  <c r="AJ412" i="2"/>
  <c r="AL425" i="2"/>
  <c r="AK425" i="2"/>
  <c r="CP425" i="2" s="1"/>
  <c r="AK424" i="2"/>
  <c r="CP424" i="2" s="1"/>
  <c r="AI422" i="2"/>
  <c r="AK422" i="2"/>
  <c r="CP422" i="2" s="1"/>
  <c r="AJ424" i="2"/>
  <c r="AI415" i="2"/>
  <c r="AJ410" i="2"/>
  <c r="AL420" i="2"/>
  <c r="AI421" i="2"/>
  <c r="AL416" i="2"/>
  <c r="AI420" i="2"/>
  <c r="AI412" i="2"/>
  <c r="AJ421" i="2"/>
  <c r="AL421" i="2"/>
  <c r="AK421" i="2"/>
  <c r="CP421" i="2" s="1"/>
  <c r="AK420" i="2"/>
  <c r="CP420" i="2" s="1"/>
  <c r="AK416" i="2"/>
  <c r="CP416" i="2" s="1"/>
  <c r="T416" i="2" s="1"/>
  <c r="AI416" i="2"/>
  <c r="AK412" i="2"/>
  <c r="CP412" i="2" s="1"/>
  <c r="T412" i="2" s="1"/>
  <c r="CJ418" i="2"/>
  <c r="W418" i="2"/>
  <c r="M417" i="10" s="1"/>
  <c r="N417" i="10" s="1"/>
  <c r="W413" i="2"/>
  <c r="M412" i="10" s="1"/>
  <c r="N412" i="10" s="1"/>
  <c r="CJ413" i="2"/>
  <c r="W410" i="2"/>
  <c r="M409" i="10" s="1"/>
  <c r="N409" i="10" s="1"/>
  <c r="CJ410" i="2"/>
  <c r="W414" i="2"/>
  <c r="M413" i="10" s="1"/>
  <c r="N413" i="10" s="1"/>
  <c r="CJ414" i="2"/>
  <c r="W415" i="2"/>
  <c r="M414" i="10" s="1"/>
  <c r="N414" i="10" s="1"/>
  <c r="CJ415" i="2"/>
  <c r="CJ412" i="2"/>
  <c r="W412" i="2"/>
  <c r="M411" i="10" s="1"/>
  <c r="N411" i="10" s="1"/>
  <c r="CJ425" i="2"/>
  <c r="W425" i="2"/>
  <c r="M424" i="10" s="1"/>
  <c r="N424" i="10" s="1"/>
  <c r="CJ424" i="2"/>
  <c r="W424" i="2"/>
  <c r="M423" i="10" s="1"/>
  <c r="N423" i="10" s="1"/>
  <c r="CJ411" i="2"/>
  <c r="W411" i="2"/>
  <c r="M410" i="10" s="1"/>
  <c r="N410" i="10" s="1"/>
  <c r="CJ427" i="2"/>
  <c r="W427" i="2"/>
  <c r="M426" i="10" s="1"/>
  <c r="N426" i="10" s="1"/>
  <c r="W422" i="2"/>
  <c r="M421" i="10" s="1"/>
  <c r="N421" i="10" s="1"/>
  <c r="CJ422" i="2"/>
  <c r="CR401" i="2"/>
  <c r="AL426" i="2"/>
  <c r="AI419" i="2"/>
  <c r="AJ419" i="2"/>
  <c r="AI417" i="2"/>
  <c r="W409" i="2"/>
  <c r="M408" i="10" s="1"/>
  <c r="N408" i="10" s="1"/>
  <c r="AJ418" i="2"/>
  <c r="W408" i="2"/>
  <c r="M407" i="10" s="1"/>
  <c r="N407" i="10" s="1"/>
  <c r="CT397" i="2"/>
  <c r="CQ403" i="2"/>
  <c r="AK418" i="2"/>
  <c r="CP418" i="2" s="1"/>
  <c r="T418" i="2" s="1"/>
  <c r="AI414" i="2"/>
  <c r="CJ426" i="2"/>
  <c r="AK414" i="2"/>
  <c r="CP414" i="2" s="1"/>
  <c r="T414" i="2" s="1"/>
  <c r="CR403" i="2"/>
  <c r="CS400" i="2"/>
  <c r="CQ396" i="2"/>
  <c r="CJ423" i="2"/>
  <c r="AL413" i="2"/>
  <c r="AK411" i="2"/>
  <c r="CP411" i="2" s="1"/>
  <c r="T411" i="2" s="1"/>
  <c r="AJ409" i="2"/>
  <c r="W421" i="2"/>
  <c r="M420" i="10" s="1"/>
  <c r="N420" i="10" s="1"/>
  <c r="CT402" i="2"/>
  <c r="CQ399" i="2"/>
  <c r="CS399" i="2"/>
  <c r="AK410" i="2"/>
  <c r="CP410" i="2" s="1"/>
  <c r="T410" i="2" s="1"/>
  <c r="AJ408" i="2"/>
  <c r="W420" i="2"/>
  <c r="M419" i="10" s="1"/>
  <c r="N419" i="10" s="1"/>
  <c r="CT403" i="2"/>
  <c r="AI418" i="2"/>
  <c r="AK419" i="2"/>
  <c r="CP419" i="2" s="1"/>
  <c r="CS377" i="2"/>
  <c r="AI413" i="2"/>
  <c r="CQ401" i="2"/>
  <c r="CS402" i="2"/>
  <c r="CQ398" i="2"/>
  <c r="AL415" i="2"/>
  <c r="AJ411" i="2"/>
  <c r="AI409" i="2"/>
  <c r="CQ380" i="2"/>
  <c r="CQ377" i="2"/>
  <c r="CQ373" i="2"/>
  <c r="CS398" i="2"/>
  <c r="AL411" i="2"/>
  <c r="AK409" i="2"/>
  <c r="CP409" i="2" s="1"/>
  <c r="T409" i="2" s="1"/>
  <c r="AI427" i="2"/>
  <c r="W419" i="2"/>
  <c r="M418" i="10" s="1"/>
  <c r="N418" i="10" s="1"/>
  <c r="CQ397" i="2"/>
  <c r="AK408" i="2"/>
  <c r="CP408" i="2" s="1"/>
  <c r="T408" i="2" s="1"/>
  <c r="AI426" i="2"/>
  <c r="CT401" i="2"/>
  <c r="AJ347" i="2"/>
  <c r="AJ417" i="2"/>
  <c r="AL419" i="2"/>
  <c r="AJ415" i="2"/>
  <c r="AL418" i="2"/>
  <c r="AJ414" i="2"/>
  <c r="AL417" i="2"/>
  <c r="AJ413" i="2"/>
  <c r="CR402" i="2"/>
  <c r="CS373" i="2"/>
  <c r="CQ381" i="2"/>
  <c r="AI408" i="2"/>
  <c r="CQ407" i="2"/>
  <c r="CQ406" i="2"/>
  <c r="CQ405" i="2"/>
  <c r="CT406" i="2"/>
  <c r="CR407" i="2"/>
  <c r="CR406" i="2"/>
  <c r="CT398" i="2"/>
  <c r="CR405" i="2"/>
  <c r="AL405" i="2"/>
  <c r="AI405" i="2"/>
  <c r="AK407" i="2"/>
  <c r="CP407" i="2" s="1"/>
  <c r="T407" i="2" s="1"/>
  <c r="AJ407" i="2"/>
  <c r="AI407" i="2"/>
  <c r="AJ405" i="2"/>
  <c r="AJ398" i="2"/>
  <c r="AI396" i="2"/>
  <c r="AL402" i="2"/>
  <c r="AJ402" i="2"/>
  <c r="AI400" i="2"/>
  <c r="AI399" i="2"/>
  <c r="AJ406" i="2"/>
  <c r="AI406" i="2"/>
  <c r="W407" i="2"/>
  <c r="M406" i="10" s="1"/>
  <c r="N406" i="10" s="1"/>
  <c r="AJ401" i="2"/>
  <c r="AL401" i="2"/>
  <c r="AL398" i="2"/>
  <c r="AI395" i="2"/>
  <c r="AK406" i="2"/>
  <c r="CP406" i="2" s="1"/>
  <c r="AK396" i="2"/>
  <c r="CP396" i="2" s="1"/>
  <c r="AK395" i="2"/>
  <c r="CP395" i="2" s="1"/>
  <c r="W401" i="2"/>
  <c r="M400" i="10" s="1"/>
  <c r="N400" i="10" s="1"/>
  <c r="CJ401" i="2"/>
  <c r="W399" i="2"/>
  <c r="M398" i="10" s="1"/>
  <c r="N398" i="10" s="1"/>
  <c r="CJ399" i="2"/>
  <c r="W396" i="2"/>
  <c r="M395" i="10" s="1"/>
  <c r="N395" i="10" s="1"/>
  <c r="CJ396" i="2"/>
  <c r="W397" i="2"/>
  <c r="M396" i="10" s="1"/>
  <c r="N396" i="10" s="1"/>
  <c r="CJ397" i="2"/>
  <c r="W403" i="2"/>
  <c r="M402" i="10" s="1"/>
  <c r="N402" i="10" s="1"/>
  <c r="CJ403" i="2"/>
  <c r="W400" i="2"/>
  <c r="M399" i="10" s="1"/>
  <c r="N399" i="10" s="1"/>
  <c r="CJ400" i="2"/>
  <c r="CJ398" i="2"/>
  <c r="W398" i="2"/>
  <c r="M397" i="10" s="1"/>
  <c r="N397" i="10" s="1"/>
  <c r="CJ406" i="2"/>
  <c r="W406" i="2"/>
  <c r="M405" i="10" s="1"/>
  <c r="N405" i="10" s="1"/>
  <c r="CJ405" i="2"/>
  <c r="W405" i="2"/>
  <c r="M404" i="10" s="1"/>
  <c r="N404" i="10" s="1"/>
  <c r="W404" i="2"/>
  <c r="M403" i="10" s="1"/>
  <c r="N403" i="10" s="1"/>
  <c r="CJ404" i="2"/>
  <c r="CJ395" i="2"/>
  <c r="W395" i="2"/>
  <c r="M394" i="10" s="1"/>
  <c r="N394" i="10" s="1"/>
  <c r="CJ402" i="2"/>
  <c r="W402" i="2"/>
  <c r="M401" i="10" s="1"/>
  <c r="N401" i="10" s="1"/>
  <c r="AL403" i="2"/>
  <c r="AI398" i="2"/>
  <c r="CQ383" i="2"/>
  <c r="AI397" i="2"/>
  <c r="AL399" i="2"/>
  <c r="AJ403" i="2"/>
  <c r="AL395" i="2"/>
  <c r="AJ399" i="2"/>
  <c r="AJ397" i="2"/>
  <c r="AK403" i="2"/>
  <c r="CP403" i="2" s="1"/>
  <c r="CS369" i="2"/>
  <c r="CQ370" i="2"/>
  <c r="AK402" i="2"/>
  <c r="CP402" i="2" s="1"/>
  <c r="AK401" i="2"/>
  <c r="CQ382" i="2"/>
  <c r="AJ404" i="2"/>
  <c r="CQ379" i="2"/>
  <c r="CS374" i="2"/>
  <c r="CS372" i="2"/>
  <c r="AJ396" i="2"/>
  <c r="CS371" i="2"/>
  <c r="CR376" i="2"/>
  <c r="AK400" i="2"/>
  <c r="CP400" i="2" s="1"/>
  <c r="CR374" i="2"/>
  <c r="AK399" i="2"/>
  <c r="CP399" i="2" s="1"/>
  <c r="AI403" i="2"/>
  <c r="CS379" i="2"/>
  <c r="CS376" i="2"/>
  <c r="CS375" i="2"/>
  <c r="CQ375" i="2"/>
  <c r="AK404" i="2"/>
  <c r="CP404" i="2" s="1"/>
  <c r="AI404" i="2"/>
  <c r="AL400" i="2"/>
  <c r="CQ378" i="2"/>
  <c r="AL397" i="2"/>
  <c r="AL396" i="2"/>
  <c r="CQ372" i="2"/>
  <c r="CR375" i="2"/>
  <c r="CT377" i="2"/>
  <c r="CT381" i="2"/>
  <c r="CT380" i="2"/>
  <c r="CR382" i="2"/>
  <c r="CT379" i="2"/>
  <c r="CR380" i="2"/>
  <c r="CT378" i="2"/>
  <c r="CT391" i="2"/>
  <c r="CR381" i="2"/>
  <c r="CS391" i="2"/>
  <c r="CS382" i="2"/>
  <c r="CR383" i="2"/>
  <c r="CQ384" i="2"/>
  <c r="CS378" i="2"/>
  <c r="CT387" i="2"/>
  <c r="CS388" i="2"/>
  <c r="CR389" i="2"/>
  <c r="CQ390" i="2"/>
  <c r="CT385" i="2"/>
  <c r="CS386" i="2"/>
  <c r="CR387" i="2"/>
  <c r="CQ388" i="2"/>
  <c r="CT384" i="2"/>
  <c r="CS385" i="2"/>
  <c r="CR386" i="2"/>
  <c r="CQ387" i="2"/>
  <c r="CT388" i="2"/>
  <c r="CS389" i="2"/>
  <c r="CR390" i="2"/>
  <c r="CQ391" i="2"/>
  <c r="CT383" i="2"/>
  <c r="CS384" i="2"/>
  <c r="CR385" i="2"/>
  <c r="CQ386" i="2"/>
  <c r="CT390" i="2"/>
  <c r="CT389" i="2"/>
  <c r="AI373" i="2"/>
  <c r="AI371" i="2"/>
  <c r="AK371" i="2"/>
  <c r="CP371" i="2" s="1"/>
  <c r="T371" i="2" s="1"/>
  <c r="AI372" i="2"/>
  <c r="AI369" i="2"/>
  <c r="AL372" i="2"/>
  <c r="AK380" i="2"/>
  <c r="CP380" i="2" s="1"/>
  <c r="T380" i="2" s="1"/>
  <c r="AK379" i="2"/>
  <c r="CP379" i="2" s="1"/>
  <c r="T379" i="2" s="1"/>
  <c r="AK391" i="2"/>
  <c r="CP391" i="2" s="1"/>
  <c r="T391" i="2" s="1"/>
  <c r="AK369" i="2"/>
  <c r="CP369" i="2" s="1"/>
  <c r="T369" i="2" s="1"/>
  <c r="AJ391" i="2"/>
  <c r="AJ370" i="2"/>
  <c r="AI391" i="2"/>
  <c r="AL391" i="2"/>
  <c r="AL370" i="2"/>
  <c r="AL369" i="2"/>
  <c r="AK370" i="2"/>
  <c r="CP370" i="2" s="1"/>
  <c r="T370" i="2" s="1"/>
  <c r="AJ369" i="2"/>
  <c r="CJ382" i="2"/>
  <c r="AK378" i="2"/>
  <c r="CP378" i="2" s="1"/>
  <c r="T378" i="2" s="1"/>
  <c r="AK373" i="2"/>
  <c r="CP373" i="2" s="1"/>
  <c r="T373" i="2" s="1"/>
  <c r="AK372" i="2"/>
  <c r="CP372" i="2" s="1"/>
  <c r="T372" i="2" s="1"/>
  <c r="AJ372" i="2"/>
  <c r="AK381" i="2"/>
  <c r="CP381" i="2" s="1"/>
  <c r="T381" i="2" s="1"/>
  <c r="AL371" i="2"/>
  <c r="AJ371" i="2"/>
  <c r="AI375" i="2"/>
  <c r="AL383" i="2"/>
  <c r="AL382" i="2"/>
  <c r="AL381" i="2"/>
  <c r="AL380" i="2"/>
  <c r="AL379" i="2"/>
  <c r="AL378" i="2"/>
  <c r="AI374" i="2"/>
  <c r="AI389" i="2"/>
  <c r="AK384" i="2"/>
  <c r="CP384" i="2" s="1"/>
  <c r="T384" i="2" s="1"/>
  <c r="AJ378" i="2"/>
  <c r="AI370" i="2"/>
  <c r="AL388" i="2"/>
  <c r="AI390" i="2"/>
  <c r="AI386" i="2"/>
  <c r="AI384" i="2"/>
  <c r="AJ390" i="2"/>
  <c r="AI383" i="2"/>
  <c r="AJ389" i="2"/>
  <c r="AI382" i="2"/>
  <c r="AJ384" i="2"/>
  <c r="AJ382" i="2"/>
  <c r="AK390" i="2"/>
  <c r="AJ381" i="2"/>
  <c r="AK389" i="2"/>
  <c r="CP389" i="2" s="1"/>
  <c r="T389" i="2" s="1"/>
  <c r="AJ380" i="2"/>
  <c r="AJ379" i="2"/>
  <c r="AL390" i="2"/>
  <c r="AL387" i="2"/>
  <c r="AI385" i="2"/>
  <c r="AJ385" i="2"/>
  <c r="AJ383" i="2"/>
  <c r="AK388" i="2"/>
  <c r="CP388" i="2" s="1"/>
  <c r="T388" i="2" s="1"/>
  <c r="AK383" i="2"/>
  <c r="CP383" i="2" s="1"/>
  <c r="T383" i="2" s="1"/>
  <c r="AJ374" i="2"/>
  <c r="AK382" i="2"/>
  <c r="CP382" i="2" s="1"/>
  <c r="T382" i="2" s="1"/>
  <c r="AJ373" i="2"/>
  <c r="CJ388" i="2"/>
  <c r="W388" i="2"/>
  <c r="M387" i="10" s="1"/>
  <c r="N387" i="10" s="1"/>
  <c r="CJ387" i="2"/>
  <c r="W387" i="2"/>
  <c r="M386" i="10" s="1"/>
  <c r="N386" i="10" s="1"/>
  <c r="W385" i="2"/>
  <c r="M384" i="10" s="1"/>
  <c r="N384" i="10" s="1"/>
  <c r="CJ385" i="2"/>
  <c r="CJ384" i="2"/>
  <c r="W384" i="2"/>
  <c r="M383" i="10" s="1"/>
  <c r="N383" i="10" s="1"/>
  <c r="CJ383" i="2"/>
  <c r="W383" i="2"/>
  <c r="M382" i="10" s="1"/>
  <c r="N382" i="10" s="1"/>
  <c r="W381" i="2"/>
  <c r="M380" i="10" s="1"/>
  <c r="N380" i="10" s="1"/>
  <c r="CJ381" i="2"/>
  <c r="W380" i="2"/>
  <c r="M379" i="10" s="1"/>
  <c r="N379" i="10" s="1"/>
  <c r="CJ380" i="2"/>
  <c r="W378" i="2"/>
  <c r="M377" i="10" s="1"/>
  <c r="N377" i="10" s="1"/>
  <c r="CJ378" i="2"/>
  <c r="CJ377" i="2"/>
  <c r="W377" i="2"/>
  <c r="M376" i="10" s="1"/>
  <c r="N376" i="10" s="1"/>
  <c r="W376" i="2"/>
  <c r="M375" i="10" s="1"/>
  <c r="N375" i="10" s="1"/>
  <c r="CJ376" i="2"/>
  <c r="W375" i="2"/>
  <c r="M374" i="10" s="1"/>
  <c r="N374" i="10" s="1"/>
  <c r="CJ375" i="2"/>
  <c r="CJ386" i="2"/>
  <c r="W386" i="2"/>
  <c r="M385" i="10" s="1"/>
  <c r="N385" i="10" s="1"/>
  <c r="W379" i="2"/>
  <c r="CJ379" i="2"/>
  <c r="W374" i="2"/>
  <c r="M373" i="10" s="1"/>
  <c r="N373" i="10" s="1"/>
  <c r="CJ374" i="2"/>
  <c r="W373" i="2"/>
  <c r="M372" i="10" s="1"/>
  <c r="N372" i="10" s="1"/>
  <c r="CJ373" i="2"/>
  <c r="W372" i="2"/>
  <c r="M371" i="10" s="1"/>
  <c r="N371" i="10" s="1"/>
  <c r="CJ372" i="2"/>
  <c r="CJ370" i="2"/>
  <c r="W370" i="2"/>
  <c r="M369" i="10" s="1"/>
  <c r="N369" i="10" s="1"/>
  <c r="CJ391" i="2"/>
  <c r="W391" i="2"/>
  <c r="M390" i="10" s="1"/>
  <c r="N390" i="10" s="1"/>
  <c r="CJ369" i="2"/>
  <c r="W369" i="2"/>
  <c r="M368" i="10" s="1"/>
  <c r="N368" i="10" s="1"/>
  <c r="CJ390" i="2"/>
  <c r="W390" i="2"/>
  <c r="M389" i="10" s="1"/>
  <c r="N389" i="10" s="1"/>
  <c r="W389" i="2"/>
  <c r="M388" i="10" s="1"/>
  <c r="N388" i="10" s="1"/>
  <c r="CJ389" i="2"/>
  <c r="AL386" i="2"/>
  <c r="AK387" i="2"/>
  <c r="CP387" i="2" s="1"/>
  <c r="T387" i="2" s="1"/>
  <c r="AJ388" i="2"/>
  <c r="W371" i="2"/>
  <c r="M370" i="10" s="1"/>
  <c r="N370" i="10" s="1"/>
  <c r="AL385" i="2"/>
  <c r="AK386" i="2"/>
  <c r="CP386" i="2" s="1"/>
  <c r="T386" i="2" s="1"/>
  <c r="AJ387" i="2"/>
  <c r="AI388" i="2"/>
  <c r="AL384" i="2"/>
  <c r="AK385" i="2"/>
  <c r="AJ386" i="2"/>
  <c r="AI387" i="2"/>
  <c r="AL377" i="2"/>
  <c r="AI380" i="2"/>
  <c r="AL376" i="2"/>
  <c r="AK377" i="2"/>
  <c r="CP377" i="2" s="1"/>
  <c r="T377" i="2" s="1"/>
  <c r="AI379" i="2"/>
  <c r="AL375" i="2"/>
  <c r="AK376" i="2"/>
  <c r="CP376" i="2" s="1"/>
  <c r="T376" i="2" s="1"/>
  <c r="AJ377" i="2"/>
  <c r="AL374" i="2"/>
  <c r="AK375" i="2"/>
  <c r="CP375" i="2" s="1"/>
  <c r="T375" i="2" s="1"/>
  <c r="AJ376" i="2"/>
  <c r="CS347" i="2"/>
  <c r="CR347" i="2"/>
  <c r="CR350" i="2"/>
  <c r="CR348" i="2"/>
  <c r="CS346" i="2"/>
  <c r="CR349" i="2"/>
  <c r="CS348" i="2"/>
  <c r="CS345" i="2"/>
  <c r="CR346" i="2"/>
  <c r="CR345" i="2"/>
  <c r="CQ368" i="2"/>
  <c r="CQ345" i="2"/>
  <c r="CT368" i="2"/>
  <c r="CT349" i="2"/>
  <c r="CT346" i="2"/>
  <c r="CS368" i="2"/>
  <c r="CQ347" i="2"/>
  <c r="CS349" i="2"/>
  <c r="CQ353" i="2"/>
  <c r="CQ355" i="2"/>
  <c r="CQ352" i="2"/>
  <c r="CQ351" i="2"/>
  <c r="CQ350" i="2"/>
  <c r="CQ348" i="2"/>
  <c r="CQ354" i="2"/>
  <c r="CS351" i="2"/>
  <c r="CS350" i="2"/>
  <c r="CR352" i="2"/>
  <c r="CR353" i="2"/>
  <c r="CR351" i="2"/>
  <c r="AL367" i="2"/>
  <c r="AL346" i="2"/>
  <c r="AL345" i="2"/>
  <c r="AK368" i="2"/>
  <c r="CP368" i="2" s="1"/>
  <c r="T368" i="2" s="1"/>
  <c r="AK367" i="2"/>
  <c r="CP367" i="2" s="1"/>
  <c r="T367" i="2" s="1"/>
  <c r="AJ367" i="2"/>
  <c r="AJ346" i="2"/>
  <c r="AI368" i="2"/>
  <c r="AI367" i="2"/>
  <c r="CT366" i="2"/>
  <c r="CT364" i="2"/>
  <c r="CS366" i="2"/>
  <c r="CT361" i="2"/>
  <c r="CR365" i="2"/>
  <c r="CQ367" i="2"/>
  <c r="CT360" i="2"/>
  <c r="CR364" i="2"/>
  <c r="CT359" i="2"/>
  <c r="CS361" i="2"/>
  <c r="CQ365" i="2"/>
  <c r="CS360" i="2"/>
  <c r="CR362" i="2"/>
  <c r="CQ364" i="2"/>
  <c r="CT356" i="2"/>
  <c r="CS358" i="2"/>
  <c r="CR360" i="2"/>
  <c r="CQ362" i="2"/>
  <c r="CT355" i="2"/>
  <c r="CS357" i="2"/>
  <c r="CR359" i="2"/>
  <c r="CQ361" i="2"/>
  <c r="CT354" i="2"/>
  <c r="CS356" i="2"/>
  <c r="CR358" i="2"/>
  <c r="CT353" i="2"/>
  <c r="CS355" i="2"/>
  <c r="CR357" i="2"/>
  <c r="CQ359" i="2"/>
  <c r="CT352" i="2"/>
  <c r="CS354" i="2"/>
  <c r="CR356" i="2"/>
  <c r="CQ358" i="2"/>
  <c r="CQ357" i="2"/>
  <c r="CT363" i="2"/>
  <c r="CR367" i="2"/>
  <c r="CT362" i="2"/>
  <c r="CQ363" i="2"/>
  <c r="CT367" i="2"/>
  <c r="CT365" i="2"/>
  <c r="CR366" i="2"/>
  <c r="CS363" i="2"/>
  <c r="AI352" i="2"/>
  <c r="AI348" i="2"/>
  <c r="AJ348" i="2"/>
  <c r="AI346" i="2"/>
  <c r="AI350" i="2"/>
  <c r="AI351" i="2"/>
  <c r="AJ345" i="2"/>
  <c r="AI345" i="2"/>
  <c r="AI349" i="2"/>
  <c r="AI347" i="2"/>
  <c r="AL368" i="2"/>
  <c r="AI353" i="2"/>
  <c r="AL348" i="2"/>
  <c r="AL349" i="2"/>
  <c r="AL347" i="2"/>
  <c r="AJ360" i="2"/>
  <c r="AJ359" i="2"/>
  <c r="AJ356" i="2"/>
  <c r="AJ355" i="2"/>
  <c r="AJ354" i="2"/>
  <c r="AJ353" i="2"/>
  <c r="AJ352" i="2"/>
  <c r="AJ351" i="2"/>
  <c r="AJ350" i="2"/>
  <c r="AJ349" i="2"/>
  <c r="AK351" i="2"/>
  <c r="CP351" i="2" s="1"/>
  <c r="T351" i="2" s="1"/>
  <c r="AK350" i="2"/>
  <c r="CP350" i="2" s="1"/>
  <c r="T350" i="2" s="1"/>
  <c r="AL355" i="2"/>
  <c r="AL353" i="2"/>
  <c r="AI359" i="2"/>
  <c r="AK355" i="2"/>
  <c r="CP355" i="2" s="1"/>
  <c r="T355" i="2" s="1"/>
  <c r="AK354" i="2"/>
  <c r="CP354" i="2" s="1"/>
  <c r="T354" i="2" s="1"/>
  <c r="AK353" i="2"/>
  <c r="CP353" i="2" s="1"/>
  <c r="T353" i="2" s="1"/>
  <c r="AK352" i="2"/>
  <c r="CP352" i="2" s="1"/>
  <c r="T352" i="2" s="1"/>
  <c r="AL356" i="2"/>
  <c r="AK348" i="2"/>
  <c r="CP348" i="2" s="1"/>
  <c r="T348" i="2" s="1"/>
  <c r="AK347" i="2"/>
  <c r="CP347" i="2" s="1"/>
  <c r="T347" i="2" s="1"/>
  <c r="AL354" i="2"/>
  <c r="AL352" i="2"/>
  <c r="AI356" i="2"/>
  <c r="AK356" i="2"/>
  <c r="CP356" i="2" s="1"/>
  <c r="T356" i="2" s="1"/>
  <c r="AL351" i="2"/>
  <c r="AI355" i="2"/>
  <c r="AI354" i="2"/>
  <c r="CJ350" i="2"/>
  <c r="W350" i="2"/>
  <c r="M349" i="10" s="1"/>
  <c r="N349" i="10" s="1"/>
  <c r="W349" i="2"/>
  <c r="M348" i="10" s="1"/>
  <c r="N348" i="10" s="1"/>
  <c r="CJ349" i="2"/>
  <c r="CJ348" i="2"/>
  <c r="W348" i="2"/>
  <c r="M347" i="10" s="1"/>
  <c r="N347" i="10" s="1"/>
  <c r="CJ347" i="2"/>
  <c r="W347" i="2"/>
  <c r="M346" i="10" s="1"/>
  <c r="N346" i="10" s="1"/>
  <c r="CJ368" i="2"/>
  <c r="W368" i="2"/>
  <c r="M367" i="10" s="1"/>
  <c r="N367" i="10" s="1"/>
  <c r="CJ346" i="2"/>
  <c r="W346" i="2"/>
  <c r="M345" i="10" s="1"/>
  <c r="N345" i="10" s="1"/>
  <c r="CJ367" i="2"/>
  <c r="W367" i="2"/>
  <c r="M366" i="10" s="1"/>
  <c r="N366" i="10" s="1"/>
  <c r="CJ345" i="2"/>
  <c r="W345" i="2"/>
  <c r="M344" i="10" s="1"/>
  <c r="N344" i="10" s="1"/>
  <c r="AL358" i="2"/>
  <c r="AL357" i="2"/>
  <c r="BJ366" i="2"/>
  <c r="Q366" i="2" s="1"/>
  <c r="H365" i="10" s="1"/>
  <c r="AI358" i="2"/>
  <c r="BJ365" i="2"/>
  <c r="Q365" i="2" s="1"/>
  <c r="H364" i="10" s="1"/>
  <c r="BJ364" i="2"/>
  <c r="Q364" i="2" s="1"/>
  <c r="H363" i="10" s="1"/>
  <c r="W354" i="2"/>
  <c r="M353" i="10" s="1"/>
  <c r="N353" i="10" s="1"/>
  <c r="CJ354" i="2"/>
  <c r="AJ358" i="2"/>
  <c r="BJ363" i="2"/>
  <c r="Q363" i="2" s="1"/>
  <c r="H362" i="10" s="1"/>
  <c r="W353" i="2"/>
  <c r="M352" i="10" s="1"/>
  <c r="N352" i="10" s="1"/>
  <c r="CJ353" i="2"/>
  <c r="AJ357" i="2"/>
  <c r="BJ362" i="2"/>
  <c r="Q362" i="2" s="1"/>
  <c r="H361" i="10" s="1"/>
  <c r="W352" i="2"/>
  <c r="M351" i="10" s="1"/>
  <c r="N351" i="10" s="1"/>
  <c r="CJ352" i="2"/>
  <c r="BJ361" i="2"/>
  <c r="Q361" i="2" s="1"/>
  <c r="H360" i="10" s="1"/>
  <c r="W351" i="2"/>
  <c r="M350" i="10" s="1"/>
  <c r="N350" i="10" s="1"/>
  <c r="CJ351" i="2"/>
  <c r="W358" i="2"/>
  <c r="M357" i="10" s="1"/>
  <c r="N357" i="10" s="1"/>
  <c r="CJ358" i="2"/>
  <c r="AK358" i="2"/>
  <c r="CP358" i="2" s="1"/>
  <c r="T358" i="2" s="1"/>
  <c r="CJ357" i="2"/>
  <c r="W357" i="2"/>
  <c r="M356" i="10" s="1"/>
  <c r="N356" i="10" s="1"/>
  <c r="AK357" i="2"/>
  <c r="CP357" i="2" s="1"/>
  <c r="T357" i="2" s="1"/>
  <c r="AI366" i="2"/>
  <c r="AL366" i="2"/>
  <c r="AJ366" i="2"/>
  <c r="AK366" i="2"/>
  <c r="CP366" i="2" s="1"/>
  <c r="T366" i="2" s="1"/>
  <c r="AI365" i="2"/>
  <c r="AL365" i="2"/>
  <c r="AJ365" i="2"/>
  <c r="AK365" i="2"/>
  <c r="CP365" i="2" s="1"/>
  <c r="T365" i="2" s="1"/>
  <c r="CJ356" i="2"/>
  <c r="W356" i="2"/>
  <c r="M355" i="10" s="1"/>
  <c r="N355" i="10" s="1"/>
  <c r="AI364" i="2"/>
  <c r="AJ364" i="2"/>
  <c r="AK364" i="2"/>
  <c r="CP364" i="2" s="1"/>
  <c r="T364" i="2" s="1"/>
  <c r="AL364" i="2"/>
  <c r="CJ355" i="2"/>
  <c r="W355" i="2"/>
  <c r="M354" i="10" s="1"/>
  <c r="N354" i="10" s="1"/>
  <c r="AI363" i="2"/>
  <c r="AJ363" i="2"/>
  <c r="AK363" i="2"/>
  <c r="CP363" i="2" s="1"/>
  <c r="T363" i="2" s="1"/>
  <c r="AL363" i="2"/>
  <c r="CJ360" i="2"/>
  <c r="AK362" i="2"/>
  <c r="CP362" i="2" s="1"/>
  <c r="T362" i="2" s="1"/>
  <c r="AJ362" i="2"/>
  <c r="AL362" i="2"/>
  <c r="CJ359" i="2"/>
  <c r="AJ361" i="2"/>
  <c r="AK361" i="2"/>
  <c r="CP361" i="2" s="1"/>
  <c r="T361" i="2" s="1"/>
  <c r="AL361" i="2"/>
  <c r="AL360" i="2"/>
  <c r="AK360" i="2"/>
  <c r="CP360" i="2" s="1"/>
  <c r="T360" i="2" s="1"/>
  <c r="AK359" i="2"/>
  <c r="CP359" i="2" s="1"/>
  <c r="T359" i="2" s="1"/>
  <c r="AL359" i="2"/>
  <c r="AR12" i="9" l="1"/>
  <c r="H368" i="10"/>
  <c r="AO12" i="9"/>
  <c r="H351" i="10"/>
  <c r="AL12" i="9"/>
  <c r="H388" i="10"/>
  <c r="AF12" i="9"/>
  <c r="AF7" i="9" s="1"/>
  <c r="H352" i="10"/>
  <c r="AE12" i="9"/>
  <c r="AC12" i="9"/>
  <c r="AC7" i="9" s="1"/>
  <c r="AB12" i="9"/>
  <c r="AR10" i="9"/>
  <c r="AO10" i="9"/>
  <c r="AL10" i="9"/>
  <c r="H437" i="10"/>
  <c r="H390" i="10"/>
  <c r="AE10" i="9"/>
  <c r="AB10" i="9"/>
  <c r="H346" i="10"/>
  <c r="Y12" i="9"/>
  <c r="W11" i="9"/>
  <c r="Y10" i="9"/>
  <c r="W6" i="9"/>
  <c r="C27" i="9"/>
  <c r="E27" i="9" a="1"/>
  <c r="E26" i="9" a="1"/>
  <c r="D28" i="9"/>
  <c r="E28" i="9"/>
  <c r="C28" i="9"/>
  <c r="D27" i="9" a="1"/>
  <c r="H345" i="10"/>
  <c r="D26" i="9"/>
  <c r="M378" i="10"/>
  <c r="N378" i="10" s="1"/>
  <c r="C16" i="9"/>
  <c r="C14" i="9"/>
  <c r="C15" i="9"/>
  <c r="J4" i="9"/>
  <c r="F4" i="9"/>
  <c r="N4" i="9"/>
  <c r="P4" i="9"/>
  <c r="S4" i="9"/>
  <c r="Q4" i="9"/>
  <c r="E4" i="9"/>
  <c r="K4" i="9"/>
  <c r="D4" i="9"/>
  <c r="O4" i="9"/>
  <c r="E16" i="9" s="1"/>
  <c r="H4" i="9"/>
  <c r="R4" i="9"/>
  <c r="I4" i="9"/>
  <c r="L4" i="9"/>
  <c r="C4" i="9"/>
  <c r="M4" i="9"/>
  <c r="G4" i="9"/>
  <c r="F3" i="9"/>
  <c r="L3" i="9"/>
  <c r="M3" i="9"/>
  <c r="N3" i="9"/>
  <c r="G3" i="9"/>
  <c r="J3" i="9"/>
  <c r="P3" i="9"/>
  <c r="D3" i="9"/>
  <c r="H3" i="9"/>
  <c r="K3" i="9"/>
  <c r="Q3" i="9"/>
  <c r="I3" i="9"/>
  <c r="O3" i="9"/>
  <c r="E15" i="9" s="1"/>
  <c r="R3" i="9"/>
  <c r="S3" i="9"/>
  <c r="C3" i="9"/>
  <c r="E3" i="9"/>
  <c r="M2" i="9"/>
  <c r="N2" i="9"/>
  <c r="R2" i="9"/>
  <c r="C2" i="9"/>
  <c r="K2" i="9"/>
  <c r="O2" i="9"/>
  <c r="E14" i="9" s="1"/>
  <c r="D2" i="9"/>
  <c r="F2" i="9"/>
  <c r="L2" i="9"/>
  <c r="P2" i="9"/>
  <c r="E2" i="9"/>
  <c r="G2" i="9"/>
  <c r="H2" i="9"/>
  <c r="I2" i="9"/>
  <c r="J2" i="9"/>
  <c r="Q2" i="9"/>
  <c r="S2" i="9"/>
  <c r="H394" i="10"/>
  <c r="H436" i="10"/>
  <c r="H344" i="10"/>
  <c r="U345" i="2"/>
  <c r="K344" i="10" s="1"/>
  <c r="J344" i="10"/>
  <c r="U417" i="2"/>
  <c r="K416" i="10" s="1"/>
  <c r="J416" i="10"/>
  <c r="U415" i="2"/>
  <c r="K414" i="10" s="1"/>
  <c r="J414" i="10"/>
  <c r="U413" i="2"/>
  <c r="K412" i="10" s="1"/>
  <c r="J412" i="10"/>
  <c r="U374" i="2"/>
  <c r="K373" i="10" s="1"/>
  <c r="J373" i="10"/>
  <c r="U349" i="2"/>
  <c r="K348" i="10" s="1"/>
  <c r="J348" i="10"/>
  <c r="U439" i="2"/>
  <c r="K438" i="10" s="1"/>
  <c r="J438" i="10"/>
  <c r="U438" i="2"/>
  <c r="K437" i="10" s="1"/>
  <c r="J437" i="10"/>
  <c r="U437" i="2"/>
  <c r="K436" i="10" s="1"/>
  <c r="J436" i="10"/>
  <c r="U436" i="2"/>
  <c r="K435" i="10" s="1"/>
  <c r="J435" i="10"/>
  <c r="U435" i="2"/>
  <c r="K434" i="10" s="1"/>
  <c r="J434" i="10"/>
  <c r="U427" i="2"/>
  <c r="K426" i="10" s="1"/>
  <c r="J426" i="10"/>
  <c r="U416" i="2"/>
  <c r="K415" i="10" s="1"/>
  <c r="J415" i="10"/>
  <c r="U412" i="2"/>
  <c r="K411" i="10" s="1"/>
  <c r="J411" i="10"/>
  <c r="U418" i="2"/>
  <c r="K417" i="10" s="1"/>
  <c r="J417" i="10"/>
  <c r="U414" i="2"/>
  <c r="K413" i="10" s="1"/>
  <c r="J413" i="10"/>
  <c r="U411" i="2"/>
  <c r="K410" i="10" s="1"/>
  <c r="J410" i="10"/>
  <c r="U410" i="2"/>
  <c r="K409" i="10" s="1"/>
  <c r="J409" i="10"/>
  <c r="U409" i="2"/>
  <c r="K408" i="10" s="1"/>
  <c r="J408" i="10"/>
  <c r="U408" i="2"/>
  <c r="K407" i="10" s="1"/>
  <c r="J407" i="10"/>
  <c r="U371" i="2"/>
  <c r="K370" i="10" s="1"/>
  <c r="J370" i="10"/>
  <c r="U380" i="2"/>
  <c r="K379" i="10" s="1"/>
  <c r="J379" i="10"/>
  <c r="U379" i="2"/>
  <c r="K378" i="10" s="1"/>
  <c r="J378" i="10"/>
  <c r="U391" i="2"/>
  <c r="K390" i="10" s="1"/>
  <c r="J390" i="10"/>
  <c r="U369" i="2"/>
  <c r="K368" i="10" s="1"/>
  <c r="J368" i="10"/>
  <c r="U370" i="2"/>
  <c r="K369" i="10" s="1"/>
  <c r="J369" i="10"/>
  <c r="U378" i="2"/>
  <c r="K377" i="10" s="1"/>
  <c r="J377" i="10"/>
  <c r="U373" i="2"/>
  <c r="K372" i="10" s="1"/>
  <c r="J372" i="10"/>
  <c r="U372" i="2"/>
  <c r="K371" i="10" s="1"/>
  <c r="J371" i="10"/>
  <c r="U381" i="2"/>
  <c r="K380" i="10" s="1"/>
  <c r="J380" i="10"/>
  <c r="U384" i="2"/>
  <c r="K383" i="10" s="1"/>
  <c r="J383" i="10"/>
  <c r="U389" i="2"/>
  <c r="K388" i="10" s="1"/>
  <c r="J388" i="10"/>
  <c r="U388" i="2"/>
  <c r="K387" i="10" s="1"/>
  <c r="J387" i="10"/>
  <c r="U383" i="2"/>
  <c r="K382" i="10" s="1"/>
  <c r="J382" i="10"/>
  <c r="U382" i="2"/>
  <c r="K381" i="10" s="1"/>
  <c r="J381" i="10"/>
  <c r="U387" i="2"/>
  <c r="K386" i="10" s="1"/>
  <c r="J386" i="10"/>
  <c r="U386" i="2"/>
  <c r="K385" i="10" s="1"/>
  <c r="J385" i="10"/>
  <c r="U377" i="2"/>
  <c r="K376" i="10" s="1"/>
  <c r="J376" i="10"/>
  <c r="U376" i="2"/>
  <c r="K375" i="10" s="1"/>
  <c r="J375" i="10"/>
  <c r="U375" i="2"/>
  <c r="K374" i="10" s="1"/>
  <c r="J374" i="10"/>
  <c r="U368" i="2"/>
  <c r="K367" i="10" s="1"/>
  <c r="J367" i="10"/>
  <c r="U367" i="2"/>
  <c r="K366" i="10" s="1"/>
  <c r="J366" i="10"/>
  <c r="U351" i="2"/>
  <c r="K350" i="10" s="1"/>
  <c r="J350" i="10"/>
  <c r="U350" i="2"/>
  <c r="K349" i="10" s="1"/>
  <c r="J349" i="10"/>
  <c r="U355" i="2"/>
  <c r="K354" i="10" s="1"/>
  <c r="J354" i="10"/>
  <c r="U354" i="2"/>
  <c r="K353" i="10" s="1"/>
  <c r="J353" i="10"/>
  <c r="U353" i="2"/>
  <c r="K352" i="10" s="1"/>
  <c r="J352" i="10"/>
  <c r="U352" i="2"/>
  <c r="K351" i="10" s="1"/>
  <c r="J351" i="10"/>
  <c r="U348" i="2"/>
  <c r="K347" i="10" s="1"/>
  <c r="J347" i="10"/>
  <c r="U347" i="2"/>
  <c r="K346" i="10" s="1"/>
  <c r="J346" i="10"/>
  <c r="U356" i="2"/>
  <c r="K355" i="10" s="1"/>
  <c r="J355" i="10"/>
  <c r="U358" i="2"/>
  <c r="K357" i="10" s="1"/>
  <c r="J357" i="10"/>
  <c r="U357" i="2"/>
  <c r="K356" i="10" s="1"/>
  <c r="J356" i="10"/>
  <c r="U366" i="2"/>
  <c r="K365" i="10" s="1"/>
  <c r="J365" i="10"/>
  <c r="U365" i="2"/>
  <c r="K364" i="10" s="1"/>
  <c r="J364" i="10"/>
  <c r="U364" i="2"/>
  <c r="K363" i="10" s="1"/>
  <c r="J363" i="10"/>
  <c r="U363" i="2"/>
  <c r="K362" i="10" s="1"/>
  <c r="J362" i="10"/>
  <c r="U362" i="2"/>
  <c r="K361" i="10" s="1"/>
  <c r="J361" i="10"/>
  <c r="U361" i="2"/>
  <c r="K360" i="10" s="1"/>
  <c r="J360" i="10"/>
  <c r="U360" i="2"/>
  <c r="K359" i="10" s="1"/>
  <c r="J359" i="10"/>
  <c r="U359" i="2"/>
  <c r="K358" i="10" s="1"/>
  <c r="J358" i="10"/>
  <c r="U407" i="2"/>
  <c r="K406" i="10" s="1"/>
  <c r="J406" i="10"/>
  <c r="CP401" i="2"/>
  <c r="T401" i="2" s="1"/>
  <c r="P32" i="5"/>
  <c r="P29" i="5" s="1"/>
  <c r="T406" i="2"/>
  <c r="T398" i="2"/>
  <c r="CP346" i="2"/>
  <c r="T346" i="2" s="1"/>
  <c r="T404" i="2"/>
  <c r="T423" i="2"/>
  <c r="T405" i="2"/>
  <c r="T399" i="2"/>
  <c r="T400" i="2"/>
  <c r="T422" i="2"/>
  <c r="T421" i="2"/>
  <c r="T402" i="2"/>
  <c r="T397" i="2"/>
  <c r="T419" i="2"/>
  <c r="T395" i="2"/>
  <c r="T424" i="2"/>
  <c r="T420" i="2"/>
  <c r="T426" i="2"/>
  <c r="T403" i="2"/>
  <c r="T396" i="2"/>
  <c r="T425" i="2"/>
  <c r="AH402" i="2"/>
  <c r="AH400" i="2"/>
  <c r="AH406" i="2"/>
  <c r="AH399" i="2"/>
  <c r="AH404" i="2"/>
  <c r="AH403" i="2"/>
  <c r="AH401" i="2"/>
  <c r="AH398" i="2"/>
  <c r="AH397" i="2"/>
  <c r="AH396" i="2"/>
  <c r="AH395" i="2"/>
  <c r="AH405" i="2"/>
  <c r="CS425" i="2"/>
  <c r="AH345" i="2"/>
  <c r="AH350" i="2"/>
  <c r="AH352" i="2"/>
  <c r="AH354" i="2"/>
  <c r="AH353" i="2"/>
  <c r="AH388" i="2"/>
  <c r="AH389" i="2"/>
  <c r="AH391" i="2"/>
  <c r="AH390" i="2"/>
  <c r="AH364" i="2"/>
  <c r="AH365" i="2"/>
  <c r="AH366" i="2"/>
  <c r="AH417" i="2"/>
  <c r="AH425" i="2"/>
  <c r="AH412" i="2"/>
  <c r="AH407" i="2"/>
  <c r="AH421" i="2"/>
  <c r="AH408" i="2"/>
  <c r="AH420" i="2"/>
  <c r="AH411" i="2"/>
  <c r="AH423" i="2"/>
  <c r="AH424" i="2"/>
  <c r="AH427" i="2"/>
  <c r="AH415" i="2"/>
  <c r="AH410" i="2"/>
  <c r="AH422" i="2"/>
  <c r="AH416" i="2"/>
  <c r="AH409" i="2"/>
  <c r="AH419" i="2"/>
  <c r="AH413" i="2"/>
  <c r="AH418" i="2"/>
  <c r="AH426" i="2"/>
  <c r="AH414" i="2"/>
  <c r="AH355" i="2"/>
  <c r="AH361" i="2"/>
  <c r="AH362" i="2"/>
  <c r="AH368" i="2"/>
  <c r="AH363" i="2"/>
  <c r="AH360" i="2"/>
  <c r="AH387" i="2"/>
  <c r="AH383" i="2"/>
  <c r="AH349" i="2"/>
  <c r="AH382" i="2"/>
  <c r="AH381" i="2"/>
  <c r="AH385" i="2"/>
  <c r="AH347" i="2"/>
  <c r="AH375" i="2"/>
  <c r="AH369" i="2"/>
  <c r="AH384" i="2"/>
  <c r="AH351" i="2"/>
  <c r="AH348" i="2"/>
  <c r="AH380" i="2"/>
  <c r="AH367" i="2"/>
  <c r="AH356" i="2"/>
  <c r="AH359" i="2"/>
  <c r="AH357" i="2"/>
  <c r="AH358" i="2"/>
  <c r="AH374" i="2"/>
  <c r="AH373" i="2"/>
  <c r="AH379" i="2"/>
  <c r="AH386" i="2"/>
  <c r="AH378" i="2"/>
  <c r="AH372" i="2"/>
  <c r="AH370" i="2"/>
  <c r="AH371" i="2"/>
  <c r="AH377" i="2"/>
  <c r="AH376" i="2"/>
  <c r="AH346" i="2"/>
  <c r="AH438" i="2"/>
  <c r="AH439" i="2"/>
  <c r="AH436" i="2"/>
  <c r="AH437" i="2"/>
  <c r="AH435" i="2"/>
  <c r="AP24" i="3"/>
  <c r="E24" i="9" s="1"/>
  <c r="AS24" i="3"/>
  <c r="C24" i="9" s="1"/>
  <c r="AQ24" i="3"/>
  <c r="D24" i="9" s="1"/>
  <c r="AM19" i="3"/>
  <c r="AK19" i="3"/>
  <c r="AJ19" i="3"/>
  <c r="AK20" i="3"/>
  <c r="AJ20" i="3"/>
  <c r="AK21" i="3"/>
  <c r="AJ21" i="3"/>
  <c r="AM21" i="3"/>
  <c r="AM20" i="3"/>
  <c r="AM18" i="3"/>
  <c r="AK18" i="3"/>
  <c r="AJ18" i="3"/>
  <c r="E23" i="3"/>
  <c r="CJ364" i="2"/>
  <c r="W364" i="2"/>
  <c r="M363" i="10" s="1"/>
  <c r="N363" i="10" s="1"/>
  <c r="CJ361" i="2"/>
  <c r="W361" i="2"/>
  <c r="M360" i="10" s="1"/>
  <c r="N360" i="10" s="1"/>
  <c r="CJ365" i="2"/>
  <c r="W365" i="2"/>
  <c r="M364" i="10" s="1"/>
  <c r="N364" i="10" s="1"/>
  <c r="CJ362" i="2"/>
  <c r="W362" i="2"/>
  <c r="M361" i="10" s="1"/>
  <c r="N361" i="10" s="1"/>
  <c r="CJ366" i="2"/>
  <c r="W366" i="2"/>
  <c r="M365" i="10" s="1"/>
  <c r="N365" i="10" s="1"/>
  <c r="CJ363" i="2"/>
  <c r="W363" i="2"/>
  <c r="M362" i="10" s="1"/>
  <c r="N362" i="10" s="1"/>
  <c r="AE7" i="9" l="1"/>
  <c r="AR7" i="9"/>
  <c r="AL7" i="9"/>
  <c r="AO7" i="9"/>
  <c r="AB7" i="9"/>
  <c r="Y7" i="9"/>
  <c r="B28" i="9"/>
  <c r="C26" i="9"/>
  <c r="B24" i="9"/>
  <c r="E17" i="9"/>
  <c r="F16" i="9"/>
  <c r="C17" i="9"/>
  <c r="D14" i="9"/>
  <c r="D16" i="9"/>
  <c r="F15" i="9"/>
  <c r="F14" i="9"/>
  <c r="D15" i="9"/>
  <c r="U346" i="2"/>
  <c r="J345" i="10"/>
  <c r="U423" i="2"/>
  <c r="K422" i="10" s="1"/>
  <c r="J422" i="10"/>
  <c r="U422" i="2"/>
  <c r="K421" i="10" s="1"/>
  <c r="J421" i="10"/>
  <c r="U421" i="2"/>
  <c r="K420" i="10" s="1"/>
  <c r="J420" i="10"/>
  <c r="U419" i="2"/>
  <c r="K418" i="10" s="1"/>
  <c r="J418" i="10"/>
  <c r="U424" i="2"/>
  <c r="K423" i="10" s="1"/>
  <c r="J423" i="10"/>
  <c r="U420" i="2"/>
  <c r="K419" i="10" s="1"/>
  <c r="J419" i="10"/>
  <c r="U426" i="2"/>
  <c r="K425" i="10" s="1"/>
  <c r="J425" i="10"/>
  <c r="U425" i="2"/>
  <c r="K424" i="10" s="1"/>
  <c r="J424" i="10"/>
  <c r="U406" i="2"/>
  <c r="K405" i="10" s="1"/>
  <c r="J405" i="10"/>
  <c r="U405" i="2"/>
  <c r="K404" i="10" s="1"/>
  <c r="J404" i="10"/>
  <c r="U404" i="2"/>
  <c r="K403" i="10" s="1"/>
  <c r="J403" i="10"/>
  <c r="U403" i="2"/>
  <c r="K402" i="10" s="1"/>
  <c r="J402" i="10"/>
  <c r="U402" i="2"/>
  <c r="K401" i="10" s="1"/>
  <c r="J401" i="10"/>
  <c r="U401" i="2"/>
  <c r="K400" i="10" s="1"/>
  <c r="J400" i="10"/>
  <c r="U400" i="2"/>
  <c r="K399" i="10" s="1"/>
  <c r="J399" i="10"/>
  <c r="U398" i="2"/>
  <c r="K397" i="10" s="1"/>
  <c r="J397" i="10"/>
  <c r="U399" i="2"/>
  <c r="K398" i="10" s="1"/>
  <c r="J398" i="10"/>
  <c r="U397" i="2"/>
  <c r="K396" i="10" s="1"/>
  <c r="J396" i="10"/>
  <c r="U396" i="2"/>
  <c r="K395" i="10" s="1"/>
  <c r="J395" i="10"/>
  <c r="U395" i="2"/>
  <c r="K394" i="10" s="1"/>
  <c r="J394" i="10"/>
  <c r="E19" i="3"/>
  <c r="E21" i="3"/>
  <c r="E20" i="3"/>
  <c r="E18" i="3"/>
  <c r="V249" i="2"/>
  <c r="V250" i="2"/>
  <c r="V245" i="2"/>
  <c r="I26" i="8"/>
  <c r="J26" i="8"/>
  <c r="K26" i="8"/>
  <c r="L26" i="8"/>
  <c r="M26" i="8"/>
  <c r="N26" i="8"/>
  <c r="I27" i="8"/>
  <c r="J27" i="8"/>
  <c r="K27" i="8"/>
  <c r="L27" i="8"/>
  <c r="M27" i="8"/>
  <c r="N27" i="8"/>
  <c r="J25" i="8"/>
  <c r="K25" i="8"/>
  <c r="L25" i="8"/>
  <c r="M25" i="8"/>
  <c r="N25" i="8"/>
  <c r="I25" i="8"/>
  <c r="I12" i="8"/>
  <c r="J12" i="8"/>
  <c r="K12" i="8"/>
  <c r="L12" i="8"/>
  <c r="M12" i="8"/>
  <c r="N12" i="8"/>
  <c r="I13" i="8"/>
  <c r="J13" i="8"/>
  <c r="K13" i="8"/>
  <c r="L13" i="8"/>
  <c r="M13" i="8"/>
  <c r="N13" i="8"/>
  <c r="J11" i="8"/>
  <c r="K11" i="8"/>
  <c r="L11" i="8"/>
  <c r="M11" i="8"/>
  <c r="N11" i="8"/>
  <c r="I11" i="8"/>
  <c r="Q4" i="8"/>
  <c r="P4" i="8"/>
  <c r="J4" i="8"/>
  <c r="K4" i="8"/>
  <c r="L4" i="8"/>
  <c r="M4" i="8"/>
  <c r="N4" i="8"/>
  <c r="O4" i="8"/>
  <c r="I4" i="8"/>
  <c r="AI10" i="9" l="1"/>
  <c r="AI12" i="9"/>
  <c r="AH12" i="9"/>
  <c r="AH10" i="9"/>
  <c r="F17" i="9"/>
  <c r="D17" i="9"/>
  <c r="K345" i="10"/>
  <c r="L248" i="10"/>
  <c r="L249" i="10"/>
  <c r="L244" i="10"/>
  <c r="R4" i="8"/>
  <c r="O25" i="8"/>
  <c r="O27" i="8"/>
  <c r="O26" i="8"/>
  <c r="O11" i="8"/>
  <c r="O13" i="8"/>
  <c r="O12" i="8"/>
  <c r="FN7" i="2"/>
  <c r="FN8" i="2"/>
  <c r="FN9" i="2"/>
  <c r="FN15" i="2"/>
  <c r="FN17" i="2"/>
  <c r="FN18" i="2"/>
  <c r="FN19" i="2"/>
  <c r="FN20" i="2"/>
  <c r="FN24" i="2"/>
  <c r="FN78" i="2"/>
  <c r="FN103" i="2"/>
  <c r="FN129" i="2"/>
  <c r="FN136" i="2"/>
  <c r="FN137" i="2"/>
  <c r="FN138" i="2"/>
  <c r="FN139" i="2"/>
  <c r="FN140" i="2"/>
  <c r="FN141" i="2"/>
  <c r="FN160" i="2"/>
  <c r="FN161" i="2"/>
  <c r="FN162" i="2"/>
  <c r="FN163" i="2"/>
  <c r="FN164" i="2"/>
  <c r="FN165" i="2"/>
  <c r="FN166" i="2"/>
  <c r="FN175" i="2"/>
  <c r="FN176" i="2"/>
  <c r="FN177" i="2"/>
  <c r="FN178" i="2"/>
  <c r="FN182" i="2"/>
  <c r="FN183" i="2"/>
  <c r="FN192" i="2"/>
  <c r="FN198" i="2"/>
  <c r="FN211" i="2"/>
  <c r="FN213" i="2"/>
  <c r="FN221" i="2"/>
  <c r="FN272" i="2"/>
  <c r="FN273" i="2"/>
  <c r="FN274" i="2"/>
  <c r="FN275" i="2"/>
  <c r="FN276" i="2"/>
  <c r="FN277" i="2"/>
  <c r="FN278" i="2"/>
  <c r="FN279" i="2"/>
  <c r="FN283" i="2"/>
  <c r="FN284" i="2"/>
  <c r="FN285" i="2"/>
  <c r="FN286" i="2"/>
  <c r="FN287" i="2"/>
  <c r="FN296" i="2"/>
  <c r="FN299" i="2"/>
  <c r="FN304" i="2"/>
  <c r="FN307" i="2"/>
  <c r="FN318" i="2"/>
  <c r="FN319" i="2"/>
  <c r="FN320" i="2"/>
  <c r="FN321" i="2"/>
  <c r="FN322" i="2"/>
  <c r="FN323" i="2"/>
  <c r="FN327" i="2"/>
  <c r="FN332" i="2"/>
  <c r="AH7" i="9" l="1"/>
  <c r="AI7" i="9"/>
  <c r="FN5" i="2"/>
  <c r="FN6" i="2"/>
  <c r="FN10" i="2"/>
  <c r="FN11" i="2"/>
  <c r="FN12" i="2"/>
  <c r="FN13" i="2"/>
  <c r="FN14" i="2"/>
  <c r="FN16" i="2"/>
  <c r="FN21" i="2"/>
  <c r="FN22" i="2"/>
  <c r="FN23" i="2"/>
  <c r="FN25" i="2"/>
  <c r="FN26" i="2"/>
  <c r="FN27" i="2"/>
  <c r="FN28" i="2"/>
  <c r="FN29" i="2"/>
  <c r="FN30" i="2"/>
  <c r="FN31" i="2"/>
  <c r="FN32" i="2"/>
  <c r="FN33" i="2"/>
  <c r="FN34" i="2"/>
  <c r="FN35" i="2"/>
  <c r="FN36" i="2"/>
  <c r="FN37" i="2"/>
  <c r="FN38" i="2"/>
  <c r="FN39" i="2"/>
  <c r="FN40" i="2"/>
  <c r="FN41" i="2"/>
  <c r="FN42" i="2"/>
  <c r="FN43" i="2"/>
  <c r="FN44" i="2"/>
  <c r="FN45" i="2"/>
  <c r="FN46" i="2"/>
  <c r="FN47" i="2"/>
  <c r="FN48" i="2"/>
  <c r="FN49" i="2"/>
  <c r="FN50" i="2"/>
  <c r="FN51" i="2"/>
  <c r="FN52" i="2"/>
  <c r="FN53" i="2"/>
  <c r="FN54" i="2"/>
  <c r="FN55" i="2"/>
  <c r="FN56" i="2"/>
  <c r="FN57" i="2"/>
  <c r="FN58" i="2"/>
  <c r="FN59" i="2"/>
  <c r="FN60" i="2"/>
  <c r="FN61" i="2"/>
  <c r="FN62" i="2"/>
  <c r="FN63" i="2"/>
  <c r="FN64" i="2"/>
  <c r="FN65" i="2"/>
  <c r="FN66" i="2"/>
  <c r="FN67" i="2"/>
  <c r="FN68" i="2"/>
  <c r="FN69" i="2"/>
  <c r="FN70" i="2"/>
  <c r="FN71" i="2"/>
  <c r="FN72" i="2"/>
  <c r="FN73" i="2"/>
  <c r="FN74" i="2"/>
  <c r="FN75" i="2"/>
  <c r="FN76" i="2"/>
  <c r="FN77" i="2"/>
  <c r="FN79" i="2"/>
  <c r="FN80" i="2"/>
  <c r="FN81" i="2"/>
  <c r="FN82" i="2"/>
  <c r="FN83" i="2"/>
  <c r="FN84" i="2"/>
  <c r="FN85" i="2"/>
  <c r="FN86" i="2"/>
  <c r="FN87" i="2"/>
  <c r="FN88" i="2"/>
  <c r="FN89" i="2"/>
  <c r="FN90" i="2"/>
  <c r="FN91" i="2"/>
  <c r="FN92" i="2"/>
  <c r="FN93" i="2"/>
  <c r="FN94" i="2"/>
  <c r="FN95" i="2"/>
  <c r="FN96" i="2"/>
  <c r="FN97" i="2"/>
  <c r="FN98" i="2"/>
  <c r="FN99" i="2"/>
  <c r="FN100" i="2"/>
  <c r="FN101" i="2"/>
  <c r="FN102" i="2"/>
  <c r="FN104" i="2"/>
  <c r="FN105" i="2"/>
  <c r="FN106" i="2"/>
  <c r="FN107" i="2"/>
  <c r="FN108" i="2"/>
  <c r="FN109" i="2"/>
  <c r="FN110" i="2"/>
  <c r="FN111" i="2"/>
  <c r="FN112" i="2"/>
  <c r="FN113" i="2"/>
  <c r="FN114" i="2"/>
  <c r="FN115" i="2"/>
  <c r="FN116" i="2"/>
  <c r="FN117" i="2"/>
  <c r="FN118" i="2"/>
  <c r="FN119" i="2"/>
  <c r="FN120" i="2"/>
  <c r="FN121" i="2"/>
  <c r="FN122" i="2"/>
  <c r="FN123" i="2"/>
  <c r="FN124" i="2"/>
  <c r="FN125" i="2"/>
  <c r="FN126" i="2"/>
  <c r="FN127" i="2"/>
  <c r="FN128" i="2"/>
  <c r="FN130" i="2"/>
  <c r="FN131" i="2"/>
  <c r="FN132" i="2"/>
  <c r="FN133" i="2"/>
  <c r="FN134" i="2"/>
  <c r="FN135" i="2"/>
  <c r="FN142" i="2"/>
  <c r="FN143" i="2"/>
  <c r="FN144" i="2"/>
  <c r="FN145" i="2"/>
  <c r="FN146" i="2"/>
  <c r="FN147" i="2"/>
  <c r="FN148" i="2"/>
  <c r="FN149" i="2"/>
  <c r="FN150" i="2"/>
  <c r="FN151" i="2"/>
  <c r="FN152" i="2"/>
  <c r="FN153" i="2"/>
  <c r="FN154" i="2"/>
  <c r="FN155" i="2"/>
  <c r="FN156" i="2"/>
  <c r="FN157" i="2"/>
  <c r="FN158" i="2"/>
  <c r="FN159" i="2"/>
  <c r="FN167" i="2"/>
  <c r="FN168" i="2"/>
  <c r="FN169" i="2"/>
  <c r="FN170" i="2"/>
  <c r="FN171" i="2"/>
  <c r="FN172" i="2"/>
  <c r="FN173" i="2"/>
  <c r="FN174" i="2"/>
  <c r="FN179" i="2"/>
  <c r="FN180" i="2"/>
  <c r="FN181" i="2"/>
  <c r="FN184" i="2"/>
  <c r="FN185" i="2"/>
  <c r="FN186" i="2"/>
  <c r="FN187" i="2"/>
  <c r="FN188" i="2"/>
  <c r="FN189" i="2"/>
  <c r="FN190" i="2"/>
  <c r="FN191" i="2"/>
  <c r="FN193" i="2"/>
  <c r="FN194" i="2"/>
  <c r="FN195" i="2"/>
  <c r="FN196" i="2"/>
  <c r="FN197" i="2"/>
  <c r="FN199" i="2"/>
  <c r="FN200" i="2"/>
  <c r="FN201" i="2"/>
  <c r="FN202" i="2"/>
  <c r="FN203" i="2"/>
  <c r="FN204" i="2"/>
  <c r="FN205" i="2"/>
  <c r="FN206" i="2"/>
  <c r="FN207" i="2"/>
  <c r="FN208" i="2"/>
  <c r="FN209" i="2"/>
  <c r="FN210" i="2"/>
  <c r="FN212" i="2"/>
  <c r="FN214" i="2"/>
  <c r="FN215" i="2"/>
  <c r="FN216" i="2"/>
  <c r="FN217" i="2"/>
  <c r="FN218" i="2"/>
  <c r="FN219" i="2"/>
  <c r="FN220" i="2"/>
  <c r="FN222" i="2"/>
  <c r="FN223" i="2"/>
  <c r="FN224" i="2"/>
  <c r="FN225" i="2"/>
  <c r="FN226" i="2"/>
  <c r="FN227" i="2"/>
  <c r="FN228" i="2"/>
  <c r="FN229" i="2"/>
  <c r="FN230" i="2"/>
  <c r="FN231" i="2"/>
  <c r="FN232" i="2"/>
  <c r="FN233" i="2"/>
  <c r="FN234" i="2"/>
  <c r="FN235" i="2"/>
  <c r="FN236" i="2"/>
  <c r="FN237" i="2"/>
  <c r="FN238" i="2"/>
  <c r="FN239" i="2"/>
  <c r="FN240" i="2"/>
  <c r="FN241" i="2"/>
  <c r="FN242" i="2"/>
  <c r="FN243" i="2"/>
  <c r="FN244" i="2"/>
  <c r="FN245" i="2"/>
  <c r="FN246" i="2"/>
  <c r="FN247" i="2"/>
  <c r="FN248" i="2"/>
  <c r="FN249" i="2"/>
  <c r="FN250" i="2"/>
  <c r="FN251" i="2"/>
  <c r="FN252" i="2"/>
  <c r="FN253" i="2"/>
  <c r="FN254" i="2"/>
  <c r="FN255" i="2"/>
  <c r="FN256" i="2"/>
  <c r="FN257" i="2"/>
  <c r="FN258" i="2"/>
  <c r="FN259" i="2"/>
  <c r="FN260" i="2"/>
  <c r="FN261" i="2"/>
  <c r="FN262" i="2"/>
  <c r="FN263" i="2"/>
  <c r="FN264" i="2"/>
  <c r="FN265" i="2"/>
  <c r="FN266" i="2"/>
  <c r="FN267" i="2"/>
  <c r="FN268" i="2"/>
  <c r="FN269" i="2"/>
  <c r="FN270" i="2"/>
  <c r="FN271" i="2"/>
  <c r="FN280" i="2"/>
  <c r="FN281" i="2"/>
  <c r="FN282" i="2"/>
  <c r="FN288" i="2"/>
  <c r="FN289" i="2"/>
  <c r="FN290" i="2"/>
  <c r="FN291" i="2"/>
  <c r="FN292" i="2"/>
  <c r="FN293" i="2"/>
  <c r="FN294" i="2"/>
  <c r="FN295" i="2"/>
  <c r="FN297" i="2"/>
  <c r="FN298" i="2"/>
  <c r="FN300" i="2"/>
  <c r="FN301" i="2"/>
  <c r="FN302" i="2"/>
  <c r="FN303" i="2"/>
  <c r="FN305" i="2"/>
  <c r="FN306" i="2"/>
  <c r="FN308" i="2"/>
  <c r="FN309" i="2"/>
  <c r="FN310" i="2"/>
  <c r="FN311" i="2"/>
  <c r="FN312" i="2"/>
  <c r="FN313" i="2"/>
  <c r="FN314" i="2"/>
  <c r="FN315" i="2"/>
  <c r="FN316" i="2"/>
  <c r="FN317" i="2"/>
  <c r="FN324" i="2"/>
  <c r="FN325" i="2"/>
  <c r="FN326" i="2"/>
  <c r="FN328" i="2"/>
  <c r="FN329" i="2"/>
  <c r="FN330" i="2"/>
  <c r="FN331" i="2"/>
  <c r="FN333" i="2"/>
  <c r="FN334" i="2"/>
  <c r="FN335" i="2"/>
  <c r="FN336" i="2"/>
  <c r="FN337" i="2"/>
  <c r="FN338" i="2"/>
  <c r="FN339" i="2"/>
  <c r="FN340" i="2"/>
  <c r="FN341" i="2"/>
  <c r="FN342" i="2"/>
  <c r="FN343" i="2"/>
  <c r="FN344" i="2"/>
  <c r="FS7" i="2" l="1"/>
  <c r="FS8" i="2"/>
  <c r="FS9" i="2"/>
  <c r="FS11" i="2"/>
  <c r="FS15" i="2"/>
  <c r="FS16" i="2"/>
  <c r="FS17" i="2"/>
  <c r="FS18" i="2"/>
  <c r="FS19" i="2"/>
  <c r="FS20" i="2"/>
  <c r="FS22" i="2"/>
  <c r="FS23" i="2"/>
  <c r="FS24" i="2"/>
  <c r="FS27" i="2"/>
  <c r="FS28" i="2"/>
  <c r="FS33" i="2"/>
  <c r="FS34" i="2"/>
  <c r="FS36" i="2"/>
  <c r="FS47" i="2"/>
  <c r="FS50" i="2"/>
  <c r="FS52" i="2"/>
  <c r="FS53" i="2"/>
  <c r="FS65" i="2"/>
  <c r="FS67" i="2"/>
  <c r="FS68" i="2"/>
  <c r="FS69" i="2"/>
  <c r="FS70" i="2"/>
  <c r="FS71" i="2"/>
  <c r="FS73" i="2"/>
  <c r="FS74" i="2"/>
  <c r="FS75" i="2"/>
  <c r="FS76" i="2"/>
  <c r="FS77" i="2"/>
  <c r="FS78" i="2"/>
  <c r="FS80" i="2"/>
  <c r="FS89" i="2"/>
  <c r="FS91" i="2"/>
  <c r="FS92" i="2"/>
  <c r="FS93" i="2"/>
  <c r="FS94" i="2"/>
  <c r="FS95" i="2"/>
  <c r="FS96" i="2"/>
  <c r="FS98" i="2"/>
  <c r="FS99" i="2"/>
  <c r="FS100" i="2"/>
  <c r="FS101" i="2"/>
  <c r="FS102" i="2"/>
  <c r="FS105" i="2"/>
  <c r="FS106" i="2"/>
  <c r="FS107" i="2"/>
  <c r="FS110" i="2"/>
  <c r="FS111" i="2"/>
  <c r="FS112" i="2"/>
  <c r="FS113" i="2"/>
  <c r="FS114" i="2"/>
  <c r="FS115" i="2"/>
  <c r="FS116" i="2"/>
  <c r="FS117" i="2"/>
  <c r="FS118" i="2"/>
  <c r="FS119" i="2"/>
  <c r="FS120" i="2"/>
  <c r="FS122" i="2"/>
  <c r="FS123" i="2"/>
  <c r="FS125" i="2"/>
  <c r="FS127" i="2"/>
  <c r="FV7" i="2"/>
  <c r="FV8" i="2"/>
  <c r="FV9" i="2"/>
  <c r="FV10" i="2"/>
  <c r="FV11" i="2"/>
  <c r="FV15" i="2"/>
  <c r="FV16" i="2"/>
  <c r="FV17" i="2"/>
  <c r="FV18" i="2"/>
  <c r="FV19" i="2"/>
  <c r="FV20" i="2"/>
  <c r="FV21" i="2"/>
  <c r="FV22" i="2"/>
  <c r="FV23" i="2"/>
  <c r="FV24" i="2"/>
  <c r="FV26" i="2"/>
  <c r="FV27" i="2"/>
  <c r="FV28" i="2"/>
  <c r="FV29" i="2"/>
  <c r="FV32" i="2"/>
  <c r="FV33" i="2"/>
  <c r="FV34" i="2"/>
  <c r="FV35" i="2"/>
  <c r="FV36" i="2"/>
  <c r="FV46" i="2"/>
  <c r="FV47" i="2"/>
  <c r="FV48" i="2"/>
  <c r="FV49" i="2"/>
  <c r="FV50" i="2"/>
  <c r="FV51" i="2"/>
  <c r="FV52" i="2"/>
  <c r="FV53" i="2"/>
  <c r="FV64" i="2"/>
  <c r="FV65" i="2"/>
  <c r="FV66" i="2"/>
  <c r="FV67" i="2"/>
  <c r="FV68" i="2"/>
  <c r="FV69" i="2"/>
  <c r="FV70" i="2"/>
  <c r="FV71" i="2"/>
  <c r="FV72" i="2"/>
  <c r="FV73" i="2"/>
  <c r="FV74" i="2"/>
  <c r="FV75" i="2"/>
  <c r="FV76" i="2"/>
  <c r="FV77" i="2"/>
  <c r="FV78" i="2"/>
  <c r="FV79" i="2"/>
  <c r="FV80" i="2"/>
  <c r="FV83" i="2"/>
  <c r="FV88" i="2"/>
  <c r="FV89" i="2"/>
  <c r="FV90" i="2"/>
  <c r="FV91" i="2"/>
  <c r="FV92" i="2"/>
  <c r="FV93" i="2"/>
  <c r="FV94" i="2"/>
  <c r="FV95" i="2"/>
  <c r="FV96" i="2"/>
  <c r="FV97" i="2"/>
  <c r="FV98" i="2"/>
  <c r="FV99" i="2"/>
  <c r="FV100" i="2"/>
  <c r="FV101" i="2"/>
  <c r="FV102" i="2"/>
  <c r="FV103" i="2"/>
  <c r="FV105" i="2"/>
  <c r="FV106" i="2"/>
  <c r="FV107" i="2"/>
  <c r="FV109" i="2"/>
  <c r="FV110" i="2"/>
  <c r="FV111" i="2"/>
  <c r="FV112" i="2"/>
  <c r="FV113" i="2"/>
  <c r="FV114" i="2"/>
  <c r="FV115" i="2"/>
  <c r="FV116" i="2"/>
  <c r="FV117" i="2"/>
  <c r="FV118" i="2"/>
  <c r="FV119" i="2"/>
  <c r="FV120" i="2"/>
  <c r="FV122" i="2"/>
  <c r="FV123" i="2"/>
  <c r="FV125" i="2"/>
  <c r="FV127" i="2"/>
  <c r="FV129" i="2"/>
  <c r="FV130" i="2"/>
  <c r="FV131" i="2"/>
  <c r="FV132" i="2"/>
  <c r="FV133" i="2"/>
  <c r="FV134" i="2"/>
  <c r="FV135" i="2"/>
  <c r="FV136" i="2"/>
  <c r="FV137" i="2"/>
  <c r="FV138" i="2"/>
  <c r="FV139" i="2"/>
  <c r="FV140" i="2"/>
  <c r="FV141" i="2"/>
  <c r="FV142" i="2"/>
  <c r="FV143" i="2"/>
  <c r="FV144" i="2"/>
  <c r="FV145" i="2"/>
  <c r="FV146" i="2"/>
  <c r="FV147" i="2"/>
  <c r="FV148" i="2"/>
  <c r="FV149" i="2"/>
  <c r="FV150" i="2"/>
  <c r="FV151" i="2"/>
  <c r="FV152" i="2"/>
  <c r="FV153" i="2"/>
  <c r="FV154" i="2"/>
  <c r="FV155" i="2"/>
  <c r="FV156" i="2"/>
  <c r="FV157" i="2"/>
  <c r="FV158" i="2"/>
  <c r="FV159" i="2"/>
  <c r="FV160" i="2"/>
  <c r="FV161" i="2"/>
  <c r="FV162" i="2"/>
  <c r="FV163" i="2"/>
  <c r="FV164" i="2"/>
  <c r="FV165" i="2"/>
  <c r="FV166" i="2"/>
  <c r="FV167" i="2"/>
  <c r="FV168" i="2"/>
  <c r="FV169" i="2"/>
  <c r="FV170" i="2"/>
  <c r="FV171" i="2"/>
  <c r="FV172" i="2"/>
  <c r="FV173" i="2"/>
  <c r="FV174" i="2"/>
  <c r="FV175" i="2"/>
  <c r="FV176" i="2"/>
  <c r="FV177" i="2"/>
  <c r="FV178" i="2"/>
  <c r="FV179" i="2"/>
  <c r="FV180" i="2"/>
  <c r="FV181" i="2"/>
  <c r="FV182" i="2"/>
  <c r="FV183" i="2"/>
  <c r="FV184" i="2"/>
  <c r="FV185" i="2"/>
  <c r="FV186" i="2"/>
  <c r="FV187" i="2"/>
  <c r="FV188" i="2"/>
  <c r="FV189" i="2"/>
  <c r="FV190" i="2"/>
  <c r="FV191" i="2"/>
  <c r="FV192" i="2"/>
  <c r="FV193" i="2"/>
  <c r="FV194" i="2"/>
  <c r="FV195" i="2"/>
  <c r="FV196" i="2"/>
  <c r="FV197" i="2"/>
  <c r="FV198" i="2"/>
  <c r="FV199" i="2"/>
  <c r="FV200" i="2"/>
  <c r="FV201" i="2"/>
  <c r="FV202" i="2"/>
  <c r="FV203" i="2"/>
  <c r="FV204" i="2"/>
  <c r="FV205" i="2"/>
  <c r="FV206" i="2"/>
  <c r="FV207" i="2"/>
  <c r="FV208" i="2"/>
  <c r="FV209" i="2"/>
  <c r="FV210" i="2"/>
  <c r="FV211" i="2"/>
  <c r="FV212" i="2"/>
  <c r="FV213" i="2"/>
  <c r="FV214" i="2"/>
  <c r="FV215" i="2"/>
  <c r="FV216" i="2"/>
  <c r="FV217" i="2"/>
  <c r="FV218" i="2"/>
  <c r="FV219" i="2"/>
  <c r="FV220" i="2"/>
  <c r="FV221" i="2"/>
  <c r="FV222" i="2"/>
  <c r="FV223" i="2"/>
  <c r="FV224" i="2"/>
  <c r="FV225" i="2"/>
  <c r="FV226" i="2"/>
  <c r="FV227" i="2"/>
  <c r="FV228" i="2"/>
  <c r="FV229" i="2"/>
  <c r="FV230" i="2"/>
  <c r="FV231" i="2"/>
  <c r="FV232" i="2"/>
  <c r="FV233" i="2"/>
  <c r="FV234" i="2"/>
  <c r="FV235" i="2"/>
  <c r="FV236" i="2"/>
  <c r="FV237" i="2"/>
  <c r="FV238" i="2"/>
  <c r="FV239" i="2"/>
  <c r="FV240" i="2"/>
  <c r="FV241" i="2"/>
  <c r="FV242" i="2"/>
  <c r="FV243" i="2"/>
  <c r="FV244" i="2"/>
  <c r="FV245" i="2"/>
  <c r="FV246" i="2"/>
  <c r="FV247" i="2"/>
  <c r="FV248" i="2"/>
  <c r="FV249" i="2"/>
  <c r="FV250" i="2"/>
  <c r="FV251" i="2"/>
  <c r="FV252" i="2"/>
  <c r="FV253" i="2"/>
  <c r="FV254" i="2"/>
  <c r="FV255" i="2"/>
  <c r="FV256" i="2"/>
  <c r="FV257" i="2"/>
  <c r="FV258" i="2"/>
  <c r="FV259" i="2"/>
  <c r="FV260" i="2"/>
  <c r="FV261" i="2"/>
  <c r="FV262" i="2"/>
  <c r="FV263" i="2"/>
  <c r="FV264" i="2"/>
  <c r="FV265" i="2"/>
  <c r="FV266" i="2"/>
  <c r="FV267" i="2"/>
  <c r="FV268" i="2"/>
  <c r="FV269" i="2"/>
  <c r="FV270" i="2"/>
  <c r="FV271" i="2"/>
  <c r="FV272" i="2"/>
  <c r="FV273" i="2"/>
  <c r="FV274" i="2"/>
  <c r="FV275" i="2"/>
  <c r="FV276" i="2"/>
  <c r="FV277" i="2"/>
  <c r="FV278" i="2"/>
  <c r="FV279" i="2"/>
  <c r="FV280" i="2"/>
  <c r="FV281" i="2"/>
  <c r="FV282" i="2"/>
  <c r="FV283" i="2"/>
  <c r="FV284" i="2"/>
  <c r="FV285" i="2"/>
  <c r="FV286" i="2"/>
  <c r="FV287" i="2"/>
  <c r="FV288" i="2"/>
  <c r="FV289" i="2"/>
  <c r="FV290" i="2"/>
  <c r="FV291" i="2"/>
  <c r="FV292" i="2"/>
  <c r="FV293" i="2"/>
  <c r="FV294" i="2"/>
  <c r="FV295" i="2"/>
  <c r="FV296" i="2"/>
  <c r="FV297" i="2"/>
  <c r="FV298" i="2"/>
  <c r="FV299" i="2"/>
  <c r="FV300" i="2"/>
  <c r="FV301" i="2"/>
  <c r="FV302" i="2"/>
  <c r="FV303" i="2"/>
  <c r="FV304" i="2"/>
  <c r="FV305" i="2"/>
  <c r="FV306" i="2"/>
  <c r="FV307" i="2"/>
  <c r="FV308" i="2"/>
  <c r="FV309" i="2"/>
  <c r="FV310" i="2"/>
  <c r="FV311" i="2"/>
  <c r="FV312" i="2"/>
  <c r="FV313" i="2"/>
  <c r="FV314" i="2"/>
  <c r="FV315" i="2"/>
  <c r="FV316" i="2"/>
  <c r="FV317" i="2"/>
  <c r="FV318" i="2"/>
  <c r="FV319" i="2"/>
  <c r="FV320" i="2"/>
  <c r="FV321" i="2"/>
  <c r="FV322" i="2"/>
  <c r="FV323" i="2"/>
  <c r="FV324" i="2"/>
  <c r="FV325" i="2"/>
  <c r="FV326" i="2"/>
  <c r="FV327" i="2"/>
  <c r="FV328" i="2"/>
  <c r="FV329" i="2"/>
  <c r="FV330" i="2"/>
  <c r="FV331" i="2"/>
  <c r="FV332" i="2"/>
  <c r="FV333" i="2"/>
  <c r="FV334" i="2"/>
  <c r="FV335" i="2"/>
  <c r="FV336" i="2"/>
  <c r="FV337" i="2"/>
  <c r="FV338" i="2"/>
  <c r="FV339" i="2"/>
  <c r="FV340" i="2"/>
  <c r="FV341" i="2"/>
  <c r="FV342" i="2"/>
  <c r="FV343" i="2"/>
  <c r="FV344" i="2"/>
  <c r="FV6" i="2"/>
  <c r="FV12" i="2"/>
  <c r="FV13" i="2"/>
  <c r="FV14" i="2"/>
  <c r="FV25" i="2"/>
  <c r="FV30" i="2"/>
  <c r="FV31" i="2"/>
  <c r="FV37" i="2"/>
  <c r="FV38" i="2"/>
  <c r="FV39" i="2"/>
  <c r="FV40" i="2"/>
  <c r="FV41" i="2"/>
  <c r="FV42" i="2"/>
  <c r="FV43" i="2"/>
  <c r="FV44" i="2"/>
  <c r="FV45" i="2"/>
  <c r="FV54" i="2"/>
  <c r="FV55" i="2"/>
  <c r="FV56" i="2"/>
  <c r="FV57" i="2"/>
  <c r="FV58" i="2"/>
  <c r="FV59" i="2"/>
  <c r="FV60" i="2"/>
  <c r="FV61" i="2"/>
  <c r="FV62" i="2"/>
  <c r="FV63" i="2"/>
  <c r="FV81" i="2"/>
  <c r="FV82" i="2"/>
  <c r="FV84" i="2"/>
  <c r="FV85" i="2"/>
  <c r="FV86" i="2"/>
  <c r="FV87" i="2"/>
  <c r="FV104" i="2"/>
  <c r="FV108" i="2"/>
  <c r="FV121" i="2"/>
  <c r="FV124" i="2"/>
  <c r="FV126" i="2"/>
  <c r="FV128" i="2"/>
  <c r="FV5" i="2"/>
  <c r="FS10" i="2"/>
  <c r="FS21" i="2"/>
  <c r="FS26" i="2"/>
  <c r="FS29" i="2"/>
  <c r="FS32" i="2"/>
  <c r="FS35" i="2"/>
  <c r="FS46" i="2"/>
  <c r="FS48" i="2"/>
  <c r="FS49" i="2"/>
  <c r="FS51" i="2"/>
  <c r="FS56" i="2"/>
  <c r="FS61" i="2"/>
  <c r="FS64" i="2"/>
  <c r="FS66" i="2"/>
  <c r="FS72" i="2"/>
  <c r="FS79" i="2"/>
  <c r="FS83" i="2"/>
  <c r="FS88" i="2"/>
  <c r="FS90" i="2"/>
  <c r="FS97" i="2"/>
  <c r="FS103" i="2"/>
  <c r="FS109" i="2"/>
  <c r="FS5" i="2"/>
  <c r="FS37" i="2" l="1"/>
  <c r="FS55" i="2"/>
  <c r="FS121" i="2"/>
  <c r="FS104" i="2"/>
  <c r="FS84" i="2"/>
  <c r="FS82" i="2"/>
  <c r="FS54" i="2"/>
  <c r="FS108" i="2"/>
  <c r="FS59" i="2"/>
  <c r="FS14" i="2"/>
  <c r="FS87" i="2"/>
  <c r="FS25" i="2"/>
  <c r="FS81" i="2"/>
  <c r="FS57" i="2"/>
  <c r="FS42" i="2"/>
  <c r="FS12" i="2"/>
  <c r="FS86" i="2"/>
  <c r="FS85" i="2"/>
  <c r="FS13" i="2"/>
  <c r="FS58" i="2"/>
  <c r="FS63" i="2"/>
  <c r="FS30" i="2"/>
  <c r="FS62" i="2"/>
  <c r="FS6" i="2"/>
  <c r="N18" i="8" s="1"/>
  <c r="FS44" i="2"/>
  <c r="FS45" i="2"/>
  <c r="FS43" i="2"/>
  <c r="FS39" i="2"/>
  <c r="FS128" i="2"/>
  <c r="FS124" i="2"/>
  <c r="FS60" i="2"/>
  <c r="FS41" i="2"/>
  <c r="FS40" i="2"/>
  <c r="FS126" i="2"/>
  <c r="FS38" i="2"/>
  <c r="FS31" i="2"/>
  <c r="K18" i="8" l="1"/>
  <c r="J18" i="8"/>
  <c r="M18" i="8"/>
  <c r="L18" i="8"/>
  <c r="I18" i="8"/>
  <c r="O18" i="8" l="1"/>
  <c r="BM3" i="2"/>
  <c r="BQ3" i="2"/>
  <c r="BR3" i="2"/>
  <c r="BS3" i="2"/>
  <c r="BT3" i="2"/>
  <c r="BU3" i="2"/>
  <c r="BV3" i="2"/>
  <c r="BX3" i="2"/>
  <c r="CC3" i="2"/>
  <c r="CD3" i="2"/>
  <c r="BJ226" i="2" l="1"/>
  <c r="V262" i="2" l="1"/>
  <c r="V266" i="2"/>
  <c r="V267" i="2"/>
  <c r="V268" i="2"/>
  <c r="V269" i="2"/>
  <c r="L266" i="10" l="1"/>
  <c r="L265" i="10"/>
  <c r="L268" i="10"/>
  <c r="L267" i="10"/>
  <c r="L261" i="10"/>
  <c r="FS130" i="2"/>
  <c r="FS131" i="2"/>
  <c r="FS132" i="2"/>
  <c r="FS133" i="2"/>
  <c r="FS134" i="2"/>
  <c r="FS135" i="2"/>
  <c r="FS136" i="2"/>
  <c r="FS137" i="2"/>
  <c r="FS138" i="2"/>
  <c r="FS139" i="2"/>
  <c r="FS140" i="2"/>
  <c r="FS141" i="2"/>
  <c r="FS142" i="2"/>
  <c r="FS143" i="2"/>
  <c r="FS144" i="2"/>
  <c r="FS145" i="2"/>
  <c r="FS146" i="2"/>
  <c r="FS147" i="2"/>
  <c r="FS148" i="2"/>
  <c r="FS149" i="2"/>
  <c r="FS150" i="2"/>
  <c r="FS151" i="2"/>
  <c r="FS152" i="2"/>
  <c r="FS153" i="2"/>
  <c r="FS154" i="2"/>
  <c r="FS155" i="2"/>
  <c r="FS156" i="2"/>
  <c r="FS157" i="2"/>
  <c r="FS158" i="2"/>
  <c r="FS159" i="2"/>
  <c r="FS160" i="2"/>
  <c r="FS161" i="2"/>
  <c r="FS162" i="2"/>
  <c r="FS167" i="2"/>
  <c r="FS168" i="2"/>
  <c r="FS169" i="2"/>
  <c r="FS170" i="2"/>
  <c r="FS171" i="2"/>
  <c r="FS172" i="2"/>
  <c r="FS173" i="2"/>
  <c r="FS174" i="2"/>
  <c r="FS179" i="2"/>
  <c r="FS180" i="2"/>
  <c r="FS181" i="2"/>
  <c r="FS184" i="2"/>
  <c r="FS185" i="2"/>
  <c r="FS186" i="2"/>
  <c r="FS187" i="2"/>
  <c r="FS188" i="2"/>
  <c r="FS189" i="2"/>
  <c r="FS190" i="2"/>
  <c r="FS191" i="2"/>
  <c r="FS193" i="2"/>
  <c r="FS194" i="2"/>
  <c r="FS195" i="2"/>
  <c r="FS196" i="2"/>
  <c r="FS197" i="2"/>
  <c r="FS201" i="2"/>
  <c r="FS202" i="2"/>
  <c r="FS203" i="2"/>
  <c r="FS204" i="2"/>
  <c r="FS205" i="2"/>
  <c r="FS206" i="2"/>
  <c r="FS207" i="2"/>
  <c r="FS208" i="2"/>
  <c r="FS209" i="2"/>
  <c r="FS210" i="2"/>
  <c r="FS212" i="2"/>
  <c r="FS214" i="2"/>
  <c r="FS215" i="2"/>
  <c r="FS216" i="2"/>
  <c r="FS217" i="2"/>
  <c r="FS218" i="2"/>
  <c r="FS219" i="2"/>
  <c r="FS220" i="2"/>
  <c r="FS223" i="2"/>
  <c r="FS224" i="2"/>
  <c r="FS225" i="2"/>
  <c r="FS226" i="2"/>
  <c r="FS227" i="2"/>
  <c r="FS228" i="2"/>
  <c r="FS229" i="2"/>
  <c r="FS230" i="2"/>
  <c r="FS231" i="2"/>
  <c r="FS232" i="2"/>
  <c r="FS233" i="2"/>
  <c r="FS234" i="2"/>
  <c r="FS235" i="2"/>
  <c r="FS236" i="2"/>
  <c r="FS237" i="2"/>
  <c r="FS238" i="2"/>
  <c r="FS239" i="2"/>
  <c r="FS240" i="2"/>
  <c r="FS241" i="2"/>
  <c r="FS242" i="2"/>
  <c r="FS243" i="2"/>
  <c r="FS244" i="2"/>
  <c r="FS245" i="2"/>
  <c r="FS246" i="2"/>
  <c r="FS247" i="2"/>
  <c r="FS248" i="2"/>
  <c r="FS249" i="2"/>
  <c r="FS250" i="2"/>
  <c r="FS251" i="2"/>
  <c r="FS252" i="2"/>
  <c r="FS253" i="2"/>
  <c r="FS254" i="2"/>
  <c r="FS255" i="2"/>
  <c r="FS256" i="2"/>
  <c r="FS257" i="2"/>
  <c r="FS258" i="2"/>
  <c r="FS259" i="2"/>
  <c r="FS260" i="2"/>
  <c r="FS261" i="2"/>
  <c r="FS262" i="2"/>
  <c r="FS263" i="2"/>
  <c r="FS264" i="2"/>
  <c r="FS265" i="2"/>
  <c r="FS266" i="2"/>
  <c r="FS267" i="2"/>
  <c r="FS268" i="2"/>
  <c r="FS269" i="2"/>
  <c r="FS270" i="2"/>
  <c r="FS271" i="2"/>
  <c r="FS272" i="2"/>
  <c r="FS273" i="2"/>
  <c r="FS274" i="2"/>
  <c r="FS275" i="2"/>
  <c r="FS276" i="2"/>
  <c r="FS277" i="2"/>
  <c r="FS278" i="2"/>
  <c r="FS279" i="2"/>
  <c r="FS280" i="2"/>
  <c r="FS281" i="2"/>
  <c r="FS282" i="2"/>
  <c r="FS283" i="2"/>
  <c r="FS284" i="2"/>
  <c r="FS285" i="2"/>
  <c r="FS286" i="2"/>
  <c r="FS287" i="2"/>
  <c r="FS288" i="2"/>
  <c r="FS289" i="2"/>
  <c r="FS290" i="2"/>
  <c r="FS291" i="2"/>
  <c r="FS292" i="2"/>
  <c r="FS293" i="2"/>
  <c r="FS294" i="2"/>
  <c r="FS295" i="2"/>
  <c r="FS297" i="2"/>
  <c r="FS298" i="2"/>
  <c r="FS300" i="2"/>
  <c r="FS301" i="2"/>
  <c r="FS302" i="2"/>
  <c r="FS303" i="2"/>
  <c r="FS305" i="2"/>
  <c r="FS306" i="2"/>
  <c r="FS308" i="2"/>
  <c r="FS309" i="2"/>
  <c r="FS310" i="2"/>
  <c r="FS311" i="2"/>
  <c r="FS312" i="2"/>
  <c r="FS313" i="2"/>
  <c r="FS314" i="2"/>
  <c r="FS315" i="2"/>
  <c r="FS316" i="2"/>
  <c r="FS317" i="2"/>
  <c r="FS319" i="2"/>
  <c r="FS320" i="2"/>
  <c r="FS321" i="2"/>
  <c r="FS323" i="2"/>
  <c r="FS324" i="2"/>
  <c r="FS325" i="2"/>
  <c r="FS326" i="2"/>
  <c r="FS328" i="2"/>
  <c r="FS329" i="2"/>
  <c r="FS330" i="2"/>
  <c r="FS331" i="2"/>
  <c r="FS333" i="2"/>
  <c r="FS334" i="2"/>
  <c r="FS335" i="2"/>
  <c r="FS336" i="2"/>
  <c r="FS337" i="2"/>
  <c r="FS338" i="2"/>
  <c r="FS339" i="2"/>
  <c r="FS340" i="2"/>
  <c r="FS341" i="2"/>
  <c r="FS342" i="2"/>
  <c r="FS343" i="2"/>
  <c r="FS344" i="2"/>
  <c r="FS129" i="2"/>
  <c r="BJ310" i="2" l="1"/>
  <c r="P261" i="2"/>
  <c r="HC5" i="2" l="1"/>
  <c r="HC6" i="2"/>
  <c r="HC7" i="2"/>
  <c r="HC8" i="2"/>
  <c r="HC9" i="2"/>
  <c r="HC10" i="2"/>
  <c r="HC11" i="2"/>
  <c r="HC12" i="2"/>
  <c r="HC13" i="2"/>
  <c r="HC14" i="2"/>
  <c r="HC15" i="2"/>
  <c r="HC16" i="2"/>
  <c r="HC17" i="2"/>
  <c r="HC18" i="2"/>
  <c r="HC19" i="2"/>
  <c r="HC20" i="2"/>
  <c r="HC21" i="2"/>
  <c r="HC22" i="2"/>
  <c r="HC23" i="2"/>
  <c r="HC24" i="2"/>
  <c r="HC25" i="2"/>
  <c r="HC26" i="2"/>
  <c r="HC27" i="2"/>
  <c r="HC28" i="2"/>
  <c r="HC29" i="2"/>
  <c r="HC30" i="2"/>
  <c r="HC31" i="2"/>
  <c r="HC32" i="2"/>
  <c r="HC33" i="2"/>
  <c r="HC34" i="2"/>
  <c r="HC35" i="2"/>
  <c r="HC36" i="2"/>
  <c r="HC37" i="2"/>
  <c r="HC38" i="2"/>
  <c r="HC39" i="2"/>
  <c r="HC40" i="2"/>
  <c r="HC41" i="2"/>
  <c r="HC42" i="2"/>
  <c r="HC43" i="2"/>
  <c r="HC44" i="2"/>
  <c r="HC45" i="2"/>
  <c r="HC46" i="2"/>
  <c r="HC47" i="2"/>
  <c r="HC48" i="2"/>
  <c r="HC49" i="2"/>
  <c r="HC50" i="2"/>
  <c r="HC51" i="2"/>
  <c r="HC52" i="2"/>
  <c r="HC53" i="2"/>
  <c r="HC54" i="2"/>
  <c r="HC55" i="2"/>
  <c r="HC56" i="2"/>
  <c r="HC57" i="2"/>
  <c r="HC58" i="2"/>
  <c r="HC59" i="2"/>
  <c r="HC60" i="2"/>
  <c r="HC61" i="2"/>
  <c r="HC62" i="2"/>
  <c r="HC63" i="2"/>
  <c r="HC64" i="2"/>
  <c r="HC65" i="2"/>
  <c r="HC66" i="2"/>
  <c r="HC67" i="2"/>
  <c r="HC68" i="2"/>
  <c r="HC69" i="2"/>
  <c r="HC70" i="2"/>
  <c r="HC71" i="2"/>
  <c r="HC72" i="2"/>
  <c r="HC73" i="2"/>
  <c r="HC74" i="2"/>
  <c r="HC75" i="2"/>
  <c r="HC76" i="2"/>
  <c r="HC77" i="2"/>
  <c r="HC78" i="2"/>
  <c r="HC79" i="2"/>
  <c r="HC80" i="2"/>
  <c r="HC81" i="2"/>
  <c r="HC82" i="2"/>
  <c r="HC83" i="2"/>
  <c r="HC84" i="2"/>
  <c r="HC85" i="2"/>
  <c r="HC86" i="2"/>
  <c r="HC87" i="2"/>
  <c r="HC88" i="2"/>
  <c r="HC89" i="2"/>
  <c r="HC90" i="2"/>
  <c r="HC91" i="2"/>
  <c r="HC92" i="2"/>
  <c r="HC93" i="2"/>
  <c r="HC94" i="2"/>
  <c r="HC95" i="2"/>
  <c r="HC96" i="2"/>
  <c r="HC97" i="2"/>
  <c r="HC98" i="2"/>
  <c r="HC99" i="2"/>
  <c r="HC100" i="2"/>
  <c r="HC101" i="2"/>
  <c r="HC102" i="2"/>
  <c r="HC103" i="2"/>
  <c r="HC104" i="2"/>
  <c r="HC105" i="2"/>
  <c r="HC106" i="2"/>
  <c r="HC107" i="2"/>
  <c r="HC108" i="2"/>
  <c r="HC109" i="2"/>
  <c r="HC110" i="2"/>
  <c r="HC111" i="2"/>
  <c r="HC112" i="2"/>
  <c r="HC113" i="2"/>
  <c r="HC114" i="2"/>
  <c r="HC115" i="2"/>
  <c r="HC116" i="2"/>
  <c r="HC117" i="2"/>
  <c r="HC118" i="2"/>
  <c r="HC119" i="2"/>
  <c r="HC120" i="2"/>
  <c r="HC121" i="2"/>
  <c r="HC122" i="2"/>
  <c r="HC123" i="2"/>
  <c r="HC124" i="2"/>
  <c r="HC125" i="2"/>
  <c r="HC126" i="2"/>
  <c r="HC127" i="2"/>
  <c r="HC128" i="2"/>
  <c r="HC129" i="2"/>
  <c r="HC130" i="2"/>
  <c r="HC131" i="2"/>
  <c r="HC132" i="2"/>
  <c r="HC133" i="2"/>
  <c r="HC134" i="2"/>
  <c r="HC135" i="2"/>
  <c r="HC136" i="2"/>
  <c r="HC137" i="2"/>
  <c r="HC138" i="2"/>
  <c r="HC139" i="2"/>
  <c r="HC140" i="2"/>
  <c r="HC141" i="2"/>
  <c r="HC142" i="2"/>
  <c r="HC143" i="2"/>
  <c r="HC144" i="2"/>
  <c r="HC145" i="2"/>
  <c r="HC146" i="2"/>
  <c r="HC147" i="2"/>
  <c r="HC148" i="2"/>
  <c r="HC149" i="2"/>
  <c r="HC150" i="2"/>
  <c r="HC151" i="2"/>
  <c r="HC152" i="2"/>
  <c r="HC153" i="2"/>
  <c r="HC154" i="2"/>
  <c r="HC155" i="2"/>
  <c r="HC156" i="2"/>
  <c r="HC157" i="2"/>
  <c r="HC158" i="2"/>
  <c r="HC159" i="2"/>
  <c r="HC160" i="2"/>
  <c r="HC161" i="2"/>
  <c r="HC162" i="2"/>
  <c r="HC163" i="2"/>
  <c r="HC164" i="2"/>
  <c r="HC165" i="2"/>
  <c r="HC166" i="2"/>
  <c r="HC167" i="2"/>
  <c r="HC168" i="2"/>
  <c r="HC169" i="2"/>
  <c r="HC170" i="2"/>
  <c r="HC171" i="2"/>
  <c r="HC172" i="2"/>
  <c r="HC173" i="2"/>
  <c r="HC174" i="2"/>
  <c r="HC175" i="2"/>
  <c r="HC176" i="2"/>
  <c r="HC177" i="2"/>
  <c r="HC178" i="2"/>
  <c r="HC179" i="2"/>
  <c r="HC180" i="2"/>
  <c r="HC181" i="2"/>
  <c r="HC182" i="2"/>
  <c r="HC183" i="2"/>
  <c r="HC184" i="2"/>
  <c r="HC185" i="2"/>
  <c r="HC186" i="2"/>
  <c r="HC187" i="2"/>
  <c r="HC188" i="2"/>
  <c r="HC189" i="2"/>
  <c r="HC190" i="2"/>
  <c r="HC191" i="2"/>
  <c r="HC192" i="2"/>
  <c r="HC193" i="2"/>
  <c r="HC194" i="2"/>
  <c r="HC195" i="2"/>
  <c r="HC196" i="2"/>
  <c r="HC197" i="2"/>
  <c r="HC198" i="2"/>
  <c r="HC199" i="2"/>
  <c r="HC200" i="2"/>
  <c r="HC201" i="2"/>
  <c r="HC202" i="2"/>
  <c r="HC203" i="2"/>
  <c r="HC204" i="2"/>
  <c r="HC205" i="2"/>
  <c r="HC206" i="2"/>
  <c r="HC207" i="2"/>
  <c r="Q207" i="2" s="1"/>
  <c r="H206" i="10" s="1"/>
  <c r="HC208" i="2"/>
  <c r="HC209" i="2"/>
  <c r="HC210" i="2"/>
  <c r="HC211" i="2"/>
  <c r="HC212" i="2"/>
  <c r="HC213" i="2"/>
  <c r="HC214" i="2"/>
  <c r="HC215" i="2"/>
  <c r="HC216" i="2"/>
  <c r="HC217" i="2"/>
  <c r="HC218" i="2"/>
  <c r="HC219" i="2"/>
  <c r="HC220" i="2"/>
  <c r="HC221" i="2"/>
  <c r="HC222" i="2"/>
  <c r="HC223" i="2"/>
  <c r="Q223" i="2" s="1"/>
  <c r="H222" i="10" s="1"/>
  <c r="HC224" i="2"/>
  <c r="HC225" i="2"/>
  <c r="HC226" i="2"/>
  <c r="Q226" i="2" s="1"/>
  <c r="H225" i="10" s="1"/>
  <c r="HC227" i="2"/>
  <c r="HC228" i="2"/>
  <c r="HC229" i="2"/>
  <c r="HC230" i="2"/>
  <c r="HC231" i="2"/>
  <c r="HC232" i="2"/>
  <c r="HC233" i="2"/>
  <c r="HC234" i="2"/>
  <c r="HC235" i="2"/>
  <c r="HC236" i="2"/>
  <c r="HC237" i="2"/>
  <c r="HC238" i="2"/>
  <c r="HC239" i="2"/>
  <c r="HC240" i="2"/>
  <c r="HC241" i="2"/>
  <c r="HC242" i="2"/>
  <c r="HC243" i="2"/>
  <c r="HC244" i="2"/>
  <c r="HC245" i="2"/>
  <c r="HC246" i="2"/>
  <c r="HC247" i="2"/>
  <c r="HC248" i="2"/>
  <c r="HC249" i="2"/>
  <c r="HC250" i="2"/>
  <c r="HC251" i="2"/>
  <c r="HC252" i="2"/>
  <c r="HC253" i="2"/>
  <c r="HC254" i="2"/>
  <c r="HC255" i="2"/>
  <c r="HC256" i="2"/>
  <c r="HC257" i="2"/>
  <c r="HC258" i="2"/>
  <c r="HC259" i="2"/>
  <c r="HC260" i="2"/>
  <c r="HC261" i="2"/>
  <c r="HC262" i="2"/>
  <c r="HC263" i="2"/>
  <c r="HC264" i="2"/>
  <c r="HC265" i="2"/>
  <c r="HC266" i="2"/>
  <c r="HC267" i="2"/>
  <c r="HC268" i="2"/>
  <c r="HC269" i="2"/>
  <c r="HC270" i="2"/>
  <c r="HC271" i="2"/>
  <c r="HC272" i="2"/>
  <c r="HC273" i="2"/>
  <c r="HC274" i="2"/>
  <c r="HC275" i="2"/>
  <c r="HC276" i="2"/>
  <c r="HC277" i="2"/>
  <c r="HC278" i="2"/>
  <c r="HC279" i="2"/>
  <c r="HC280" i="2"/>
  <c r="HC281" i="2"/>
  <c r="HC282" i="2"/>
  <c r="HC283" i="2"/>
  <c r="HC284" i="2"/>
  <c r="HC285" i="2"/>
  <c r="HC286" i="2"/>
  <c r="HC287" i="2"/>
  <c r="HC288" i="2"/>
  <c r="HC289" i="2"/>
  <c r="HC290" i="2"/>
  <c r="HC291" i="2"/>
  <c r="HC292" i="2"/>
  <c r="HC293" i="2"/>
  <c r="HC294" i="2"/>
  <c r="HC295" i="2"/>
  <c r="HC296" i="2"/>
  <c r="HC297" i="2"/>
  <c r="HC298" i="2"/>
  <c r="HC299" i="2"/>
  <c r="HC300" i="2"/>
  <c r="HC301" i="2"/>
  <c r="HC302" i="2"/>
  <c r="HC303" i="2"/>
  <c r="HC304" i="2"/>
  <c r="HC305" i="2"/>
  <c r="HC306" i="2"/>
  <c r="HC307" i="2"/>
  <c r="HC308" i="2"/>
  <c r="HC309" i="2"/>
  <c r="HC310" i="2"/>
  <c r="HC311" i="2"/>
  <c r="HC312" i="2"/>
  <c r="HC313" i="2"/>
  <c r="HC314" i="2"/>
  <c r="HC315" i="2"/>
  <c r="HC316" i="2"/>
  <c r="HC317" i="2"/>
  <c r="HC318" i="2"/>
  <c r="HC319" i="2"/>
  <c r="HC320" i="2"/>
  <c r="HC321" i="2"/>
  <c r="HC322" i="2"/>
  <c r="HC323" i="2"/>
  <c r="HC324" i="2"/>
  <c r="HC325" i="2"/>
  <c r="HC326" i="2"/>
  <c r="HC327" i="2"/>
  <c r="HC328" i="2"/>
  <c r="HC329" i="2"/>
  <c r="HC330" i="2"/>
  <c r="HC331" i="2"/>
  <c r="HC332" i="2"/>
  <c r="HC333" i="2"/>
  <c r="HC334" i="2"/>
  <c r="HC335" i="2"/>
  <c r="HC336" i="2"/>
  <c r="HC337" i="2"/>
  <c r="HC338" i="2"/>
  <c r="HC339" i="2"/>
  <c r="HC340" i="2"/>
  <c r="HC341" i="2"/>
  <c r="HC342" i="2"/>
  <c r="HC343" i="2"/>
  <c r="HC344" i="2"/>
  <c r="Q292" i="2" l="1"/>
  <c r="W163" i="2"/>
  <c r="M162" i="10" s="1"/>
  <c r="W164" i="2"/>
  <c r="M163" i="10" s="1"/>
  <c r="W165" i="2"/>
  <c r="M164" i="10" s="1"/>
  <c r="W166" i="2"/>
  <c r="M165" i="10" s="1"/>
  <c r="V5" i="2"/>
  <c r="L4" i="10" s="1"/>
  <c r="V6" i="2"/>
  <c r="L5" i="10" s="1"/>
  <c r="V7" i="2"/>
  <c r="L6" i="10" s="1"/>
  <c r="V8" i="2"/>
  <c r="L7" i="10" s="1"/>
  <c r="V9" i="2"/>
  <c r="L8" i="10" s="1"/>
  <c r="V10" i="2"/>
  <c r="L9" i="10" s="1"/>
  <c r="V11" i="2"/>
  <c r="L10" i="10" s="1"/>
  <c r="V12" i="2"/>
  <c r="L11" i="10" s="1"/>
  <c r="V13" i="2"/>
  <c r="L12" i="10" s="1"/>
  <c r="V14" i="2"/>
  <c r="L13" i="10" s="1"/>
  <c r="V15" i="2"/>
  <c r="L14" i="10" s="1"/>
  <c r="V16" i="2"/>
  <c r="L15" i="10" s="1"/>
  <c r="V17" i="2"/>
  <c r="L16" i="10" s="1"/>
  <c r="V18" i="2"/>
  <c r="L17" i="10" s="1"/>
  <c r="V19" i="2"/>
  <c r="L18" i="10" s="1"/>
  <c r="V20" i="2"/>
  <c r="L19" i="10" s="1"/>
  <c r="V21" i="2"/>
  <c r="L20" i="10" s="1"/>
  <c r="V22" i="2"/>
  <c r="L21" i="10" s="1"/>
  <c r="V23" i="2"/>
  <c r="L22" i="10" s="1"/>
  <c r="V24" i="2"/>
  <c r="L23" i="10" s="1"/>
  <c r="V25" i="2"/>
  <c r="L24" i="10" s="1"/>
  <c r="V26" i="2"/>
  <c r="L25" i="10" s="1"/>
  <c r="V27" i="2"/>
  <c r="L26" i="10" s="1"/>
  <c r="V28" i="2"/>
  <c r="L27" i="10" s="1"/>
  <c r="V29" i="2"/>
  <c r="L28" i="10" s="1"/>
  <c r="V30" i="2"/>
  <c r="L29" i="10" s="1"/>
  <c r="V31" i="2"/>
  <c r="L30" i="10" s="1"/>
  <c r="V32" i="2"/>
  <c r="L31" i="10" s="1"/>
  <c r="V33" i="2"/>
  <c r="L32" i="10" s="1"/>
  <c r="V34" i="2"/>
  <c r="L33" i="10" s="1"/>
  <c r="V35" i="2"/>
  <c r="L34" i="10" s="1"/>
  <c r="V36" i="2"/>
  <c r="L35" i="10" s="1"/>
  <c r="V37" i="2"/>
  <c r="L36" i="10" s="1"/>
  <c r="V38" i="2"/>
  <c r="L37" i="10" s="1"/>
  <c r="V39" i="2"/>
  <c r="L38" i="10" s="1"/>
  <c r="V40" i="2"/>
  <c r="L39" i="10" s="1"/>
  <c r="V41" i="2"/>
  <c r="L40" i="10" s="1"/>
  <c r="V42" i="2"/>
  <c r="L41" i="10" s="1"/>
  <c r="V43" i="2"/>
  <c r="L42" i="10" s="1"/>
  <c r="V44" i="2"/>
  <c r="L43" i="10" s="1"/>
  <c r="V45" i="2"/>
  <c r="L44" i="10" s="1"/>
  <c r="V46" i="2"/>
  <c r="L45" i="10" s="1"/>
  <c r="V47" i="2"/>
  <c r="L46" i="10" s="1"/>
  <c r="V48" i="2"/>
  <c r="L47" i="10" s="1"/>
  <c r="V49" i="2"/>
  <c r="L48" i="10" s="1"/>
  <c r="V50" i="2"/>
  <c r="L49" i="10" s="1"/>
  <c r="V51" i="2"/>
  <c r="L50" i="10" s="1"/>
  <c r="V52" i="2"/>
  <c r="L51" i="10" s="1"/>
  <c r="V53" i="2"/>
  <c r="L52" i="10" s="1"/>
  <c r="V54" i="2"/>
  <c r="L53" i="10" s="1"/>
  <c r="V55" i="2"/>
  <c r="L54" i="10" s="1"/>
  <c r="V56" i="2"/>
  <c r="L55" i="10" s="1"/>
  <c r="V57" i="2"/>
  <c r="L56" i="10" s="1"/>
  <c r="V58" i="2"/>
  <c r="L57" i="10" s="1"/>
  <c r="V59" i="2"/>
  <c r="L58" i="10" s="1"/>
  <c r="V60" i="2"/>
  <c r="L59" i="10" s="1"/>
  <c r="V61" i="2"/>
  <c r="L60" i="10" s="1"/>
  <c r="V62" i="2"/>
  <c r="L61" i="10" s="1"/>
  <c r="V63" i="2"/>
  <c r="L62" i="10" s="1"/>
  <c r="V64" i="2"/>
  <c r="L63" i="10" s="1"/>
  <c r="V65" i="2"/>
  <c r="L64" i="10" s="1"/>
  <c r="V66" i="2"/>
  <c r="L65" i="10" s="1"/>
  <c r="V67" i="2"/>
  <c r="L66" i="10" s="1"/>
  <c r="V68" i="2"/>
  <c r="L67" i="10" s="1"/>
  <c r="V69" i="2"/>
  <c r="L68" i="10" s="1"/>
  <c r="V70" i="2"/>
  <c r="L69" i="10" s="1"/>
  <c r="V71" i="2"/>
  <c r="L70" i="10" s="1"/>
  <c r="V72" i="2"/>
  <c r="L71" i="10" s="1"/>
  <c r="V73" i="2"/>
  <c r="L72" i="10" s="1"/>
  <c r="V74" i="2"/>
  <c r="L73" i="10" s="1"/>
  <c r="V75" i="2"/>
  <c r="L74" i="10" s="1"/>
  <c r="V76" i="2"/>
  <c r="L75" i="10" s="1"/>
  <c r="V77" i="2"/>
  <c r="L76" i="10" s="1"/>
  <c r="V78" i="2"/>
  <c r="L77" i="10" s="1"/>
  <c r="V79" i="2"/>
  <c r="L78" i="10" s="1"/>
  <c r="V80" i="2"/>
  <c r="L79" i="10" s="1"/>
  <c r="V81" i="2"/>
  <c r="L80" i="10" s="1"/>
  <c r="V82" i="2"/>
  <c r="L81" i="10" s="1"/>
  <c r="V83" i="2"/>
  <c r="L82" i="10" s="1"/>
  <c r="V84" i="2"/>
  <c r="L83" i="10" s="1"/>
  <c r="V85" i="2"/>
  <c r="L84" i="10" s="1"/>
  <c r="V86" i="2"/>
  <c r="L85" i="10" s="1"/>
  <c r="V87" i="2"/>
  <c r="L86" i="10" s="1"/>
  <c r="V88" i="2"/>
  <c r="L87" i="10" s="1"/>
  <c r="V89" i="2"/>
  <c r="L88" i="10" s="1"/>
  <c r="V90" i="2"/>
  <c r="L89" i="10" s="1"/>
  <c r="V91" i="2"/>
  <c r="L90" i="10" s="1"/>
  <c r="V92" i="2"/>
  <c r="L91" i="10" s="1"/>
  <c r="V93" i="2"/>
  <c r="L92" i="10" s="1"/>
  <c r="V94" i="2"/>
  <c r="L93" i="10" s="1"/>
  <c r="V95" i="2"/>
  <c r="L94" i="10" s="1"/>
  <c r="V96" i="2"/>
  <c r="L95" i="10" s="1"/>
  <c r="V97" i="2"/>
  <c r="L96" i="10" s="1"/>
  <c r="V98" i="2"/>
  <c r="L97" i="10" s="1"/>
  <c r="V99" i="2"/>
  <c r="L98" i="10" s="1"/>
  <c r="V100" i="2"/>
  <c r="L99" i="10" s="1"/>
  <c r="V101" i="2"/>
  <c r="L100" i="10" s="1"/>
  <c r="V102" i="2"/>
  <c r="L101" i="10" s="1"/>
  <c r="V103" i="2"/>
  <c r="L102" i="10" s="1"/>
  <c r="V104" i="2"/>
  <c r="L103" i="10" s="1"/>
  <c r="V105" i="2"/>
  <c r="L104" i="10" s="1"/>
  <c r="V106" i="2"/>
  <c r="L105" i="10" s="1"/>
  <c r="V107" i="2"/>
  <c r="L106" i="10" s="1"/>
  <c r="V108" i="2"/>
  <c r="L107" i="10" s="1"/>
  <c r="V109" i="2"/>
  <c r="L108" i="10" s="1"/>
  <c r="V110" i="2"/>
  <c r="L109" i="10" s="1"/>
  <c r="V111" i="2"/>
  <c r="L110" i="10" s="1"/>
  <c r="V112" i="2"/>
  <c r="L111" i="10" s="1"/>
  <c r="V113" i="2"/>
  <c r="L112" i="10" s="1"/>
  <c r="V114" i="2"/>
  <c r="L113" i="10" s="1"/>
  <c r="V115" i="2"/>
  <c r="L114" i="10" s="1"/>
  <c r="V116" i="2"/>
  <c r="L115" i="10" s="1"/>
  <c r="V117" i="2"/>
  <c r="L116" i="10" s="1"/>
  <c r="V118" i="2"/>
  <c r="L117" i="10" s="1"/>
  <c r="V119" i="2"/>
  <c r="L118" i="10" s="1"/>
  <c r="V120" i="2"/>
  <c r="L119" i="10" s="1"/>
  <c r="V121" i="2"/>
  <c r="L120" i="10" s="1"/>
  <c r="V122" i="2"/>
  <c r="L121" i="10" s="1"/>
  <c r="V123" i="2"/>
  <c r="L122" i="10" s="1"/>
  <c r="V124" i="2"/>
  <c r="L123" i="10" s="1"/>
  <c r="V125" i="2"/>
  <c r="L124" i="10" s="1"/>
  <c r="V126" i="2"/>
  <c r="L125" i="10" s="1"/>
  <c r="V127" i="2"/>
  <c r="L126" i="10" s="1"/>
  <c r="V128" i="2"/>
  <c r="L127" i="10" s="1"/>
  <c r="V129" i="2"/>
  <c r="L128" i="10" s="1"/>
  <c r="V130" i="2"/>
  <c r="L129" i="10" s="1"/>
  <c r="V131" i="2"/>
  <c r="L130" i="10" s="1"/>
  <c r="V132" i="2"/>
  <c r="L131" i="10" s="1"/>
  <c r="V133" i="2"/>
  <c r="L132" i="10" s="1"/>
  <c r="V134" i="2"/>
  <c r="L133" i="10" s="1"/>
  <c r="V135" i="2"/>
  <c r="L134" i="10" s="1"/>
  <c r="V136" i="2"/>
  <c r="L135" i="10" s="1"/>
  <c r="V137" i="2"/>
  <c r="L136" i="10" s="1"/>
  <c r="V138" i="2"/>
  <c r="L137" i="10" s="1"/>
  <c r="V139" i="2"/>
  <c r="L138" i="10" s="1"/>
  <c r="V140" i="2"/>
  <c r="L139" i="10" s="1"/>
  <c r="V141" i="2"/>
  <c r="L140" i="10" s="1"/>
  <c r="V142" i="2"/>
  <c r="L141" i="10" s="1"/>
  <c r="V143" i="2"/>
  <c r="L142" i="10" s="1"/>
  <c r="V144" i="2"/>
  <c r="L143" i="10" s="1"/>
  <c r="V145" i="2"/>
  <c r="L144" i="10" s="1"/>
  <c r="V146" i="2"/>
  <c r="L145" i="10" s="1"/>
  <c r="V147" i="2"/>
  <c r="L146" i="10" s="1"/>
  <c r="V148" i="2"/>
  <c r="L147" i="10" s="1"/>
  <c r="V149" i="2"/>
  <c r="L148" i="10" s="1"/>
  <c r="V150" i="2"/>
  <c r="L149" i="10" s="1"/>
  <c r="V151" i="2"/>
  <c r="L150" i="10" s="1"/>
  <c r="V152" i="2"/>
  <c r="L151" i="10" s="1"/>
  <c r="V153" i="2"/>
  <c r="L152" i="10" s="1"/>
  <c r="V154" i="2"/>
  <c r="L153" i="10" s="1"/>
  <c r="V155" i="2"/>
  <c r="L154" i="10" s="1"/>
  <c r="V156" i="2"/>
  <c r="L155" i="10" s="1"/>
  <c r="V157" i="2"/>
  <c r="L156" i="10" s="1"/>
  <c r="V158" i="2"/>
  <c r="L157" i="10" s="1"/>
  <c r="V159" i="2"/>
  <c r="L158" i="10" s="1"/>
  <c r="V160" i="2"/>
  <c r="L159" i="10" s="1"/>
  <c r="V161" i="2"/>
  <c r="L160" i="10" s="1"/>
  <c r="V162" i="2"/>
  <c r="L161" i="10" s="1"/>
  <c r="V163" i="2"/>
  <c r="L162" i="10" s="1"/>
  <c r="V164" i="2"/>
  <c r="L163" i="10" s="1"/>
  <c r="V165" i="2"/>
  <c r="L164" i="10" s="1"/>
  <c r="V166" i="2"/>
  <c r="L165" i="10" s="1"/>
  <c r="V167" i="2"/>
  <c r="L166" i="10" s="1"/>
  <c r="V168" i="2"/>
  <c r="L167" i="10" s="1"/>
  <c r="V169" i="2"/>
  <c r="L168" i="10" s="1"/>
  <c r="V170" i="2"/>
  <c r="L169" i="10" s="1"/>
  <c r="V171" i="2"/>
  <c r="L170" i="10" s="1"/>
  <c r="V172" i="2"/>
  <c r="L171" i="10" s="1"/>
  <c r="V173" i="2"/>
  <c r="L172" i="10" s="1"/>
  <c r="V174" i="2"/>
  <c r="L173" i="10" s="1"/>
  <c r="V175" i="2"/>
  <c r="L174" i="10" s="1"/>
  <c r="V176" i="2"/>
  <c r="L175" i="10" s="1"/>
  <c r="V177" i="2"/>
  <c r="L176" i="10" s="1"/>
  <c r="V178" i="2"/>
  <c r="L177" i="10" s="1"/>
  <c r="V179" i="2"/>
  <c r="L178" i="10" s="1"/>
  <c r="V180" i="2"/>
  <c r="L179" i="10" s="1"/>
  <c r="V181" i="2"/>
  <c r="L180" i="10" s="1"/>
  <c r="V182" i="2"/>
  <c r="L181" i="10" s="1"/>
  <c r="V183" i="2"/>
  <c r="L182" i="10" s="1"/>
  <c r="V184" i="2"/>
  <c r="L183" i="10" s="1"/>
  <c r="V185" i="2"/>
  <c r="L184" i="10" s="1"/>
  <c r="V186" i="2"/>
  <c r="L185" i="10" s="1"/>
  <c r="V187" i="2"/>
  <c r="L186" i="10" s="1"/>
  <c r="V188" i="2"/>
  <c r="L187" i="10" s="1"/>
  <c r="V189" i="2"/>
  <c r="L188" i="10" s="1"/>
  <c r="V190" i="2"/>
  <c r="L189" i="10" s="1"/>
  <c r="V191" i="2"/>
  <c r="L190" i="10" s="1"/>
  <c r="V192" i="2"/>
  <c r="L191" i="10" s="1"/>
  <c r="V193" i="2"/>
  <c r="L192" i="10" s="1"/>
  <c r="V194" i="2"/>
  <c r="L193" i="10" s="1"/>
  <c r="V195" i="2"/>
  <c r="L194" i="10" s="1"/>
  <c r="V196" i="2"/>
  <c r="L195" i="10" s="1"/>
  <c r="V197" i="2"/>
  <c r="L196" i="10" s="1"/>
  <c r="V198" i="2"/>
  <c r="L197" i="10" s="1"/>
  <c r="V199" i="2"/>
  <c r="L198" i="10" s="1"/>
  <c r="V200" i="2"/>
  <c r="L199" i="10" s="1"/>
  <c r="V201" i="2"/>
  <c r="L200" i="10" s="1"/>
  <c r="V202" i="2"/>
  <c r="L201" i="10" s="1"/>
  <c r="V203" i="2"/>
  <c r="L202" i="10" s="1"/>
  <c r="V204" i="2"/>
  <c r="L203" i="10" s="1"/>
  <c r="V205" i="2"/>
  <c r="L204" i="10" s="1"/>
  <c r="V206" i="2"/>
  <c r="L205" i="10" s="1"/>
  <c r="V207" i="2"/>
  <c r="L206" i="10" s="1"/>
  <c r="V208" i="2"/>
  <c r="L207" i="10" s="1"/>
  <c r="V209" i="2"/>
  <c r="L208" i="10" s="1"/>
  <c r="V210" i="2"/>
  <c r="L209" i="10" s="1"/>
  <c r="V211" i="2"/>
  <c r="L210" i="10" s="1"/>
  <c r="V212" i="2"/>
  <c r="L211" i="10" s="1"/>
  <c r="V213" i="2"/>
  <c r="L212" i="10" s="1"/>
  <c r="V214" i="2"/>
  <c r="L213" i="10" s="1"/>
  <c r="V215" i="2"/>
  <c r="L214" i="10" s="1"/>
  <c r="V216" i="2"/>
  <c r="L215" i="10" s="1"/>
  <c r="V217" i="2"/>
  <c r="L216" i="10" s="1"/>
  <c r="V218" i="2"/>
  <c r="L217" i="10" s="1"/>
  <c r="V219" i="2"/>
  <c r="L218" i="10" s="1"/>
  <c r="V220" i="2"/>
  <c r="L219" i="10" s="1"/>
  <c r="V221" i="2"/>
  <c r="L220" i="10" s="1"/>
  <c r="V222" i="2"/>
  <c r="L221" i="10" s="1"/>
  <c r="V223" i="2"/>
  <c r="L222" i="10" s="1"/>
  <c r="V224" i="2"/>
  <c r="L223" i="10" s="1"/>
  <c r="V225" i="2"/>
  <c r="L224" i="10" s="1"/>
  <c r="V226" i="2"/>
  <c r="L225" i="10" s="1"/>
  <c r="V227" i="2"/>
  <c r="L226" i="10" s="1"/>
  <c r="V228" i="2"/>
  <c r="L227" i="10" s="1"/>
  <c r="V229" i="2"/>
  <c r="L228" i="10" s="1"/>
  <c r="V230" i="2"/>
  <c r="L229" i="10" s="1"/>
  <c r="V231" i="2"/>
  <c r="L230" i="10" s="1"/>
  <c r="V232" i="2"/>
  <c r="L231" i="10" s="1"/>
  <c r="V233" i="2"/>
  <c r="L232" i="10" s="1"/>
  <c r="V234" i="2"/>
  <c r="L233" i="10" s="1"/>
  <c r="V235" i="2"/>
  <c r="L234" i="10" s="1"/>
  <c r="V236" i="2"/>
  <c r="L235" i="10" s="1"/>
  <c r="V237" i="2"/>
  <c r="V238" i="2"/>
  <c r="V239" i="2"/>
  <c r="V241" i="2"/>
  <c r="V242" i="2"/>
  <c r="V243" i="2"/>
  <c r="V244" i="2"/>
  <c r="V246" i="2"/>
  <c r="V251" i="2"/>
  <c r="V252" i="2"/>
  <c r="V253" i="2"/>
  <c r="V254" i="2"/>
  <c r="V255" i="2"/>
  <c r="V256" i="2"/>
  <c r="V257" i="2"/>
  <c r="V258" i="2"/>
  <c r="V259" i="2"/>
  <c r="V261" i="2"/>
  <c r="V271" i="2"/>
  <c r="V272" i="2"/>
  <c r="V273" i="2"/>
  <c r="V274" i="2"/>
  <c r="V276" i="2"/>
  <c r="V277" i="2"/>
  <c r="V278" i="2"/>
  <c r="V280" i="2"/>
  <c r="V281" i="2"/>
  <c r="V282" i="2"/>
  <c r="V283" i="2"/>
  <c r="V284" i="2"/>
  <c r="V285" i="2"/>
  <c r="V286" i="2"/>
  <c r="V287" i="2"/>
  <c r="V288" i="2"/>
  <c r="V289" i="2"/>
  <c r="V290" i="2"/>
  <c r="V291" i="2"/>
  <c r="V292" i="2"/>
  <c r="V293" i="2"/>
  <c r="V294" i="2"/>
  <c r="V295" i="2"/>
  <c r="V296" i="2"/>
  <c r="V297" i="2"/>
  <c r="V298" i="2"/>
  <c r="V299" i="2"/>
  <c r="V301" i="2"/>
  <c r="V302" i="2"/>
  <c r="V304" i="2"/>
  <c r="V305" i="2"/>
  <c r="V306" i="2"/>
  <c r="V307" i="2"/>
  <c r="V308"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2" i="2"/>
  <c r="V343" i="2"/>
  <c r="V344" i="2"/>
  <c r="L273" i="10" l="1"/>
  <c r="L272" i="10"/>
  <c r="L343" i="10"/>
  <c r="L342" i="10"/>
  <c r="L270" i="10"/>
  <c r="L341" i="10"/>
  <c r="L333" i="10"/>
  <c r="L286" i="10"/>
  <c r="L277" i="10"/>
  <c r="L324" i="10"/>
  <c r="L323" i="10"/>
  <c r="L325" i="10"/>
  <c r="L276" i="10"/>
  <c r="L275" i="10"/>
  <c r="L285" i="10"/>
  <c r="L331" i="10"/>
  <c r="L284" i="10"/>
  <c r="L335" i="10"/>
  <c r="L283" i="10"/>
  <c r="L332" i="10"/>
  <c r="L330" i="10"/>
  <c r="L329" i="10"/>
  <c r="L339" i="10"/>
  <c r="L338" i="10"/>
  <c r="L282" i="10"/>
  <c r="L328" i="10"/>
  <c r="L281" i="10"/>
  <c r="L337" i="10"/>
  <c r="L334" i="10"/>
  <c r="L327" i="10"/>
  <c r="L336" i="10"/>
  <c r="L280" i="10"/>
  <c r="L326" i="10"/>
  <c r="L279" i="10"/>
  <c r="N165" i="10"/>
  <c r="N164" i="10"/>
  <c r="N163" i="10"/>
  <c r="N162" i="10"/>
  <c r="L2" i="10"/>
  <c r="L271" i="10"/>
  <c r="L236" i="10"/>
  <c r="L237" i="10"/>
  <c r="L238" i="10"/>
  <c r="L239" i="10"/>
  <c r="L240" i="10"/>
  <c r="L241" i="10"/>
  <c r="L242" i="10"/>
  <c r="L243" i="10"/>
  <c r="L245" i="10"/>
  <c r="L250" i="10"/>
  <c r="L251" i="10"/>
  <c r="L252" i="10"/>
  <c r="L253" i="10"/>
  <c r="L254" i="10"/>
  <c r="L255" i="10"/>
  <c r="L256" i="10"/>
  <c r="L257" i="10"/>
  <c r="L258" i="10"/>
  <c r="L260" i="10"/>
  <c r="L287" i="10"/>
  <c r="L288" i="10"/>
  <c r="L289" i="10"/>
  <c r="L290" i="10"/>
  <c r="L291" i="10"/>
  <c r="L292" i="10"/>
  <c r="L293" i="10"/>
  <c r="L294" i="10"/>
  <c r="L295" i="10"/>
  <c r="L296" i="10"/>
  <c r="L297" i="10"/>
  <c r="L298" i="10"/>
  <c r="L300" i="10"/>
  <c r="L301" i="10"/>
  <c r="L303" i="10"/>
  <c r="L304" i="10"/>
  <c r="L305" i="10"/>
  <c r="L306" i="10"/>
  <c r="L307" i="10"/>
  <c r="L309" i="10"/>
  <c r="L310" i="10"/>
  <c r="L311" i="10"/>
  <c r="L312" i="10"/>
  <c r="L313" i="10"/>
  <c r="L314" i="10"/>
  <c r="L315" i="10"/>
  <c r="L316" i="10"/>
  <c r="L317" i="10"/>
  <c r="L318" i="10"/>
  <c r="L319" i="10"/>
  <c r="L320" i="10"/>
  <c r="L321" i="10"/>
  <c r="L322" i="10"/>
  <c r="H291" i="10"/>
  <c r="HV6" i="2"/>
  <c r="AP5" i="10" s="1"/>
  <c r="HV7" i="2"/>
  <c r="AP6" i="10" s="1"/>
  <c r="HV8" i="2"/>
  <c r="AP7" i="10" s="1"/>
  <c r="HV9" i="2"/>
  <c r="AP8" i="10" s="1"/>
  <c r="HV10" i="2"/>
  <c r="AP9" i="10" s="1"/>
  <c r="HV11" i="2"/>
  <c r="AP10" i="10" s="1"/>
  <c r="HV12" i="2"/>
  <c r="AP11" i="10" s="1"/>
  <c r="HV13" i="2"/>
  <c r="AP12" i="10" s="1"/>
  <c r="HV14" i="2"/>
  <c r="AP13" i="10" s="1"/>
  <c r="HV15" i="2"/>
  <c r="AP14" i="10" s="1"/>
  <c r="HV16" i="2"/>
  <c r="AP15" i="10" s="1"/>
  <c r="HV17" i="2"/>
  <c r="AP16" i="10" s="1"/>
  <c r="HV18" i="2"/>
  <c r="AP17" i="10" s="1"/>
  <c r="HV19" i="2"/>
  <c r="AP18" i="10" s="1"/>
  <c r="HV20" i="2"/>
  <c r="AP19" i="10" s="1"/>
  <c r="HV21" i="2"/>
  <c r="AP20" i="10" s="1"/>
  <c r="HV22" i="2"/>
  <c r="AP21" i="10" s="1"/>
  <c r="HV23" i="2"/>
  <c r="AP22" i="10" s="1"/>
  <c r="HV24" i="2"/>
  <c r="AP23" i="10" s="1"/>
  <c r="HV25" i="2"/>
  <c r="AP24" i="10" s="1"/>
  <c r="HV26" i="2"/>
  <c r="AP25" i="10" s="1"/>
  <c r="HV27" i="2"/>
  <c r="AP26" i="10" s="1"/>
  <c r="HV28" i="2"/>
  <c r="AP27" i="10" s="1"/>
  <c r="HV29" i="2"/>
  <c r="AP28" i="10" s="1"/>
  <c r="HV31" i="2"/>
  <c r="AP30" i="10" s="1"/>
  <c r="HV32" i="2"/>
  <c r="AP31" i="10" s="1"/>
  <c r="HV33" i="2"/>
  <c r="AP32" i="10" s="1"/>
  <c r="HV35" i="2"/>
  <c r="AP34" i="10" s="1"/>
  <c r="HV36" i="2"/>
  <c r="AP35" i="10" s="1"/>
  <c r="HV37" i="2"/>
  <c r="AP36" i="10" s="1"/>
  <c r="HV38" i="2"/>
  <c r="AP37" i="10" s="1"/>
  <c r="HV39" i="2"/>
  <c r="AP38" i="10" s="1"/>
  <c r="HV40" i="2"/>
  <c r="AP39" i="10" s="1"/>
  <c r="HV41" i="2"/>
  <c r="AP40" i="10" s="1"/>
  <c r="HV42" i="2"/>
  <c r="AP41" i="10" s="1"/>
  <c r="HV43" i="2"/>
  <c r="AP42" i="10" s="1"/>
  <c r="HV44" i="2"/>
  <c r="AP43" i="10" s="1"/>
  <c r="HV45" i="2"/>
  <c r="AP44" i="10" s="1"/>
  <c r="HV46" i="2"/>
  <c r="AP45" i="10" s="1"/>
  <c r="HV47" i="2"/>
  <c r="AP46" i="10" s="1"/>
  <c r="HV48" i="2"/>
  <c r="AP47" i="10" s="1"/>
  <c r="HV49" i="2"/>
  <c r="AP48" i="10" s="1"/>
  <c r="HV50" i="2"/>
  <c r="AP49" i="10" s="1"/>
  <c r="HV51" i="2"/>
  <c r="AP50" i="10" s="1"/>
  <c r="HV52" i="2"/>
  <c r="AP51" i="10" s="1"/>
  <c r="HV53" i="2"/>
  <c r="AP52" i="10" s="1"/>
  <c r="HV54" i="2"/>
  <c r="AP53" i="10" s="1"/>
  <c r="HV55" i="2"/>
  <c r="AP54" i="10" s="1"/>
  <c r="HV56" i="2"/>
  <c r="AP55" i="10" s="1"/>
  <c r="HV58" i="2"/>
  <c r="AP57" i="10" s="1"/>
  <c r="HV59" i="2"/>
  <c r="AP58" i="10" s="1"/>
  <c r="HV60" i="2"/>
  <c r="AP59" i="10" s="1"/>
  <c r="HV61" i="2"/>
  <c r="AP60" i="10" s="1"/>
  <c r="HV62" i="2"/>
  <c r="AP61" i="10" s="1"/>
  <c r="HV63" i="2"/>
  <c r="AP62" i="10" s="1"/>
  <c r="HV64" i="2"/>
  <c r="AP63" i="10" s="1"/>
  <c r="HV65" i="2"/>
  <c r="AP64" i="10" s="1"/>
  <c r="HV66" i="2"/>
  <c r="AP65" i="10" s="1"/>
  <c r="HV67" i="2"/>
  <c r="AP66" i="10" s="1"/>
  <c r="HV68" i="2"/>
  <c r="AP67" i="10" s="1"/>
  <c r="HV69" i="2"/>
  <c r="AP68" i="10" s="1"/>
  <c r="HV70" i="2"/>
  <c r="AP69" i="10" s="1"/>
  <c r="HV71" i="2"/>
  <c r="AP70" i="10" s="1"/>
  <c r="HV72" i="2"/>
  <c r="AP71" i="10" s="1"/>
  <c r="HV73" i="2"/>
  <c r="AP72" i="10" s="1"/>
  <c r="HV79" i="2"/>
  <c r="AP78" i="10" s="1"/>
  <c r="HV80" i="2"/>
  <c r="AP79" i="10" s="1"/>
  <c r="HV81" i="2"/>
  <c r="AP80" i="10" s="1"/>
  <c r="HV82" i="2"/>
  <c r="AP81" i="10" s="1"/>
  <c r="HV83" i="2"/>
  <c r="AP82" i="10" s="1"/>
  <c r="HV84" i="2"/>
  <c r="AP83" i="10" s="1"/>
  <c r="HV85" i="2"/>
  <c r="AP84" i="10" s="1"/>
  <c r="HV86" i="2"/>
  <c r="AP85" i="10" s="1"/>
  <c r="HV87" i="2"/>
  <c r="AP86" i="10" s="1"/>
  <c r="HV88" i="2"/>
  <c r="AP87" i="10" s="1"/>
  <c r="HV89" i="2"/>
  <c r="AP88" i="10" s="1"/>
  <c r="HV90" i="2"/>
  <c r="AP89" i="10" s="1"/>
  <c r="HV91" i="2"/>
  <c r="AP90" i="10" s="1"/>
  <c r="HV92" i="2"/>
  <c r="AP91" i="10" s="1"/>
  <c r="HV93" i="2"/>
  <c r="AP92" i="10" s="1"/>
  <c r="HV94" i="2"/>
  <c r="AP93" i="10" s="1"/>
  <c r="HV95" i="2"/>
  <c r="AP94" i="10" s="1"/>
  <c r="HV96" i="2"/>
  <c r="AP95" i="10" s="1"/>
  <c r="HV97" i="2"/>
  <c r="AP96" i="10" s="1"/>
  <c r="HV98" i="2"/>
  <c r="AP97" i="10" s="1"/>
  <c r="HV99" i="2"/>
  <c r="AP98" i="10" s="1"/>
  <c r="HV100" i="2"/>
  <c r="AP99" i="10" s="1"/>
  <c r="HV101" i="2"/>
  <c r="AP100" i="10" s="1"/>
  <c r="HV102" i="2"/>
  <c r="AP101" i="10" s="1"/>
  <c r="HV103" i="2"/>
  <c r="AP102" i="10" s="1"/>
  <c r="HV104" i="2"/>
  <c r="AP103" i="10" s="1"/>
  <c r="HV105" i="2"/>
  <c r="AP104" i="10" s="1"/>
  <c r="HV106" i="2"/>
  <c r="AP105" i="10" s="1"/>
  <c r="HV107" i="2"/>
  <c r="AP106" i="10" s="1"/>
  <c r="HV108" i="2"/>
  <c r="AP107" i="10" s="1"/>
  <c r="HV109" i="2"/>
  <c r="AP108" i="10" s="1"/>
  <c r="HV110" i="2"/>
  <c r="AP109" i="10" s="1"/>
  <c r="HV111" i="2"/>
  <c r="AP110" i="10" s="1"/>
  <c r="HV112" i="2"/>
  <c r="AP111" i="10" s="1"/>
  <c r="HV113" i="2"/>
  <c r="AP112" i="10" s="1"/>
  <c r="HV114" i="2"/>
  <c r="AP113" i="10" s="1"/>
  <c r="HV115" i="2"/>
  <c r="AP114" i="10" s="1"/>
  <c r="HV116" i="2"/>
  <c r="AP115" i="10" s="1"/>
  <c r="HV117" i="2"/>
  <c r="AP116" i="10" s="1"/>
  <c r="HV118" i="2"/>
  <c r="AP117" i="10" s="1"/>
  <c r="HV119" i="2"/>
  <c r="AP118" i="10" s="1"/>
  <c r="HV120" i="2"/>
  <c r="AP119" i="10" s="1"/>
  <c r="HV121" i="2"/>
  <c r="AP120" i="10" s="1"/>
  <c r="HV122" i="2"/>
  <c r="AP121" i="10" s="1"/>
  <c r="HV123" i="2"/>
  <c r="AP122" i="10" s="1"/>
  <c r="HV124" i="2"/>
  <c r="AP123" i="10" s="1"/>
  <c r="HV125" i="2"/>
  <c r="AP124" i="10" s="1"/>
  <c r="AP135" i="10"/>
  <c r="HV150" i="2"/>
  <c r="AP149" i="10" s="1"/>
  <c r="AP150" i="10"/>
  <c r="HV5" i="2"/>
  <c r="AP4" i="10" s="1"/>
  <c r="HW6" i="2" l="1"/>
  <c r="HW7" i="2"/>
  <c r="HW8" i="2"/>
  <c r="HW9" i="2"/>
  <c r="HW10" i="2"/>
  <c r="HW11" i="2"/>
  <c r="HW12" i="2"/>
  <c r="HW13" i="2"/>
  <c r="HW14" i="2"/>
  <c r="HW15" i="2"/>
  <c r="HW16" i="2"/>
  <c r="HW17" i="2"/>
  <c r="HW18" i="2"/>
  <c r="HW19" i="2"/>
  <c r="HW20" i="2"/>
  <c r="HW21" i="2"/>
  <c r="HW22" i="2"/>
  <c r="HW23" i="2"/>
  <c r="HW24" i="2"/>
  <c r="HW25" i="2"/>
  <c r="HW26" i="2"/>
  <c r="HW27" i="2"/>
  <c r="HW28" i="2"/>
  <c r="HW29" i="2"/>
  <c r="HW31" i="2"/>
  <c r="HW32" i="2"/>
  <c r="HW33" i="2"/>
  <c r="HW35" i="2"/>
  <c r="HW36" i="2"/>
  <c r="HW37" i="2"/>
  <c r="HW38" i="2"/>
  <c r="HW39" i="2"/>
  <c r="HW40" i="2"/>
  <c r="HW41" i="2"/>
  <c r="HW42" i="2"/>
  <c r="HW43" i="2"/>
  <c r="HW44" i="2"/>
  <c r="HW45" i="2"/>
  <c r="HW46" i="2"/>
  <c r="HW47" i="2"/>
  <c r="HW48" i="2"/>
  <c r="HW49" i="2"/>
  <c r="HW50" i="2"/>
  <c r="HW51" i="2"/>
  <c r="HW52" i="2"/>
  <c r="HW53" i="2"/>
  <c r="HW54" i="2"/>
  <c r="HW55" i="2"/>
  <c r="HW56" i="2"/>
  <c r="HW58" i="2"/>
  <c r="HW59" i="2"/>
  <c r="HW60" i="2"/>
  <c r="HW61" i="2"/>
  <c r="HW62" i="2"/>
  <c r="HW63" i="2"/>
  <c r="HW64" i="2"/>
  <c r="HW65" i="2"/>
  <c r="HW66" i="2"/>
  <c r="HW67" i="2"/>
  <c r="HW68" i="2"/>
  <c r="HW69" i="2"/>
  <c r="HW70" i="2"/>
  <c r="HW71" i="2"/>
  <c r="HW72" i="2"/>
  <c r="HW73" i="2"/>
  <c r="HW79" i="2"/>
  <c r="HW80" i="2"/>
  <c r="HW81" i="2"/>
  <c r="HW82" i="2"/>
  <c r="HW83" i="2"/>
  <c r="HW84" i="2"/>
  <c r="HW85" i="2"/>
  <c r="HW86" i="2"/>
  <c r="HW87" i="2"/>
  <c r="HW88" i="2"/>
  <c r="HW89" i="2"/>
  <c r="HW90" i="2"/>
  <c r="HW91" i="2"/>
  <c r="HW92" i="2"/>
  <c r="HW93" i="2"/>
  <c r="HW94" i="2"/>
  <c r="HW95" i="2"/>
  <c r="HW96" i="2"/>
  <c r="HW97" i="2"/>
  <c r="HW98" i="2"/>
  <c r="HW99" i="2"/>
  <c r="HW100" i="2"/>
  <c r="HW101" i="2"/>
  <c r="HW102" i="2"/>
  <c r="HW103" i="2"/>
  <c r="HW104" i="2"/>
  <c r="HW105" i="2"/>
  <c r="HW106" i="2"/>
  <c r="HW107" i="2"/>
  <c r="HW108" i="2"/>
  <c r="HW109" i="2"/>
  <c r="HW110" i="2"/>
  <c r="HW111" i="2"/>
  <c r="HW112" i="2"/>
  <c r="HW113" i="2"/>
  <c r="HW114" i="2"/>
  <c r="HW115" i="2"/>
  <c r="HW116" i="2"/>
  <c r="HW117" i="2"/>
  <c r="HW118" i="2"/>
  <c r="HW119" i="2"/>
  <c r="HW120" i="2"/>
  <c r="HW121" i="2"/>
  <c r="HW122" i="2"/>
  <c r="HW123" i="2"/>
  <c r="HW124" i="2"/>
  <c r="HW125" i="2"/>
  <c r="HW150" i="2"/>
  <c r="Q150" i="2" s="1"/>
  <c r="HW151" i="2"/>
  <c r="Q151" i="2" s="1"/>
  <c r="HV3" i="2"/>
  <c r="HW5" i="2"/>
  <c r="HW136" i="2"/>
  <c r="Q136" i="2" s="1"/>
  <c r="BZ161" i="2"/>
  <c r="BZ3" i="2" s="1"/>
  <c r="CA159" i="2"/>
  <c r="CA3" i="2" s="1"/>
  <c r="CB159" i="2"/>
  <c r="BW16" i="2"/>
  <c r="CB16" i="2"/>
  <c r="Q11" i="2" l="1"/>
  <c r="H10" i="10" s="1"/>
  <c r="AB10" i="10"/>
  <c r="Q12" i="2"/>
  <c r="H11" i="10" s="1"/>
  <c r="AB11" i="10"/>
  <c r="Q13" i="2"/>
  <c r="H12" i="10" s="1"/>
  <c r="AB12" i="10"/>
  <c r="Q14" i="2"/>
  <c r="H13" i="10" s="1"/>
  <c r="AB13" i="10"/>
  <c r="Q6" i="2"/>
  <c r="H5" i="10" s="1"/>
  <c r="AB5" i="10"/>
  <c r="Q7" i="2"/>
  <c r="H6" i="10" s="1"/>
  <c r="AB6" i="10"/>
  <c r="Q8" i="2"/>
  <c r="H7" i="10" s="1"/>
  <c r="AB7" i="10"/>
  <c r="Q9" i="2"/>
  <c r="H8" i="10" s="1"/>
  <c r="AB8" i="10"/>
  <c r="Q10" i="2"/>
  <c r="H9" i="10" s="1"/>
  <c r="AB9" i="10"/>
  <c r="Q15" i="2"/>
  <c r="H14" i="10" s="1"/>
  <c r="AB14" i="10"/>
  <c r="Q16" i="2"/>
  <c r="H15" i="10" s="1"/>
  <c r="AB15" i="10"/>
  <c r="AB16" i="10"/>
  <c r="Q17" i="2"/>
  <c r="H16" i="10" s="1"/>
  <c r="Q18" i="2"/>
  <c r="H17" i="10" s="1"/>
  <c r="AB17" i="10"/>
  <c r="AB18" i="10"/>
  <c r="Q19" i="2"/>
  <c r="H18" i="10" s="1"/>
  <c r="Q20" i="2"/>
  <c r="H19" i="10" s="1"/>
  <c r="AB19" i="10"/>
  <c r="Q21" i="2"/>
  <c r="H20" i="10" s="1"/>
  <c r="AB20" i="10"/>
  <c r="Q22" i="2"/>
  <c r="H21" i="10" s="1"/>
  <c r="AB21" i="10"/>
  <c r="Q23" i="2"/>
  <c r="H22" i="10" s="1"/>
  <c r="AB22" i="10"/>
  <c r="Q24" i="2"/>
  <c r="H23" i="10" s="1"/>
  <c r="AB23" i="10"/>
  <c r="Q25" i="2"/>
  <c r="H24" i="10" s="1"/>
  <c r="AB24" i="10"/>
  <c r="AB25" i="10"/>
  <c r="Q26" i="2"/>
  <c r="H25" i="10" s="1"/>
  <c r="Q27" i="2"/>
  <c r="H26" i="10" s="1"/>
  <c r="AB26" i="10"/>
  <c r="Q28" i="2"/>
  <c r="H27" i="10" s="1"/>
  <c r="AB27" i="10"/>
  <c r="Q29" i="2"/>
  <c r="H28" i="10" s="1"/>
  <c r="AB28" i="10"/>
  <c r="Q31" i="2"/>
  <c r="H30" i="10" s="1"/>
  <c r="AB30" i="10"/>
  <c r="Q32" i="2"/>
  <c r="H31" i="10" s="1"/>
  <c r="AB31" i="10"/>
  <c r="Q33" i="2"/>
  <c r="H32" i="10" s="1"/>
  <c r="AB32" i="10"/>
  <c r="Q35" i="2"/>
  <c r="H34" i="10" s="1"/>
  <c r="AB34" i="10"/>
  <c r="Q36" i="2"/>
  <c r="H35" i="10" s="1"/>
  <c r="AB35" i="10"/>
  <c r="AB36" i="10"/>
  <c r="Q37" i="2"/>
  <c r="H36" i="10" s="1"/>
  <c r="Q48" i="2"/>
  <c r="H47" i="10" s="1"/>
  <c r="AB47" i="10"/>
  <c r="Q49" i="2"/>
  <c r="H48" i="10" s="1"/>
  <c r="AB48" i="10"/>
  <c r="Q50" i="2"/>
  <c r="H49" i="10" s="1"/>
  <c r="AB49" i="10"/>
  <c r="Q51" i="2"/>
  <c r="H50" i="10" s="1"/>
  <c r="AB50" i="10"/>
  <c r="Q52" i="2"/>
  <c r="H51" i="10" s="1"/>
  <c r="AB51" i="10"/>
  <c r="Q53" i="2"/>
  <c r="H52" i="10" s="1"/>
  <c r="AB52" i="10"/>
  <c r="Q54" i="2"/>
  <c r="H53" i="10" s="1"/>
  <c r="AB53" i="10"/>
  <c r="Q55" i="2"/>
  <c r="H54" i="10" s="1"/>
  <c r="AB54" i="10"/>
  <c r="Q56" i="2"/>
  <c r="H55" i="10" s="1"/>
  <c r="AB55" i="10"/>
  <c r="Q58" i="2"/>
  <c r="H57" i="10" s="1"/>
  <c r="AB57" i="10"/>
  <c r="Q59" i="2"/>
  <c r="H58" i="10" s="1"/>
  <c r="AB58" i="10"/>
  <c r="Q60" i="2"/>
  <c r="H59" i="10" s="1"/>
  <c r="AB59" i="10"/>
  <c r="Q61" i="2"/>
  <c r="H60" i="10" s="1"/>
  <c r="AB60" i="10"/>
  <c r="Q62" i="2"/>
  <c r="H61" i="10" s="1"/>
  <c r="AB61" i="10"/>
  <c r="Q63" i="2"/>
  <c r="H62" i="10" s="1"/>
  <c r="AB62" i="10"/>
  <c r="Q64" i="2"/>
  <c r="H63" i="10" s="1"/>
  <c r="AB63" i="10"/>
  <c r="Q65" i="2"/>
  <c r="H64" i="10" s="1"/>
  <c r="AB64" i="10"/>
  <c r="Q66" i="2"/>
  <c r="H65" i="10" s="1"/>
  <c r="AB65" i="10"/>
  <c r="Q67" i="2"/>
  <c r="H66" i="10" s="1"/>
  <c r="AB66" i="10"/>
  <c r="Q68" i="2"/>
  <c r="H67" i="10" s="1"/>
  <c r="AB67" i="10"/>
  <c r="Q69" i="2"/>
  <c r="H68" i="10" s="1"/>
  <c r="AB68" i="10"/>
  <c r="Q70" i="2"/>
  <c r="H69" i="10" s="1"/>
  <c r="AB69" i="10"/>
  <c r="Q71" i="2"/>
  <c r="H70" i="10" s="1"/>
  <c r="AB70" i="10"/>
  <c r="Q72" i="2"/>
  <c r="H71" i="10" s="1"/>
  <c r="AB71" i="10"/>
  <c r="AB72" i="10"/>
  <c r="Q73" i="2"/>
  <c r="H72" i="10" s="1"/>
  <c r="Q79" i="2"/>
  <c r="H78" i="10" s="1"/>
  <c r="AB78" i="10"/>
  <c r="Q80" i="2"/>
  <c r="H79" i="10" s="1"/>
  <c r="AB79" i="10"/>
  <c r="Q81" i="2"/>
  <c r="H80" i="10" s="1"/>
  <c r="AB80" i="10"/>
  <c r="Q82" i="2"/>
  <c r="H81" i="10" s="1"/>
  <c r="AB81" i="10"/>
  <c r="Q83" i="2"/>
  <c r="H82" i="10" s="1"/>
  <c r="AB82" i="10"/>
  <c r="Q84" i="2"/>
  <c r="H83" i="10" s="1"/>
  <c r="AB83" i="10"/>
  <c r="Q85" i="2"/>
  <c r="H84" i="10" s="1"/>
  <c r="AB84" i="10"/>
  <c r="Q86" i="2"/>
  <c r="H85" i="10" s="1"/>
  <c r="AB85" i="10"/>
  <c r="Q87" i="2"/>
  <c r="H86" i="10" s="1"/>
  <c r="AB86" i="10"/>
  <c r="AB87" i="10"/>
  <c r="Q88" i="2"/>
  <c r="H87" i="10" s="1"/>
  <c r="Q89" i="2"/>
  <c r="H88" i="10" s="1"/>
  <c r="AB88" i="10"/>
  <c r="Q90" i="2"/>
  <c r="H89" i="10" s="1"/>
  <c r="AB89" i="10"/>
  <c r="Q91" i="2"/>
  <c r="H90" i="10" s="1"/>
  <c r="AB90" i="10"/>
  <c r="AB91" i="10"/>
  <c r="Q92" i="2"/>
  <c r="H91" i="10" s="1"/>
  <c r="Q93" i="2"/>
  <c r="H92" i="10" s="1"/>
  <c r="AB92" i="10"/>
  <c r="Q94" i="2"/>
  <c r="H93" i="10" s="1"/>
  <c r="AB93" i="10"/>
  <c r="AB94" i="10"/>
  <c r="Q95" i="2"/>
  <c r="H94" i="10" s="1"/>
  <c r="Q119" i="2"/>
  <c r="H118" i="10" s="1"/>
  <c r="AB118" i="10"/>
  <c r="Q120" i="2"/>
  <c r="H119" i="10" s="1"/>
  <c r="AB119" i="10"/>
  <c r="Q121" i="2"/>
  <c r="H120" i="10" s="1"/>
  <c r="AB120" i="10"/>
  <c r="AB121" i="10"/>
  <c r="Q122" i="2"/>
  <c r="H121" i="10" s="1"/>
  <c r="Q38" i="2"/>
  <c r="H37" i="10" s="1"/>
  <c r="AB37" i="10"/>
  <c r="Q39" i="2"/>
  <c r="H38" i="10" s="1"/>
  <c r="AB38" i="10"/>
  <c r="Q40" i="2"/>
  <c r="H39" i="10" s="1"/>
  <c r="AB39" i="10"/>
  <c r="Q41" i="2"/>
  <c r="H40" i="10" s="1"/>
  <c r="AB40" i="10"/>
  <c r="Q42" i="2"/>
  <c r="H41" i="10" s="1"/>
  <c r="AB41" i="10"/>
  <c r="Q43" i="2"/>
  <c r="H42" i="10" s="1"/>
  <c r="AB42" i="10"/>
  <c r="Q44" i="2"/>
  <c r="H43" i="10" s="1"/>
  <c r="AB43" i="10"/>
  <c r="Q45" i="2"/>
  <c r="H44" i="10" s="1"/>
  <c r="AB44" i="10"/>
  <c r="AB45" i="10"/>
  <c r="Q46" i="2"/>
  <c r="H45" i="10" s="1"/>
  <c r="AB46" i="10"/>
  <c r="Q47" i="2"/>
  <c r="H46" i="10" s="1"/>
  <c r="Q96" i="2"/>
  <c r="H95" i="10" s="1"/>
  <c r="AB95" i="10"/>
  <c r="Q97" i="2"/>
  <c r="H96" i="10" s="1"/>
  <c r="AB96" i="10"/>
  <c r="Q98" i="2"/>
  <c r="H97" i="10" s="1"/>
  <c r="AB97" i="10"/>
  <c r="Q99" i="2"/>
  <c r="H98" i="10" s="1"/>
  <c r="AB98" i="10"/>
  <c r="Q100" i="2"/>
  <c r="H99" i="10" s="1"/>
  <c r="AB99" i="10"/>
  <c r="Q101" i="2"/>
  <c r="H100" i="10" s="1"/>
  <c r="AB100" i="10"/>
  <c r="Q102" i="2"/>
  <c r="H101" i="10" s="1"/>
  <c r="AB101" i="10"/>
  <c r="Q103" i="2"/>
  <c r="H102" i="10" s="1"/>
  <c r="AB102" i="10"/>
  <c r="Q104" i="2"/>
  <c r="H103" i="10" s="1"/>
  <c r="AB103" i="10"/>
  <c r="Q105" i="2"/>
  <c r="H104" i="10" s="1"/>
  <c r="AB104" i="10"/>
  <c r="Q106" i="2"/>
  <c r="H105" i="10" s="1"/>
  <c r="AB105" i="10"/>
  <c r="Q107" i="2"/>
  <c r="H106" i="10" s="1"/>
  <c r="AB106" i="10"/>
  <c r="Q108" i="2"/>
  <c r="H107" i="10" s="1"/>
  <c r="AB107" i="10"/>
  <c r="Q109" i="2"/>
  <c r="H108" i="10" s="1"/>
  <c r="AB108" i="10"/>
  <c r="Q110" i="2"/>
  <c r="H109" i="10" s="1"/>
  <c r="AB109" i="10"/>
  <c r="Q111" i="2"/>
  <c r="H110" i="10" s="1"/>
  <c r="AB110" i="10"/>
  <c r="Q112" i="2"/>
  <c r="H111" i="10" s="1"/>
  <c r="AB111" i="10"/>
  <c r="Q113" i="2"/>
  <c r="H112" i="10" s="1"/>
  <c r="AB112" i="10"/>
  <c r="Q114" i="2"/>
  <c r="H113" i="10" s="1"/>
  <c r="AB113" i="10"/>
  <c r="Q115" i="2"/>
  <c r="H114" i="10" s="1"/>
  <c r="AB114" i="10"/>
  <c r="Q116" i="2"/>
  <c r="H115" i="10" s="1"/>
  <c r="AB115" i="10"/>
  <c r="Q117" i="2"/>
  <c r="H116" i="10" s="1"/>
  <c r="AB116" i="10"/>
  <c r="Q118" i="2"/>
  <c r="H117" i="10" s="1"/>
  <c r="AB117" i="10"/>
  <c r="Q123" i="2"/>
  <c r="H122" i="10" s="1"/>
  <c r="AB122" i="10"/>
  <c r="Q124" i="2"/>
  <c r="H123" i="10" s="1"/>
  <c r="AB123" i="10"/>
  <c r="Q125" i="2"/>
  <c r="H124" i="10" s="1"/>
  <c r="AB124" i="10"/>
  <c r="H149" i="10"/>
  <c r="AB149" i="10"/>
  <c r="H150" i="10"/>
  <c r="AB150" i="10"/>
  <c r="Q5" i="2"/>
  <c r="H4" i="10" s="1"/>
  <c r="AB4" i="10"/>
  <c r="H135" i="10"/>
  <c r="AB135" i="10"/>
  <c r="T143" i="2"/>
  <c r="J142" i="10" s="1"/>
  <c r="T144" i="2"/>
  <c r="J143" i="10" s="1"/>
  <c r="T145" i="2"/>
  <c r="J144" i="10" s="1"/>
  <c r="T148" i="2"/>
  <c r="J147" i="10" s="1"/>
  <c r="T149" i="2"/>
  <c r="J148" i="10" s="1"/>
  <c r="T152" i="2"/>
  <c r="J151" i="10" s="1"/>
  <c r="T153" i="2"/>
  <c r="J152" i="10" s="1"/>
  <c r="T154" i="2"/>
  <c r="J153" i="10" s="1"/>
  <c r="T155" i="2"/>
  <c r="J154" i="10" s="1"/>
  <c r="T156" i="2"/>
  <c r="J155" i="10" s="1"/>
  <c r="T157" i="2"/>
  <c r="J156" i="10" s="1"/>
  <c r="T159" i="2"/>
  <c r="J158" i="10" s="1"/>
  <c r="T160" i="2"/>
  <c r="J159" i="10" s="1"/>
  <c r="T161" i="2"/>
  <c r="J160" i="10" s="1"/>
  <c r="T162" i="2"/>
  <c r="J161" i="10" s="1"/>
  <c r="T163" i="2"/>
  <c r="J162" i="10" s="1"/>
  <c r="T164" i="2"/>
  <c r="J163" i="10" s="1"/>
  <c r="T165" i="2"/>
  <c r="J164" i="10" s="1"/>
  <c r="T166" i="2"/>
  <c r="J165" i="10" s="1"/>
  <c r="T172" i="2"/>
  <c r="J171" i="10" s="1"/>
  <c r="T174" i="2"/>
  <c r="J173" i="10" s="1"/>
  <c r="T179" i="2"/>
  <c r="J178" i="10" s="1"/>
  <c r="T180" i="2"/>
  <c r="J179" i="10" s="1"/>
  <c r="T181" i="2"/>
  <c r="J180" i="10" s="1"/>
  <c r="T182" i="2"/>
  <c r="J181" i="10" s="1"/>
  <c r="T185" i="2"/>
  <c r="J184" i="10" s="1"/>
  <c r="T186" i="2"/>
  <c r="J185" i="10" s="1"/>
  <c r="T187" i="2"/>
  <c r="J186" i="10" s="1"/>
  <c r="T189" i="2"/>
  <c r="J188" i="10" s="1"/>
  <c r="T191" i="2"/>
  <c r="J190" i="10" s="1"/>
  <c r="T193" i="2"/>
  <c r="J192" i="10" s="1"/>
  <c r="T194" i="2"/>
  <c r="J193" i="10" s="1"/>
  <c r="T195" i="2"/>
  <c r="J194" i="10" s="1"/>
  <c r="T197" i="2"/>
  <c r="J196" i="10" s="1"/>
  <c r="T199" i="2"/>
  <c r="J198" i="10" s="1"/>
  <c r="T200" i="2"/>
  <c r="J199" i="10" s="1"/>
  <c r="T201" i="2"/>
  <c r="J200" i="10" s="1"/>
  <c r="T202" i="2"/>
  <c r="J201" i="10" s="1"/>
  <c r="T205" i="2"/>
  <c r="J204" i="10" s="1"/>
  <c r="T212" i="2"/>
  <c r="J211" i="10" s="1"/>
  <c r="T214" i="2"/>
  <c r="J213" i="10" s="1"/>
  <c r="T215" i="2"/>
  <c r="J214" i="10" s="1"/>
  <c r="T216" i="2"/>
  <c r="J215" i="10" s="1"/>
  <c r="T217" i="2"/>
  <c r="J216" i="10" s="1"/>
  <c r="T218" i="2"/>
  <c r="J217" i="10" s="1"/>
  <c r="T220" i="2"/>
  <c r="J219" i="10" s="1"/>
  <c r="T222" i="2"/>
  <c r="J221" i="10" s="1"/>
  <c r="T229" i="2"/>
  <c r="J228" i="10" s="1"/>
  <c r="T230" i="2"/>
  <c r="J229" i="10" s="1"/>
  <c r="T231" i="2"/>
  <c r="J230" i="10" s="1"/>
  <c r="T232" i="2"/>
  <c r="J231" i="10" s="1"/>
  <c r="T233" i="2"/>
  <c r="J232" i="10" s="1"/>
  <c r="T234" i="2"/>
  <c r="J233" i="10" s="1"/>
  <c r="T235" i="2"/>
  <c r="J234" i="10" s="1"/>
  <c r="T236" i="2"/>
  <c r="J235" i="10" s="1"/>
  <c r="T254" i="2"/>
  <c r="J253" i="10" s="1"/>
  <c r="T313" i="2"/>
  <c r="J312" i="10" s="1"/>
  <c r="T5" i="2"/>
  <c r="J4" i="10" s="1"/>
  <c r="T6" i="2"/>
  <c r="J5" i="10" s="1"/>
  <c r="T7" i="2"/>
  <c r="J6" i="10" s="1"/>
  <c r="T33" i="2"/>
  <c r="J32" i="10" s="1"/>
  <c r="T35" i="2"/>
  <c r="J34" i="10" s="1"/>
  <c r="T37" i="2"/>
  <c r="J36" i="10" s="1"/>
  <c r="T38" i="2"/>
  <c r="J37" i="10" s="1"/>
  <c r="T39" i="2"/>
  <c r="J38" i="10" s="1"/>
  <c r="T60" i="2"/>
  <c r="J59" i="10" s="1"/>
  <c r="T61" i="2"/>
  <c r="J60" i="10" s="1"/>
  <c r="T62" i="2"/>
  <c r="J61" i="10" s="1"/>
  <c r="T79" i="2"/>
  <c r="J78" i="10" s="1"/>
  <c r="T80" i="2"/>
  <c r="J79" i="10" s="1"/>
  <c r="T81" i="2"/>
  <c r="J80" i="10" s="1"/>
  <c r="T82" i="2"/>
  <c r="J81" i="10" s="1"/>
  <c r="T83" i="2"/>
  <c r="J82" i="10" s="1"/>
  <c r="T116" i="2"/>
  <c r="J115" i="10" s="1"/>
  <c r="T117" i="2"/>
  <c r="J116" i="10" s="1"/>
  <c r="T118" i="2"/>
  <c r="J117" i="10" s="1"/>
  <c r="T119" i="2"/>
  <c r="J118" i="10" s="1"/>
  <c r="T120" i="2"/>
  <c r="J119" i="10" s="1"/>
  <c r="T121" i="2"/>
  <c r="J120" i="10" s="1"/>
  <c r="T122" i="2"/>
  <c r="J121" i="10" s="1"/>
  <c r="T123" i="2"/>
  <c r="J122" i="10" s="1"/>
  <c r="T124" i="2"/>
  <c r="J123" i="10" s="1"/>
  <c r="T125" i="2"/>
  <c r="J124" i="10" s="1"/>
  <c r="T129" i="2"/>
  <c r="J128" i="10" s="1"/>
  <c r="T130" i="2"/>
  <c r="J129" i="10" s="1"/>
  <c r="T131" i="2"/>
  <c r="J130" i="10" s="1"/>
  <c r="T132" i="2"/>
  <c r="J131" i="10" s="1"/>
  <c r="T141" i="2"/>
  <c r="J140" i="10" s="1"/>
  <c r="T142" i="2"/>
  <c r="J141" i="10" s="1"/>
  <c r="T106" i="2" l="1"/>
  <c r="J105" i="10" s="1"/>
  <c r="T94" i="2"/>
  <c r="J93" i="10" s="1"/>
  <c r="T65" i="2"/>
  <c r="J64" i="10" s="1"/>
  <c r="T52" i="2"/>
  <c r="J51" i="10" s="1"/>
  <c r="T40" i="2"/>
  <c r="J39" i="10" s="1"/>
  <c r="T26" i="2"/>
  <c r="J25" i="10" s="1"/>
  <c r="T14" i="2"/>
  <c r="J13" i="10" s="1"/>
  <c r="T105" i="2"/>
  <c r="J104" i="10" s="1"/>
  <c r="T93" i="2"/>
  <c r="J92" i="10" s="1"/>
  <c r="T64" i="2"/>
  <c r="J63" i="10" s="1"/>
  <c r="T51" i="2"/>
  <c r="J50" i="10" s="1"/>
  <c r="T25" i="2"/>
  <c r="J24" i="10" s="1"/>
  <c r="T13" i="2"/>
  <c r="J12" i="10" s="1"/>
  <c r="T115" i="2"/>
  <c r="J114" i="10" s="1"/>
  <c r="T11" i="2"/>
  <c r="J10" i="10" s="1"/>
  <c r="T114" i="2"/>
  <c r="J113" i="10" s="1"/>
  <c r="T102" i="2"/>
  <c r="J101" i="10" s="1"/>
  <c r="T90" i="2"/>
  <c r="J89" i="10" s="1"/>
  <c r="T73" i="2"/>
  <c r="J72" i="10" s="1"/>
  <c r="T48" i="2"/>
  <c r="J47" i="10" s="1"/>
  <c r="T36" i="2"/>
  <c r="J35" i="10" s="1"/>
  <c r="T22" i="2"/>
  <c r="J21" i="10" s="1"/>
  <c r="T10" i="2"/>
  <c r="J9" i="10" s="1"/>
  <c r="T89" i="2"/>
  <c r="J88" i="10" s="1"/>
  <c r="T63" i="2"/>
  <c r="J62" i="10" s="1"/>
  <c r="T12" i="2"/>
  <c r="J11" i="10" s="1"/>
  <c r="T91" i="2"/>
  <c r="J90" i="10" s="1"/>
  <c r="T101" i="2"/>
  <c r="J100" i="10" s="1"/>
  <c r="T47" i="2"/>
  <c r="J46" i="10" s="1"/>
  <c r="T9" i="2"/>
  <c r="J8" i="10" s="1"/>
  <c r="T112" i="2"/>
  <c r="J111" i="10" s="1"/>
  <c r="T100" i="2"/>
  <c r="J99" i="10" s="1"/>
  <c r="T88" i="2"/>
  <c r="J87" i="10" s="1"/>
  <c r="T71" i="2"/>
  <c r="J70" i="10" s="1"/>
  <c r="T59" i="2"/>
  <c r="J58" i="10" s="1"/>
  <c r="T46" i="2"/>
  <c r="J45" i="10" s="1"/>
  <c r="T20" i="2"/>
  <c r="J19" i="10" s="1"/>
  <c r="T8" i="2"/>
  <c r="J7" i="10" s="1"/>
  <c r="T92" i="2"/>
  <c r="J91" i="10" s="1"/>
  <c r="T103" i="2"/>
  <c r="J102" i="10" s="1"/>
  <c r="T49" i="2"/>
  <c r="J48" i="10" s="1"/>
  <c r="T72" i="2"/>
  <c r="J71" i="10" s="1"/>
  <c r="T111" i="2"/>
  <c r="J110" i="10" s="1"/>
  <c r="T99" i="2"/>
  <c r="J98" i="10" s="1"/>
  <c r="T87" i="2"/>
  <c r="J86" i="10" s="1"/>
  <c r="T70" i="2"/>
  <c r="J69" i="10" s="1"/>
  <c r="T58" i="2"/>
  <c r="J57" i="10" s="1"/>
  <c r="T45" i="2"/>
  <c r="J44" i="10" s="1"/>
  <c r="T32" i="2"/>
  <c r="J31" i="10" s="1"/>
  <c r="T19" i="2"/>
  <c r="J18" i="10" s="1"/>
  <c r="T104" i="2"/>
  <c r="J103" i="10" s="1"/>
  <c r="T50" i="2"/>
  <c r="J49" i="10" s="1"/>
  <c r="T24" i="2"/>
  <c r="J23" i="10" s="1"/>
  <c r="T23" i="2"/>
  <c r="J22" i="10" s="1"/>
  <c r="T113" i="2"/>
  <c r="J112" i="10" s="1"/>
  <c r="T21" i="2"/>
  <c r="J20" i="10" s="1"/>
  <c r="T110" i="2"/>
  <c r="J109" i="10" s="1"/>
  <c r="T98" i="2"/>
  <c r="J97" i="10" s="1"/>
  <c r="T86" i="2"/>
  <c r="J85" i="10" s="1"/>
  <c r="T69" i="2"/>
  <c r="J68" i="10" s="1"/>
  <c r="T56" i="2"/>
  <c r="J55" i="10" s="1"/>
  <c r="T44" i="2"/>
  <c r="J43" i="10" s="1"/>
  <c r="T31" i="2"/>
  <c r="J30" i="10" s="1"/>
  <c r="T18" i="2"/>
  <c r="J17" i="10" s="1"/>
  <c r="T85" i="2"/>
  <c r="J84" i="10" s="1"/>
  <c r="T43" i="2"/>
  <c r="J42" i="10" s="1"/>
  <c r="T109" i="2"/>
  <c r="J108" i="10" s="1"/>
  <c r="T97" i="2"/>
  <c r="J96" i="10" s="1"/>
  <c r="T68" i="2"/>
  <c r="J67" i="10" s="1"/>
  <c r="T55" i="2"/>
  <c r="J54" i="10" s="1"/>
  <c r="T29" i="2"/>
  <c r="J28" i="10" s="1"/>
  <c r="T17" i="2"/>
  <c r="J16" i="10" s="1"/>
  <c r="T108" i="2"/>
  <c r="J107" i="10" s="1"/>
  <c r="T96" i="2"/>
  <c r="J95" i="10" s="1"/>
  <c r="T84" i="2"/>
  <c r="J83" i="10" s="1"/>
  <c r="T67" i="2"/>
  <c r="J66" i="10" s="1"/>
  <c r="T54" i="2"/>
  <c r="J53" i="10" s="1"/>
  <c r="T42" i="2"/>
  <c r="J41" i="10" s="1"/>
  <c r="T28" i="2"/>
  <c r="J27" i="10" s="1"/>
  <c r="T16" i="2"/>
  <c r="J15" i="10" s="1"/>
  <c r="T107" i="2"/>
  <c r="J106" i="10" s="1"/>
  <c r="T95" i="2"/>
  <c r="J94" i="10" s="1"/>
  <c r="T66" i="2"/>
  <c r="J65" i="10" s="1"/>
  <c r="T53" i="2"/>
  <c r="J52" i="10" s="1"/>
  <c r="T41" i="2"/>
  <c r="J40" i="10" s="1"/>
  <c r="T27" i="2"/>
  <c r="J26" i="10" s="1"/>
  <c r="T15" i="2"/>
  <c r="J14" i="10" s="1"/>
  <c r="BJ203" i="2"/>
  <c r="BJ209" i="2"/>
  <c r="Q209" i="2" s="1"/>
  <c r="H208" i="10" s="1"/>
  <c r="W203" i="2" l="1"/>
  <c r="M202" i="10" s="1"/>
  <c r="N202" i="10" s="1"/>
  <c r="W209" i="2"/>
  <c r="M208" i="10" s="1"/>
  <c r="N208" i="10" s="1"/>
  <c r="BP121" i="2"/>
  <c r="BP3" i="2" s="1"/>
  <c r="BK110" i="2"/>
  <c r="BN103" i="2"/>
  <c r="BN3" i="2" s="1"/>
  <c r="BO103" i="2"/>
  <c r="BO3" i="2" s="1"/>
  <c r="BL103" i="2"/>
  <c r="BL3" i="2" s="1"/>
  <c r="AN279" i="2"/>
  <c r="BW159" i="2"/>
  <c r="BW3" i="2" s="1"/>
  <c r="BY160" i="2"/>
  <c r="BY6" i="2"/>
  <c r="CB5" i="2"/>
  <c r="CB3" i="2" s="1"/>
  <c r="BJ216" i="2"/>
  <c r="BJ133" i="2"/>
  <c r="BJ134" i="2"/>
  <c r="BJ150" i="2"/>
  <c r="BJ155" i="2"/>
  <c r="BJ156" i="2"/>
  <c r="BJ157" i="2"/>
  <c r="BJ319" i="2"/>
  <c r="BJ204" i="2"/>
  <c r="Q204" i="2" s="1"/>
  <c r="H203" i="10" s="1"/>
  <c r="BJ205" i="2"/>
  <c r="BJ206" i="2"/>
  <c r="Q206" i="2" s="1"/>
  <c r="H205" i="10" s="1"/>
  <c r="BJ207" i="2"/>
  <c r="BJ208" i="2"/>
  <c r="Q208" i="2" s="1"/>
  <c r="H207" i="10" s="1"/>
  <c r="BJ210" i="2"/>
  <c r="Q210" i="2" s="1"/>
  <c r="H209" i="10" s="1"/>
  <c r="BJ211" i="2"/>
  <c r="BJ212" i="2"/>
  <c r="BJ213" i="2"/>
  <c r="BJ214" i="2"/>
  <c r="BJ215" i="2"/>
  <c r="BJ217" i="2"/>
  <c r="BJ218" i="2"/>
  <c r="BJ219" i="2"/>
  <c r="Q219" i="2" s="1"/>
  <c r="H218" i="10" s="1"/>
  <c r="BJ220" i="2"/>
  <c r="BJ221" i="2"/>
  <c r="BJ222" i="2"/>
  <c r="BJ223" i="2"/>
  <c r="BJ224" i="2"/>
  <c r="Q224" i="2" s="1"/>
  <c r="H223" i="10" s="1"/>
  <c r="BJ225" i="2"/>
  <c r="Q225" i="2" s="1"/>
  <c r="H224" i="10" s="1"/>
  <c r="W226" i="2"/>
  <c r="M225" i="10" s="1"/>
  <c r="N225" i="10" s="1"/>
  <c r="BJ227" i="2"/>
  <c r="Q227" i="2" s="1"/>
  <c r="H226" i="10" s="1"/>
  <c r="Q228" i="2"/>
  <c r="H227" i="10" s="1"/>
  <c r="BJ229" i="2"/>
  <c r="BJ230" i="2"/>
  <c r="BJ231" i="2"/>
  <c r="BJ232" i="2"/>
  <c r="BJ233" i="2"/>
  <c r="BJ234" i="2"/>
  <c r="BJ235" i="2"/>
  <c r="BJ236" i="2"/>
  <c r="AN275" i="2"/>
  <c r="V279" i="2" l="1"/>
  <c r="V275" i="2"/>
  <c r="BY3" i="2"/>
  <c r="W225" i="2"/>
  <c r="M224" i="10" s="1"/>
  <c r="N224" i="10" s="1"/>
  <c r="W222" i="2"/>
  <c r="M221" i="10" s="1"/>
  <c r="N221" i="10" s="1"/>
  <c r="W219" i="2"/>
  <c r="M218" i="10" s="1"/>
  <c r="N218" i="10" s="1"/>
  <c r="W157" i="2"/>
  <c r="M156" i="10" s="1"/>
  <c r="N156" i="10" s="1"/>
  <c r="W216" i="2"/>
  <c r="M215" i="10" s="1"/>
  <c r="N215" i="10" s="1"/>
  <c r="W156" i="2"/>
  <c r="M155" i="10" s="1"/>
  <c r="N155" i="10" s="1"/>
  <c r="W134" i="2"/>
  <c r="M133" i="10" s="1"/>
  <c r="N133" i="10" s="1"/>
  <c r="W319" i="2"/>
  <c r="W224" i="2"/>
  <c r="M223" i="10" s="1"/>
  <c r="N223" i="10" s="1"/>
  <c r="W223" i="2"/>
  <c r="M222" i="10" s="1"/>
  <c r="N222" i="10" s="1"/>
  <c r="W133" i="2"/>
  <c r="M132" i="10" s="1"/>
  <c r="N132" i="10" s="1"/>
  <c r="W218" i="2"/>
  <c r="M217" i="10" s="1"/>
  <c r="N217" i="10" s="1"/>
  <c r="W215" i="2"/>
  <c r="M214" i="10" s="1"/>
  <c r="N214" i="10" s="1"/>
  <c r="W207" i="2"/>
  <c r="M206" i="10" s="1"/>
  <c r="N206" i="10" s="1"/>
  <c r="W214" i="2"/>
  <c r="M213" i="10" s="1"/>
  <c r="N213" i="10" s="1"/>
  <c r="W236" i="2"/>
  <c r="M235" i="10" s="1"/>
  <c r="N235" i="10" s="1"/>
  <c r="W213" i="2"/>
  <c r="M212" i="10" s="1"/>
  <c r="N212" i="10" s="1"/>
  <c r="W235" i="2"/>
  <c r="M234" i="10" s="1"/>
  <c r="N234" i="10" s="1"/>
  <c r="W234" i="2"/>
  <c r="M233" i="10" s="1"/>
  <c r="N233" i="10" s="1"/>
  <c r="W210" i="2"/>
  <c r="M209" i="10" s="1"/>
  <c r="N209" i="10" s="1"/>
  <c r="W232" i="2"/>
  <c r="M231" i="10" s="1"/>
  <c r="N231" i="10" s="1"/>
  <c r="W230" i="2"/>
  <c r="M229" i="10" s="1"/>
  <c r="N229" i="10" s="1"/>
  <c r="W206" i="2"/>
  <c r="M205" i="10" s="1"/>
  <c r="N205" i="10" s="1"/>
  <c r="W155" i="2"/>
  <c r="M154" i="10" s="1"/>
  <c r="N154" i="10" s="1"/>
  <c r="W221" i="2"/>
  <c r="M220" i="10" s="1"/>
  <c r="N220" i="10" s="1"/>
  <c r="W220" i="2"/>
  <c r="M219" i="10" s="1"/>
  <c r="N219" i="10" s="1"/>
  <c r="W217" i="2"/>
  <c r="M216" i="10" s="1"/>
  <c r="N216" i="10" s="1"/>
  <c r="W208" i="2"/>
  <c r="M207" i="10" s="1"/>
  <c r="N207" i="10" s="1"/>
  <c r="W205" i="2"/>
  <c r="M204" i="10" s="1"/>
  <c r="N204" i="10" s="1"/>
  <c r="W227" i="2"/>
  <c r="M226" i="10" s="1"/>
  <c r="N226" i="10" s="1"/>
  <c r="W150" i="2"/>
  <c r="M149" i="10" s="1"/>
  <c r="N149" i="10" s="1"/>
  <c r="W212" i="2"/>
  <c r="M211" i="10" s="1"/>
  <c r="N211" i="10" s="1"/>
  <c r="W211" i="2"/>
  <c r="M210" i="10" s="1"/>
  <c r="N210" i="10" s="1"/>
  <c r="W233" i="2"/>
  <c r="M232" i="10" s="1"/>
  <c r="N232" i="10" s="1"/>
  <c r="W231" i="2"/>
  <c r="M230" i="10" s="1"/>
  <c r="N230" i="10" s="1"/>
  <c r="W229" i="2"/>
  <c r="M228" i="10" s="1"/>
  <c r="N228" i="10" s="1"/>
  <c r="W228" i="2"/>
  <c r="M227" i="10" s="1"/>
  <c r="N227" i="10" s="1"/>
  <c r="W204" i="2"/>
  <c r="M203" i="10" s="1"/>
  <c r="N203" i="10" s="1"/>
  <c r="BK197" i="2"/>
  <c r="BK3" i="2" s="1"/>
  <c r="BJ79" i="2"/>
  <c r="L274" i="10" l="1"/>
  <c r="M318" i="10"/>
  <c r="N318" i="10" s="1"/>
  <c r="L278" i="10"/>
  <c r="W79" i="2"/>
  <c r="M78" i="10" s="1"/>
  <c r="N78" i="10" s="1"/>
  <c r="BJ5" i="2" l="1"/>
  <c r="BJ7" i="2"/>
  <c r="BJ8" i="2"/>
  <c r="BJ9" i="2"/>
  <c r="BJ10" i="2"/>
  <c r="BJ11" i="2"/>
  <c r="BJ12" i="2"/>
  <c r="BJ13" i="2"/>
  <c r="BJ14" i="2"/>
  <c r="BJ15" i="2"/>
  <c r="BJ16" i="2"/>
  <c r="BJ17" i="2"/>
  <c r="BJ18" i="2"/>
  <c r="BJ19" i="2"/>
  <c r="BJ20" i="2"/>
  <c r="BJ21" i="2"/>
  <c r="BJ22" i="2"/>
  <c r="BJ23" i="2"/>
  <c r="BJ24" i="2"/>
  <c r="BJ25" i="2"/>
  <c r="BJ26" i="2"/>
  <c r="BJ27" i="2"/>
  <c r="BJ28" i="2"/>
  <c r="BJ29" i="2"/>
  <c r="BJ30" i="2"/>
  <c r="BJ31" i="2"/>
  <c r="BJ32" i="2"/>
  <c r="BJ33" i="2"/>
  <c r="BJ34" i="2"/>
  <c r="BJ35" i="2"/>
  <c r="BJ36" i="2"/>
  <c r="BJ37" i="2"/>
  <c r="BJ38" i="2"/>
  <c r="BJ39" i="2"/>
  <c r="BJ40" i="2"/>
  <c r="BJ41" i="2"/>
  <c r="BJ42" i="2"/>
  <c r="BJ43" i="2"/>
  <c r="BJ44" i="2"/>
  <c r="BJ45" i="2"/>
  <c r="BJ46" i="2"/>
  <c r="BJ47" i="2"/>
  <c r="BJ48" i="2"/>
  <c r="BJ49" i="2"/>
  <c r="BJ50" i="2"/>
  <c r="BJ51" i="2"/>
  <c r="BJ52" i="2"/>
  <c r="BJ53" i="2"/>
  <c r="BJ54" i="2"/>
  <c r="BJ55" i="2"/>
  <c r="BJ56" i="2"/>
  <c r="BJ57" i="2"/>
  <c r="BJ58" i="2"/>
  <c r="BJ59" i="2"/>
  <c r="BJ60" i="2"/>
  <c r="BJ61" i="2"/>
  <c r="BJ62" i="2"/>
  <c r="BJ63" i="2"/>
  <c r="BJ64" i="2"/>
  <c r="BJ65" i="2"/>
  <c r="BJ66" i="2"/>
  <c r="BJ67" i="2"/>
  <c r="BJ68" i="2"/>
  <c r="BJ69" i="2"/>
  <c r="BJ70" i="2"/>
  <c r="BJ71" i="2"/>
  <c r="BJ72" i="2"/>
  <c r="BJ73" i="2"/>
  <c r="BJ74" i="2"/>
  <c r="BJ75" i="2"/>
  <c r="BJ76" i="2"/>
  <c r="BJ77" i="2"/>
  <c r="BJ78" i="2"/>
  <c r="BJ81" i="2"/>
  <c r="BJ82" i="2"/>
  <c r="BJ84" i="2"/>
  <c r="BJ85" i="2"/>
  <c r="BJ87" i="2"/>
  <c r="BJ153" i="2"/>
  <c r="BJ154" i="2"/>
  <c r="BJ159" i="2"/>
  <c r="BJ160" i="2"/>
  <c r="BJ161" i="2"/>
  <c r="BJ162" i="2"/>
  <c r="BJ167" i="2"/>
  <c r="Q167" i="2" s="1"/>
  <c r="H166" i="10" s="1"/>
  <c r="BJ168" i="2"/>
  <c r="BJ169" i="2"/>
  <c r="Q169" i="2" s="1"/>
  <c r="H168" i="10" s="1"/>
  <c r="BJ170" i="2"/>
  <c r="Q170" i="2" s="1"/>
  <c r="H169" i="10" s="1"/>
  <c r="BJ171" i="2"/>
  <c r="Q171" i="2" s="1"/>
  <c r="H170" i="10" s="1"/>
  <c r="BJ172" i="2"/>
  <c r="BJ173" i="2"/>
  <c r="Q173" i="2" s="1"/>
  <c r="H172" i="10" s="1"/>
  <c r="BJ174" i="2"/>
  <c r="BJ175" i="2"/>
  <c r="BJ176" i="2"/>
  <c r="BJ177" i="2"/>
  <c r="BJ178" i="2"/>
  <c r="BJ179" i="2"/>
  <c r="BJ180" i="2"/>
  <c r="BJ181" i="2"/>
  <c r="BJ182" i="2"/>
  <c r="BJ183" i="2"/>
  <c r="BJ184" i="2"/>
  <c r="BJ185" i="2"/>
  <c r="BJ186" i="2"/>
  <c r="BJ187" i="2"/>
  <c r="BJ188" i="2"/>
  <c r="BJ189" i="2"/>
  <c r="BJ190" i="2"/>
  <c r="BJ191" i="2"/>
  <c r="BJ192" i="2"/>
  <c r="BJ193" i="2"/>
  <c r="BJ194" i="2"/>
  <c r="BJ195" i="2"/>
  <c r="BJ196" i="2"/>
  <c r="BJ197" i="2"/>
  <c r="BJ198" i="2"/>
  <c r="BJ199" i="2"/>
  <c r="BJ200" i="2"/>
  <c r="BJ201" i="2"/>
  <c r="BJ202" i="2"/>
  <c r="BJ261" i="2"/>
  <c r="BJ262" i="2"/>
  <c r="Q262" i="2" s="1"/>
  <c r="BJ263" i="2"/>
  <c r="Q263" i="2" s="1"/>
  <c r="BJ264" i="2"/>
  <c r="Q264" i="2" s="1"/>
  <c r="BJ265" i="2"/>
  <c r="Q265" i="2" s="1"/>
  <c r="BJ266" i="2"/>
  <c r="Q266" i="2" s="1"/>
  <c r="BJ267" i="2"/>
  <c r="Q267" i="2" s="1"/>
  <c r="BJ268" i="2"/>
  <c r="Q268" i="2" s="1"/>
  <c r="BJ269" i="2"/>
  <c r="Q269" i="2" s="1"/>
  <c r="BJ270" i="2"/>
  <c r="Q270" i="2" s="1"/>
  <c r="BJ271" i="2"/>
  <c r="BJ272" i="2"/>
  <c r="BJ273" i="2"/>
  <c r="BJ274" i="2"/>
  <c r="BJ275" i="2"/>
  <c r="BJ276" i="2"/>
  <c r="Q276" i="2" s="1"/>
  <c r="BJ277" i="2"/>
  <c r="Q277" i="2" s="1"/>
  <c r="BJ278" i="2"/>
  <c r="BJ279" i="2"/>
  <c r="Q279" i="2" s="1"/>
  <c r="BJ280" i="2"/>
  <c r="Q280" i="2" s="1"/>
  <c r="BJ281" i="2"/>
  <c r="BJ282" i="2"/>
  <c r="BJ283" i="2"/>
  <c r="BJ284" i="2"/>
  <c r="Q284" i="2" s="1"/>
  <c r="BJ285" i="2"/>
  <c r="BJ286" i="2"/>
  <c r="BJ287" i="2"/>
  <c r="Q287" i="2" s="1"/>
  <c r="BJ288" i="2"/>
  <c r="BJ289" i="2"/>
  <c r="Q289" i="2" s="1"/>
  <c r="BJ290" i="2"/>
  <c r="Q290" i="2" s="1"/>
  <c r="BJ291" i="2"/>
  <c r="BJ292" i="2"/>
  <c r="BJ293" i="2"/>
  <c r="BJ294" i="2"/>
  <c r="BJ295" i="2"/>
  <c r="Q295" i="2" s="1"/>
  <c r="BJ296" i="2"/>
  <c r="BJ297" i="2"/>
  <c r="BJ298" i="2"/>
  <c r="BJ299" i="2"/>
  <c r="BJ300" i="2"/>
  <c r="BJ301" i="2"/>
  <c r="BJ302" i="2"/>
  <c r="BJ303" i="2"/>
  <c r="BJ304" i="2"/>
  <c r="BJ305" i="2"/>
  <c r="BJ306" i="2"/>
  <c r="BJ307" i="2"/>
  <c r="BJ308" i="2"/>
  <c r="Q308" i="2" s="1"/>
  <c r="BJ309" i="2"/>
  <c r="W310" i="2"/>
  <c r="BJ311" i="2"/>
  <c r="BJ312" i="2"/>
  <c r="BJ313" i="2"/>
  <c r="BJ314" i="2"/>
  <c r="BJ315" i="2"/>
  <c r="BJ316" i="2"/>
  <c r="BJ317" i="2"/>
  <c r="Q317" i="2" s="1"/>
  <c r="BJ318" i="2"/>
  <c r="Q321" i="2"/>
  <c r="Q323" i="2"/>
  <c r="Q324" i="2"/>
  <c r="Q325" i="2"/>
  <c r="Q328" i="2"/>
  <c r="Q329" i="2"/>
  <c r="Q330" i="2"/>
  <c r="Q334" i="2"/>
  <c r="Q336" i="2"/>
  <c r="Q337" i="2"/>
  <c r="Q340" i="2"/>
  <c r="U5" i="2"/>
  <c r="K4" i="10" s="1"/>
  <c r="U6" i="2"/>
  <c r="K5" i="10" s="1"/>
  <c r="U7" i="2"/>
  <c r="K6" i="10" s="1"/>
  <c r="U8" i="2"/>
  <c r="K7" i="10" s="1"/>
  <c r="U9" i="2"/>
  <c r="K8" i="10" s="1"/>
  <c r="U10" i="2"/>
  <c r="K9" i="10" s="1"/>
  <c r="U11" i="2"/>
  <c r="K10" i="10" s="1"/>
  <c r="U12" i="2"/>
  <c r="K11" i="10" s="1"/>
  <c r="U13" i="2"/>
  <c r="K12" i="10" s="1"/>
  <c r="U14" i="2"/>
  <c r="K13" i="10" s="1"/>
  <c r="U15" i="2"/>
  <c r="K14" i="10" s="1"/>
  <c r="U16" i="2"/>
  <c r="K15" i="10" s="1"/>
  <c r="U17" i="2"/>
  <c r="K16" i="10" s="1"/>
  <c r="U18" i="2"/>
  <c r="K17" i="10" s="1"/>
  <c r="U19" i="2"/>
  <c r="K18" i="10" s="1"/>
  <c r="U20" i="2"/>
  <c r="K19" i="10" s="1"/>
  <c r="U21" i="2"/>
  <c r="K20" i="10" s="1"/>
  <c r="U22" i="2"/>
  <c r="K21" i="10" s="1"/>
  <c r="U23" i="2"/>
  <c r="K22" i="10" s="1"/>
  <c r="U24" i="2"/>
  <c r="K23" i="10" s="1"/>
  <c r="U26" i="2"/>
  <c r="K25" i="10" s="1"/>
  <c r="U27" i="2"/>
  <c r="K26" i="10" s="1"/>
  <c r="U28" i="2"/>
  <c r="K27" i="10" s="1"/>
  <c r="U29" i="2"/>
  <c r="K28" i="10" s="1"/>
  <c r="U31" i="2"/>
  <c r="K30" i="10" s="1"/>
  <c r="U32" i="2"/>
  <c r="K31" i="10" s="1"/>
  <c r="U33" i="2"/>
  <c r="K32" i="10" s="1"/>
  <c r="U35" i="2"/>
  <c r="K34" i="10" s="1"/>
  <c r="U36" i="2"/>
  <c r="K35" i="10" s="1"/>
  <c r="U37" i="2"/>
  <c r="K36" i="10" s="1"/>
  <c r="U38" i="2"/>
  <c r="K37" i="10" s="1"/>
  <c r="U39" i="2"/>
  <c r="K38" i="10" s="1"/>
  <c r="U40" i="2"/>
  <c r="K39" i="10" s="1"/>
  <c r="U41" i="2"/>
  <c r="K40" i="10" s="1"/>
  <c r="U42" i="2"/>
  <c r="K41" i="10" s="1"/>
  <c r="U43" i="2"/>
  <c r="K42" i="10" s="1"/>
  <c r="U44" i="2"/>
  <c r="K43" i="10" s="1"/>
  <c r="U45" i="2"/>
  <c r="K44" i="10" s="1"/>
  <c r="U46" i="2"/>
  <c r="K45" i="10" s="1"/>
  <c r="U47" i="2"/>
  <c r="K46" i="10" s="1"/>
  <c r="U48" i="2"/>
  <c r="K47" i="10" s="1"/>
  <c r="U49" i="2"/>
  <c r="K48" i="10" s="1"/>
  <c r="U50" i="2"/>
  <c r="K49" i="10" s="1"/>
  <c r="U51" i="2"/>
  <c r="K50" i="10" s="1"/>
  <c r="U52" i="2"/>
  <c r="K51" i="10" s="1"/>
  <c r="U53" i="2"/>
  <c r="K52" i="10" s="1"/>
  <c r="U54" i="2"/>
  <c r="K53" i="10" s="1"/>
  <c r="U55" i="2"/>
  <c r="K54" i="10" s="1"/>
  <c r="U56" i="2"/>
  <c r="K55" i="10" s="1"/>
  <c r="U58" i="2"/>
  <c r="K57" i="10" s="1"/>
  <c r="U59" i="2"/>
  <c r="K58" i="10" s="1"/>
  <c r="U60" i="2"/>
  <c r="K59" i="10" s="1"/>
  <c r="U61" i="2"/>
  <c r="K60" i="10" s="1"/>
  <c r="U62" i="2"/>
  <c r="K61" i="10" s="1"/>
  <c r="U63" i="2"/>
  <c r="K62" i="10" s="1"/>
  <c r="U64" i="2"/>
  <c r="K63" i="10" s="1"/>
  <c r="U65" i="2"/>
  <c r="K64" i="10" s="1"/>
  <c r="U66" i="2"/>
  <c r="K65" i="10" s="1"/>
  <c r="U67" i="2"/>
  <c r="K66" i="10" s="1"/>
  <c r="U68" i="2"/>
  <c r="K67" i="10" s="1"/>
  <c r="U69" i="2"/>
  <c r="K68" i="10" s="1"/>
  <c r="U70" i="2"/>
  <c r="K69" i="10" s="1"/>
  <c r="U71" i="2"/>
  <c r="K70" i="10" s="1"/>
  <c r="U72" i="2"/>
  <c r="K71" i="10" s="1"/>
  <c r="U73" i="2"/>
  <c r="K72" i="10" s="1"/>
  <c r="U79" i="2"/>
  <c r="K78" i="10" s="1"/>
  <c r="U80" i="2"/>
  <c r="K79" i="10" s="1"/>
  <c r="U81" i="2"/>
  <c r="K80" i="10" s="1"/>
  <c r="U82" i="2"/>
  <c r="K81" i="10" s="1"/>
  <c r="U83" i="2"/>
  <c r="K82" i="10" s="1"/>
  <c r="U84" i="2"/>
  <c r="K83" i="10" s="1"/>
  <c r="U85" i="2"/>
  <c r="K84" i="10" s="1"/>
  <c r="U86" i="2"/>
  <c r="K85" i="10" s="1"/>
  <c r="U87" i="2"/>
  <c r="K86" i="10" s="1"/>
  <c r="U88" i="2"/>
  <c r="K87" i="10" s="1"/>
  <c r="U89" i="2"/>
  <c r="K88" i="10" s="1"/>
  <c r="U90" i="2"/>
  <c r="K89" i="10" s="1"/>
  <c r="U91" i="2"/>
  <c r="K90" i="10" s="1"/>
  <c r="U92" i="2"/>
  <c r="K91" i="10" s="1"/>
  <c r="U93" i="2"/>
  <c r="K92" i="10" s="1"/>
  <c r="U94" i="2"/>
  <c r="K93" i="10" s="1"/>
  <c r="U95" i="2"/>
  <c r="K94" i="10" s="1"/>
  <c r="U96" i="2"/>
  <c r="K95" i="10" s="1"/>
  <c r="U97" i="2"/>
  <c r="K96" i="10" s="1"/>
  <c r="U98" i="2"/>
  <c r="K97" i="10" s="1"/>
  <c r="U99" i="2"/>
  <c r="K98" i="10" s="1"/>
  <c r="U100" i="2"/>
  <c r="K99" i="10" s="1"/>
  <c r="U101" i="2"/>
  <c r="K100" i="10" s="1"/>
  <c r="U102" i="2"/>
  <c r="K101" i="10" s="1"/>
  <c r="U103" i="2"/>
  <c r="K102" i="10" s="1"/>
  <c r="U104" i="2"/>
  <c r="K103" i="10" s="1"/>
  <c r="U105" i="2"/>
  <c r="K104" i="10" s="1"/>
  <c r="U106" i="2"/>
  <c r="K105" i="10" s="1"/>
  <c r="U107" i="2"/>
  <c r="K106" i="10" s="1"/>
  <c r="U108" i="2"/>
  <c r="K107" i="10" s="1"/>
  <c r="U109" i="2"/>
  <c r="K108" i="10" s="1"/>
  <c r="U110" i="2"/>
  <c r="K109" i="10" s="1"/>
  <c r="U111" i="2"/>
  <c r="K110" i="10" s="1"/>
  <c r="U112" i="2"/>
  <c r="K111" i="10" s="1"/>
  <c r="U113" i="2"/>
  <c r="K112" i="10" s="1"/>
  <c r="U114" i="2"/>
  <c r="K113" i="10" s="1"/>
  <c r="U115" i="2"/>
  <c r="K114" i="10" s="1"/>
  <c r="U116" i="2"/>
  <c r="K115" i="10" s="1"/>
  <c r="U117" i="2"/>
  <c r="K116" i="10" s="1"/>
  <c r="U118" i="2"/>
  <c r="K117" i="10" s="1"/>
  <c r="U119" i="2"/>
  <c r="K118" i="10" s="1"/>
  <c r="U120" i="2"/>
  <c r="K119" i="10" s="1"/>
  <c r="U122" i="2"/>
  <c r="K121" i="10" s="1"/>
  <c r="U123" i="2"/>
  <c r="K122" i="10" s="1"/>
  <c r="U124" i="2"/>
  <c r="K123" i="10" s="1"/>
  <c r="U125" i="2"/>
  <c r="K124" i="10" s="1"/>
  <c r="U129" i="2"/>
  <c r="K128" i="10" s="1"/>
  <c r="U130" i="2"/>
  <c r="K129" i="10" s="1"/>
  <c r="U131" i="2"/>
  <c r="K130" i="10" s="1"/>
  <c r="U132" i="2"/>
  <c r="K131" i="10" s="1"/>
  <c r="U141" i="2"/>
  <c r="K140" i="10" s="1"/>
  <c r="U142" i="2"/>
  <c r="K141" i="10" s="1"/>
  <c r="U143" i="2"/>
  <c r="K142" i="10" s="1"/>
  <c r="U144" i="2"/>
  <c r="K143" i="10" s="1"/>
  <c r="U145" i="2"/>
  <c r="K144" i="10" s="1"/>
  <c r="U148" i="2"/>
  <c r="K147" i="10" s="1"/>
  <c r="U149" i="2"/>
  <c r="K148" i="10" s="1"/>
  <c r="U152" i="2"/>
  <c r="K151" i="10" s="1"/>
  <c r="U153" i="2"/>
  <c r="K152" i="10" s="1"/>
  <c r="U154" i="2"/>
  <c r="K153" i="10" s="1"/>
  <c r="U155" i="2"/>
  <c r="K154" i="10" s="1"/>
  <c r="U159" i="2"/>
  <c r="K158" i="10" s="1"/>
  <c r="U160" i="2"/>
  <c r="K159" i="10" s="1"/>
  <c r="U161" i="2"/>
  <c r="K160" i="10" s="1"/>
  <c r="U162" i="2"/>
  <c r="K161" i="10" s="1"/>
  <c r="U163" i="2"/>
  <c r="K162" i="10" s="1"/>
  <c r="U164" i="2"/>
  <c r="K163" i="10" s="1"/>
  <c r="U165" i="2"/>
  <c r="K164" i="10" s="1"/>
  <c r="U166" i="2"/>
  <c r="K165" i="10" s="1"/>
  <c r="U172" i="2"/>
  <c r="K171" i="10" s="1"/>
  <c r="U174" i="2"/>
  <c r="K173" i="10" s="1"/>
  <c r="U179" i="2"/>
  <c r="K178" i="10" s="1"/>
  <c r="U180" i="2"/>
  <c r="K179" i="10" s="1"/>
  <c r="U181" i="2"/>
  <c r="K180" i="10" s="1"/>
  <c r="U185" i="2"/>
  <c r="K184" i="10" s="1"/>
  <c r="U186" i="2"/>
  <c r="K185" i="10" s="1"/>
  <c r="U187" i="2"/>
  <c r="K186" i="10" s="1"/>
  <c r="U189" i="2"/>
  <c r="K188" i="10" s="1"/>
  <c r="U191" i="2"/>
  <c r="K190" i="10" s="1"/>
  <c r="U193" i="2"/>
  <c r="K192" i="10" s="1"/>
  <c r="U194" i="2"/>
  <c r="K193" i="10" s="1"/>
  <c r="U195" i="2"/>
  <c r="K194" i="10" s="1"/>
  <c r="U197" i="2"/>
  <c r="K196" i="10" s="1"/>
  <c r="U199" i="2"/>
  <c r="K198" i="10" s="1"/>
  <c r="U200" i="2"/>
  <c r="K199" i="10" s="1"/>
  <c r="U201" i="2"/>
  <c r="K200" i="10" s="1"/>
  <c r="U202" i="2"/>
  <c r="K201" i="10" s="1"/>
  <c r="U205" i="2"/>
  <c r="K204" i="10" s="1"/>
  <c r="U212" i="2"/>
  <c r="K211" i="10" s="1"/>
  <c r="U214" i="2"/>
  <c r="K213" i="10" s="1"/>
  <c r="U215" i="2"/>
  <c r="K214" i="10" s="1"/>
  <c r="U216" i="2"/>
  <c r="K215" i="10" s="1"/>
  <c r="U217" i="2"/>
  <c r="K216" i="10" s="1"/>
  <c r="U218" i="2"/>
  <c r="K217" i="10" s="1"/>
  <c r="U220" i="2"/>
  <c r="K219" i="10" s="1"/>
  <c r="U222" i="2"/>
  <c r="K221" i="10" s="1"/>
  <c r="U229" i="2"/>
  <c r="K228" i="10" s="1"/>
  <c r="U230" i="2"/>
  <c r="K229" i="10" s="1"/>
  <c r="U231" i="2"/>
  <c r="K230" i="10" s="1"/>
  <c r="U232" i="2"/>
  <c r="K231" i="10" s="1"/>
  <c r="U233" i="2"/>
  <c r="K232" i="10" s="1"/>
  <c r="U234" i="2"/>
  <c r="K233" i="10" s="1"/>
  <c r="U235" i="2"/>
  <c r="K234" i="10" s="1"/>
  <c r="U236" i="2"/>
  <c r="K235" i="10" s="1"/>
  <c r="CR319" i="2"/>
  <c r="BJ6" i="2"/>
  <c r="BJ80" i="2"/>
  <c r="BJ83" i="2"/>
  <c r="BJ86" i="2"/>
  <c r="BJ88" i="2"/>
  <c r="BJ89" i="2"/>
  <c r="BJ90" i="2"/>
  <c r="BJ91" i="2"/>
  <c r="BJ92" i="2"/>
  <c r="BJ93" i="2"/>
  <c r="BJ94" i="2"/>
  <c r="BJ95" i="2"/>
  <c r="BJ96" i="2"/>
  <c r="BJ97" i="2"/>
  <c r="BJ98" i="2"/>
  <c r="BJ99" i="2"/>
  <c r="BJ100" i="2"/>
  <c r="BJ101" i="2"/>
  <c r="BJ102" i="2"/>
  <c r="BJ103" i="2"/>
  <c r="BJ104" i="2"/>
  <c r="BJ105" i="2"/>
  <c r="BJ106" i="2"/>
  <c r="BJ107" i="2"/>
  <c r="BJ108" i="2"/>
  <c r="BJ109" i="2"/>
  <c r="BJ110" i="2"/>
  <c r="BJ111" i="2"/>
  <c r="BJ112" i="2"/>
  <c r="BJ113" i="2"/>
  <c r="BJ114" i="2"/>
  <c r="BJ115" i="2"/>
  <c r="BJ116" i="2"/>
  <c r="BJ117" i="2"/>
  <c r="BJ118" i="2"/>
  <c r="BJ119" i="2"/>
  <c r="BJ120" i="2"/>
  <c r="BJ121" i="2"/>
  <c r="BJ122" i="2"/>
  <c r="BJ123" i="2"/>
  <c r="BJ124" i="2"/>
  <c r="BJ125" i="2"/>
  <c r="BJ126" i="2"/>
  <c r="Q126" i="2" s="1"/>
  <c r="H125" i="10" s="1"/>
  <c r="BJ127" i="2"/>
  <c r="BJ128" i="2"/>
  <c r="Q128" i="2" s="1"/>
  <c r="H127" i="10" s="1"/>
  <c r="BJ129" i="2"/>
  <c r="BJ130" i="2"/>
  <c r="BJ131" i="2"/>
  <c r="BJ132" i="2"/>
  <c r="BJ135" i="2"/>
  <c r="BJ136" i="2"/>
  <c r="BJ137" i="2"/>
  <c r="BJ138" i="2"/>
  <c r="BJ139" i="2"/>
  <c r="BJ140" i="2"/>
  <c r="BJ141" i="2"/>
  <c r="BJ142" i="2"/>
  <c r="BJ143" i="2"/>
  <c r="BJ144" i="2"/>
  <c r="BJ145" i="2"/>
  <c r="BJ146" i="2"/>
  <c r="BJ147" i="2"/>
  <c r="BJ148" i="2"/>
  <c r="BJ149" i="2"/>
  <c r="BJ152" i="2"/>
  <c r="BJ158" i="2"/>
  <c r="BJ237" i="2"/>
  <c r="BJ238" i="2"/>
  <c r="W238" i="2" s="1"/>
  <c r="BJ239" i="2"/>
  <c r="BJ240" i="2"/>
  <c r="Q240" i="2" s="1"/>
  <c r="BJ241" i="2"/>
  <c r="Q241" i="2" s="1"/>
  <c r="BJ242" i="2"/>
  <c r="Q242" i="2" s="1"/>
  <c r="BJ243" i="2"/>
  <c r="Q243" i="2" s="1"/>
  <c r="BJ244" i="2"/>
  <c r="BJ245" i="2"/>
  <c r="Q245" i="2" s="1"/>
  <c r="BJ246" i="2"/>
  <c r="Q246" i="2" s="1"/>
  <c r="BJ247" i="2"/>
  <c r="Q247" i="2" s="1"/>
  <c r="BJ248" i="2"/>
  <c r="Q248" i="2" s="1"/>
  <c r="BJ249" i="2"/>
  <c r="Q249" i="2" s="1"/>
  <c r="BJ250" i="2"/>
  <c r="Q250" i="2" s="1"/>
  <c r="BJ251" i="2"/>
  <c r="Q251" i="2" s="1"/>
  <c r="BJ252" i="2"/>
  <c r="Q252" i="2" s="1"/>
  <c r="BJ253" i="2"/>
  <c r="Q253" i="2" s="1"/>
  <c r="BJ254" i="2"/>
  <c r="BJ255" i="2"/>
  <c r="BJ256" i="2"/>
  <c r="BJ257" i="2"/>
  <c r="BJ258" i="2"/>
  <c r="Q258" i="2" s="1"/>
  <c r="BJ259" i="2"/>
  <c r="BJ260"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U254" i="2"/>
  <c r="K253" i="10" s="1"/>
  <c r="Q283" i="2" l="1"/>
  <c r="H289" i="10"/>
  <c r="H267" i="10"/>
  <c r="H333" i="10"/>
  <c r="H288" i="10"/>
  <c r="H266" i="10"/>
  <c r="H265" i="10"/>
  <c r="H339" i="10"/>
  <c r="H268" i="10"/>
  <c r="H286" i="10"/>
  <c r="H261" i="10"/>
  <c r="H327" i="10"/>
  <c r="H247" i="10"/>
  <c r="H246" i="10"/>
  <c r="H328" i="10"/>
  <c r="H245" i="10"/>
  <c r="H244" i="10"/>
  <c r="H323" i="10"/>
  <c r="H278" i="10"/>
  <c r="H252" i="10"/>
  <c r="H324" i="10"/>
  <c r="H243" i="10"/>
  <c r="H322" i="10"/>
  <c r="H263" i="10"/>
  <c r="H242" i="10"/>
  <c r="H276" i="10"/>
  <c r="H236" i="10"/>
  <c r="H335" i="10"/>
  <c r="H264" i="10"/>
  <c r="H251" i="10"/>
  <c r="H249" i="10"/>
  <c r="H279" i="10"/>
  <c r="H241" i="10"/>
  <c r="H320" i="10"/>
  <c r="H275" i="10"/>
  <c r="H269" i="10"/>
  <c r="H307" i="10"/>
  <c r="H262" i="10"/>
  <c r="H240" i="10"/>
  <c r="H336" i="10"/>
  <c r="H329" i="10"/>
  <c r="H283" i="10"/>
  <c r="H248" i="10"/>
  <c r="H239" i="10"/>
  <c r="H257" i="10"/>
  <c r="H250" i="10"/>
  <c r="H316" i="10"/>
  <c r="H294" i="10"/>
  <c r="M309" i="10"/>
  <c r="N309" i="10" s="1"/>
  <c r="M237" i="10"/>
  <c r="N237" i="10" s="1"/>
  <c r="BJ3" i="2"/>
  <c r="AC29" i="5"/>
  <c r="AA29" i="5"/>
  <c r="Y29" i="5"/>
  <c r="W29" i="5"/>
  <c r="N29" i="5"/>
  <c r="L29" i="5"/>
  <c r="J29" i="5"/>
  <c r="H29" i="5"/>
  <c r="Y35" i="5"/>
  <c r="AA32" i="5"/>
  <c r="W32" i="5"/>
  <c r="AC35" i="5"/>
  <c r="AA35" i="5"/>
  <c r="W35" i="5"/>
  <c r="AC32" i="5"/>
  <c r="Y32" i="5"/>
  <c r="E9" i="3"/>
  <c r="E8" i="3"/>
  <c r="E11" i="3"/>
  <c r="E10" i="3"/>
  <c r="W293" i="2"/>
  <c r="W271" i="2"/>
  <c r="W191" i="2"/>
  <c r="M190" i="10" s="1"/>
  <c r="N190" i="10" s="1"/>
  <c r="W169" i="2"/>
  <c r="M168" i="10" s="1"/>
  <c r="N168" i="10" s="1"/>
  <c r="W122" i="2"/>
  <c r="M121" i="10" s="1"/>
  <c r="N121" i="10" s="1"/>
  <c r="W170" i="2"/>
  <c r="M169" i="10" s="1"/>
  <c r="N169" i="10" s="1"/>
  <c r="W251" i="2"/>
  <c r="W145" i="2"/>
  <c r="M144" i="10" s="1"/>
  <c r="N144" i="10" s="1"/>
  <c r="W121" i="2"/>
  <c r="M120" i="10" s="1"/>
  <c r="N120" i="10" s="1"/>
  <c r="W250" i="2"/>
  <c r="W144" i="2"/>
  <c r="M143" i="10" s="1"/>
  <c r="N143" i="10" s="1"/>
  <c r="W120" i="2"/>
  <c r="M119" i="10" s="1"/>
  <c r="N119" i="10" s="1"/>
  <c r="W292" i="2"/>
  <c r="W270" i="2"/>
  <c r="W190" i="2"/>
  <c r="M189" i="10" s="1"/>
  <c r="N189" i="10" s="1"/>
  <c r="W168" i="2"/>
  <c r="M167" i="10" s="1"/>
  <c r="N167" i="10" s="1"/>
  <c r="W146" i="2"/>
  <c r="M145" i="10" s="1"/>
  <c r="N145" i="10" s="1"/>
  <c r="W272" i="2"/>
  <c r="W249" i="2"/>
  <c r="W143" i="2"/>
  <c r="M142" i="10" s="1"/>
  <c r="N142" i="10" s="1"/>
  <c r="W119" i="2"/>
  <c r="M118" i="10" s="1"/>
  <c r="N118" i="10" s="1"/>
  <c r="W336" i="2"/>
  <c r="W291" i="2"/>
  <c r="W269" i="2"/>
  <c r="W189" i="2"/>
  <c r="M188" i="10" s="1"/>
  <c r="N188" i="10" s="1"/>
  <c r="W167" i="2"/>
  <c r="M166" i="10" s="1"/>
  <c r="N166" i="10" s="1"/>
  <c r="W252" i="2"/>
  <c r="W294" i="2"/>
  <c r="W248" i="2"/>
  <c r="W142" i="2"/>
  <c r="M141" i="10" s="1"/>
  <c r="N141" i="10" s="1"/>
  <c r="W118" i="2"/>
  <c r="M117" i="10" s="1"/>
  <c r="N117" i="10" s="1"/>
  <c r="W335" i="2"/>
  <c r="W312" i="2"/>
  <c r="W290" i="2"/>
  <c r="W268" i="2"/>
  <c r="W188" i="2"/>
  <c r="M187" i="10" s="1"/>
  <c r="N187" i="10" s="1"/>
  <c r="W162" i="2"/>
  <c r="M161" i="10" s="1"/>
  <c r="N161" i="10" s="1"/>
  <c r="W192" i="2"/>
  <c r="M191" i="10" s="1"/>
  <c r="N191" i="10" s="1"/>
  <c r="W247" i="2"/>
  <c r="W141" i="2"/>
  <c r="M140" i="10" s="1"/>
  <c r="N140" i="10" s="1"/>
  <c r="W117" i="2"/>
  <c r="M116" i="10" s="1"/>
  <c r="N116" i="10" s="1"/>
  <c r="W334" i="2"/>
  <c r="W311" i="2"/>
  <c r="W289" i="2"/>
  <c r="W267" i="2"/>
  <c r="W187" i="2"/>
  <c r="M186" i="10" s="1"/>
  <c r="N186" i="10" s="1"/>
  <c r="W161" i="2"/>
  <c r="M160" i="10" s="1"/>
  <c r="N160" i="10" s="1"/>
  <c r="W140" i="2"/>
  <c r="M139" i="10" s="1"/>
  <c r="N139" i="10" s="1"/>
  <c r="W288" i="2"/>
  <c r="W246" i="2"/>
  <c r="W116" i="2"/>
  <c r="M115" i="10" s="1"/>
  <c r="N115" i="10" s="1"/>
  <c r="W333" i="2"/>
  <c r="W266" i="2"/>
  <c r="W186" i="2"/>
  <c r="M185" i="10" s="1"/>
  <c r="N185" i="10" s="1"/>
  <c r="W160" i="2"/>
  <c r="M159" i="10" s="1"/>
  <c r="N159" i="10" s="1"/>
  <c r="W245" i="2"/>
  <c r="W139" i="2"/>
  <c r="M138" i="10" s="1"/>
  <c r="N138" i="10" s="1"/>
  <c r="W332" i="2"/>
  <c r="W309" i="2"/>
  <c r="W287" i="2"/>
  <c r="W265" i="2"/>
  <c r="W185" i="2"/>
  <c r="M184" i="10" s="1"/>
  <c r="N184" i="10" s="1"/>
  <c r="W159" i="2"/>
  <c r="M158" i="10" s="1"/>
  <c r="N158" i="10" s="1"/>
  <c r="W244" i="2"/>
  <c r="W138" i="2"/>
  <c r="M137" i="10" s="1"/>
  <c r="N137" i="10" s="1"/>
  <c r="W331" i="2"/>
  <c r="W308" i="2"/>
  <c r="W286" i="2"/>
  <c r="W264" i="2"/>
  <c r="W184" i="2"/>
  <c r="M183" i="10" s="1"/>
  <c r="N183" i="10" s="1"/>
  <c r="W154" i="2"/>
  <c r="M153" i="10" s="1"/>
  <c r="N153" i="10" s="1"/>
  <c r="W243" i="2"/>
  <c r="W137" i="2"/>
  <c r="M136" i="10" s="1"/>
  <c r="N136" i="10" s="1"/>
  <c r="W330" i="2"/>
  <c r="W307" i="2"/>
  <c r="W285" i="2"/>
  <c r="W263" i="2"/>
  <c r="W183" i="2"/>
  <c r="M182" i="10" s="1"/>
  <c r="N182" i="10" s="1"/>
  <c r="W153" i="2"/>
  <c r="M152" i="10" s="1"/>
  <c r="N152" i="10" s="1"/>
  <c r="W242" i="2"/>
  <c r="W329" i="2"/>
  <c r="W306" i="2"/>
  <c r="W284" i="2"/>
  <c r="W262" i="2"/>
  <c r="W182" i="2"/>
  <c r="M181" i="10" s="1"/>
  <c r="N181" i="10" s="1"/>
  <c r="W136" i="2"/>
  <c r="M135" i="10" s="1"/>
  <c r="N135" i="10" s="1"/>
  <c r="W181" i="2"/>
  <c r="M180" i="10" s="1"/>
  <c r="N180" i="10" s="1"/>
  <c r="W240" i="2"/>
  <c r="W132" i="2"/>
  <c r="M131" i="10" s="1"/>
  <c r="N131" i="10" s="1"/>
  <c r="W327" i="2"/>
  <c r="W304" i="2"/>
  <c r="W282" i="2"/>
  <c r="W202" i="2"/>
  <c r="M201" i="10" s="1"/>
  <c r="N201" i="10" s="1"/>
  <c r="W180" i="2"/>
  <c r="M179" i="10" s="1"/>
  <c r="N179" i="10" s="1"/>
  <c r="W305" i="2"/>
  <c r="W239" i="2"/>
  <c r="W131" i="2"/>
  <c r="M130" i="10" s="1"/>
  <c r="N130" i="10" s="1"/>
  <c r="W326" i="2"/>
  <c r="W303" i="2"/>
  <c r="W281" i="2"/>
  <c r="W201" i="2"/>
  <c r="M200" i="10" s="1"/>
  <c r="N200" i="10" s="1"/>
  <c r="W179" i="2"/>
  <c r="M178" i="10" s="1"/>
  <c r="N178" i="10" s="1"/>
  <c r="W260" i="2"/>
  <c r="W130" i="2"/>
  <c r="M129" i="10" s="1"/>
  <c r="N129" i="10" s="1"/>
  <c r="W325" i="2"/>
  <c r="W302" i="2"/>
  <c r="W280" i="2"/>
  <c r="W200" i="2"/>
  <c r="M199" i="10" s="1"/>
  <c r="N199" i="10" s="1"/>
  <c r="W178" i="2"/>
  <c r="M177" i="10" s="1"/>
  <c r="N177" i="10" s="1"/>
  <c r="W283" i="2"/>
  <c r="W259" i="2"/>
  <c r="W129" i="2"/>
  <c r="M128" i="10" s="1"/>
  <c r="N128" i="10" s="1"/>
  <c r="W324" i="2"/>
  <c r="W301" i="2"/>
  <c r="W279" i="2"/>
  <c r="W199" i="2"/>
  <c r="M198" i="10" s="1"/>
  <c r="N198" i="10" s="1"/>
  <c r="W177" i="2"/>
  <c r="M176" i="10" s="1"/>
  <c r="N176" i="10" s="1"/>
  <c r="W135" i="2"/>
  <c r="M134" i="10" s="1"/>
  <c r="N134" i="10" s="1"/>
  <c r="W328" i="2"/>
  <c r="W261" i="2"/>
  <c r="W258" i="2"/>
  <c r="W158" i="2"/>
  <c r="M157" i="10" s="1"/>
  <c r="N157" i="10" s="1"/>
  <c r="W128" i="2"/>
  <c r="M127" i="10" s="1"/>
  <c r="N127" i="10" s="1"/>
  <c r="W6" i="2"/>
  <c r="M5" i="10" s="1"/>
  <c r="N5" i="10" s="1"/>
  <c r="W323" i="2"/>
  <c r="W300" i="2"/>
  <c r="W278" i="2"/>
  <c r="W198" i="2"/>
  <c r="M197" i="10" s="1"/>
  <c r="N197" i="10" s="1"/>
  <c r="W176" i="2"/>
  <c r="M175" i="10" s="1"/>
  <c r="N175" i="10" s="1"/>
  <c r="W241" i="2"/>
  <c r="W175" i="2"/>
  <c r="M174" i="10" s="1"/>
  <c r="N174" i="10" s="1"/>
  <c r="W256" i="2"/>
  <c r="W151" i="2"/>
  <c r="M150" i="10" s="1"/>
  <c r="N150" i="10" s="1"/>
  <c r="W126" i="2"/>
  <c r="M125" i="10" s="1"/>
  <c r="N125" i="10" s="1"/>
  <c r="W321" i="2"/>
  <c r="W298" i="2"/>
  <c r="W276" i="2"/>
  <c r="W196" i="2"/>
  <c r="M195" i="10" s="1"/>
  <c r="N195" i="10" s="1"/>
  <c r="W174" i="2"/>
  <c r="M173" i="10" s="1"/>
  <c r="N173" i="10" s="1"/>
  <c r="W257" i="2"/>
  <c r="W299" i="2"/>
  <c r="W255" i="2"/>
  <c r="W149" i="2"/>
  <c r="M148" i="10" s="1"/>
  <c r="N148" i="10" s="1"/>
  <c r="W125" i="2"/>
  <c r="M124" i="10" s="1"/>
  <c r="N124" i="10" s="1"/>
  <c r="W320" i="2"/>
  <c r="W297" i="2"/>
  <c r="W275" i="2"/>
  <c r="W195" i="2"/>
  <c r="M194" i="10" s="1"/>
  <c r="N194" i="10" s="1"/>
  <c r="W173" i="2"/>
  <c r="M172" i="10" s="1"/>
  <c r="N172" i="10" s="1"/>
  <c r="W152" i="2"/>
  <c r="M151" i="10" s="1"/>
  <c r="N151" i="10" s="1"/>
  <c r="W127" i="2"/>
  <c r="M126" i="10" s="1"/>
  <c r="N126" i="10" s="1"/>
  <c r="W322" i="2"/>
  <c r="W197" i="2"/>
  <c r="M196" i="10" s="1"/>
  <c r="N196" i="10" s="1"/>
  <c r="W148" i="2"/>
  <c r="M147" i="10" s="1"/>
  <c r="N147" i="10" s="1"/>
  <c r="W124" i="2"/>
  <c r="M123" i="10" s="1"/>
  <c r="N123" i="10" s="1"/>
  <c r="W296" i="2"/>
  <c r="W274" i="2"/>
  <c r="W194" i="2"/>
  <c r="M193" i="10" s="1"/>
  <c r="N193" i="10" s="1"/>
  <c r="W172" i="2"/>
  <c r="M171" i="10" s="1"/>
  <c r="N171" i="10" s="1"/>
  <c r="W7" i="2"/>
  <c r="M6" i="10" s="1"/>
  <c r="N6" i="10" s="1"/>
  <c r="W277" i="2"/>
  <c r="W253" i="2"/>
  <c r="W147" i="2"/>
  <c r="M146" i="10" s="1"/>
  <c r="N146" i="10" s="1"/>
  <c r="W123" i="2"/>
  <c r="M122" i="10" s="1"/>
  <c r="N122" i="10" s="1"/>
  <c r="W341" i="2"/>
  <c r="W295" i="2"/>
  <c r="W273" i="2"/>
  <c r="W193" i="2"/>
  <c r="M192" i="10" s="1"/>
  <c r="N192" i="10" s="1"/>
  <c r="W171" i="2"/>
  <c r="M170" i="10" s="1"/>
  <c r="N170" i="10" s="1"/>
  <c r="W237" i="2"/>
  <c r="W5" i="2"/>
  <c r="M4" i="10" s="1"/>
  <c r="N4" i="10" s="1"/>
  <c r="W105" i="2"/>
  <c r="M104" i="10" s="1"/>
  <c r="N104" i="10" s="1"/>
  <c r="W41" i="2"/>
  <c r="M40" i="10" s="1"/>
  <c r="N40" i="10" s="1"/>
  <c r="W104" i="2"/>
  <c r="M103" i="10" s="1"/>
  <c r="N103" i="10" s="1"/>
  <c r="W40" i="2"/>
  <c r="M39" i="10" s="1"/>
  <c r="N39" i="10" s="1"/>
  <c r="W103" i="2"/>
  <c r="M102" i="10" s="1"/>
  <c r="N102" i="10" s="1"/>
  <c r="W27" i="2"/>
  <c r="M26" i="10" s="1"/>
  <c r="N26" i="10" s="1"/>
  <c r="W114" i="2"/>
  <c r="M113" i="10" s="1"/>
  <c r="N113" i="10" s="1"/>
  <c r="W38" i="2"/>
  <c r="M37" i="10" s="1"/>
  <c r="N37" i="10" s="1"/>
  <c r="W89" i="2"/>
  <c r="M88" i="10" s="1"/>
  <c r="N88" i="10" s="1"/>
  <c r="W73" i="2"/>
  <c r="M72" i="10" s="1"/>
  <c r="N72" i="10" s="1"/>
  <c r="W13" i="2"/>
  <c r="M12" i="10" s="1"/>
  <c r="N12" i="10" s="1"/>
  <c r="W93" i="2"/>
  <c r="M92" i="10" s="1"/>
  <c r="N92" i="10" s="1"/>
  <c r="W77" i="2"/>
  <c r="M76" i="10" s="1"/>
  <c r="N76" i="10" s="1"/>
  <c r="W65" i="2"/>
  <c r="M64" i="10" s="1"/>
  <c r="N64" i="10" s="1"/>
  <c r="W29" i="2"/>
  <c r="M28" i="10" s="1"/>
  <c r="N28" i="10" s="1"/>
  <c r="W64" i="2"/>
  <c r="M63" i="10" s="1"/>
  <c r="N63" i="10" s="1"/>
  <c r="W16" i="2"/>
  <c r="M15" i="10" s="1"/>
  <c r="N15" i="10" s="1"/>
  <c r="W115" i="2"/>
  <c r="M114" i="10" s="1"/>
  <c r="N114" i="10" s="1"/>
  <c r="W91" i="2"/>
  <c r="M90" i="10" s="1"/>
  <c r="N90" i="10" s="1"/>
  <c r="W51" i="2"/>
  <c r="M50" i="10" s="1"/>
  <c r="N50" i="10" s="1"/>
  <c r="W102" i="2"/>
  <c r="M101" i="10" s="1"/>
  <c r="N101" i="10" s="1"/>
  <c r="W74" i="2"/>
  <c r="M73" i="10" s="1"/>
  <c r="N73" i="10" s="1"/>
  <c r="W62" i="2"/>
  <c r="M61" i="10" s="1"/>
  <c r="N61" i="10" s="1"/>
  <c r="W50" i="2"/>
  <c r="M49" i="10" s="1"/>
  <c r="N49" i="10" s="1"/>
  <c r="W14" i="2"/>
  <c r="M13" i="10" s="1"/>
  <c r="N13" i="10" s="1"/>
  <c r="W113" i="2"/>
  <c r="M112" i="10" s="1"/>
  <c r="N112" i="10" s="1"/>
  <c r="W37" i="2"/>
  <c r="M36" i="10" s="1"/>
  <c r="N36" i="10" s="1"/>
  <c r="W112" i="2"/>
  <c r="M111" i="10" s="1"/>
  <c r="N111" i="10" s="1"/>
  <c r="W88" i="2"/>
  <c r="M87" i="10" s="1"/>
  <c r="N87" i="10" s="1"/>
  <c r="W72" i="2"/>
  <c r="M71" i="10" s="1"/>
  <c r="N71" i="10" s="1"/>
  <c r="W60" i="2"/>
  <c r="M59" i="10" s="1"/>
  <c r="N59" i="10" s="1"/>
  <c r="W48" i="2"/>
  <c r="M47" i="10" s="1"/>
  <c r="N47" i="10" s="1"/>
  <c r="W36" i="2"/>
  <c r="M35" i="10" s="1"/>
  <c r="N35" i="10" s="1"/>
  <c r="W12" i="2"/>
  <c r="M11" i="10" s="1"/>
  <c r="N11" i="10" s="1"/>
  <c r="W111" i="2"/>
  <c r="M110" i="10" s="1"/>
  <c r="N110" i="10" s="1"/>
  <c r="W86" i="2"/>
  <c r="M85" i="10" s="1"/>
  <c r="N85" i="10" s="1"/>
  <c r="W35" i="2"/>
  <c r="M34" i="10" s="1"/>
  <c r="N34" i="10" s="1"/>
  <c r="W83" i="2"/>
  <c r="M82" i="10" s="1"/>
  <c r="N82" i="10" s="1"/>
  <c r="W22" i="2"/>
  <c r="M21" i="10" s="1"/>
  <c r="N21" i="10" s="1"/>
  <c r="W109" i="2"/>
  <c r="M108" i="10" s="1"/>
  <c r="N108" i="10" s="1"/>
  <c r="W80" i="2"/>
  <c r="M79" i="10" s="1"/>
  <c r="N79" i="10" s="1"/>
  <c r="W45" i="2"/>
  <c r="M44" i="10" s="1"/>
  <c r="N44" i="10" s="1"/>
  <c r="W82" i="2"/>
  <c r="M81" i="10" s="1"/>
  <c r="N81" i="10" s="1"/>
  <c r="W68" i="2"/>
  <c r="M67" i="10" s="1"/>
  <c r="N67" i="10" s="1"/>
  <c r="W56" i="2"/>
  <c r="M55" i="10" s="1"/>
  <c r="N55" i="10" s="1"/>
  <c r="W44" i="2"/>
  <c r="M43" i="10" s="1"/>
  <c r="N43" i="10" s="1"/>
  <c r="W32" i="2"/>
  <c r="M31" i="10" s="1"/>
  <c r="N31" i="10" s="1"/>
  <c r="W20" i="2"/>
  <c r="M19" i="10" s="1"/>
  <c r="N19" i="10" s="1"/>
  <c r="W8" i="2"/>
  <c r="M7" i="10" s="1"/>
  <c r="N7" i="10" s="1"/>
  <c r="W107" i="2"/>
  <c r="M106" i="10" s="1"/>
  <c r="N106" i="10" s="1"/>
  <c r="W95" i="2"/>
  <c r="M94" i="10" s="1"/>
  <c r="N94" i="10" s="1"/>
  <c r="W81" i="2"/>
  <c r="M80" i="10" s="1"/>
  <c r="N80" i="10" s="1"/>
  <c r="W67" i="2"/>
  <c r="M66" i="10" s="1"/>
  <c r="N66" i="10" s="1"/>
  <c r="W55" i="2"/>
  <c r="M54" i="10" s="1"/>
  <c r="N54" i="10" s="1"/>
  <c r="W43" i="2"/>
  <c r="M42" i="10" s="1"/>
  <c r="N42" i="10" s="1"/>
  <c r="W31" i="2"/>
  <c r="M30" i="10" s="1"/>
  <c r="N30" i="10" s="1"/>
  <c r="W19" i="2"/>
  <c r="M18" i="10" s="1"/>
  <c r="N18" i="10" s="1"/>
  <c r="W53" i="2"/>
  <c r="M52" i="10" s="1"/>
  <c r="N52" i="10" s="1"/>
  <c r="W92" i="2"/>
  <c r="M91" i="10" s="1"/>
  <c r="N91" i="10" s="1"/>
  <c r="W76" i="2"/>
  <c r="M75" i="10" s="1"/>
  <c r="N75" i="10" s="1"/>
  <c r="W52" i="2"/>
  <c r="M51" i="10" s="1"/>
  <c r="N51" i="10" s="1"/>
  <c r="W28" i="2"/>
  <c r="M27" i="10" s="1"/>
  <c r="N27" i="10" s="1"/>
  <c r="W75" i="2"/>
  <c r="M74" i="10" s="1"/>
  <c r="N74" i="10" s="1"/>
  <c r="W63" i="2"/>
  <c r="M62" i="10" s="1"/>
  <c r="N62" i="10" s="1"/>
  <c r="W39" i="2"/>
  <c r="M38" i="10" s="1"/>
  <c r="N38" i="10" s="1"/>
  <c r="W15" i="2"/>
  <c r="M14" i="10" s="1"/>
  <c r="N14" i="10" s="1"/>
  <c r="W90" i="2"/>
  <c r="M89" i="10" s="1"/>
  <c r="N89" i="10" s="1"/>
  <c r="W26" i="2"/>
  <c r="M25" i="10" s="1"/>
  <c r="N25" i="10" s="1"/>
  <c r="W101" i="2"/>
  <c r="M100" i="10" s="1"/>
  <c r="N100" i="10" s="1"/>
  <c r="W61" i="2"/>
  <c r="M60" i="10" s="1"/>
  <c r="N60" i="10" s="1"/>
  <c r="W49" i="2"/>
  <c r="M48" i="10" s="1"/>
  <c r="N48" i="10" s="1"/>
  <c r="W25" i="2"/>
  <c r="M24" i="10" s="1"/>
  <c r="N24" i="10" s="1"/>
  <c r="W100" i="2"/>
  <c r="M99" i="10" s="1"/>
  <c r="N99" i="10" s="1"/>
  <c r="W24" i="2"/>
  <c r="M23" i="10" s="1"/>
  <c r="N23" i="10" s="1"/>
  <c r="W99" i="2"/>
  <c r="M98" i="10" s="1"/>
  <c r="N98" i="10" s="1"/>
  <c r="W87" i="2"/>
  <c r="M86" i="10" s="1"/>
  <c r="N86" i="10" s="1"/>
  <c r="W71" i="2"/>
  <c r="M70" i="10" s="1"/>
  <c r="N70" i="10" s="1"/>
  <c r="W59" i="2"/>
  <c r="M58" i="10" s="1"/>
  <c r="N58" i="10" s="1"/>
  <c r="W47" i="2"/>
  <c r="M46" i="10" s="1"/>
  <c r="N46" i="10" s="1"/>
  <c r="W23" i="2"/>
  <c r="M22" i="10" s="1"/>
  <c r="N22" i="10" s="1"/>
  <c r="W11" i="2"/>
  <c r="M10" i="10" s="1"/>
  <c r="N10" i="10" s="1"/>
  <c r="W110" i="2"/>
  <c r="M109" i="10" s="1"/>
  <c r="N109" i="10" s="1"/>
  <c r="W98" i="2"/>
  <c r="M97" i="10" s="1"/>
  <c r="N97" i="10" s="1"/>
  <c r="W85" i="2"/>
  <c r="M84" i="10" s="1"/>
  <c r="N84" i="10" s="1"/>
  <c r="W70" i="2"/>
  <c r="M69" i="10" s="1"/>
  <c r="N69" i="10" s="1"/>
  <c r="W58" i="2"/>
  <c r="M57" i="10" s="1"/>
  <c r="N57" i="10" s="1"/>
  <c r="W46" i="2"/>
  <c r="M45" i="10" s="1"/>
  <c r="N45" i="10" s="1"/>
  <c r="W34" i="2"/>
  <c r="M33" i="10" s="1"/>
  <c r="N33" i="10" s="1"/>
  <c r="W10" i="2"/>
  <c r="M9" i="10" s="1"/>
  <c r="N9" i="10" s="1"/>
  <c r="W97" i="2"/>
  <c r="M96" i="10" s="1"/>
  <c r="N96" i="10" s="1"/>
  <c r="W84" i="2"/>
  <c r="M83" i="10" s="1"/>
  <c r="N83" i="10" s="1"/>
  <c r="W69" i="2"/>
  <c r="M68" i="10" s="1"/>
  <c r="N68" i="10" s="1"/>
  <c r="W57" i="2"/>
  <c r="M56" i="10" s="1"/>
  <c r="N56" i="10" s="1"/>
  <c r="W33" i="2"/>
  <c r="M32" i="10" s="1"/>
  <c r="N32" i="10" s="1"/>
  <c r="W21" i="2"/>
  <c r="M20" i="10" s="1"/>
  <c r="N20" i="10" s="1"/>
  <c r="W9" i="2"/>
  <c r="M8" i="10" s="1"/>
  <c r="N8" i="10" s="1"/>
  <c r="W108" i="2"/>
  <c r="M107" i="10" s="1"/>
  <c r="N107" i="10" s="1"/>
  <c r="W96" i="2"/>
  <c r="M95" i="10" s="1"/>
  <c r="N95" i="10" s="1"/>
  <c r="W106" i="2"/>
  <c r="M105" i="10" s="1"/>
  <c r="N105" i="10" s="1"/>
  <c r="W94" i="2"/>
  <c r="M93" i="10" s="1"/>
  <c r="N93" i="10" s="1"/>
  <c r="W78" i="2"/>
  <c r="M77" i="10" s="1"/>
  <c r="N77" i="10" s="1"/>
  <c r="W66" i="2"/>
  <c r="M65" i="10" s="1"/>
  <c r="N65" i="10" s="1"/>
  <c r="W54" i="2"/>
  <c r="M53" i="10" s="1"/>
  <c r="N53" i="10" s="1"/>
  <c r="W42" i="2"/>
  <c r="M41" i="10" s="1"/>
  <c r="N41" i="10" s="1"/>
  <c r="W30" i="2"/>
  <c r="M29" i="10" s="1"/>
  <c r="N29" i="10" s="1"/>
  <c r="W18" i="2"/>
  <c r="M17" i="10" s="1"/>
  <c r="N17" i="10" s="1"/>
  <c r="W17" i="2"/>
  <c r="M16" i="10" s="1"/>
  <c r="N16" i="10" s="1"/>
  <c r="CJ337" i="2"/>
  <c r="W337" i="2"/>
  <c r="CJ314" i="2"/>
  <c r="W314" i="2"/>
  <c r="CJ313" i="2"/>
  <c r="W313" i="2"/>
  <c r="CJ254" i="2"/>
  <c r="W254" i="2"/>
  <c r="CJ344" i="2"/>
  <c r="W344" i="2"/>
  <c r="CJ343" i="2"/>
  <c r="W343" i="2"/>
  <c r="CJ342" i="2"/>
  <c r="W342" i="2"/>
  <c r="CJ318" i="2"/>
  <c r="W318" i="2"/>
  <c r="CJ340" i="2"/>
  <c r="W340" i="2"/>
  <c r="CJ317" i="2"/>
  <c r="W317" i="2"/>
  <c r="CJ315" i="2"/>
  <c r="W315" i="2"/>
  <c r="CJ339" i="2"/>
  <c r="W339" i="2"/>
  <c r="CJ338" i="2"/>
  <c r="W338" i="2"/>
  <c r="CJ316" i="2"/>
  <c r="W316" i="2"/>
  <c r="W3" i="2" l="1"/>
  <c r="T47" i="5"/>
  <c r="T35" i="5"/>
  <c r="T38" i="5"/>
  <c r="T53" i="5"/>
  <c r="E29" i="5"/>
  <c r="E6" i="3"/>
  <c r="T50" i="5"/>
  <c r="T44" i="5"/>
  <c r="E7" i="3"/>
  <c r="T29" i="5"/>
  <c r="T32" i="5"/>
  <c r="T41" i="5"/>
  <c r="H282" i="10"/>
  <c r="M270" i="10"/>
  <c r="N270" i="10" s="1"/>
  <c r="M2" i="10"/>
  <c r="M292" i="10"/>
  <c r="N292" i="10" s="1"/>
  <c r="M250" i="10"/>
  <c r="N250" i="10" s="1"/>
  <c r="M249" i="10"/>
  <c r="N249" i="10" s="1"/>
  <c r="M291" i="10"/>
  <c r="N291" i="10" s="1"/>
  <c r="M269" i="10"/>
  <c r="N269" i="10" s="1"/>
  <c r="M271" i="10"/>
  <c r="N271" i="10" s="1"/>
  <c r="M248" i="10"/>
  <c r="N248" i="10" s="1"/>
  <c r="M335" i="10"/>
  <c r="N335" i="10" s="1"/>
  <c r="M290" i="10"/>
  <c r="N290" i="10" s="1"/>
  <c r="M268" i="10"/>
  <c r="N268" i="10" s="1"/>
  <c r="M251" i="10"/>
  <c r="N251" i="10" s="1"/>
  <c r="M293" i="10"/>
  <c r="N293" i="10" s="1"/>
  <c r="M247" i="10"/>
  <c r="M334" i="10"/>
  <c r="N334" i="10" s="1"/>
  <c r="M311" i="10"/>
  <c r="N311" i="10" s="1"/>
  <c r="M289" i="10"/>
  <c r="N289" i="10" s="1"/>
  <c r="M267" i="10"/>
  <c r="N267" i="10" s="1"/>
  <c r="M246" i="10"/>
  <c r="M333" i="10"/>
  <c r="N333" i="10" s="1"/>
  <c r="M310" i="10"/>
  <c r="N310" i="10" s="1"/>
  <c r="M288" i="10"/>
  <c r="N288" i="10" s="1"/>
  <c r="M266" i="10"/>
  <c r="N266" i="10" s="1"/>
  <c r="M287" i="10"/>
  <c r="N287" i="10" s="1"/>
  <c r="M245" i="10"/>
  <c r="N245" i="10" s="1"/>
  <c r="M332" i="10"/>
  <c r="N332" i="10" s="1"/>
  <c r="M265" i="10"/>
  <c r="N265" i="10" s="1"/>
  <c r="M244" i="10"/>
  <c r="N244" i="10" s="1"/>
  <c r="M331" i="10"/>
  <c r="N331" i="10" s="1"/>
  <c r="M308" i="10"/>
  <c r="M286" i="10"/>
  <c r="N286" i="10" s="1"/>
  <c r="M264" i="10"/>
  <c r="N264" i="10" s="1"/>
  <c r="M243" i="10"/>
  <c r="N243" i="10" s="1"/>
  <c r="M330" i="10"/>
  <c r="N330" i="10" s="1"/>
  <c r="M307" i="10"/>
  <c r="N307" i="10" s="1"/>
  <c r="M285" i="10"/>
  <c r="N285" i="10" s="1"/>
  <c r="M263" i="10"/>
  <c r="N263" i="10" s="1"/>
  <c r="M242" i="10"/>
  <c r="N242" i="10" s="1"/>
  <c r="M329" i="10"/>
  <c r="N329" i="10" s="1"/>
  <c r="M306" i="10"/>
  <c r="N306" i="10" s="1"/>
  <c r="M284" i="10"/>
  <c r="N284" i="10" s="1"/>
  <c r="M262" i="10"/>
  <c r="N262" i="10" s="1"/>
  <c r="M241" i="10"/>
  <c r="N241" i="10" s="1"/>
  <c r="M328" i="10"/>
  <c r="N328" i="10" s="1"/>
  <c r="M305" i="10"/>
  <c r="N305" i="10" s="1"/>
  <c r="M283" i="10"/>
  <c r="N283" i="10" s="1"/>
  <c r="M261" i="10"/>
  <c r="N261" i="10" s="1"/>
  <c r="M239" i="10"/>
  <c r="N239" i="10" s="1"/>
  <c r="M326" i="10"/>
  <c r="N326" i="10" s="1"/>
  <c r="M303" i="10"/>
  <c r="N303" i="10" s="1"/>
  <c r="M281" i="10"/>
  <c r="N281" i="10" s="1"/>
  <c r="M304" i="10"/>
  <c r="N304" i="10" s="1"/>
  <c r="M238" i="10"/>
  <c r="N238" i="10" s="1"/>
  <c r="M325" i="10"/>
  <c r="N325" i="10" s="1"/>
  <c r="M302" i="10"/>
  <c r="M280" i="10"/>
  <c r="N280" i="10" s="1"/>
  <c r="M259" i="10"/>
  <c r="N259" i="10" s="1"/>
  <c r="M324" i="10"/>
  <c r="N324" i="10" s="1"/>
  <c r="M301" i="10"/>
  <c r="N301" i="10" s="1"/>
  <c r="M279" i="10"/>
  <c r="N279" i="10" s="1"/>
  <c r="M282" i="10"/>
  <c r="N282" i="10" s="1"/>
  <c r="M258" i="10"/>
  <c r="N258" i="10" s="1"/>
  <c r="M323" i="10"/>
  <c r="N323" i="10" s="1"/>
  <c r="M300" i="10"/>
  <c r="N300" i="10" s="1"/>
  <c r="M278" i="10"/>
  <c r="N278" i="10" s="1"/>
  <c r="M327" i="10"/>
  <c r="N327" i="10" s="1"/>
  <c r="M260" i="10"/>
  <c r="N260" i="10" s="1"/>
  <c r="M257" i="10"/>
  <c r="N257" i="10" s="1"/>
  <c r="M322" i="10"/>
  <c r="N322" i="10" s="1"/>
  <c r="M299" i="10"/>
  <c r="M277" i="10"/>
  <c r="N277" i="10" s="1"/>
  <c r="M240" i="10"/>
  <c r="N240" i="10" s="1"/>
  <c r="M255" i="10"/>
  <c r="N255" i="10" s="1"/>
  <c r="M320" i="10"/>
  <c r="N320" i="10" s="1"/>
  <c r="M297" i="10"/>
  <c r="N297" i="10" s="1"/>
  <c r="M275" i="10"/>
  <c r="N275" i="10" s="1"/>
  <c r="M256" i="10"/>
  <c r="N256" i="10" s="1"/>
  <c r="M298" i="10"/>
  <c r="N298" i="10" s="1"/>
  <c r="M254" i="10"/>
  <c r="N254" i="10" s="1"/>
  <c r="M319" i="10"/>
  <c r="N319" i="10" s="1"/>
  <c r="M296" i="10"/>
  <c r="N296" i="10" s="1"/>
  <c r="M274" i="10"/>
  <c r="N274" i="10" s="1"/>
  <c r="M321" i="10"/>
  <c r="N321" i="10" s="1"/>
  <c r="M295" i="10"/>
  <c r="N295" i="10" s="1"/>
  <c r="M273" i="10"/>
  <c r="N273" i="10" s="1"/>
  <c r="M276" i="10"/>
  <c r="N276" i="10" s="1"/>
  <c r="M252" i="10"/>
  <c r="N252" i="10" s="1"/>
  <c r="M340" i="10"/>
  <c r="M294" i="10"/>
  <c r="N294" i="10" s="1"/>
  <c r="M272" i="10"/>
  <c r="N272" i="10" s="1"/>
  <c r="M236" i="10"/>
  <c r="N236" i="10" s="1"/>
  <c r="M336" i="10"/>
  <c r="N336" i="10" s="1"/>
  <c r="M313" i="10"/>
  <c r="N313" i="10" s="1"/>
  <c r="M312" i="10"/>
  <c r="N312" i="10" s="1"/>
  <c r="M253" i="10"/>
  <c r="N253" i="10" s="1"/>
  <c r="M343" i="10"/>
  <c r="N343" i="10" s="1"/>
  <c r="M342" i="10"/>
  <c r="N342" i="10" s="1"/>
  <c r="M341" i="10"/>
  <c r="N341" i="10" s="1"/>
  <c r="M317" i="10"/>
  <c r="N317" i="10" s="1"/>
  <c r="M339" i="10"/>
  <c r="N339" i="10" s="1"/>
  <c r="M316" i="10"/>
  <c r="N316" i="10" s="1"/>
  <c r="M314" i="10"/>
  <c r="N314" i="10" s="1"/>
  <c r="M338" i="10"/>
  <c r="N338" i="10" s="1"/>
  <c r="M337" i="10"/>
  <c r="N337" i="10" s="1"/>
  <c r="M315" i="10"/>
  <c r="N315" i="10" s="1"/>
  <c r="X3" i="2"/>
  <c r="CQ268" i="2"/>
  <c r="CQ269" i="2"/>
  <c r="CQ270" i="2"/>
  <c r="CQ271" i="2"/>
  <c r="CQ272" i="2"/>
  <c r="CQ273" i="2"/>
  <c r="CQ274" i="2"/>
  <c r="CQ275" i="2"/>
  <c r="AD2" i="10" l="1"/>
  <c r="AC2" i="10"/>
  <c r="AB322" i="2"/>
  <c r="AA322" i="2" s="1"/>
  <c r="AB323" i="2"/>
  <c r="AA323" i="2" s="1"/>
  <c r="CP323" i="2" s="1"/>
  <c r="AB324" i="2"/>
  <c r="AA324" i="2" s="1"/>
  <c r="CP324" i="2" s="1"/>
  <c r="AB325" i="2"/>
  <c r="AA325" i="2" s="1"/>
  <c r="CP325" i="2" s="1"/>
  <c r="AB326" i="2"/>
  <c r="AA326" i="2" s="1"/>
  <c r="CP326" i="2" s="1"/>
  <c r="AB327" i="2"/>
  <c r="AA327" i="2" s="1"/>
  <c r="AB328" i="2"/>
  <c r="AA328" i="2" s="1"/>
  <c r="AB329" i="2"/>
  <c r="AA329" i="2" s="1"/>
  <c r="CP329" i="2" s="1"/>
  <c r="AB330" i="2"/>
  <c r="AA330" i="2" s="1"/>
  <c r="AB331" i="2"/>
  <c r="AA331" i="2" s="1"/>
  <c r="AB332" i="2"/>
  <c r="AA332" i="2" s="1"/>
  <c r="AB333" i="2"/>
  <c r="AA333" i="2" s="1"/>
  <c r="AB334" i="2"/>
  <c r="AA334" i="2" s="1"/>
  <c r="AB335" i="2"/>
  <c r="AA335" i="2" s="1"/>
  <c r="CP335" i="2" s="1"/>
  <c r="AB336" i="2"/>
  <c r="AA336" i="2" s="1"/>
  <c r="AB337" i="2"/>
  <c r="AA337" i="2" s="1"/>
  <c r="AB338" i="2"/>
  <c r="AA338" i="2" s="1"/>
  <c r="CP338" i="2" s="1"/>
  <c r="AB339" i="2"/>
  <c r="AA339" i="2" s="1"/>
  <c r="CP339" i="2" s="1"/>
  <c r="AB340" i="2"/>
  <c r="AA340" i="2" s="1"/>
  <c r="AB341" i="2"/>
  <c r="AA341" i="2" s="1"/>
  <c r="CP341" i="2" s="1"/>
  <c r="AB342" i="2"/>
  <c r="AA342" i="2" s="1"/>
  <c r="AB343" i="2"/>
  <c r="AA343" i="2" s="1"/>
  <c r="AB344" i="2"/>
  <c r="AA344" i="2" s="1"/>
  <c r="AB243" i="2"/>
  <c r="AA243" i="2" s="1"/>
  <c r="CP243" i="2" s="1"/>
  <c r="AB244" i="2"/>
  <c r="AA244" i="2" s="1"/>
  <c r="CP244" i="2" s="1"/>
  <c r="AB245" i="2"/>
  <c r="AA245" i="2" s="1"/>
  <c r="CP245" i="2" s="1"/>
  <c r="AB246" i="2"/>
  <c r="AA246" i="2" s="1"/>
  <c r="CP246" i="2" s="1"/>
  <c r="AB247" i="2"/>
  <c r="AA247" i="2" s="1"/>
  <c r="CP247" i="2" s="1"/>
  <c r="AB248" i="2"/>
  <c r="AA248" i="2" s="1"/>
  <c r="CP248" i="2" s="1"/>
  <c r="AB249" i="2"/>
  <c r="AA249" i="2" s="1"/>
  <c r="CP249" i="2" s="1"/>
  <c r="AB250" i="2"/>
  <c r="AA250" i="2" s="1"/>
  <c r="CP250" i="2" s="1"/>
  <c r="AB251" i="2"/>
  <c r="AA251" i="2" s="1"/>
  <c r="CP251" i="2" s="1"/>
  <c r="AB252" i="2"/>
  <c r="AA252" i="2" s="1"/>
  <c r="CP252" i="2" s="1"/>
  <c r="AB253" i="2"/>
  <c r="AA253" i="2" s="1"/>
  <c r="CP253" i="2" s="1"/>
  <c r="AB254" i="2"/>
  <c r="AA254" i="2" s="1"/>
  <c r="AB255" i="2"/>
  <c r="AA255" i="2" s="1"/>
  <c r="AB256" i="2"/>
  <c r="AA256" i="2" s="1"/>
  <c r="AB257" i="2"/>
  <c r="AA257" i="2" s="1"/>
  <c r="AB258" i="2"/>
  <c r="AA258" i="2" s="1"/>
  <c r="CP258" i="2" s="1"/>
  <c r="AB259" i="2"/>
  <c r="AA259" i="2" s="1"/>
  <c r="AB260" i="2"/>
  <c r="AA260" i="2" s="1"/>
  <c r="AB261" i="2"/>
  <c r="AA261" i="2" s="1"/>
  <c r="CP261" i="2" s="1"/>
  <c r="AB262" i="2"/>
  <c r="AA262" i="2" s="1"/>
  <c r="CP262" i="2" s="1"/>
  <c r="AB263" i="2"/>
  <c r="AA263" i="2" s="1"/>
  <c r="CP263" i="2" s="1"/>
  <c r="AB264" i="2"/>
  <c r="AA264" i="2" s="1"/>
  <c r="CP264" i="2" s="1"/>
  <c r="AB265" i="2"/>
  <c r="AA265" i="2" s="1"/>
  <c r="AB266" i="2"/>
  <c r="AA266" i="2" s="1"/>
  <c r="CP266" i="2" s="1"/>
  <c r="AB267" i="2"/>
  <c r="AA267" i="2" s="1"/>
  <c r="CP267" i="2" s="1"/>
  <c r="AB268" i="2"/>
  <c r="AA268" i="2" s="1"/>
  <c r="CP268" i="2" s="1"/>
  <c r="AB269" i="2"/>
  <c r="AA269" i="2" s="1"/>
  <c r="CP269" i="2" s="1"/>
  <c r="AB270" i="2"/>
  <c r="AA270" i="2" s="1"/>
  <c r="CP270" i="2" s="1"/>
  <c r="AB271" i="2"/>
  <c r="AA271" i="2" s="1"/>
  <c r="AB272" i="2"/>
  <c r="AA272" i="2" s="1"/>
  <c r="AB274" i="2"/>
  <c r="AA274" i="2" s="1"/>
  <c r="AB275" i="2"/>
  <c r="AA275" i="2" s="1"/>
  <c r="CP275" i="2" s="1"/>
  <c r="AB276" i="2"/>
  <c r="AA276" i="2" s="1"/>
  <c r="AB277" i="2"/>
  <c r="AA277" i="2" s="1"/>
  <c r="CP277" i="2" s="1"/>
  <c r="AB279" i="2"/>
  <c r="AA279" i="2" s="1"/>
  <c r="CP279" i="2" s="1"/>
  <c r="AB280" i="2"/>
  <c r="AA280" i="2" s="1"/>
  <c r="CP280" i="2" s="1"/>
  <c r="AB281" i="2"/>
  <c r="AA281" i="2" s="1"/>
  <c r="CP281" i="2" s="1"/>
  <c r="AB282" i="2"/>
  <c r="AA282" i="2" s="1"/>
  <c r="AB283" i="2"/>
  <c r="AA283" i="2" s="1"/>
  <c r="CP283" i="2" s="1"/>
  <c r="AB284" i="2"/>
  <c r="AA284" i="2" s="1"/>
  <c r="AB285" i="2"/>
  <c r="AA285" i="2" s="1"/>
  <c r="AB286" i="2"/>
  <c r="AA286" i="2" s="1"/>
  <c r="CP286" i="2" s="1"/>
  <c r="AB287" i="2"/>
  <c r="AA287" i="2" s="1"/>
  <c r="CP287" i="2" s="1"/>
  <c r="AB288" i="2"/>
  <c r="AA288" i="2" s="1"/>
  <c r="CP288" i="2" s="1"/>
  <c r="AB289" i="2"/>
  <c r="AA289" i="2" s="1"/>
  <c r="AB290" i="2"/>
  <c r="AA290" i="2" s="1"/>
  <c r="AB291" i="2"/>
  <c r="AA291" i="2" s="1"/>
  <c r="AB292" i="2"/>
  <c r="AA292" i="2" s="1"/>
  <c r="CP292" i="2" s="1"/>
  <c r="AB293" i="2"/>
  <c r="AA293" i="2" s="1"/>
  <c r="CP293" i="2" s="1"/>
  <c r="AB294" i="2"/>
  <c r="AA294" i="2" s="1"/>
  <c r="AB295" i="2"/>
  <c r="AA295" i="2" s="1"/>
  <c r="CP295" i="2" s="1"/>
  <c r="AB296" i="2"/>
  <c r="AA296" i="2" s="1"/>
  <c r="AB297" i="2"/>
  <c r="AA297" i="2" s="1"/>
  <c r="CP297" i="2" s="1"/>
  <c r="AB298" i="2"/>
  <c r="AA298" i="2" s="1"/>
  <c r="CP298" i="2" s="1"/>
  <c r="AB299" i="2"/>
  <c r="AA299" i="2" s="1"/>
  <c r="CP299" i="2" s="1"/>
  <c r="AB300" i="2"/>
  <c r="AA300" i="2" s="1"/>
  <c r="AB301" i="2"/>
  <c r="AA301" i="2" s="1"/>
  <c r="AB302" i="2"/>
  <c r="AA302" i="2" s="1"/>
  <c r="AB303" i="2"/>
  <c r="AA303" i="2" s="1"/>
  <c r="AB304" i="2"/>
  <c r="AA304" i="2" s="1"/>
  <c r="AB305" i="2"/>
  <c r="AA305" i="2" s="1"/>
  <c r="CP305" i="2" s="1"/>
  <c r="AB306" i="2"/>
  <c r="AA306" i="2" s="1"/>
  <c r="CP306" i="2" s="1"/>
  <c r="AB307" i="2"/>
  <c r="AA307" i="2" s="1"/>
  <c r="AB308" i="2"/>
  <c r="AA308" i="2" s="1"/>
  <c r="CP308" i="2" s="1"/>
  <c r="AB309" i="2"/>
  <c r="AA309" i="2" s="1"/>
  <c r="CP309" i="2" s="1"/>
  <c r="AB310" i="2"/>
  <c r="AA310" i="2" s="1"/>
  <c r="CP310" i="2" s="1"/>
  <c r="AB311" i="2"/>
  <c r="AA311" i="2" s="1"/>
  <c r="CP311" i="2" s="1"/>
  <c r="AB312" i="2"/>
  <c r="AA312" i="2" s="1"/>
  <c r="AB313" i="2"/>
  <c r="AA313" i="2" s="1"/>
  <c r="AB314" i="2"/>
  <c r="AA314" i="2" s="1"/>
  <c r="AB315" i="2"/>
  <c r="AA315" i="2" s="1"/>
  <c r="AB316" i="2"/>
  <c r="AA316" i="2" s="1"/>
  <c r="AB317" i="2"/>
  <c r="AA317" i="2" s="1"/>
  <c r="CP317" i="2" s="1"/>
  <c r="AB318" i="2"/>
  <c r="AA318" i="2" s="1"/>
  <c r="CP318" i="2" s="1"/>
  <c r="AB319" i="2"/>
  <c r="AA319" i="2" s="1"/>
  <c r="AB320" i="2"/>
  <c r="AA320" i="2" s="1"/>
  <c r="AB321" i="2"/>
  <c r="AA321" i="2" s="1"/>
  <c r="CP321" i="2" s="1"/>
  <c r="AB237" i="2"/>
  <c r="AA237" i="2" s="1"/>
  <c r="CP237" i="2" s="1"/>
  <c r="B5" i="2"/>
  <c r="AB5" i="2"/>
  <c r="AB6" i="2"/>
  <c r="AA6" i="2" s="1"/>
  <c r="AB7" i="2"/>
  <c r="AA7" i="2" s="1"/>
  <c r="AB8" i="2"/>
  <c r="AA8" i="2" s="1"/>
  <c r="AB9" i="2"/>
  <c r="AA9" i="2" s="1"/>
  <c r="AB10" i="2"/>
  <c r="AA10" i="2" s="1"/>
  <c r="AB11" i="2"/>
  <c r="AA11" i="2" s="1"/>
  <c r="AB12" i="2"/>
  <c r="AA12" i="2" s="1"/>
  <c r="AB13" i="2"/>
  <c r="AA13" i="2" s="1"/>
  <c r="AB14" i="2"/>
  <c r="AA14" i="2" s="1"/>
  <c r="AB15" i="2"/>
  <c r="AA15" i="2" s="1"/>
  <c r="AB16" i="2"/>
  <c r="AA16" i="2" s="1"/>
  <c r="AB17" i="2"/>
  <c r="AA17" i="2" s="1"/>
  <c r="AB18" i="2"/>
  <c r="AA18" i="2" s="1"/>
  <c r="AB19" i="2"/>
  <c r="AA19" i="2" s="1"/>
  <c r="AB20" i="2"/>
  <c r="AA20" i="2" s="1"/>
  <c r="AB21" i="2"/>
  <c r="AA21" i="2" s="1"/>
  <c r="AB22" i="2"/>
  <c r="AA22" i="2" s="1"/>
  <c r="AB23" i="2"/>
  <c r="AA23" i="2" s="1"/>
  <c r="AB24" i="2"/>
  <c r="AA24" i="2" s="1"/>
  <c r="AB25" i="2"/>
  <c r="AA25" i="2" s="1"/>
  <c r="AB26" i="2"/>
  <c r="AA26" i="2" s="1"/>
  <c r="AB27" i="2"/>
  <c r="AA27" i="2" s="1"/>
  <c r="AB28" i="2"/>
  <c r="AA28" i="2" s="1"/>
  <c r="AB29" i="2"/>
  <c r="AA29" i="2" s="1"/>
  <c r="AB30" i="2"/>
  <c r="AA30" i="2" s="1"/>
  <c r="AB31" i="2"/>
  <c r="AA31" i="2" s="1"/>
  <c r="AB32" i="2"/>
  <c r="AA32" i="2" s="1"/>
  <c r="AB33" i="2"/>
  <c r="AA33" i="2" s="1"/>
  <c r="AB34" i="2"/>
  <c r="AA34" i="2" s="1"/>
  <c r="AB35" i="2"/>
  <c r="AA35" i="2" s="1"/>
  <c r="AB36" i="2"/>
  <c r="AA36" i="2" s="1"/>
  <c r="AB37" i="2"/>
  <c r="AA37" i="2" s="1"/>
  <c r="AB38" i="2"/>
  <c r="AA38" i="2" s="1"/>
  <c r="AB39" i="2"/>
  <c r="AA39" i="2" s="1"/>
  <c r="AB40" i="2"/>
  <c r="AA40" i="2" s="1"/>
  <c r="AB41" i="2"/>
  <c r="AA41" i="2" s="1"/>
  <c r="AB42" i="2"/>
  <c r="AA42" i="2" s="1"/>
  <c r="AB43" i="2"/>
  <c r="AA43" i="2" s="1"/>
  <c r="AB44" i="2"/>
  <c r="AA44" i="2" s="1"/>
  <c r="AB45" i="2"/>
  <c r="AA45" i="2" s="1"/>
  <c r="AB46" i="2"/>
  <c r="AA46" i="2" s="1"/>
  <c r="AB47" i="2"/>
  <c r="AA47" i="2" s="1"/>
  <c r="AB48" i="2"/>
  <c r="AA48" i="2" s="1"/>
  <c r="AB49" i="2"/>
  <c r="AA49" i="2" s="1"/>
  <c r="AB50" i="2"/>
  <c r="AA50" i="2" s="1"/>
  <c r="AB51" i="2"/>
  <c r="AA51" i="2" s="1"/>
  <c r="AB52" i="2"/>
  <c r="AA52" i="2" s="1"/>
  <c r="AB53" i="2"/>
  <c r="AA53" i="2" s="1"/>
  <c r="AB54" i="2"/>
  <c r="AA54" i="2" s="1"/>
  <c r="AB55" i="2"/>
  <c r="AA55" i="2" s="1"/>
  <c r="AB56" i="2"/>
  <c r="AA56" i="2" s="1"/>
  <c r="AB57" i="2"/>
  <c r="AA57" i="2" s="1"/>
  <c r="AB58" i="2"/>
  <c r="AA58" i="2" s="1"/>
  <c r="AB59" i="2"/>
  <c r="AA59" i="2" s="1"/>
  <c r="AB60" i="2"/>
  <c r="AA60" i="2" s="1"/>
  <c r="AB61" i="2"/>
  <c r="AA61" i="2" s="1"/>
  <c r="AB62" i="2"/>
  <c r="AA62" i="2" s="1"/>
  <c r="AB63" i="2"/>
  <c r="AA63" i="2" s="1"/>
  <c r="AB64" i="2"/>
  <c r="AA64" i="2" s="1"/>
  <c r="AB65" i="2"/>
  <c r="AA65" i="2" s="1"/>
  <c r="AB66" i="2"/>
  <c r="AA66" i="2" s="1"/>
  <c r="AB67" i="2"/>
  <c r="AA67" i="2" s="1"/>
  <c r="AB68" i="2"/>
  <c r="AA68" i="2" s="1"/>
  <c r="AB69" i="2"/>
  <c r="AA69" i="2" s="1"/>
  <c r="AB70" i="2"/>
  <c r="AA70" i="2" s="1"/>
  <c r="AB71" i="2"/>
  <c r="AA71" i="2" s="1"/>
  <c r="AB72" i="2"/>
  <c r="AA72" i="2" s="1"/>
  <c r="AB73" i="2"/>
  <c r="AA73" i="2" s="1"/>
  <c r="AB74" i="2"/>
  <c r="AA74" i="2" s="1"/>
  <c r="AB75" i="2"/>
  <c r="AA75" i="2" s="1"/>
  <c r="AB76" i="2"/>
  <c r="AA76" i="2" s="1"/>
  <c r="AB77" i="2"/>
  <c r="AA77" i="2" s="1"/>
  <c r="AB78" i="2"/>
  <c r="AA78" i="2" s="1"/>
  <c r="AB79" i="2"/>
  <c r="AA79" i="2" s="1"/>
  <c r="AB80" i="2"/>
  <c r="AA80" i="2" s="1"/>
  <c r="AB81" i="2"/>
  <c r="AA81" i="2" s="1"/>
  <c r="AB82" i="2"/>
  <c r="AA82" i="2" s="1"/>
  <c r="AB83" i="2"/>
  <c r="AA83" i="2" s="1"/>
  <c r="AB84" i="2"/>
  <c r="AA84" i="2" s="1"/>
  <c r="AB85" i="2"/>
  <c r="AA85" i="2" s="1"/>
  <c r="AB86" i="2"/>
  <c r="AA86" i="2" s="1"/>
  <c r="AB87" i="2"/>
  <c r="AA87" i="2" s="1"/>
  <c r="AB88" i="2"/>
  <c r="AA88" i="2" s="1"/>
  <c r="AB89" i="2"/>
  <c r="AA89" i="2" s="1"/>
  <c r="AB90" i="2"/>
  <c r="AA90" i="2" s="1"/>
  <c r="AB91" i="2"/>
  <c r="AA91" i="2" s="1"/>
  <c r="AB92" i="2"/>
  <c r="AA92" i="2" s="1"/>
  <c r="AB93" i="2"/>
  <c r="AA93" i="2" s="1"/>
  <c r="AB94" i="2"/>
  <c r="AA94" i="2" s="1"/>
  <c r="AB95" i="2"/>
  <c r="AA95" i="2" s="1"/>
  <c r="AB96" i="2"/>
  <c r="AA96" i="2" s="1"/>
  <c r="AB97" i="2"/>
  <c r="AA97" i="2" s="1"/>
  <c r="AB98" i="2"/>
  <c r="AA98" i="2" s="1"/>
  <c r="AB99" i="2"/>
  <c r="AA99" i="2" s="1"/>
  <c r="AB100" i="2"/>
  <c r="AA100" i="2" s="1"/>
  <c r="AB101" i="2"/>
  <c r="AA101" i="2" s="1"/>
  <c r="AB102" i="2"/>
  <c r="AA102" i="2" s="1"/>
  <c r="AB103" i="2"/>
  <c r="AA103" i="2" s="1"/>
  <c r="AB104" i="2"/>
  <c r="AA104" i="2" s="1"/>
  <c r="AB105" i="2"/>
  <c r="AA105" i="2" s="1"/>
  <c r="AB106" i="2"/>
  <c r="AA106" i="2" s="1"/>
  <c r="AB107" i="2"/>
  <c r="AA107" i="2" s="1"/>
  <c r="AB108" i="2"/>
  <c r="AA108" i="2" s="1"/>
  <c r="AB109" i="2"/>
  <c r="AA109" i="2" s="1"/>
  <c r="AB110" i="2"/>
  <c r="AA110" i="2" s="1"/>
  <c r="AB111" i="2"/>
  <c r="AA111" i="2" s="1"/>
  <c r="AB112" i="2"/>
  <c r="AA112" i="2" s="1"/>
  <c r="AB113" i="2"/>
  <c r="AA113" i="2" s="1"/>
  <c r="AB114" i="2"/>
  <c r="AA114" i="2" s="1"/>
  <c r="AB115" i="2"/>
  <c r="AA115" i="2" s="1"/>
  <c r="AB116" i="2"/>
  <c r="AA116" i="2" s="1"/>
  <c r="AB117" i="2"/>
  <c r="AA117" i="2" s="1"/>
  <c r="AB118" i="2"/>
  <c r="AA118" i="2" s="1"/>
  <c r="AB119" i="2"/>
  <c r="AA119" i="2" s="1"/>
  <c r="AB120" i="2"/>
  <c r="AA120" i="2" s="1"/>
  <c r="AB121" i="2"/>
  <c r="AA121" i="2" s="1"/>
  <c r="AB122" i="2"/>
  <c r="AA122" i="2" s="1"/>
  <c r="AB123" i="2"/>
  <c r="AA123" i="2" s="1"/>
  <c r="AB124" i="2"/>
  <c r="AA124" i="2" s="1"/>
  <c r="AB125" i="2"/>
  <c r="AA125" i="2" s="1"/>
  <c r="AB126" i="2"/>
  <c r="AA126" i="2" s="1"/>
  <c r="CP126" i="2" s="1"/>
  <c r="AB127" i="2"/>
  <c r="AA127" i="2" s="1"/>
  <c r="AB128" i="2"/>
  <c r="AA128" i="2" s="1"/>
  <c r="CP128" i="2" s="1"/>
  <c r="AB129" i="2"/>
  <c r="AB130" i="2"/>
  <c r="AB131" i="2"/>
  <c r="AB132" i="2"/>
  <c r="AB133" i="2"/>
  <c r="AB134" i="2"/>
  <c r="AB135" i="2"/>
  <c r="AB136" i="2"/>
  <c r="CP136" i="2" s="1"/>
  <c r="AB137" i="2"/>
  <c r="AB138" i="2"/>
  <c r="AB139" i="2"/>
  <c r="AB140" i="2"/>
  <c r="AB141" i="2"/>
  <c r="AB142" i="2"/>
  <c r="AB143" i="2"/>
  <c r="AB144" i="2"/>
  <c r="AB145" i="2"/>
  <c r="AB146" i="2"/>
  <c r="AB147" i="2"/>
  <c r="AB148" i="2"/>
  <c r="AB149" i="2"/>
  <c r="AB150" i="2"/>
  <c r="CP150" i="2" s="1"/>
  <c r="AB151" i="2"/>
  <c r="CP151" i="2" s="1"/>
  <c r="AB152" i="2"/>
  <c r="AB153" i="2"/>
  <c r="AB154" i="2"/>
  <c r="AB155" i="2"/>
  <c r="AB156" i="2"/>
  <c r="AB157" i="2"/>
  <c r="AB158" i="2"/>
  <c r="AB159" i="2"/>
  <c r="AB160" i="2"/>
  <c r="AB161" i="2"/>
  <c r="AB162" i="2"/>
  <c r="AB163" i="2"/>
  <c r="AB164" i="2"/>
  <c r="AB165" i="2"/>
  <c r="AB166" i="2"/>
  <c r="AB167" i="2"/>
  <c r="CP167" i="2" s="1"/>
  <c r="AB168" i="2"/>
  <c r="CP168" i="2" s="1"/>
  <c r="AB169" i="2"/>
  <c r="CP169" i="2" s="1"/>
  <c r="AB170" i="2"/>
  <c r="CP170" i="2" s="1"/>
  <c r="AB171" i="2"/>
  <c r="CP171" i="2" s="1"/>
  <c r="AB172" i="2"/>
  <c r="AB173" i="2"/>
  <c r="CP173" i="2" s="1"/>
  <c r="AB174" i="2"/>
  <c r="AB175" i="2"/>
  <c r="AB176" i="2"/>
  <c r="AB177" i="2"/>
  <c r="AB178" i="2"/>
  <c r="AB179" i="2"/>
  <c r="AB180" i="2"/>
  <c r="AB181" i="2"/>
  <c r="AB182" i="2"/>
  <c r="AB183" i="2"/>
  <c r="AB184" i="2"/>
  <c r="AB185" i="2"/>
  <c r="AB186" i="2"/>
  <c r="AB187" i="2"/>
  <c r="AB188" i="2"/>
  <c r="CP188" i="2" s="1"/>
  <c r="AB189" i="2"/>
  <c r="AB190" i="2"/>
  <c r="AB191" i="2"/>
  <c r="AB192" i="2"/>
  <c r="AB193" i="2"/>
  <c r="AB194" i="2"/>
  <c r="AB195" i="2"/>
  <c r="AB196" i="2"/>
  <c r="AB197" i="2"/>
  <c r="AB198" i="2"/>
  <c r="AB199" i="2"/>
  <c r="AB200" i="2"/>
  <c r="AB201" i="2"/>
  <c r="AB202" i="2"/>
  <c r="AB203" i="2"/>
  <c r="CP203" i="2" s="1"/>
  <c r="T203" i="2" s="1"/>
  <c r="AB204" i="2"/>
  <c r="CP204" i="2" s="1"/>
  <c r="T204" i="2" s="1"/>
  <c r="AB205" i="2"/>
  <c r="AB206" i="2"/>
  <c r="CP206" i="2" s="1"/>
  <c r="T206" i="2" s="1"/>
  <c r="AB207" i="2"/>
  <c r="CP207" i="2" s="1"/>
  <c r="T207" i="2" s="1"/>
  <c r="AB208" i="2"/>
  <c r="CP208" i="2" s="1"/>
  <c r="AB209" i="2"/>
  <c r="CP209" i="2" s="1"/>
  <c r="T209" i="2" s="1"/>
  <c r="AB210" i="2"/>
  <c r="CP210" i="2" s="1"/>
  <c r="T210" i="2" s="1"/>
  <c r="AB211" i="2"/>
  <c r="AB212" i="2"/>
  <c r="AB213" i="2"/>
  <c r="AB214" i="2"/>
  <c r="AB215" i="2"/>
  <c r="AB216" i="2"/>
  <c r="AB217" i="2"/>
  <c r="AB218" i="2"/>
  <c r="AB219" i="2"/>
  <c r="CP219" i="2" s="1"/>
  <c r="AB220" i="2"/>
  <c r="AB221" i="2"/>
  <c r="AB222" i="2"/>
  <c r="AB223" i="2"/>
  <c r="AA223" i="2" s="1"/>
  <c r="CP223" i="2" s="1"/>
  <c r="AB224" i="2"/>
  <c r="AA224" i="2" s="1"/>
  <c r="CP224" i="2" s="1"/>
  <c r="AB225" i="2"/>
  <c r="AA225" i="2" s="1"/>
  <c r="CP225" i="2" s="1"/>
  <c r="AB226" i="2"/>
  <c r="AA226" i="2" s="1"/>
  <c r="CP226" i="2" s="1"/>
  <c r="AB227" i="2"/>
  <c r="AA227" i="2" s="1"/>
  <c r="CP227" i="2" s="1"/>
  <c r="AB228" i="2"/>
  <c r="AA228" i="2" s="1"/>
  <c r="CP228" i="2" s="1"/>
  <c r="AB229" i="2"/>
  <c r="AB230" i="2"/>
  <c r="AB231" i="2"/>
  <c r="AB232" i="2"/>
  <c r="AB233" i="2"/>
  <c r="AB234" i="2"/>
  <c r="AB235" i="2"/>
  <c r="AB236" i="2"/>
  <c r="AB238" i="2"/>
  <c r="AA238" i="2" s="1"/>
  <c r="CP238" i="2" s="1"/>
  <c r="AB239" i="2"/>
  <c r="AA239" i="2" s="1"/>
  <c r="CP239" i="2" s="1"/>
  <c r="AB240" i="2"/>
  <c r="AA240" i="2" s="1"/>
  <c r="CP240" i="2" s="1"/>
  <c r="AB241" i="2"/>
  <c r="AA241" i="2" s="1"/>
  <c r="CP241" i="2" s="1"/>
  <c r="AB242" i="2"/>
  <c r="AA242" i="2" s="1"/>
  <c r="CP242" i="2" s="1"/>
  <c r="V247" i="2"/>
  <c r="V248" i="2"/>
  <c r="CT5" i="2"/>
  <c r="CT6" i="2"/>
  <c r="CT7" i="2"/>
  <c r="CT8" i="2"/>
  <c r="CT9" i="2"/>
  <c r="CT10" i="2"/>
  <c r="CT11" i="2"/>
  <c r="CT12" i="2"/>
  <c r="CT13" i="2"/>
  <c r="CT14" i="2"/>
  <c r="CT15" i="2"/>
  <c r="CT16" i="2"/>
  <c r="CT17" i="2"/>
  <c r="CT18" i="2"/>
  <c r="CT19" i="2"/>
  <c r="CT20" i="2"/>
  <c r="CT21" i="2"/>
  <c r="CT22" i="2"/>
  <c r="CT23" i="2"/>
  <c r="CT24" i="2"/>
  <c r="CT25" i="2"/>
  <c r="CT26" i="2"/>
  <c r="CT27" i="2"/>
  <c r="CT28" i="2"/>
  <c r="CT29" i="2"/>
  <c r="CT30" i="2"/>
  <c r="CT31" i="2"/>
  <c r="CT32" i="2"/>
  <c r="CT33" i="2"/>
  <c r="CT34" i="2"/>
  <c r="CT35" i="2"/>
  <c r="CT36" i="2"/>
  <c r="CT37" i="2"/>
  <c r="CT38" i="2"/>
  <c r="CT39" i="2"/>
  <c r="CT40" i="2"/>
  <c r="CT41" i="2"/>
  <c r="CT42" i="2"/>
  <c r="CT43" i="2"/>
  <c r="CT44" i="2"/>
  <c r="CT45" i="2"/>
  <c r="CT46" i="2"/>
  <c r="CT47" i="2"/>
  <c r="CT48" i="2"/>
  <c r="CT49" i="2"/>
  <c r="CT50" i="2"/>
  <c r="CT51" i="2"/>
  <c r="CT52" i="2"/>
  <c r="CT53" i="2"/>
  <c r="CT54" i="2"/>
  <c r="CT55" i="2"/>
  <c r="CT56" i="2"/>
  <c r="CT57" i="2"/>
  <c r="CT58" i="2"/>
  <c r="CT59" i="2"/>
  <c r="CT60" i="2"/>
  <c r="CT61" i="2"/>
  <c r="CT62" i="2"/>
  <c r="CT63" i="2"/>
  <c r="CT64" i="2"/>
  <c r="CT65" i="2"/>
  <c r="CT66" i="2"/>
  <c r="CT67" i="2"/>
  <c r="CT68" i="2"/>
  <c r="CT69" i="2"/>
  <c r="CT70" i="2"/>
  <c r="CT71" i="2"/>
  <c r="CT72" i="2"/>
  <c r="CT73" i="2"/>
  <c r="CT74" i="2"/>
  <c r="CT75" i="2"/>
  <c r="CT76" i="2"/>
  <c r="CT77" i="2"/>
  <c r="CT78" i="2"/>
  <c r="CT79" i="2"/>
  <c r="CT80" i="2"/>
  <c r="CT81" i="2"/>
  <c r="CT82" i="2"/>
  <c r="CT83" i="2"/>
  <c r="CT84" i="2"/>
  <c r="CT85" i="2"/>
  <c r="CT86" i="2"/>
  <c r="CT87" i="2"/>
  <c r="CT88" i="2"/>
  <c r="CT89" i="2"/>
  <c r="CT90" i="2"/>
  <c r="CT91" i="2"/>
  <c r="CT92" i="2"/>
  <c r="CT93" i="2"/>
  <c r="CT94" i="2"/>
  <c r="CT95" i="2"/>
  <c r="CT96" i="2"/>
  <c r="CT97" i="2"/>
  <c r="CT98" i="2"/>
  <c r="CT99" i="2"/>
  <c r="CT100" i="2"/>
  <c r="CT101" i="2"/>
  <c r="CT102" i="2"/>
  <c r="CT103" i="2"/>
  <c r="CT104" i="2"/>
  <c r="CT105" i="2"/>
  <c r="CT106" i="2"/>
  <c r="CT107" i="2"/>
  <c r="CT108" i="2"/>
  <c r="CT109" i="2"/>
  <c r="CT110" i="2"/>
  <c r="CT111" i="2"/>
  <c r="CT112" i="2"/>
  <c r="CT113" i="2"/>
  <c r="CT114" i="2"/>
  <c r="CT115" i="2"/>
  <c r="CT116" i="2"/>
  <c r="CT117" i="2"/>
  <c r="CT118" i="2"/>
  <c r="CT119" i="2"/>
  <c r="CT120" i="2"/>
  <c r="CT121" i="2"/>
  <c r="CT122" i="2"/>
  <c r="CT123" i="2"/>
  <c r="CT124" i="2"/>
  <c r="CT125" i="2"/>
  <c r="CT126" i="2"/>
  <c r="CT127" i="2"/>
  <c r="CT128" i="2"/>
  <c r="CT129" i="2"/>
  <c r="CT130" i="2"/>
  <c r="CT131" i="2"/>
  <c r="CT132" i="2"/>
  <c r="CT133" i="2"/>
  <c r="CT134" i="2"/>
  <c r="CT135" i="2"/>
  <c r="CT136" i="2"/>
  <c r="CT137" i="2"/>
  <c r="CT138" i="2"/>
  <c r="CT139" i="2"/>
  <c r="CT140" i="2"/>
  <c r="CT141" i="2"/>
  <c r="CT142" i="2"/>
  <c r="CT143" i="2"/>
  <c r="CT144" i="2"/>
  <c r="CT145" i="2"/>
  <c r="CT146" i="2"/>
  <c r="CT147" i="2"/>
  <c r="CT148" i="2"/>
  <c r="CT149" i="2"/>
  <c r="CT150" i="2"/>
  <c r="CT151" i="2"/>
  <c r="CT152" i="2"/>
  <c r="CT153" i="2"/>
  <c r="CT154" i="2"/>
  <c r="CT155" i="2"/>
  <c r="CT156" i="2"/>
  <c r="CT157" i="2"/>
  <c r="CT158" i="2"/>
  <c r="CT159" i="2"/>
  <c r="CT160" i="2"/>
  <c r="CT161" i="2"/>
  <c r="CT162" i="2"/>
  <c r="CT163" i="2"/>
  <c r="CT164" i="2"/>
  <c r="CT165" i="2"/>
  <c r="CT166" i="2"/>
  <c r="CT167" i="2"/>
  <c r="CT168" i="2"/>
  <c r="CT169" i="2"/>
  <c r="CT170" i="2"/>
  <c r="CT171" i="2"/>
  <c r="CT172" i="2"/>
  <c r="CT173" i="2"/>
  <c r="CT174" i="2"/>
  <c r="CT175" i="2"/>
  <c r="CT176" i="2"/>
  <c r="CT177" i="2"/>
  <c r="CT178" i="2"/>
  <c r="CT179" i="2"/>
  <c r="CT180" i="2"/>
  <c r="CT181" i="2"/>
  <c r="CT182" i="2"/>
  <c r="CT183" i="2"/>
  <c r="CT184" i="2"/>
  <c r="CT185" i="2"/>
  <c r="CT186" i="2"/>
  <c r="CT187" i="2"/>
  <c r="CT188" i="2"/>
  <c r="CT189" i="2"/>
  <c r="CT190" i="2"/>
  <c r="CT191" i="2"/>
  <c r="CT192" i="2"/>
  <c r="CT193" i="2"/>
  <c r="CT194" i="2"/>
  <c r="CT195" i="2"/>
  <c r="CT196" i="2"/>
  <c r="CT197" i="2"/>
  <c r="CT198" i="2"/>
  <c r="CT199" i="2"/>
  <c r="CT200" i="2"/>
  <c r="CT201" i="2"/>
  <c r="CT202" i="2"/>
  <c r="CT203" i="2"/>
  <c r="CT204" i="2"/>
  <c r="CT205" i="2"/>
  <c r="CT206" i="2"/>
  <c r="CT207" i="2"/>
  <c r="CT208" i="2"/>
  <c r="CT209" i="2"/>
  <c r="CT210" i="2"/>
  <c r="CT211" i="2"/>
  <c r="CT212" i="2"/>
  <c r="CT213" i="2"/>
  <c r="CT214" i="2"/>
  <c r="CT215" i="2"/>
  <c r="CT216" i="2"/>
  <c r="CT217" i="2"/>
  <c r="CT218" i="2"/>
  <c r="CT219" i="2"/>
  <c r="CT220" i="2"/>
  <c r="CT221" i="2"/>
  <c r="CT222" i="2"/>
  <c r="CT229" i="2"/>
  <c r="CT230" i="2"/>
  <c r="CT231" i="2"/>
  <c r="CT232" i="2"/>
  <c r="CT233" i="2"/>
  <c r="CT234" i="2"/>
  <c r="CT235" i="2"/>
  <c r="CT236" i="2"/>
  <c r="CT237" i="2"/>
  <c r="CT238" i="2"/>
  <c r="CT239" i="2"/>
  <c r="CT240" i="2"/>
  <c r="CT241" i="2"/>
  <c r="CT242" i="2"/>
  <c r="CT243" i="2"/>
  <c r="CT244" i="2"/>
  <c r="CT245" i="2"/>
  <c r="CT246" i="2"/>
  <c r="CT247" i="2"/>
  <c r="CT248" i="2"/>
  <c r="CT249" i="2"/>
  <c r="CT250" i="2"/>
  <c r="CT251" i="2"/>
  <c r="CT252" i="2"/>
  <c r="CT253" i="2"/>
  <c r="CT254" i="2"/>
  <c r="CT255" i="2"/>
  <c r="CT256" i="2"/>
  <c r="CT257" i="2"/>
  <c r="CT258" i="2"/>
  <c r="CT259" i="2"/>
  <c r="CT260" i="2"/>
  <c r="CT261" i="2"/>
  <c r="CT262" i="2"/>
  <c r="CT263" i="2"/>
  <c r="CT264" i="2"/>
  <c r="CT265" i="2"/>
  <c r="CT266" i="2"/>
  <c r="CT267" i="2"/>
  <c r="CT268" i="2"/>
  <c r="CT269" i="2"/>
  <c r="CT270" i="2"/>
  <c r="CT271" i="2"/>
  <c r="CT272" i="2"/>
  <c r="CT273" i="2"/>
  <c r="CT274" i="2"/>
  <c r="CT275" i="2"/>
  <c r="CT276" i="2"/>
  <c r="CT277" i="2"/>
  <c r="CT278" i="2"/>
  <c r="CT279" i="2"/>
  <c r="CT280" i="2"/>
  <c r="CT281" i="2"/>
  <c r="CT282" i="2"/>
  <c r="CT283" i="2"/>
  <c r="CT284" i="2"/>
  <c r="CT285" i="2"/>
  <c r="CT286" i="2"/>
  <c r="CT287" i="2"/>
  <c r="CT288" i="2"/>
  <c r="CT289" i="2"/>
  <c r="CT290" i="2"/>
  <c r="CT291" i="2"/>
  <c r="CT292" i="2"/>
  <c r="CT293" i="2"/>
  <c r="CT294" i="2"/>
  <c r="CT295" i="2"/>
  <c r="CT296" i="2"/>
  <c r="CT297" i="2"/>
  <c r="CT298" i="2"/>
  <c r="CT299" i="2"/>
  <c r="CT300" i="2"/>
  <c r="CT301" i="2"/>
  <c r="CT302" i="2"/>
  <c r="CT303" i="2"/>
  <c r="CT304" i="2"/>
  <c r="CT305" i="2"/>
  <c r="CT306" i="2"/>
  <c r="CT307" i="2"/>
  <c r="CT308" i="2"/>
  <c r="CT309" i="2"/>
  <c r="CT310" i="2"/>
  <c r="CT311" i="2"/>
  <c r="CT312" i="2"/>
  <c r="CT313" i="2"/>
  <c r="CT314" i="2"/>
  <c r="CT315" i="2"/>
  <c r="CT316" i="2"/>
  <c r="CT317" i="2"/>
  <c r="CT318" i="2"/>
  <c r="CT319" i="2"/>
  <c r="CT320" i="2"/>
  <c r="CT321" i="2"/>
  <c r="CT322" i="2"/>
  <c r="CT323" i="2"/>
  <c r="CT324" i="2"/>
  <c r="CT325" i="2"/>
  <c r="CT326" i="2"/>
  <c r="CT327" i="2"/>
  <c r="CT328" i="2"/>
  <c r="CT329" i="2"/>
  <c r="CT330" i="2"/>
  <c r="CT331" i="2"/>
  <c r="CT332" i="2"/>
  <c r="CT333" i="2"/>
  <c r="CT334" i="2"/>
  <c r="CT335" i="2"/>
  <c r="CT336" i="2"/>
  <c r="CT337" i="2"/>
  <c r="CT338" i="2"/>
  <c r="CT339" i="2"/>
  <c r="CT340" i="2"/>
  <c r="CT341" i="2"/>
  <c r="CT342" i="2"/>
  <c r="CT343" i="2"/>
  <c r="CT344" i="2"/>
  <c r="CS5" i="2"/>
  <c r="CS6" i="2"/>
  <c r="CS7" i="2"/>
  <c r="CS8" i="2"/>
  <c r="CS9" i="2"/>
  <c r="CS10" i="2"/>
  <c r="CS11" i="2"/>
  <c r="CS12" i="2"/>
  <c r="CS13" i="2"/>
  <c r="CS14" i="2"/>
  <c r="CS15" i="2"/>
  <c r="CS16" i="2"/>
  <c r="CS17" i="2"/>
  <c r="CS18" i="2"/>
  <c r="CS19" i="2"/>
  <c r="CS20" i="2"/>
  <c r="CS21" i="2"/>
  <c r="CS22" i="2"/>
  <c r="CS23" i="2"/>
  <c r="CS24" i="2"/>
  <c r="CS25" i="2"/>
  <c r="CS26" i="2"/>
  <c r="CS27" i="2"/>
  <c r="CS28" i="2"/>
  <c r="CS29" i="2"/>
  <c r="CS30" i="2"/>
  <c r="CS31" i="2"/>
  <c r="CS32" i="2"/>
  <c r="CS33" i="2"/>
  <c r="CS34" i="2"/>
  <c r="CS35" i="2"/>
  <c r="CS36" i="2"/>
  <c r="CS37" i="2"/>
  <c r="CS38" i="2"/>
  <c r="CS39" i="2"/>
  <c r="CS40" i="2"/>
  <c r="CS41" i="2"/>
  <c r="CS42" i="2"/>
  <c r="CS43" i="2"/>
  <c r="CS44" i="2"/>
  <c r="CS45" i="2"/>
  <c r="CS46" i="2"/>
  <c r="CS47" i="2"/>
  <c r="CS48" i="2"/>
  <c r="CS49" i="2"/>
  <c r="CS50" i="2"/>
  <c r="CS51" i="2"/>
  <c r="CS52" i="2"/>
  <c r="CS53" i="2"/>
  <c r="CS54" i="2"/>
  <c r="CS55" i="2"/>
  <c r="CS56" i="2"/>
  <c r="CS57" i="2"/>
  <c r="CS58" i="2"/>
  <c r="CS59" i="2"/>
  <c r="CS60" i="2"/>
  <c r="CS61" i="2"/>
  <c r="CS62" i="2"/>
  <c r="CS63" i="2"/>
  <c r="CS64" i="2"/>
  <c r="CS65" i="2"/>
  <c r="CS66" i="2"/>
  <c r="CS67" i="2"/>
  <c r="CS68" i="2"/>
  <c r="CS69" i="2"/>
  <c r="CS70" i="2"/>
  <c r="CS71" i="2"/>
  <c r="CS72" i="2"/>
  <c r="CS73" i="2"/>
  <c r="CS74" i="2"/>
  <c r="CS75" i="2"/>
  <c r="CS76" i="2"/>
  <c r="CS77" i="2"/>
  <c r="CS78" i="2"/>
  <c r="CS79" i="2"/>
  <c r="CS80" i="2"/>
  <c r="CS81" i="2"/>
  <c r="CS82" i="2"/>
  <c r="CS83" i="2"/>
  <c r="CS84" i="2"/>
  <c r="CS85" i="2"/>
  <c r="CS86" i="2"/>
  <c r="CS87" i="2"/>
  <c r="CS88" i="2"/>
  <c r="CS89" i="2"/>
  <c r="CS90" i="2"/>
  <c r="CS91" i="2"/>
  <c r="CS92" i="2"/>
  <c r="CS93" i="2"/>
  <c r="CS94" i="2"/>
  <c r="CS95" i="2"/>
  <c r="CS96" i="2"/>
  <c r="CS97" i="2"/>
  <c r="CS98" i="2"/>
  <c r="CS99" i="2"/>
  <c r="CS100" i="2"/>
  <c r="CS101" i="2"/>
  <c r="CS102" i="2"/>
  <c r="CS103" i="2"/>
  <c r="CS104" i="2"/>
  <c r="CS105" i="2"/>
  <c r="CS106" i="2"/>
  <c r="CS107" i="2"/>
  <c r="CS108" i="2"/>
  <c r="CS109" i="2"/>
  <c r="CS110" i="2"/>
  <c r="CS111" i="2"/>
  <c r="CS112" i="2"/>
  <c r="CS113" i="2"/>
  <c r="CS114" i="2"/>
  <c r="CS115" i="2"/>
  <c r="CS116" i="2"/>
  <c r="CS117" i="2"/>
  <c r="CS118" i="2"/>
  <c r="CS119" i="2"/>
  <c r="CS120" i="2"/>
  <c r="CS121" i="2"/>
  <c r="CS122" i="2"/>
  <c r="CS123" i="2"/>
  <c r="CS124" i="2"/>
  <c r="CS125" i="2"/>
  <c r="CS126" i="2"/>
  <c r="CS127" i="2"/>
  <c r="CS128" i="2"/>
  <c r="CS129" i="2"/>
  <c r="CS130" i="2"/>
  <c r="CS131" i="2"/>
  <c r="CS132" i="2"/>
  <c r="CS133" i="2"/>
  <c r="CS134" i="2"/>
  <c r="CS135" i="2"/>
  <c r="CS136" i="2"/>
  <c r="CS137" i="2"/>
  <c r="CS138" i="2"/>
  <c r="CS139" i="2"/>
  <c r="CS140" i="2"/>
  <c r="CS141" i="2"/>
  <c r="CS142" i="2"/>
  <c r="CS143" i="2"/>
  <c r="CS144" i="2"/>
  <c r="CS145" i="2"/>
  <c r="CS146" i="2"/>
  <c r="CS147" i="2"/>
  <c r="CS148" i="2"/>
  <c r="CS149" i="2"/>
  <c r="CS150" i="2"/>
  <c r="CS151" i="2"/>
  <c r="CS152" i="2"/>
  <c r="CS153" i="2"/>
  <c r="CS154" i="2"/>
  <c r="CS155" i="2"/>
  <c r="CS156" i="2"/>
  <c r="CS157" i="2"/>
  <c r="CS158" i="2"/>
  <c r="CS159" i="2"/>
  <c r="CS160" i="2"/>
  <c r="CS161" i="2"/>
  <c r="CS162" i="2"/>
  <c r="CS163" i="2"/>
  <c r="CS164" i="2"/>
  <c r="CS165" i="2"/>
  <c r="CS166" i="2"/>
  <c r="CS167" i="2"/>
  <c r="CS168" i="2"/>
  <c r="CS169" i="2"/>
  <c r="CS170" i="2"/>
  <c r="CS171" i="2"/>
  <c r="CS172" i="2"/>
  <c r="CS173" i="2"/>
  <c r="CS174" i="2"/>
  <c r="CS175" i="2"/>
  <c r="CS176" i="2"/>
  <c r="CS177" i="2"/>
  <c r="CS178" i="2"/>
  <c r="CS179" i="2"/>
  <c r="CS180" i="2"/>
  <c r="CS181" i="2"/>
  <c r="CS182" i="2"/>
  <c r="CS183" i="2"/>
  <c r="CS184" i="2"/>
  <c r="CS185" i="2"/>
  <c r="CS186" i="2"/>
  <c r="CS187" i="2"/>
  <c r="CS188" i="2"/>
  <c r="CS189" i="2"/>
  <c r="CS190" i="2"/>
  <c r="CS191" i="2"/>
  <c r="CS192" i="2"/>
  <c r="CS193" i="2"/>
  <c r="CS194" i="2"/>
  <c r="CS195" i="2"/>
  <c r="CS196" i="2"/>
  <c r="CS197" i="2"/>
  <c r="CS198" i="2"/>
  <c r="CS199" i="2"/>
  <c r="CS200" i="2"/>
  <c r="CS201" i="2"/>
  <c r="CS202" i="2"/>
  <c r="CS203" i="2"/>
  <c r="CS204" i="2"/>
  <c r="CS205" i="2"/>
  <c r="CS206" i="2"/>
  <c r="CS207" i="2"/>
  <c r="CS208" i="2"/>
  <c r="CS209" i="2"/>
  <c r="CS210" i="2"/>
  <c r="CS211" i="2"/>
  <c r="CS212" i="2"/>
  <c r="CS213" i="2"/>
  <c r="CS214" i="2"/>
  <c r="CS215" i="2"/>
  <c r="CS216" i="2"/>
  <c r="CS217" i="2"/>
  <c r="CS218" i="2"/>
  <c r="CS219" i="2"/>
  <c r="CS220" i="2"/>
  <c r="CS221" i="2"/>
  <c r="CS222" i="2"/>
  <c r="CS229" i="2"/>
  <c r="CS230" i="2"/>
  <c r="CS231" i="2"/>
  <c r="CS232" i="2"/>
  <c r="CS233" i="2"/>
  <c r="CS234" i="2"/>
  <c r="CS235" i="2"/>
  <c r="CS236" i="2"/>
  <c r="CS237" i="2"/>
  <c r="CS238" i="2"/>
  <c r="CS239" i="2"/>
  <c r="CS240" i="2"/>
  <c r="CS241" i="2"/>
  <c r="CS242" i="2"/>
  <c r="CS243" i="2"/>
  <c r="CS244" i="2"/>
  <c r="CS245" i="2"/>
  <c r="CS246" i="2"/>
  <c r="CS247" i="2"/>
  <c r="CS248" i="2"/>
  <c r="CS249" i="2"/>
  <c r="CS250" i="2"/>
  <c r="CS251" i="2"/>
  <c r="CS252" i="2"/>
  <c r="CS253" i="2"/>
  <c r="CS254" i="2"/>
  <c r="CS255" i="2"/>
  <c r="CS256" i="2"/>
  <c r="CS257" i="2"/>
  <c r="CS258" i="2"/>
  <c r="CS259" i="2"/>
  <c r="CS260" i="2"/>
  <c r="CS261" i="2"/>
  <c r="CS262" i="2"/>
  <c r="CS263" i="2"/>
  <c r="CS264" i="2"/>
  <c r="CS265" i="2"/>
  <c r="CS266" i="2"/>
  <c r="CS267" i="2"/>
  <c r="CS268" i="2"/>
  <c r="CS269" i="2"/>
  <c r="CS270" i="2"/>
  <c r="CS271" i="2"/>
  <c r="CS272" i="2"/>
  <c r="CS273" i="2"/>
  <c r="CS274" i="2"/>
  <c r="CS275" i="2"/>
  <c r="CS276" i="2"/>
  <c r="CS277" i="2"/>
  <c r="CS278" i="2"/>
  <c r="CS279" i="2"/>
  <c r="CS280" i="2"/>
  <c r="CS281" i="2"/>
  <c r="CS282" i="2"/>
  <c r="CS283" i="2"/>
  <c r="CS284" i="2"/>
  <c r="CS285" i="2"/>
  <c r="CS286" i="2"/>
  <c r="CS287" i="2"/>
  <c r="CS288" i="2"/>
  <c r="CS289" i="2"/>
  <c r="CS290" i="2"/>
  <c r="CS291" i="2"/>
  <c r="CS292" i="2"/>
  <c r="CS293" i="2"/>
  <c r="CS294" i="2"/>
  <c r="CS295" i="2"/>
  <c r="CS296" i="2"/>
  <c r="CS297" i="2"/>
  <c r="CS298" i="2"/>
  <c r="CS299" i="2"/>
  <c r="CS300" i="2"/>
  <c r="CS301" i="2"/>
  <c r="CS302" i="2"/>
  <c r="CS303" i="2"/>
  <c r="CS304" i="2"/>
  <c r="CS305" i="2"/>
  <c r="CS306" i="2"/>
  <c r="CS307" i="2"/>
  <c r="CS308" i="2"/>
  <c r="CS309" i="2"/>
  <c r="CS310" i="2"/>
  <c r="CS311" i="2"/>
  <c r="CS312" i="2"/>
  <c r="CS313" i="2"/>
  <c r="CS314" i="2"/>
  <c r="CS315" i="2"/>
  <c r="CS316" i="2"/>
  <c r="CS317" i="2"/>
  <c r="CS318" i="2"/>
  <c r="CS319" i="2"/>
  <c r="CS320" i="2"/>
  <c r="CS321" i="2"/>
  <c r="CS322" i="2"/>
  <c r="CS323" i="2"/>
  <c r="CS324" i="2"/>
  <c r="CS325" i="2"/>
  <c r="CS326" i="2"/>
  <c r="CS327" i="2"/>
  <c r="CS328" i="2"/>
  <c r="CS329" i="2"/>
  <c r="CS330" i="2"/>
  <c r="CS331" i="2"/>
  <c r="CS332" i="2"/>
  <c r="CS333" i="2"/>
  <c r="CS334" i="2"/>
  <c r="CS335" i="2"/>
  <c r="CS336" i="2"/>
  <c r="CS337" i="2"/>
  <c r="CS338" i="2"/>
  <c r="CS339" i="2"/>
  <c r="CS340" i="2"/>
  <c r="CS341" i="2"/>
  <c r="CS342" i="2"/>
  <c r="CS343" i="2"/>
  <c r="CS344" i="2"/>
  <c r="CR5" i="2"/>
  <c r="CR6" i="2"/>
  <c r="CR7" i="2"/>
  <c r="CR8" i="2"/>
  <c r="CR9" i="2"/>
  <c r="CR10" i="2"/>
  <c r="CR11" i="2"/>
  <c r="CR12" i="2"/>
  <c r="CR13" i="2"/>
  <c r="CR14" i="2"/>
  <c r="CR15" i="2"/>
  <c r="CR16" i="2"/>
  <c r="CR17" i="2"/>
  <c r="CR18" i="2"/>
  <c r="CR19" i="2"/>
  <c r="CR20" i="2"/>
  <c r="CR21" i="2"/>
  <c r="CR22" i="2"/>
  <c r="CR23" i="2"/>
  <c r="CR24" i="2"/>
  <c r="CR25" i="2"/>
  <c r="CR26" i="2"/>
  <c r="CR27" i="2"/>
  <c r="CR28" i="2"/>
  <c r="CR29" i="2"/>
  <c r="CR30" i="2"/>
  <c r="CR31" i="2"/>
  <c r="CR32" i="2"/>
  <c r="CR33" i="2"/>
  <c r="CR34" i="2"/>
  <c r="CR35" i="2"/>
  <c r="CR36" i="2"/>
  <c r="CR37" i="2"/>
  <c r="CR38" i="2"/>
  <c r="CR39" i="2"/>
  <c r="CR40" i="2"/>
  <c r="CR41" i="2"/>
  <c r="CR42" i="2"/>
  <c r="CR43" i="2"/>
  <c r="CR44" i="2"/>
  <c r="CR45" i="2"/>
  <c r="CR46" i="2"/>
  <c r="CR47" i="2"/>
  <c r="CR48" i="2"/>
  <c r="CR49" i="2"/>
  <c r="CR50" i="2"/>
  <c r="CR51" i="2"/>
  <c r="CR52" i="2"/>
  <c r="CR53" i="2"/>
  <c r="CR54" i="2"/>
  <c r="CR55" i="2"/>
  <c r="CR56" i="2"/>
  <c r="CR57" i="2"/>
  <c r="CR58" i="2"/>
  <c r="CR59" i="2"/>
  <c r="CR60" i="2"/>
  <c r="CR61" i="2"/>
  <c r="CR62" i="2"/>
  <c r="CR63" i="2"/>
  <c r="CR64" i="2"/>
  <c r="CR65" i="2"/>
  <c r="CR66" i="2"/>
  <c r="CR67" i="2"/>
  <c r="CR68" i="2"/>
  <c r="CR69" i="2"/>
  <c r="CR70" i="2"/>
  <c r="CR71" i="2"/>
  <c r="CR72" i="2"/>
  <c r="CR73" i="2"/>
  <c r="CR74" i="2"/>
  <c r="CR75" i="2"/>
  <c r="CR76" i="2"/>
  <c r="CR77" i="2"/>
  <c r="CR78" i="2"/>
  <c r="CR79" i="2"/>
  <c r="CR80" i="2"/>
  <c r="CR81" i="2"/>
  <c r="CR82" i="2"/>
  <c r="CR83" i="2"/>
  <c r="CR84" i="2"/>
  <c r="CR85" i="2"/>
  <c r="CR86" i="2"/>
  <c r="CR87" i="2"/>
  <c r="CR88" i="2"/>
  <c r="CR89" i="2"/>
  <c r="CR90" i="2"/>
  <c r="CR91" i="2"/>
  <c r="CR92" i="2"/>
  <c r="CR93" i="2"/>
  <c r="CR94" i="2"/>
  <c r="CR95" i="2"/>
  <c r="CR96" i="2"/>
  <c r="CR97" i="2"/>
  <c r="CR98" i="2"/>
  <c r="CR99" i="2"/>
  <c r="CR100" i="2"/>
  <c r="CR101" i="2"/>
  <c r="CR102" i="2"/>
  <c r="CR103" i="2"/>
  <c r="CR104" i="2"/>
  <c r="CR105" i="2"/>
  <c r="CR106" i="2"/>
  <c r="CR107" i="2"/>
  <c r="CR108" i="2"/>
  <c r="CR109" i="2"/>
  <c r="CR110" i="2"/>
  <c r="CR111" i="2"/>
  <c r="CR112" i="2"/>
  <c r="CR113" i="2"/>
  <c r="CR114" i="2"/>
  <c r="CR115" i="2"/>
  <c r="CR116" i="2"/>
  <c r="CR117" i="2"/>
  <c r="CR118" i="2"/>
  <c r="CR119" i="2"/>
  <c r="CR120" i="2"/>
  <c r="CR121" i="2"/>
  <c r="CR122" i="2"/>
  <c r="CR123" i="2"/>
  <c r="CR124" i="2"/>
  <c r="CR125" i="2"/>
  <c r="CR126" i="2"/>
  <c r="CR127" i="2"/>
  <c r="CR128" i="2"/>
  <c r="CR129" i="2"/>
  <c r="CR130" i="2"/>
  <c r="CR131" i="2"/>
  <c r="CR132" i="2"/>
  <c r="CR133" i="2"/>
  <c r="CR134" i="2"/>
  <c r="CR135" i="2"/>
  <c r="CR136" i="2"/>
  <c r="CR137" i="2"/>
  <c r="CR138" i="2"/>
  <c r="CR139" i="2"/>
  <c r="CR140" i="2"/>
  <c r="CR141" i="2"/>
  <c r="CR142" i="2"/>
  <c r="CR143" i="2"/>
  <c r="CR144" i="2"/>
  <c r="CR145" i="2"/>
  <c r="CR146" i="2"/>
  <c r="CR147" i="2"/>
  <c r="CR148" i="2"/>
  <c r="CR149" i="2"/>
  <c r="CR150" i="2"/>
  <c r="CR151" i="2"/>
  <c r="CR152" i="2"/>
  <c r="CR153" i="2"/>
  <c r="CR154" i="2"/>
  <c r="CR155" i="2"/>
  <c r="CR156" i="2"/>
  <c r="CR157" i="2"/>
  <c r="CR158" i="2"/>
  <c r="CR159" i="2"/>
  <c r="CR160" i="2"/>
  <c r="CR161" i="2"/>
  <c r="CR162" i="2"/>
  <c r="CR163" i="2"/>
  <c r="CR164" i="2"/>
  <c r="CR165" i="2"/>
  <c r="CR166" i="2"/>
  <c r="CR167" i="2"/>
  <c r="CR168" i="2"/>
  <c r="CR169" i="2"/>
  <c r="CR170" i="2"/>
  <c r="CR171" i="2"/>
  <c r="CR172" i="2"/>
  <c r="CR173" i="2"/>
  <c r="CR174" i="2"/>
  <c r="CR175" i="2"/>
  <c r="CR176" i="2"/>
  <c r="CR177" i="2"/>
  <c r="CR178" i="2"/>
  <c r="CR179" i="2"/>
  <c r="CR180" i="2"/>
  <c r="CR181" i="2"/>
  <c r="CR182" i="2"/>
  <c r="CR183" i="2"/>
  <c r="CR184" i="2"/>
  <c r="CR185" i="2"/>
  <c r="CR186" i="2"/>
  <c r="CR187" i="2"/>
  <c r="CR188" i="2"/>
  <c r="CR189" i="2"/>
  <c r="CR190" i="2"/>
  <c r="CR191" i="2"/>
  <c r="CR192" i="2"/>
  <c r="CR193" i="2"/>
  <c r="CR194" i="2"/>
  <c r="CR195" i="2"/>
  <c r="CR196" i="2"/>
  <c r="CR197" i="2"/>
  <c r="CR198" i="2"/>
  <c r="CR199" i="2"/>
  <c r="CR200" i="2"/>
  <c r="CR201" i="2"/>
  <c r="CR202" i="2"/>
  <c r="CR203" i="2"/>
  <c r="CR204" i="2"/>
  <c r="CR205" i="2"/>
  <c r="CR206" i="2"/>
  <c r="CR207" i="2"/>
  <c r="CR208" i="2"/>
  <c r="CR209" i="2"/>
  <c r="CR210" i="2"/>
  <c r="CR211" i="2"/>
  <c r="CR212" i="2"/>
  <c r="CR213" i="2"/>
  <c r="CR214" i="2"/>
  <c r="CR215" i="2"/>
  <c r="CR216" i="2"/>
  <c r="CR217" i="2"/>
  <c r="CR218" i="2"/>
  <c r="CR219" i="2"/>
  <c r="CR220" i="2"/>
  <c r="CR221" i="2"/>
  <c r="CR222" i="2"/>
  <c r="CR229" i="2"/>
  <c r="CR230" i="2"/>
  <c r="CR231" i="2"/>
  <c r="CR232" i="2"/>
  <c r="CR233" i="2"/>
  <c r="CR234" i="2"/>
  <c r="CR235" i="2"/>
  <c r="CR236" i="2"/>
  <c r="CR237" i="2"/>
  <c r="CR238" i="2"/>
  <c r="CR239" i="2"/>
  <c r="CR240" i="2"/>
  <c r="CR241" i="2"/>
  <c r="CR242" i="2"/>
  <c r="CR243" i="2"/>
  <c r="CR244" i="2"/>
  <c r="CR245" i="2"/>
  <c r="CR246" i="2"/>
  <c r="CR247" i="2"/>
  <c r="CR248" i="2"/>
  <c r="CR249" i="2"/>
  <c r="CR250" i="2"/>
  <c r="CR251" i="2"/>
  <c r="CR252" i="2"/>
  <c r="CR253" i="2"/>
  <c r="CR254" i="2"/>
  <c r="CR255" i="2"/>
  <c r="CR256" i="2"/>
  <c r="CR257" i="2"/>
  <c r="CR258" i="2"/>
  <c r="CR259" i="2"/>
  <c r="CR260" i="2"/>
  <c r="CR261" i="2"/>
  <c r="CR262" i="2"/>
  <c r="CR263" i="2"/>
  <c r="CR264" i="2"/>
  <c r="CR265" i="2"/>
  <c r="CR266" i="2"/>
  <c r="CR267" i="2"/>
  <c r="CR268" i="2"/>
  <c r="CR269" i="2"/>
  <c r="CR270" i="2"/>
  <c r="CR271" i="2"/>
  <c r="CR272" i="2"/>
  <c r="CR273" i="2"/>
  <c r="CR274" i="2"/>
  <c r="CR275" i="2"/>
  <c r="CR276" i="2"/>
  <c r="CR277" i="2"/>
  <c r="CR278" i="2"/>
  <c r="CR279" i="2"/>
  <c r="CR280" i="2"/>
  <c r="CR281" i="2"/>
  <c r="CR282" i="2"/>
  <c r="CR283" i="2"/>
  <c r="CR284" i="2"/>
  <c r="CR285" i="2"/>
  <c r="CR286" i="2"/>
  <c r="CR287" i="2"/>
  <c r="CR288" i="2"/>
  <c r="CR289" i="2"/>
  <c r="CR290" i="2"/>
  <c r="CR291" i="2"/>
  <c r="CR292" i="2"/>
  <c r="CR294" i="2"/>
  <c r="CR295" i="2"/>
  <c r="CR296" i="2"/>
  <c r="CR297" i="2"/>
  <c r="CR298" i="2"/>
  <c r="CR299" i="2"/>
  <c r="CR300" i="2"/>
  <c r="CR301" i="2"/>
  <c r="CR302" i="2"/>
  <c r="CR303" i="2"/>
  <c r="CR304" i="2"/>
  <c r="CR305" i="2"/>
  <c r="CR306" i="2"/>
  <c r="CR307" i="2"/>
  <c r="CR308" i="2"/>
  <c r="CR309" i="2"/>
  <c r="CR310" i="2"/>
  <c r="CR311" i="2"/>
  <c r="CR312" i="2"/>
  <c r="CR313" i="2"/>
  <c r="CR314" i="2"/>
  <c r="CR315" i="2"/>
  <c r="CR316" i="2"/>
  <c r="CR317" i="2"/>
  <c r="CR318" i="2"/>
  <c r="CR322" i="2"/>
  <c r="CR327" i="2"/>
  <c r="CR328" i="2"/>
  <c r="CR329" i="2"/>
  <c r="CR330" i="2"/>
  <c r="CR331" i="2"/>
  <c r="CR332" i="2"/>
  <c r="CR333" i="2"/>
  <c r="CR334" i="2"/>
  <c r="CR335" i="2"/>
  <c r="CR336" i="2"/>
  <c r="CR337" i="2"/>
  <c r="CR338" i="2"/>
  <c r="CR339" i="2"/>
  <c r="CR340" i="2"/>
  <c r="CR341" i="2"/>
  <c r="CR342" i="2"/>
  <c r="CR343" i="2"/>
  <c r="CR344" i="2"/>
  <c r="CQ5" i="2"/>
  <c r="CQ6" i="2"/>
  <c r="CQ7" i="2"/>
  <c r="CQ8" i="2"/>
  <c r="CQ9" i="2"/>
  <c r="CQ10" i="2"/>
  <c r="CQ11" i="2"/>
  <c r="CQ12" i="2"/>
  <c r="CQ13" i="2"/>
  <c r="CQ14" i="2"/>
  <c r="CQ15" i="2"/>
  <c r="CQ16" i="2"/>
  <c r="CQ17" i="2"/>
  <c r="CQ18" i="2"/>
  <c r="CQ19" i="2"/>
  <c r="CQ20" i="2"/>
  <c r="CQ21" i="2"/>
  <c r="CQ22" i="2"/>
  <c r="CQ23" i="2"/>
  <c r="CQ24" i="2"/>
  <c r="CQ25" i="2"/>
  <c r="CQ26" i="2"/>
  <c r="CQ27" i="2"/>
  <c r="CQ28" i="2"/>
  <c r="CQ29" i="2"/>
  <c r="CQ30" i="2"/>
  <c r="CQ31" i="2"/>
  <c r="CQ32" i="2"/>
  <c r="CQ33" i="2"/>
  <c r="CQ34" i="2"/>
  <c r="CQ35" i="2"/>
  <c r="CQ36" i="2"/>
  <c r="CQ37" i="2"/>
  <c r="CQ38" i="2"/>
  <c r="CQ39" i="2"/>
  <c r="CQ40" i="2"/>
  <c r="CQ41" i="2"/>
  <c r="CQ42" i="2"/>
  <c r="CQ43" i="2"/>
  <c r="CQ44" i="2"/>
  <c r="CQ45" i="2"/>
  <c r="CQ46" i="2"/>
  <c r="CQ47" i="2"/>
  <c r="CQ48" i="2"/>
  <c r="CQ49" i="2"/>
  <c r="CQ50" i="2"/>
  <c r="CQ51" i="2"/>
  <c r="CQ52" i="2"/>
  <c r="CQ53" i="2"/>
  <c r="CQ54" i="2"/>
  <c r="CQ55" i="2"/>
  <c r="CQ56" i="2"/>
  <c r="CQ57" i="2"/>
  <c r="CQ58" i="2"/>
  <c r="CQ59" i="2"/>
  <c r="CQ60" i="2"/>
  <c r="CQ61" i="2"/>
  <c r="CQ62" i="2"/>
  <c r="CQ63" i="2"/>
  <c r="CQ64" i="2"/>
  <c r="CQ65" i="2"/>
  <c r="CQ66" i="2"/>
  <c r="CQ67" i="2"/>
  <c r="CQ68" i="2"/>
  <c r="CQ69" i="2"/>
  <c r="CQ70" i="2"/>
  <c r="CQ71" i="2"/>
  <c r="CQ72" i="2"/>
  <c r="CQ73" i="2"/>
  <c r="CQ74" i="2"/>
  <c r="CQ75" i="2"/>
  <c r="CQ76" i="2"/>
  <c r="CQ77" i="2"/>
  <c r="CQ78" i="2"/>
  <c r="CQ79" i="2"/>
  <c r="CQ80" i="2"/>
  <c r="CQ81" i="2"/>
  <c r="CQ82" i="2"/>
  <c r="CQ83" i="2"/>
  <c r="CQ84" i="2"/>
  <c r="CQ85" i="2"/>
  <c r="CQ86" i="2"/>
  <c r="CQ87" i="2"/>
  <c r="CQ88" i="2"/>
  <c r="CQ89" i="2"/>
  <c r="CQ90" i="2"/>
  <c r="CQ91" i="2"/>
  <c r="CQ92" i="2"/>
  <c r="CQ93" i="2"/>
  <c r="CQ94" i="2"/>
  <c r="CQ95" i="2"/>
  <c r="CQ96" i="2"/>
  <c r="CQ97" i="2"/>
  <c r="CQ98" i="2"/>
  <c r="CQ99" i="2"/>
  <c r="CQ100" i="2"/>
  <c r="CQ101" i="2"/>
  <c r="CQ102" i="2"/>
  <c r="CQ103" i="2"/>
  <c r="CQ104" i="2"/>
  <c r="CQ105" i="2"/>
  <c r="CQ106" i="2"/>
  <c r="CQ107" i="2"/>
  <c r="CQ108" i="2"/>
  <c r="CQ109" i="2"/>
  <c r="CQ110" i="2"/>
  <c r="CQ111" i="2"/>
  <c r="CQ112" i="2"/>
  <c r="CQ113" i="2"/>
  <c r="CQ114" i="2"/>
  <c r="CQ115" i="2"/>
  <c r="CQ116" i="2"/>
  <c r="CQ117" i="2"/>
  <c r="CQ118" i="2"/>
  <c r="CQ119" i="2"/>
  <c r="CQ120" i="2"/>
  <c r="CQ121" i="2"/>
  <c r="CQ122" i="2"/>
  <c r="CQ123" i="2"/>
  <c r="CQ124" i="2"/>
  <c r="CQ125" i="2"/>
  <c r="CQ126" i="2"/>
  <c r="CQ127" i="2"/>
  <c r="CQ128" i="2"/>
  <c r="CQ129" i="2"/>
  <c r="CQ130" i="2"/>
  <c r="CQ131" i="2"/>
  <c r="CQ132" i="2"/>
  <c r="CQ133" i="2"/>
  <c r="CQ134" i="2"/>
  <c r="CQ135" i="2"/>
  <c r="CQ136" i="2"/>
  <c r="CQ137" i="2"/>
  <c r="CQ138" i="2"/>
  <c r="CQ139" i="2"/>
  <c r="CQ140" i="2"/>
  <c r="CQ141" i="2"/>
  <c r="CQ142" i="2"/>
  <c r="CQ143" i="2"/>
  <c r="CQ144" i="2"/>
  <c r="CQ145" i="2"/>
  <c r="CQ146" i="2"/>
  <c r="CQ147" i="2"/>
  <c r="CQ148" i="2"/>
  <c r="CQ149" i="2"/>
  <c r="CQ150" i="2"/>
  <c r="CQ151" i="2"/>
  <c r="CQ152" i="2"/>
  <c r="CQ153" i="2"/>
  <c r="CQ154" i="2"/>
  <c r="CQ155" i="2"/>
  <c r="CQ156" i="2"/>
  <c r="CQ157" i="2"/>
  <c r="CQ158" i="2"/>
  <c r="CQ159" i="2"/>
  <c r="CQ160" i="2"/>
  <c r="CQ161" i="2"/>
  <c r="CQ162" i="2"/>
  <c r="CQ163" i="2"/>
  <c r="CQ164" i="2"/>
  <c r="CQ165" i="2"/>
  <c r="CQ166" i="2"/>
  <c r="CQ167" i="2"/>
  <c r="CQ168" i="2"/>
  <c r="CQ169" i="2"/>
  <c r="CQ170" i="2"/>
  <c r="CQ171" i="2"/>
  <c r="CQ172" i="2"/>
  <c r="CQ173" i="2"/>
  <c r="CQ174" i="2"/>
  <c r="CQ175" i="2"/>
  <c r="CQ176" i="2"/>
  <c r="CQ177" i="2"/>
  <c r="CQ178" i="2"/>
  <c r="CQ179" i="2"/>
  <c r="CQ180" i="2"/>
  <c r="CQ181" i="2"/>
  <c r="CQ182" i="2"/>
  <c r="CQ183" i="2"/>
  <c r="CQ184" i="2"/>
  <c r="CQ185" i="2"/>
  <c r="CQ186" i="2"/>
  <c r="CQ187" i="2"/>
  <c r="CQ188" i="2"/>
  <c r="CQ189" i="2"/>
  <c r="CQ190" i="2"/>
  <c r="CQ191" i="2"/>
  <c r="CQ192" i="2"/>
  <c r="CQ193" i="2"/>
  <c r="CQ194" i="2"/>
  <c r="CQ195" i="2"/>
  <c r="CQ196" i="2"/>
  <c r="CQ197" i="2"/>
  <c r="CQ198" i="2"/>
  <c r="CQ199" i="2"/>
  <c r="CQ200" i="2"/>
  <c r="CQ201" i="2"/>
  <c r="CQ202" i="2"/>
  <c r="CQ203" i="2"/>
  <c r="CQ204" i="2"/>
  <c r="CQ205" i="2"/>
  <c r="CQ206" i="2"/>
  <c r="CQ207" i="2"/>
  <c r="CQ208" i="2"/>
  <c r="CQ209" i="2"/>
  <c r="CQ210" i="2"/>
  <c r="CQ211" i="2"/>
  <c r="CQ212" i="2"/>
  <c r="CQ213" i="2"/>
  <c r="CQ214" i="2"/>
  <c r="CQ215" i="2"/>
  <c r="CQ216" i="2"/>
  <c r="CQ217" i="2"/>
  <c r="CQ218" i="2"/>
  <c r="CQ219" i="2"/>
  <c r="CQ220" i="2"/>
  <c r="CQ221" i="2"/>
  <c r="CQ222" i="2"/>
  <c r="CQ229" i="2"/>
  <c r="CQ230" i="2"/>
  <c r="CQ231" i="2"/>
  <c r="CQ232" i="2"/>
  <c r="CQ233" i="2"/>
  <c r="CQ234" i="2"/>
  <c r="CQ235" i="2"/>
  <c r="CQ236" i="2"/>
  <c r="CQ237" i="2"/>
  <c r="CQ238" i="2"/>
  <c r="CQ239" i="2"/>
  <c r="CQ240" i="2"/>
  <c r="CQ241" i="2"/>
  <c r="CQ242" i="2"/>
  <c r="CQ243" i="2"/>
  <c r="CQ244" i="2"/>
  <c r="CQ245" i="2"/>
  <c r="CQ246" i="2"/>
  <c r="CQ247" i="2"/>
  <c r="CQ248" i="2"/>
  <c r="CQ249" i="2"/>
  <c r="CQ250" i="2"/>
  <c r="CQ251" i="2"/>
  <c r="CQ252" i="2"/>
  <c r="CQ253" i="2"/>
  <c r="CQ254" i="2"/>
  <c r="CQ255" i="2"/>
  <c r="CQ256" i="2"/>
  <c r="CQ257" i="2"/>
  <c r="CQ258" i="2"/>
  <c r="CQ259" i="2"/>
  <c r="CQ260" i="2"/>
  <c r="CQ261" i="2"/>
  <c r="CQ262" i="2"/>
  <c r="CQ263" i="2"/>
  <c r="CQ264" i="2"/>
  <c r="CQ265" i="2"/>
  <c r="CQ266" i="2"/>
  <c r="CQ267" i="2"/>
  <c r="CQ276" i="2"/>
  <c r="CQ277" i="2"/>
  <c r="CQ278" i="2"/>
  <c r="CQ279" i="2"/>
  <c r="CQ280" i="2"/>
  <c r="CQ281" i="2"/>
  <c r="CQ282" i="2"/>
  <c r="CQ283" i="2"/>
  <c r="CQ284" i="2"/>
  <c r="CQ285" i="2"/>
  <c r="CQ286" i="2"/>
  <c r="CQ287" i="2"/>
  <c r="CQ288" i="2"/>
  <c r="CQ289" i="2"/>
  <c r="CQ290" i="2"/>
  <c r="CQ291" i="2"/>
  <c r="CQ292" i="2"/>
  <c r="CQ293" i="2"/>
  <c r="CQ294" i="2"/>
  <c r="CQ295" i="2"/>
  <c r="CQ296" i="2"/>
  <c r="CQ297" i="2"/>
  <c r="CQ298" i="2"/>
  <c r="CQ299" i="2"/>
  <c r="CQ300" i="2"/>
  <c r="CQ301" i="2"/>
  <c r="CQ302" i="2"/>
  <c r="CQ303" i="2"/>
  <c r="CQ304" i="2"/>
  <c r="CQ305" i="2"/>
  <c r="CQ306" i="2"/>
  <c r="CQ307" i="2"/>
  <c r="CQ308" i="2"/>
  <c r="CQ309" i="2"/>
  <c r="CQ310" i="2"/>
  <c r="CQ311" i="2"/>
  <c r="CQ312" i="2"/>
  <c r="CQ313" i="2"/>
  <c r="CQ314" i="2"/>
  <c r="CQ315" i="2"/>
  <c r="CQ316" i="2"/>
  <c r="CQ317" i="2"/>
  <c r="CQ318" i="2"/>
  <c r="CQ319" i="2"/>
  <c r="CQ320" i="2"/>
  <c r="CQ321" i="2"/>
  <c r="CQ322" i="2"/>
  <c r="CQ323" i="2"/>
  <c r="CQ324" i="2"/>
  <c r="CQ325" i="2"/>
  <c r="CQ326" i="2"/>
  <c r="CQ327" i="2"/>
  <c r="CQ328" i="2"/>
  <c r="CQ329" i="2"/>
  <c r="CQ330" i="2"/>
  <c r="CQ331" i="2"/>
  <c r="CQ332" i="2"/>
  <c r="CQ333" i="2"/>
  <c r="CQ334" i="2"/>
  <c r="CQ335" i="2"/>
  <c r="CQ336" i="2"/>
  <c r="CQ337" i="2"/>
  <c r="CQ338" i="2"/>
  <c r="CQ339" i="2"/>
  <c r="CQ340" i="2"/>
  <c r="CQ341" i="2"/>
  <c r="CQ342" i="2"/>
  <c r="CQ343" i="2"/>
  <c r="CQ344" i="2"/>
  <c r="CH3" i="2"/>
  <c r="CE3" i="2"/>
  <c r="CF3" i="2"/>
  <c r="CG3" i="2"/>
  <c r="FT5" i="2"/>
  <c r="FT6" i="2"/>
  <c r="FT7" i="2"/>
  <c r="FT8" i="2"/>
  <c r="FT9" i="2"/>
  <c r="FT10" i="2"/>
  <c r="FT11" i="2"/>
  <c r="FT12" i="2"/>
  <c r="FT13" i="2"/>
  <c r="FT14" i="2"/>
  <c r="FT15" i="2"/>
  <c r="FT16" i="2"/>
  <c r="FT17" i="2"/>
  <c r="FT18" i="2"/>
  <c r="FT19" i="2"/>
  <c r="FT20" i="2"/>
  <c r="FT21" i="2"/>
  <c r="FT22" i="2"/>
  <c r="FT23" i="2"/>
  <c r="FT24" i="2"/>
  <c r="FT25" i="2"/>
  <c r="FT26" i="2"/>
  <c r="FT27" i="2"/>
  <c r="FT28" i="2"/>
  <c r="FT29" i="2"/>
  <c r="FT30" i="2"/>
  <c r="FT31" i="2"/>
  <c r="FT32" i="2"/>
  <c r="FT33" i="2"/>
  <c r="FT34" i="2"/>
  <c r="FT35" i="2"/>
  <c r="FT36" i="2"/>
  <c r="FT37" i="2"/>
  <c r="FT38" i="2"/>
  <c r="FT39" i="2"/>
  <c r="FT40" i="2"/>
  <c r="FT41" i="2"/>
  <c r="FT42" i="2"/>
  <c r="FT43" i="2"/>
  <c r="FT44" i="2"/>
  <c r="FT45" i="2"/>
  <c r="FT46" i="2"/>
  <c r="FT47" i="2"/>
  <c r="FT48" i="2"/>
  <c r="FT49" i="2"/>
  <c r="FT50" i="2"/>
  <c r="FT51" i="2"/>
  <c r="FT52" i="2"/>
  <c r="FT53" i="2"/>
  <c r="FT54" i="2"/>
  <c r="FT55" i="2"/>
  <c r="FT56" i="2"/>
  <c r="FT57" i="2"/>
  <c r="FT58" i="2"/>
  <c r="FT59" i="2"/>
  <c r="FT60" i="2"/>
  <c r="FT61" i="2"/>
  <c r="FT62" i="2"/>
  <c r="FT63" i="2"/>
  <c r="FT64" i="2"/>
  <c r="FT65" i="2"/>
  <c r="FT66" i="2"/>
  <c r="FT67" i="2"/>
  <c r="FT68" i="2"/>
  <c r="FT69" i="2"/>
  <c r="FT70" i="2"/>
  <c r="FT71" i="2"/>
  <c r="FT72" i="2"/>
  <c r="FT73" i="2"/>
  <c r="FT74" i="2"/>
  <c r="FT75" i="2"/>
  <c r="FT76" i="2"/>
  <c r="FT77" i="2"/>
  <c r="FT78" i="2"/>
  <c r="FT79" i="2"/>
  <c r="FT80" i="2"/>
  <c r="FT81" i="2"/>
  <c r="FT82" i="2"/>
  <c r="FT83" i="2"/>
  <c r="FT84" i="2"/>
  <c r="FT85" i="2"/>
  <c r="FT86" i="2"/>
  <c r="FT87" i="2"/>
  <c r="FT88" i="2"/>
  <c r="FT89" i="2"/>
  <c r="FT90" i="2"/>
  <c r="FT91" i="2"/>
  <c r="FT92" i="2"/>
  <c r="FT93" i="2"/>
  <c r="FT94" i="2"/>
  <c r="FT95" i="2"/>
  <c r="FT96" i="2"/>
  <c r="FT97" i="2"/>
  <c r="FT98" i="2"/>
  <c r="FT99" i="2"/>
  <c r="FT100" i="2"/>
  <c r="FT101" i="2"/>
  <c r="FT102" i="2"/>
  <c r="FT103" i="2"/>
  <c r="FT104" i="2"/>
  <c r="FT105" i="2"/>
  <c r="FT106" i="2"/>
  <c r="FT107" i="2"/>
  <c r="FT108" i="2"/>
  <c r="FT109" i="2"/>
  <c r="FT110" i="2"/>
  <c r="FT111" i="2"/>
  <c r="FT112" i="2"/>
  <c r="FT113" i="2"/>
  <c r="FT114" i="2"/>
  <c r="FT115" i="2"/>
  <c r="FT116" i="2"/>
  <c r="FT117" i="2"/>
  <c r="FT118" i="2"/>
  <c r="FT119" i="2"/>
  <c r="FT120" i="2"/>
  <c r="FT121" i="2"/>
  <c r="FT122" i="2"/>
  <c r="FT123" i="2"/>
  <c r="FT124" i="2"/>
  <c r="FT125" i="2"/>
  <c r="FT126" i="2"/>
  <c r="FT127" i="2"/>
  <c r="FT128" i="2"/>
  <c r="FT129" i="2"/>
  <c r="FT130" i="2"/>
  <c r="FT131" i="2"/>
  <c r="FT132" i="2"/>
  <c r="FT133" i="2"/>
  <c r="FT134" i="2"/>
  <c r="FT135" i="2"/>
  <c r="FT136" i="2"/>
  <c r="FT137" i="2"/>
  <c r="FT138" i="2"/>
  <c r="FT139" i="2"/>
  <c r="FT140" i="2"/>
  <c r="FT141" i="2"/>
  <c r="FT142" i="2"/>
  <c r="FT143" i="2"/>
  <c r="FT144" i="2"/>
  <c r="FT145" i="2"/>
  <c r="FT146" i="2"/>
  <c r="FT147" i="2"/>
  <c r="FT148" i="2"/>
  <c r="FT149" i="2"/>
  <c r="FT150" i="2"/>
  <c r="FT151" i="2"/>
  <c r="FT152" i="2"/>
  <c r="FT153" i="2"/>
  <c r="FT154" i="2"/>
  <c r="FT155" i="2"/>
  <c r="FT156" i="2"/>
  <c r="FT157" i="2"/>
  <c r="FT158" i="2"/>
  <c r="FT159" i="2"/>
  <c r="FT160" i="2"/>
  <c r="FT161" i="2"/>
  <c r="FT162" i="2"/>
  <c r="FT167" i="2"/>
  <c r="FT168" i="2"/>
  <c r="FT169" i="2"/>
  <c r="FT170" i="2"/>
  <c r="FT171" i="2"/>
  <c r="FT172" i="2"/>
  <c r="FT173" i="2"/>
  <c r="FT174" i="2"/>
  <c r="FT179" i="2"/>
  <c r="FT180" i="2"/>
  <c r="FT181" i="2"/>
  <c r="FT184" i="2"/>
  <c r="FT185" i="2"/>
  <c r="FT186" i="2"/>
  <c r="FT187" i="2"/>
  <c r="FT188" i="2"/>
  <c r="FT189" i="2"/>
  <c r="FT190" i="2"/>
  <c r="FT191" i="2"/>
  <c r="FT193" i="2"/>
  <c r="FT194" i="2"/>
  <c r="FT195" i="2"/>
  <c r="FT196" i="2"/>
  <c r="FT197" i="2"/>
  <c r="FT201" i="2"/>
  <c r="FT202" i="2"/>
  <c r="FT203" i="2"/>
  <c r="FT204" i="2"/>
  <c r="FT205" i="2"/>
  <c r="FT206" i="2"/>
  <c r="FT207" i="2"/>
  <c r="FT208" i="2"/>
  <c r="FT209" i="2"/>
  <c r="FT210" i="2"/>
  <c r="FT212" i="2"/>
  <c r="FT214" i="2"/>
  <c r="FT215" i="2"/>
  <c r="FT216" i="2"/>
  <c r="FT217" i="2"/>
  <c r="FT218" i="2"/>
  <c r="FT219" i="2"/>
  <c r="FT220" i="2"/>
  <c r="FT223" i="2"/>
  <c r="FT224" i="2"/>
  <c r="FT225" i="2"/>
  <c r="FT226" i="2"/>
  <c r="FT227" i="2"/>
  <c r="FT228" i="2"/>
  <c r="FT229" i="2"/>
  <c r="FT230" i="2"/>
  <c r="FT231" i="2"/>
  <c r="FT232" i="2"/>
  <c r="FT233" i="2"/>
  <c r="FT234" i="2"/>
  <c r="FT235" i="2"/>
  <c r="FT236" i="2"/>
  <c r="FT237" i="2"/>
  <c r="FT238" i="2"/>
  <c r="FT239" i="2"/>
  <c r="FT240" i="2"/>
  <c r="FT241" i="2"/>
  <c r="FT242" i="2"/>
  <c r="FT243" i="2"/>
  <c r="FT244" i="2"/>
  <c r="FT245" i="2"/>
  <c r="FT246" i="2"/>
  <c r="FT247" i="2"/>
  <c r="FT248" i="2"/>
  <c r="FT249" i="2"/>
  <c r="FT250" i="2"/>
  <c r="FT251" i="2"/>
  <c r="FT252" i="2"/>
  <c r="FT253" i="2"/>
  <c r="FT254" i="2"/>
  <c r="FT255" i="2"/>
  <c r="FT256" i="2"/>
  <c r="FT257" i="2"/>
  <c r="FT258" i="2"/>
  <c r="FT259" i="2"/>
  <c r="FT260" i="2"/>
  <c r="FT261" i="2"/>
  <c r="FT262" i="2"/>
  <c r="FT263" i="2"/>
  <c r="FT264" i="2"/>
  <c r="FT265" i="2"/>
  <c r="FT266" i="2"/>
  <c r="FT267" i="2"/>
  <c r="FT268" i="2"/>
  <c r="FT269" i="2"/>
  <c r="FT270" i="2"/>
  <c r="FT271" i="2"/>
  <c r="FT272" i="2"/>
  <c r="FT273" i="2"/>
  <c r="FT274" i="2"/>
  <c r="FT275" i="2"/>
  <c r="FT276" i="2"/>
  <c r="FT277" i="2"/>
  <c r="FT278" i="2"/>
  <c r="FT279" i="2"/>
  <c r="FT280" i="2"/>
  <c r="FT281" i="2"/>
  <c r="FT282" i="2"/>
  <c r="FT283" i="2"/>
  <c r="FT284" i="2"/>
  <c r="FT285" i="2"/>
  <c r="FT286" i="2"/>
  <c r="FT287" i="2"/>
  <c r="FT288" i="2"/>
  <c r="FT289" i="2"/>
  <c r="FT290" i="2"/>
  <c r="FT291" i="2"/>
  <c r="FT292" i="2"/>
  <c r="FT293" i="2"/>
  <c r="FT294" i="2"/>
  <c r="FT295" i="2"/>
  <c r="FT297" i="2"/>
  <c r="FT298" i="2"/>
  <c r="FT300" i="2"/>
  <c r="FT301" i="2"/>
  <c r="FT302" i="2"/>
  <c r="FT303" i="2"/>
  <c r="FT305" i="2"/>
  <c r="FT306" i="2"/>
  <c r="FT308" i="2"/>
  <c r="FT309" i="2"/>
  <c r="FT310" i="2"/>
  <c r="FT311" i="2"/>
  <c r="FT312" i="2"/>
  <c r="FT313" i="2"/>
  <c r="FT314" i="2"/>
  <c r="FT315" i="2"/>
  <c r="FT316" i="2"/>
  <c r="FT317" i="2"/>
  <c r="FT319" i="2"/>
  <c r="FT320" i="2"/>
  <c r="FT321" i="2"/>
  <c r="FT323" i="2"/>
  <c r="FT324" i="2"/>
  <c r="FT325" i="2"/>
  <c r="FT326" i="2"/>
  <c r="FT328" i="2"/>
  <c r="FT329" i="2"/>
  <c r="FT330" i="2"/>
  <c r="FT331" i="2"/>
  <c r="FT333" i="2"/>
  <c r="FT334" i="2"/>
  <c r="FT335" i="2"/>
  <c r="FT336" i="2"/>
  <c r="FT337" i="2"/>
  <c r="FT338" i="2"/>
  <c r="FT339" i="2"/>
  <c r="FT340" i="2"/>
  <c r="FT341" i="2"/>
  <c r="FT342" i="2"/>
  <c r="FT343" i="2"/>
  <c r="FT344" i="2"/>
  <c r="AN341" i="2"/>
  <c r="AN300" i="2"/>
  <c r="AN303" i="2"/>
  <c r="V303" i="2" s="1"/>
  <c r="AN309" i="2"/>
  <c r="V309" i="2" s="1"/>
  <c r="L308" i="10" l="1"/>
  <c r="N308" i="10" s="1"/>
  <c r="L302" i="10"/>
  <c r="N302" i="10" s="1"/>
  <c r="U203" i="2"/>
  <c r="K202" i="10" s="1"/>
  <c r="J202" i="10"/>
  <c r="U204" i="2"/>
  <c r="K203" i="10" s="1"/>
  <c r="J203" i="10"/>
  <c r="U206" i="2"/>
  <c r="K205" i="10" s="1"/>
  <c r="J205" i="10"/>
  <c r="U207" i="2"/>
  <c r="K206" i="10" s="1"/>
  <c r="J206" i="10"/>
  <c r="U209" i="2"/>
  <c r="K208" i="10" s="1"/>
  <c r="J208" i="10"/>
  <c r="U210" i="2"/>
  <c r="K209" i="10" s="1"/>
  <c r="J209" i="10"/>
  <c r="L246" i="10"/>
  <c r="N246" i="10" s="1"/>
  <c r="L247" i="10"/>
  <c r="N247" i="10" s="1"/>
  <c r="AN3" i="2"/>
  <c r="V300" i="2"/>
  <c r="AA5" i="2"/>
  <c r="AL154" i="2"/>
  <c r="AL70" i="2"/>
  <c r="AL213" i="2"/>
  <c r="AL201" i="2"/>
  <c r="AL189" i="2"/>
  <c r="AL177" i="2"/>
  <c r="AL165" i="2"/>
  <c r="AL153" i="2"/>
  <c r="AL141" i="2"/>
  <c r="AL129" i="2"/>
  <c r="AL117" i="2"/>
  <c r="AL105" i="2"/>
  <c r="AL81" i="2"/>
  <c r="AL69" i="2"/>
  <c r="AL57" i="2"/>
  <c r="AL45" i="2"/>
  <c r="AL33" i="2"/>
  <c r="AL21" i="2"/>
  <c r="AL9" i="2"/>
  <c r="AK254" i="2"/>
  <c r="AL236" i="2"/>
  <c r="AL212" i="2"/>
  <c r="AL200" i="2"/>
  <c r="AL188" i="2"/>
  <c r="AL176" i="2"/>
  <c r="AL164" i="2"/>
  <c r="AL152" i="2"/>
  <c r="AL140" i="2"/>
  <c r="AL128" i="2"/>
  <c r="AL116" i="2"/>
  <c r="AL104" i="2"/>
  <c r="AL80" i="2"/>
  <c r="AL68" i="2"/>
  <c r="AL56" i="2"/>
  <c r="AL44" i="2"/>
  <c r="AL32" i="2"/>
  <c r="AL20" i="2"/>
  <c r="AL8" i="2"/>
  <c r="AK265" i="2"/>
  <c r="AL235" i="2"/>
  <c r="AL211" i="2"/>
  <c r="AL199" i="2"/>
  <c r="AL187" i="2"/>
  <c r="AL175" i="2"/>
  <c r="AL163" i="2"/>
  <c r="AL151" i="2"/>
  <c r="AL139" i="2"/>
  <c r="AL127" i="2"/>
  <c r="AL115" i="2"/>
  <c r="AL103" i="2"/>
  <c r="AL91" i="2"/>
  <c r="AL79" i="2"/>
  <c r="AL67" i="2"/>
  <c r="AL55" i="2"/>
  <c r="AL43" i="2"/>
  <c r="AL31" i="2"/>
  <c r="AL19" i="2"/>
  <c r="AL7" i="2"/>
  <c r="AK264" i="2"/>
  <c r="AL202" i="2"/>
  <c r="AL234" i="2"/>
  <c r="AL222" i="2"/>
  <c r="AL210" i="2"/>
  <c r="AL198" i="2"/>
  <c r="AL186" i="2"/>
  <c r="AL174" i="2"/>
  <c r="AL162" i="2"/>
  <c r="AL150" i="2"/>
  <c r="AL138" i="2"/>
  <c r="AL126" i="2"/>
  <c r="AL114" i="2"/>
  <c r="AL102" i="2"/>
  <c r="AL90" i="2"/>
  <c r="AL78" i="2"/>
  <c r="AL66" i="2"/>
  <c r="AL54" i="2"/>
  <c r="AL42" i="2"/>
  <c r="AL30" i="2"/>
  <c r="AL18" i="2"/>
  <c r="AL6" i="2"/>
  <c r="AL190" i="2"/>
  <c r="AL118" i="2"/>
  <c r="AL82" i="2"/>
  <c r="AL58" i="2"/>
  <c r="AL34" i="2"/>
  <c r="AL233" i="2"/>
  <c r="AL221" i="2"/>
  <c r="AL209" i="2"/>
  <c r="AL197" i="2"/>
  <c r="AL185" i="2"/>
  <c r="AL173" i="2"/>
  <c r="AL161" i="2"/>
  <c r="AL149" i="2"/>
  <c r="AL137" i="2"/>
  <c r="AL125" i="2"/>
  <c r="AL113" i="2"/>
  <c r="AL101" i="2"/>
  <c r="AL89" i="2"/>
  <c r="AL77" i="2"/>
  <c r="AL65" i="2"/>
  <c r="AL53" i="2"/>
  <c r="AL41" i="2"/>
  <c r="AL29" i="2"/>
  <c r="AL17" i="2"/>
  <c r="AL5" i="2"/>
  <c r="AL142" i="2"/>
  <c r="AL232" i="2"/>
  <c r="AL220" i="2"/>
  <c r="AL208" i="2"/>
  <c r="AL196" i="2"/>
  <c r="AL184" i="2"/>
  <c r="AL172" i="2"/>
  <c r="AL160" i="2"/>
  <c r="AL148" i="2"/>
  <c r="AL136" i="2"/>
  <c r="AL124" i="2"/>
  <c r="AL112" i="2"/>
  <c r="AL100" i="2"/>
  <c r="AL88" i="2"/>
  <c r="AL76" i="2"/>
  <c r="AL64" i="2"/>
  <c r="AL52" i="2"/>
  <c r="AL40" i="2"/>
  <c r="AL28" i="2"/>
  <c r="AL16" i="2"/>
  <c r="AL46" i="2"/>
  <c r="AL231" i="2"/>
  <c r="AL219" i="2"/>
  <c r="AL207" i="2"/>
  <c r="AL195" i="2"/>
  <c r="AL183" i="2"/>
  <c r="AL171" i="2"/>
  <c r="AL159" i="2"/>
  <c r="AL147" i="2"/>
  <c r="AL135" i="2"/>
  <c r="AL123" i="2"/>
  <c r="AL111" i="2"/>
  <c r="AL99" i="2"/>
  <c r="AL87" i="2"/>
  <c r="AL75" i="2"/>
  <c r="AL63" i="2"/>
  <c r="AL51" i="2"/>
  <c r="AL39" i="2"/>
  <c r="AL27" i="2"/>
  <c r="AL15" i="2"/>
  <c r="AK326" i="2"/>
  <c r="AL178" i="2"/>
  <c r="AL230" i="2"/>
  <c r="AL218" i="2"/>
  <c r="AL206" i="2"/>
  <c r="AL194" i="2"/>
  <c r="AL182" i="2"/>
  <c r="AL158" i="2"/>
  <c r="AL146" i="2"/>
  <c r="AL134" i="2"/>
  <c r="AL122" i="2"/>
  <c r="AL110" i="2"/>
  <c r="AL98" i="2"/>
  <c r="AL86" i="2"/>
  <c r="AL74" i="2"/>
  <c r="AL62" i="2"/>
  <c r="AL50" i="2"/>
  <c r="AL38" i="2"/>
  <c r="AL26" i="2"/>
  <c r="AL14" i="2"/>
  <c r="AK325" i="2"/>
  <c r="AL130" i="2"/>
  <c r="AL10" i="2"/>
  <c r="AL229" i="2"/>
  <c r="AL217" i="2"/>
  <c r="AL205" i="2"/>
  <c r="AL193" i="2"/>
  <c r="AL181" i="2"/>
  <c r="AL169" i="2"/>
  <c r="AL157" i="2"/>
  <c r="AL145" i="2"/>
  <c r="AL133" i="2"/>
  <c r="AL121" i="2"/>
  <c r="AL109" i="2"/>
  <c r="AL97" i="2"/>
  <c r="AL85" i="2"/>
  <c r="AL73" i="2"/>
  <c r="AL61" i="2"/>
  <c r="AL49" i="2"/>
  <c r="AL37" i="2"/>
  <c r="AL25" i="2"/>
  <c r="AL13" i="2"/>
  <c r="AK320" i="2"/>
  <c r="CP320" i="2" s="1"/>
  <c r="T320" i="2" s="1"/>
  <c r="J319" i="10" s="1"/>
  <c r="AL214" i="2"/>
  <c r="AL106" i="2"/>
  <c r="AL22" i="2"/>
  <c r="AL216" i="2"/>
  <c r="AL204" i="2"/>
  <c r="AL192" i="2"/>
  <c r="AL180" i="2"/>
  <c r="AL168" i="2"/>
  <c r="AL156" i="2"/>
  <c r="AL144" i="2"/>
  <c r="AL132" i="2"/>
  <c r="AL120" i="2"/>
  <c r="AL108" i="2"/>
  <c r="AL96" i="2"/>
  <c r="AL84" i="2"/>
  <c r="AL72" i="2"/>
  <c r="AL60" i="2"/>
  <c r="AL48" i="2"/>
  <c r="AL36" i="2"/>
  <c r="AL24" i="2"/>
  <c r="AL12" i="2"/>
  <c r="AK319" i="2"/>
  <c r="CP319" i="2" s="1"/>
  <c r="T319" i="2" s="1"/>
  <c r="J318" i="10" s="1"/>
  <c r="AK323" i="2"/>
  <c r="AL166" i="2"/>
  <c r="AL215" i="2"/>
  <c r="AL203" i="2"/>
  <c r="AL191" i="2"/>
  <c r="AL179" i="2"/>
  <c r="AL167" i="2"/>
  <c r="AL155" i="2"/>
  <c r="AL143" i="2"/>
  <c r="AL131" i="2"/>
  <c r="AL119" i="2"/>
  <c r="AL107" i="2"/>
  <c r="AL95" i="2"/>
  <c r="AL83" i="2"/>
  <c r="AL71" i="2"/>
  <c r="AL59" i="2"/>
  <c r="AL47" i="2"/>
  <c r="AL35" i="2"/>
  <c r="AL23" i="2"/>
  <c r="AL11" i="2"/>
  <c r="AK318" i="2"/>
  <c r="AK322" i="2"/>
  <c r="CP322" i="2" s="1"/>
  <c r="T322" i="2" s="1"/>
  <c r="J321" i="10" s="1"/>
  <c r="AL170" i="2"/>
  <c r="FU292" i="2"/>
  <c r="FU116" i="2"/>
  <c r="FU6" i="2"/>
  <c r="FU313" i="2"/>
  <c r="FU291" i="2"/>
  <c r="FU247" i="2"/>
  <c r="FU203" i="2"/>
  <c r="FU159" i="2"/>
  <c r="FU115" i="2"/>
  <c r="FU71" i="2"/>
  <c r="FU27" i="2"/>
  <c r="FU334" i="2"/>
  <c r="FU290" i="2"/>
  <c r="FU268" i="2"/>
  <c r="FU246" i="2"/>
  <c r="FU224" i="2"/>
  <c r="FU180" i="2"/>
  <c r="FU158" i="2"/>
  <c r="FU136" i="2"/>
  <c r="FU114" i="2"/>
  <c r="FU92" i="2"/>
  <c r="FU70" i="2"/>
  <c r="FU48" i="2"/>
  <c r="FU26" i="2"/>
  <c r="FU336" i="2"/>
  <c r="FU160" i="2"/>
  <c r="FU50" i="2"/>
  <c r="FU28" i="2"/>
  <c r="FU335" i="2"/>
  <c r="FU269" i="2"/>
  <c r="FU225" i="2"/>
  <c r="FU181" i="2"/>
  <c r="FU137" i="2"/>
  <c r="FU93" i="2"/>
  <c r="FU49" i="2"/>
  <c r="FU5" i="2"/>
  <c r="FU312" i="2"/>
  <c r="FU202" i="2"/>
  <c r="FU333" i="2"/>
  <c r="FU311" i="2"/>
  <c r="FU289" i="2"/>
  <c r="FU267" i="2"/>
  <c r="FU245" i="2"/>
  <c r="FU223" i="2"/>
  <c r="FU201" i="2"/>
  <c r="FU179" i="2"/>
  <c r="FU157" i="2"/>
  <c r="FU135" i="2"/>
  <c r="FU113" i="2"/>
  <c r="FU91" i="2"/>
  <c r="FU69" i="2"/>
  <c r="FU47" i="2"/>
  <c r="FU25" i="2"/>
  <c r="FU326" i="2"/>
  <c r="FU282" i="2"/>
  <c r="FU260" i="2"/>
  <c r="FU238" i="2"/>
  <c r="FU216" i="2"/>
  <c r="FU194" i="2"/>
  <c r="FU172" i="2"/>
  <c r="FU150" i="2"/>
  <c r="FU128" i="2"/>
  <c r="FU106" i="2"/>
  <c r="FU84" i="2"/>
  <c r="FU62" i="2"/>
  <c r="FU40" i="2"/>
  <c r="FU18" i="2"/>
  <c r="FU339" i="2"/>
  <c r="FU317" i="2"/>
  <c r="FU207" i="2"/>
  <c r="FU185" i="2"/>
  <c r="FU97" i="2"/>
  <c r="FU31" i="2"/>
  <c r="FU338" i="2"/>
  <c r="FU250" i="2"/>
  <c r="FU162" i="2"/>
  <c r="FU74" i="2"/>
  <c r="FU8" i="2"/>
  <c r="FU271" i="2"/>
  <c r="FU205" i="2"/>
  <c r="FU139" i="2"/>
  <c r="FU29" i="2"/>
  <c r="FU270" i="2"/>
  <c r="FU72" i="2"/>
  <c r="FU310" i="2"/>
  <c r="FU156" i="2"/>
  <c r="FU68" i="2"/>
  <c r="FU24" i="2"/>
  <c r="FU331" i="2"/>
  <c r="FU265" i="2"/>
  <c r="FU111" i="2"/>
  <c r="FU23" i="2"/>
  <c r="FU308" i="2"/>
  <c r="FU242" i="2"/>
  <c r="FU132" i="2"/>
  <c r="FU44" i="2"/>
  <c r="FU285" i="2"/>
  <c r="FU241" i="2"/>
  <c r="FU153" i="2"/>
  <c r="FU87" i="2"/>
  <c r="FU43" i="2"/>
  <c r="FU306" i="2"/>
  <c r="FU218" i="2"/>
  <c r="FU174" i="2"/>
  <c r="FU108" i="2"/>
  <c r="FU20" i="2"/>
  <c r="FU283" i="2"/>
  <c r="FU239" i="2"/>
  <c r="FU195" i="2"/>
  <c r="FU151" i="2"/>
  <c r="FU129" i="2"/>
  <c r="FU107" i="2"/>
  <c r="FU41" i="2"/>
  <c r="FU19" i="2"/>
  <c r="FU325" i="2"/>
  <c r="FU303" i="2"/>
  <c r="FU281" i="2"/>
  <c r="FU259" i="2"/>
  <c r="FU237" i="2"/>
  <c r="FU215" i="2"/>
  <c r="FU193" i="2"/>
  <c r="FU171" i="2"/>
  <c r="FU149" i="2"/>
  <c r="FU127" i="2"/>
  <c r="FU105" i="2"/>
  <c r="FU83" i="2"/>
  <c r="FU61" i="2"/>
  <c r="FU39" i="2"/>
  <c r="FU17" i="2"/>
  <c r="FU324" i="2"/>
  <c r="FU302" i="2"/>
  <c r="FU280" i="2"/>
  <c r="FU258" i="2"/>
  <c r="FU236" i="2"/>
  <c r="FU214" i="2"/>
  <c r="FU170" i="2"/>
  <c r="FU148" i="2"/>
  <c r="FU126" i="2"/>
  <c r="FU104" i="2"/>
  <c r="FU82" i="2"/>
  <c r="FU60" i="2"/>
  <c r="FU38" i="2"/>
  <c r="FU16" i="2"/>
  <c r="FU273" i="2"/>
  <c r="FU141" i="2"/>
  <c r="FU75" i="2"/>
  <c r="FU316" i="2"/>
  <c r="FU272" i="2"/>
  <c r="FU206" i="2"/>
  <c r="FU140" i="2"/>
  <c r="FU52" i="2"/>
  <c r="FU337" i="2"/>
  <c r="FU249" i="2"/>
  <c r="FU117" i="2"/>
  <c r="FU51" i="2"/>
  <c r="FU248" i="2"/>
  <c r="FU94" i="2"/>
  <c r="FU244" i="2"/>
  <c r="FU90" i="2"/>
  <c r="FU287" i="2"/>
  <c r="FU155" i="2"/>
  <c r="FU67" i="2"/>
  <c r="FU286" i="2"/>
  <c r="FU220" i="2"/>
  <c r="FU154" i="2"/>
  <c r="FU66" i="2"/>
  <c r="FU219" i="2"/>
  <c r="FU131" i="2"/>
  <c r="FU65" i="2"/>
  <c r="FU284" i="2"/>
  <c r="FU240" i="2"/>
  <c r="FU152" i="2"/>
  <c r="FU86" i="2"/>
  <c r="FU261" i="2"/>
  <c r="FU85" i="2"/>
  <c r="FU323" i="2"/>
  <c r="FU279" i="2"/>
  <c r="FU235" i="2"/>
  <c r="FU191" i="2"/>
  <c r="FU147" i="2"/>
  <c r="FU103" i="2"/>
  <c r="FU37" i="2"/>
  <c r="FU300" i="2"/>
  <c r="FU256" i="2"/>
  <c r="FU212" i="2"/>
  <c r="FU168" i="2"/>
  <c r="FU146" i="2"/>
  <c r="FU124" i="2"/>
  <c r="FU102" i="2"/>
  <c r="FU58" i="2"/>
  <c r="FU36" i="2"/>
  <c r="FU14" i="2"/>
  <c r="FU343" i="2"/>
  <c r="FU321" i="2"/>
  <c r="FU277" i="2"/>
  <c r="FU255" i="2"/>
  <c r="FU233" i="2"/>
  <c r="FU189" i="2"/>
  <c r="FU167" i="2"/>
  <c r="FU145" i="2"/>
  <c r="FU123" i="2"/>
  <c r="FU101" i="2"/>
  <c r="FU79" i="2"/>
  <c r="FU57" i="2"/>
  <c r="FU35" i="2"/>
  <c r="FU13" i="2"/>
  <c r="FU204" i="2"/>
  <c r="FU254" i="2"/>
  <c r="FU12" i="2"/>
  <c r="FU295" i="2"/>
  <c r="FU251" i="2"/>
  <c r="FU119" i="2"/>
  <c r="FU53" i="2"/>
  <c r="FU294" i="2"/>
  <c r="FU228" i="2"/>
  <c r="FU184" i="2"/>
  <c r="FU96" i="2"/>
  <c r="FU30" i="2"/>
  <c r="FU293" i="2"/>
  <c r="FU227" i="2"/>
  <c r="FU161" i="2"/>
  <c r="FU73" i="2"/>
  <c r="FU7" i="2"/>
  <c r="FU314" i="2"/>
  <c r="FU138" i="2"/>
  <c r="FU288" i="2"/>
  <c r="FU266" i="2"/>
  <c r="FU112" i="2"/>
  <c r="FU46" i="2"/>
  <c r="FU309" i="2"/>
  <c r="FU243" i="2"/>
  <c r="FU89" i="2"/>
  <c r="FU45" i="2"/>
  <c r="FU330" i="2"/>
  <c r="FU264" i="2"/>
  <c r="FU110" i="2"/>
  <c r="FU22" i="2"/>
  <c r="FU329" i="2"/>
  <c r="FU263" i="2"/>
  <c r="FU109" i="2"/>
  <c r="FU21" i="2"/>
  <c r="FU328" i="2"/>
  <c r="FU262" i="2"/>
  <c r="FU196" i="2"/>
  <c r="FU130" i="2"/>
  <c r="FU42" i="2"/>
  <c r="FU305" i="2"/>
  <c r="FU217" i="2"/>
  <c r="FU63" i="2"/>
  <c r="FU301" i="2"/>
  <c r="FU257" i="2"/>
  <c r="FU169" i="2"/>
  <c r="FU125" i="2"/>
  <c r="FU81" i="2"/>
  <c r="FU15" i="2"/>
  <c r="FU278" i="2"/>
  <c r="FU234" i="2"/>
  <c r="FU190" i="2"/>
  <c r="FU80" i="2"/>
  <c r="FU342" i="2"/>
  <c r="FU320" i="2"/>
  <c r="FU298" i="2"/>
  <c r="FU276" i="2"/>
  <c r="FU232" i="2"/>
  <c r="FU210" i="2"/>
  <c r="FU188" i="2"/>
  <c r="FU144" i="2"/>
  <c r="FU122" i="2"/>
  <c r="FU100" i="2"/>
  <c r="FU78" i="2"/>
  <c r="FU56" i="2"/>
  <c r="FU34" i="2"/>
  <c r="FU341" i="2"/>
  <c r="FU319" i="2"/>
  <c r="FU297" i="2"/>
  <c r="FU275" i="2"/>
  <c r="FU253" i="2"/>
  <c r="FU231" i="2"/>
  <c r="FU209" i="2"/>
  <c r="FU187" i="2"/>
  <c r="FU143" i="2"/>
  <c r="FU121" i="2"/>
  <c r="FU99" i="2"/>
  <c r="FU77" i="2"/>
  <c r="FU55" i="2"/>
  <c r="FU33" i="2"/>
  <c r="FU11" i="2"/>
  <c r="FU229" i="2"/>
  <c r="FU9" i="2"/>
  <c r="FU118" i="2"/>
  <c r="FU315" i="2"/>
  <c r="FU95" i="2"/>
  <c r="FU226" i="2"/>
  <c r="FU134" i="2"/>
  <c r="FU133" i="2"/>
  <c r="FU88" i="2"/>
  <c r="FU197" i="2"/>
  <c r="FU64" i="2"/>
  <c r="FU173" i="2"/>
  <c r="FU59" i="2"/>
  <c r="FU344" i="2"/>
  <c r="FU340" i="2"/>
  <c r="FU274" i="2"/>
  <c r="FU252" i="2"/>
  <c r="FU230" i="2"/>
  <c r="FU208" i="2"/>
  <c r="FU186" i="2"/>
  <c r="FU142" i="2"/>
  <c r="FU120" i="2"/>
  <c r="FU98" i="2"/>
  <c r="FU76" i="2"/>
  <c r="FU54" i="2"/>
  <c r="FU32" i="2"/>
  <c r="FU10" i="2"/>
  <c r="AL228" i="2"/>
  <c r="Z228" i="2"/>
  <c r="AL227" i="2"/>
  <c r="Z227" i="2"/>
  <c r="AL226" i="2"/>
  <c r="Z226" i="2"/>
  <c r="AL225" i="2"/>
  <c r="Z225" i="2"/>
  <c r="AL224" i="2"/>
  <c r="Z224" i="2"/>
  <c r="AL223" i="2"/>
  <c r="Z223" i="2"/>
  <c r="AL94" i="2"/>
  <c r="AL93" i="2"/>
  <c r="AL92" i="2"/>
  <c r="CJ341" i="2"/>
  <c r="V341" i="2"/>
  <c r="AL305" i="2"/>
  <c r="AK305" i="2"/>
  <c r="AL283" i="2"/>
  <c r="AK283" i="2"/>
  <c r="AL259" i="2"/>
  <c r="AK259" i="2"/>
  <c r="CP259" i="2" s="1"/>
  <c r="AL339" i="2"/>
  <c r="AK339" i="2"/>
  <c r="AL304" i="2"/>
  <c r="AK304" i="2"/>
  <c r="CP304" i="2" s="1"/>
  <c r="AL282" i="2"/>
  <c r="AK282" i="2"/>
  <c r="CP282" i="2" s="1"/>
  <c r="T282" i="2" s="1"/>
  <c r="J281" i="10" s="1"/>
  <c r="AL258" i="2"/>
  <c r="AK258" i="2"/>
  <c r="AL338" i="2"/>
  <c r="AK338" i="2"/>
  <c r="AL303" i="2"/>
  <c r="AK303" i="2"/>
  <c r="AL281" i="2"/>
  <c r="AK281" i="2"/>
  <c r="AL257" i="2"/>
  <c r="AK257" i="2"/>
  <c r="AL337" i="2"/>
  <c r="AK337" i="2"/>
  <c r="CP337" i="2" s="1"/>
  <c r="AL302" i="2"/>
  <c r="AK302" i="2"/>
  <c r="CP302" i="2" s="1"/>
  <c r="AL280" i="2"/>
  <c r="AK280" i="2"/>
  <c r="AL256" i="2"/>
  <c r="AK256" i="2"/>
  <c r="AL336" i="2"/>
  <c r="AK336" i="2"/>
  <c r="CP336" i="2" s="1"/>
  <c r="AL332" i="2"/>
  <c r="AK332" i="2"/>
  <c r="CP332" i="2" s="1"/>
  <c r="AL240" i="2"/>
  <c r="AK240" i="2"/>
  <c r="AL297" i="2"/>
  <c r="AK297" i="2"/>
  <c r="AL274" i="2"/>
  <c r="AK274" i="2"/>
  <c r="CP274" i="2" s="1"/>
  <c r="T274" i="2" s="1"/>
  <c r="J273" i="10" s="1"/>
  <c r="AL251" i="2"/>
  <c r="AK251" i="2"/>
  <c r="AL331" i="2"/>
  <c r="AK331" i="2"/>
  <c r="AL252" i="2"/>
  <c r="AK252" i="2"/>
  <c r="AL239" i="2"/>
  <c r="AK239" i="2"/>
  <c r="AL296" i="2"/>
  <c r="AK296" i="2"/>
  <c r="CP296" i="2" s="1"/>
  <c r="AL272" i="2"/>
  <c r="AK272" i="2"/>
  <c r="CP272" i="2" s="1"/>
  <c r="AL250" i="2"/>
  <c r="AK250" i="2"/>
  <c r="AL330" i="2"/>
  <c r="AK330" i="2"/>
  <c r="CP330" i="2" s="1"/>
  <c r="AL238" i="2"/>
  <c r="AK238" i="2"/>
  <c r="AL317" i="2"/>
  <c r="AK317" i="2"/>
  <c r="AL295" i="2"/>
  <c r="AK295" i="2"/>
  <c r="AL271" i="2"/>
  <c r="AK271" i="2"/>
  <c r="CP271" i="2" s="1"/>
  <c r="AL249" i="2"/>
  <c r="AK249" i="2"/>
  <c r="AL329" i="2"/>
  <c r="AK329" i="2"/>
  <c r="AL316" i="2"/>
  <c r="AK316" i="2"/>
  <c r="CP316" i="2" s="1"/>
  <c r="AL294" i="2"/>
  <c r="AK294" i="2"/>
  <c r="CP294" i="2" s="1"/>
  <c r="AL270" i="2"/>
  <c r="AK270" i="2"/>
  <c r="AL248" i="2"/>
  <c r="AK248" i="2"/>
  <c r="AL328" i="2"/>
  <c r="AK328" i="2"/>
  <c r="CP328" i="2" s="1"/>
  <c r="AL287" i="2"/>
  <c r="AK287" i="2"/>
  <c r="AL286" i="2"/>
  <c r="AK286" i="2"/>
  <c r="AL261" i="2"/>
  <c r="AK261" i="2"/>
  <c r="AL321" i="2"/>
  <c r="AK321" i="2"/>
  <c r="AL247" i="2"/>
  <c r="AK247" i="2"/>
  <c r="AL314" i="2"/>
  <c r="AK314" i="2"/>
  <c r="CP314" i="2" s="1"/>
  <c r="AL292" i="2"/>
  <c r="AK292" i="2"/>
  <c r="AL268" i="2"/>
  <c r="AK268" i="2"/>
  <c r="AL246" i="2"/>
  <c r="AK246" i="2"/>
  <c r="AL343" i="2"/>
  <c r="AK343" i="2"/>
  <c r="AL262" i="2"/>
  <c r="AK262" i="2"/>
  <c r="AL285" i="2"/>
  <c r="AK285" i="2"/>
  <c r="AL306" i="2"/>
  <c r="AK306" i="2"/>
  <c r="AL335" i="2"/>
  <c r="AK335" i="2"/>
  <c r="AL334" i="2"/>
  <c r="AK334" i="2"/>
  <c r="CP334" i="2" s="1"/>
  <c r="AL276" i="2"/>
  <c r="AK276" i="2"/>
  <c r="CP276" i="2" s="1"/>
  <c r="AL241" i="2"/>
  <c r="AK241" i="2"/>
  <c r="AL275" i="2"/>
  <c r="AK275" i="2"/>
  <c r="AL269" i="2"/>
  <c r="AK269" i="2"/>
  <c r="AL313" i="2"/>
  <c r="AK313" i="2"/>
  <c r="AL291" i="2"/>
  <c r="AK291" i="2"/>
  <c r="CP291" i="2" s="1"/>
  <c r="AL267" i="2"/>
  <c r="AK267" i="2"/>
  <c r="AL245" i="2"/>
  <c r="AK245" i="2"/>
  <c r="AL309" i="2"/>
  <c r="AK309" i="2"/>
  <c r="AL308" i="2"/>
  <c r="AK308" i="2"/>
  <c r="AL341" i="2"/>
  <c r="AK341" i="2"/>
  <c r="AL284" i="2"/>
  <c r="AK284" i="2"/>
  <c r="CP284" i="2" s="1"/>
  <c r="AL301" i="2"/>
  <c r="AK301" i="2"/>
  <c r="CP301" i="2" s="1"/>
  <c r="AL277" i="2"/>
  <c r="AK277" i="2"/>
  <c r="AL253" i="2"/>
  <c r="AK253" i="2"/>
  <c r="AL327" i="2"/>
  <c r="AK327" i="2"/>
  <c r="CP327" i="2" s="1"/>
  <c r="AL312" i="2"/>
  <c r="AK312" i="2"/>
  <c r="AL290" i="2"/>
  <c r="AK290" i="2"/>
  <c r="CP290" i="2" s="1"/>
  <c r="AL266" i="2"/>
  <c r="AK266" i="2"/>
  <c r="AL244" i="2"/>
  <c r="AK244" i="2"/>
  <c r="AL324" i="2"/>
  <c r="AK324" i="2"/>
  <c r="AL263" i="2"/>
  <c r="AK263" i="2"/>
  <c r="AL307" i="2"/>
  <c r="AK307" i="2"/>
  <c r="CP307" i="2" s="1"/>
  <c r="AL340" i="2"/>
  <c r="AK340" i="2"/>
  <c r="CP340" i="2" s="1"/>
  <c r="AL279" i="2"/>
  <c r="AK279" i="2"/>
  <c r="AL300" i="2"/>
  <c r="AK300" i="2"/>
  <c r="CP300" i="2" s="1"/>
  <c r="AL299" i="2"/>
  <c r="AK299" i="2"/>
  <c r="AL315" i="2"/>
  <c r="AK315" i="2"/>
  <c r="CP315" i="2" s="1"/>
  <c r="AL311" i="2"/>
  <c r="AK311" i="2"/>
  <c r="AL289" i="2"/>
  <c r="AK289" i="2"/>
  <c r="CP289" i="2" s="1"/>
  <c r="AL243" i="2"/>
  <c r="AK243" i="2"/>
  <c r="AL342" i="2"/>
  <c r="AK342" i="2"/>
  <c r="AL260" i="2"/>
  <c r="AK260" i="2"/>
  <c r="AL255" i="2"/>
  <c r="AK255" i="2"/>
  <c r="AL242" i="2"/>
  <c r="AK242" i="2"/>
  <c r="AL333" i="2"/>
  <c r="AK333" i="2"/>
  <c r="CP333" i="2" s="1"/>
  <c r="AL298" i="2"/>
  <c r="AK298" i="2"/>
  <c r="AL293" i="2"/>
  <c r="AK293" i="2"/>
  <c r="AL310" i="2"/>
  <c r="AK310" i="2"/>
  <c r="AL288" i="2"/>
  <c r="AK288" i="2"/>
  <c r="AL344" i="2"/>
  <c r="AK344" i="2"/>
  <c r="AL265" i="2"/>
  <c r="AL264" i="2"/>
  <c r="AK237" i="2"/>
  <c r="AL237" i="2"/>
  <c r="AL254" i="2"/>
  <c r="AL319" i="2"/>
  <c r="AL318" i="2"/>
  <c r="AL320" i="2"/>
  <c r="AL326" i="2"/>
  <c r="AL325" i="2"/>
  <c r="AL323" i="2"/>
  <c r="AL322" i="2"/>
  <c r="AJ240" i="2"/>
  <c r="AJ217" i="2"/>
  <c r="AK217" i="2"/>
  <c r="AJ195" i="2"/>
  <c r="AK195" i="2"/>
  <c r="AJ173" i="2"/>
  <c r="AK173" i="2"/>
  <c r="T173" i="2" s="1"/>
  <c r="J172" i="10" s="1"/>
  <c r="AJ151" i="2"/>
  <c r="AK151" i="2"/>
  <c r="T151" i="2" s="1"/>
  <c r="J150" i="10" s="1"/>
  <c r="AJ129" i="2"/>
  <c r="AK129" i="2"/>
  <c r="AJ107" i="2"/>
  <c r="AK107" i="2"/>
  <c r="AJ85" i="2"/>
  <c r="AK85" i="2"/>
  <c r="AJ63" i="2"/>
  <c r="AK63" i="2"/>
  <c r="AJ41" i="2"/>
  <c r="AK41" i="2"/>
  <c r="AJ19" i="2"/>
  <c r="AK19" i="2"/>
  <c r="AJ309" i="2"/>
  <c r="AJ287" i="2"/>
  <c r="AJ263" i="2"/>
  <c r="AJ343" i="2"/>
  <c r="AJ239" i="2"/>
  <c r="AJ216" i="2"/>
  <c r="AK216" i="2"/>
  <c r="AJ194" i="2"/>
  <c r="AK194" i="2"/>
  <c r="AJ172" i="2"/>
  <c r="AK172" i="2"/>
  <c r="AJ150" i="2"/>
  <c r="AK150" i="2"/>
  <c r="T150" i="2" s="1"/>
  <c r="J149" i="10" s="1"/>
  <c r="AJ128" i="2"/>
  <c r="AK128" i="2"/>
  <c r="AJ106" i="2"/>
  <c r="AK106" i="2"/>
  <c r="AJ84" i="2"/>
  <c r="AK84" i="2"/>
  <c r="AJ62" i="2"/>
  <c r="AK62" i="2"/>
  <c r="AJ40" i="2"/>
  <c r="AK40" i="2"/>
  <c r="AJ18" i="2"/>
  <c r="AK18" i="2"/>
  <c r="AJ308" i="2"/>
  <c r="AJ286" i="2"/>
  <c r="AJ262" i="2"/>
  <c r="AJ342" i="2"/>
  <c r="AJ259" i="2"/>
  <c r="AJ234" i="2"/>
  <c r="AK234" i="2"/>
  <c r="AJ212" i="2"/>
  <c r="AK212" i="2"/>
  <c r="AJ190" i="2"/>
  <c r="AK190" i="2"/>
  <c r="CP190" i="2" s="1"/>
  <c r="AJ168" i="2"/>
  <c r="AK168" i="2"/>
  <c r="T168" i="2" s="1"/>
  <c r="J167" i="10" s="1"/>
  <c r="AJ146" i="2"/>
  <c r="AK146" i="2"/>
  <c r="T146" i="2" s="1"/>
  <c r="J145" i="10" s="1"/>
  <c r="AJ124" i="2"/>
  <c r="AK124" i="2"/>
  <c r="AJ102" i="2"/>
  <c r="AK102" i="2"/>
  <c r="AJ80" i="2"/>
  <c r="AK80" i="2"/>
  <c r="AJ58" i="2"/>
  <c r="AK58" i="2"/>
  <c r="AJ36" i="2"/>
  <c r="AK36" i="2"/>
  <c r="AJ14" i="2"/>
  <c r="AK14" i="2"/>
  <c r="AJ304" i="2"/>
  <c r="AJ282" i="2"/>
  <c r="AJ258" i="2"/>
  <c r="AJ338" i="2"/>
  <c r="AJ17" i="2"/>
  <c r="AK17" i="2"/>
  <c r="AJ236" i="2"/>
  <c r="AK236" i="2"/>
  <c r="AJ214" i="2"/>
  <c r="AK214" i="2"/>
  <c r="AJ340" i="2"/>
  <c r="AJ283" i="2"/>
  <c r="AJ233" i="2"/>
  <c r="AK233" i="2"/>
  <c r="AJ211" i="2"/>
  <c r="AK211" i="2"/>
  <c r="CP211" i="2" s="1"/>
  <c r="AJ189" i="2"/>
  <c r="AK189" i="2"/>
  <c r="AJ337" i="2"/>
  <c r="AJ232" i="2"/>
  <c r="AK232" i="2"/>
  <c r="AJ210" i="2"/>
  <c r="AK210" i="2"/>
  <c r="AJ188" i="2"/>
  <c r="AK188" i="2"/>
  <c r="T188" i="2" s="1"/>
  <c r="J187" i="10" s="1"/>
  <c r="AJ166" i="2"/>
  <c r="AK166" i="2"/>
  <c r="AJ144" i="2"/>
  <c r="AK144" i="2"/>
  <c r="AJ122" i="2"/>
  <c r="AK122" i="2"/>
  <c r="AJ100" i="2"/>
  <c r="AK100" i="2"/>
  <c r="AJ78" i="2"/>
  <c r="AK78" i="2"/>
  <c r="CP78" i="2" s="1"/>
  <c r="AJ56" i="2"/>
  <c r="AK56" i="2"/>
  <c r="AJ34" i="2"/>
  <c r="AK34" i="2"/>
  <c r="CP34" i="2" s="1"/>
  <c r="AJ12" i="2"/>
  <c r="AK12" i="2"/>
  <c r="AJ302" i="2"/>
  <c r="AJ280" i="2"/>
  <c r="AJ256" i="2"/>
  <c r="AJ336" i="2"/>
  <c r="AJ61" i="2"/>
  <c r="AK61" i="2"/>
  <c r="AJ82" i="2"/>
  <c r="AK82" i="2"/>
  <c r="AJ191" i="2"/>
  <c r="AK191" i="2"/>
  <c r="AJ35" i="2"/>
  <c r="AK35" i="2"/>
  <c r="AJ231" i="2"/>
  <c r="AK231" i="2"/>
  <c r="AJ209" i="2"/>
  <c r="AK209" i="2"/>
  <c r="AJ187" i="2"/>
  <c r="AK187" i="2"/>
  <c r="AJ165" i="2"/>
  <c r="AK165" i="2"/>
  <c r="AJ143" i="2"/>
  <c r="AK143" i="2"/>
  <c r="AJ121" i="2"/>
  <c r="AK121" i="2"/>
  <c r="AJ99" i="2"/>
  <c r="AK99" i="2"/>
  <c r="AJ77" i="2"/>
  <c r="AK77" i="2"/>
  <c r="CP77" i="2" s="1"/>
  <c r="AJ55" i="2"/>
  <c r="AK55" i="2"/>
  <c r="AJ33" i="2"/>
  <c r="AK33" i="2"/>
  <c r="AJ11" i="2"/>
  <c r="AK11" i="2"/>
  <c r="AJ301" i="2"/>
  <c r="AJ279" i="2"/>
  <c r="AJ255" i="2"/>
  <c r="AJ335" i="2"/>
  <c r="AJ83" i="2"/>
  <c r="AK83" i="2"/>
  <c r="AJ60" i="2"/>
  <c r="AK60" i="2"/>
  <c r="AJ213" i="2"/>
  <c r="AK213" i="2"/>
  <c r="CP213" i="2" s="1"/>
  <c r="AJ13" i="2"/>
  <c r="AK13" i="2"/>
  <c r="AJ230" i="2"/>
  <c r="AK230" i="2"/>
  <c r="AJ208" i="2"/>
  <c r="AK208" i="2"/>
  <c r="T208" i="2" s="1"/>
  <c r="J207" i="10" s="1"/>
  <c r="AJ186" i="2"/>
  <c r="AK186" i="2"/>
  <c r="AJ164" i="2"/>
  <c r="AK164" i="2"/>
  <c r="AJ142" i="2"/>
  <c r="AK142" i="2"/>
  <c r="AJ120" i="2"/>
  <c r="AK120" i="2"/>
  <c r="AJ98" i="2"/>
  <c r="AK98" i="2"/>
  <c r="AJ76" i="2"/>
  <c r="AK76" i="2"/>
  <c r="CP76" i="2" s="1"/>
  <c r="AJ54" i="2"/>
  <c r="AK54" i="2"/>
  <c r="AJ32" i="2"/>
  <c r="AK32" i="2"/>
  <c r="AJ10" i="2"/>
  <c r="AK10" i="2"/>
  <c r="AJ300" i="2"/>
  <c r="AJ277" i="2"/>
  <c r="AJ334" i="2"/>
  <c r="AJ171" i="2"/>
  <c r="AK171" i="2"/>
  <c r="T171" i="2" s="1"/>
  <c r="J170" i="10" s="1"/>
  <c r="AJ285" i="2"/>
  <c r="AJ192" i="2"/>
  <c r="AK192" i="2"/>
  <c r="CP192" i="2" s="1"/>
  <c r="AJ15" i="2"/>
  <c r="AK15" i="2"/>
  <c r="AJ257" i="2"/>
  <c r="AJ229" i="2"/>
  <c r="AK229" i="2"/>
  <c r="AJ207" i="2"/>
  <c r="AK207" i="2"/>
  <c r="AJ185" i="2"/>
  <c r="AK185" i="2"/>
  <c r="AJ163" i="2"/>
  <c r="AK163" i="2"/>
  <c r="AJ141" i="2"/>
  <c r="AK141" i="2"/>
  <c r="AJ119" i="2"/>
  <c r="AK119" i="2"/>
  <c r="AJ97" i="2"/>
  <c r="AK97" i="2"/>
  <c r="AJ75" i="2"/>
  <c r="AK75" i="2"/>
  <c r="CP75" i="2" s="1"/>
  <c r="AJ53" i="2"/>
  <c r="AK53" i="2"/>
  <c r="AJ31" i="2"/>
  <c r="AK31" i="2"/>
  <c r="AJ9" i="2"/>
  <c r="AK9" i="2"/>
  <c r="AJ321" i="2"/>
  <c r="AJ299" i="2"/>
  <c r="AJ276" i="2"/>
  <c r="AJ253" i="2"/>
  <c r="AJ333" i="2"/>
  <c r="AJ39" i="2"/>
  <c r="AK39" i="2"/>
  <c r="AJ284" i="2"/>
  <c r="AJ305" i="2"/>
  <c r="AJ303" i="2"/>
  <c r="AJ228" i="2"/>
  <c r="AK228" i="2"/>
  <c r="AJ206" i="2"/>
  <c r="AK206" i="2"/>
  <c r="AJ184" i="2"/>
  <c r="AK184" i="2"/>
  <c r="T184" i="2" s="1"/>
  <c r="J183" i="10" s="1"/>
  <c r="AJ162" i="2"/>
  <c r="AK162" i="2"/>
  <c r="AJ140" i="2"/>
  <c r="AK140" i="2"/>
  <c r="T140" i="2" s="1"/>
  <c r="J139" i="10" s="1"/>
  <c r="AJ118" i="2"/>
  <c r="AK118" i="2"/>
  <c r="AJ96" i="2"/>
  <c r="AK96" i="2"/>
  <c r="AJ74" i="2"/>
  <c r="AK74" i="2"/>
  <c r="CP74" i="2" s="1"/>
  <c r="AJ52" i="2"/>
  <c r="AK52" i="2"/>
  <c r="AJ30" i="2"/>
  <c r="AK30" i="2"/>
  <c r="CP30" i="2" s="1"/>
  <c r="AJ8" i="2"/>
  <c r="AK8" i="2"/>
  <c r="AJ298" i="2"/>
  <c r="AJ275" i="2"/>
  <c r="AJ252" i="2"/>
  <c r="AJ332" i="2"/>
  <c r="AJ193" i="2"/>
  <c r="AK193" i="2"/>
  <c r="AJ341" i="2"/>
  <c r="AJ38" i="2"/>
  <c r="AK38" i="2"/>
  <c r="AJ81" i="2"/>
  <c r="AK81" i="2"/>
  <c r="AJ281" i="2"/>
  <c r="AJ227" i="2"/>
  <c r="AK227" i="2"/>
  <c r="AJ205" i="2"/>
  <c r="AK205" i="2"/>
  <c r="AJ183" i="2"/>
  <c r="AK183" i="2"/>
  <c r="CP183" i="2" s="1"/>
  <c r="AJ161" i="2"/>
  <c r="AK161" i="2"/>
  <c r="AJ139" i="2"/>
  <c r="AK139" i="2"/>
  <c r="T139" i="2" s="1"/>
  <c r="J138" i="10" s="1"/>
  <c r="AJ117" i="2"/>
  <c r="AK117" i="2"/>
  <c r="AJ95" i="2"/>
  <c r="AK95" i="2"/>
  <c r="AJ73" i="2"/>
  <c r="AK73" i="2"/>
  <c r="AJ51" i="2"/>
  <c r="AK51" i="2"/>
  <c r="AJ29" i="2"/>
  <c r="AK29" i="2"/>
  <c r="AJ7" i="2"/>
  <c r="AK7" i="2"/>
  <c r="AJ297" i="2"/>
  <c r="AJ274" i="2"/>
  <c r="AJ251" i="2"/>
  <c r="AJ331" i="2"/>
  <c r="AJ306" i="2"/>
  <c r="AJ59" i="2"/>
  <c r="AK59" i="2"/>
  <c r="AJ226" i="2"/>
  <c r="AK226" i="2"/>
  <c r="AJ204" i="2"/>
  <c r="AK204" i="2"/>
  <c r="AJ182" i="2"/>
  <c r="AK182" i="2"/>
  <c r="AJ160" i="2"/>
  <c r="AK160" i="2"/>
  <c r="AJ138" i="2"/>
  <c r="AK138" i="2"/>
  <c r="T138" i="2" s="1"/>
  <c r="J137" i="10" s="1"/>
  <c r="AJ116" i="2"/>
  <c r="AK116" i="2"/>
  <c r="AJ94" i="2"/>
  <c r="AK94" i="2"/>
  <c r="AJ72" i="2"/>
  <c r="AK72" i="2"/>
  <c r="AJ50" i="2"/>
  <c r="AK50" i="2"/>
  <c r="AJ28" i="2"/>
  <c r="AK28" i="2"/>
  <c r="AJ6" i="2"/>
  <c r="AK6" i="2"/>
  <c r="AJ296" i="2"/>
  <c r="AJ272" i="2"/>
  <c r="AJ250" i="2"/>
  <c r="AJ330" i="2"/>
  <c r="AJ127" i="2"/>
  <c r="AK127" i="2"/>
  <c r="CP127" i="2" s="1"/>
  <c r="AJ126" i="2"/>
  <c r="AK126" i="2"/>
  <c r="AJ169" i="2"/>
  <c r="AK169" i="2"/>
  <c r="T169" i="2" s="1"/>
  <c r="J168" i="10" s="1"/>
  <c r="AJ167" i="2"/>
  <c r="AK167" i="2"/>
  <c r="T167" i="2" s="1"/>
  <c r="J166" i="10" s="1"/>
  <c r="AJ225" i="2"/>
  <c r="AK225" i="2"/>
  <c r="AJ203" i="2"/>
  <c r="AK203" i="2"/>
  <c r="AJ181" i="2"/>
  <c r="AK181" i="2"/>
  <c r="AJ159" i="2"/>
  <c r="AK159" i="2"/>
  <c r="AJ137" i="2"/>
  <c r="AK137" i="2"/>
  <c r="T137" i="2" s="1"/>
  <c r="J136" i="10" s="1"/>
  <c r="AJ115" i="2"/>
  <c r="AK115" i="2"/>
  <c r="AJ93" i="2"/>
  <c r="AK93" i="2"/>
  <c r="AJ71" i="2"/>
  <c r="AK71" i="2"/>
  <c r="AJ49" i="2"/>
  <c r="AK49" i="2"/>
  <c r="AJ27" i="2"/>
  <c r="AK27" i="2"/>
  <c r="AJ5" i="2"/>
  <c r="AK5" i="2"/>
  <c r="AJ317" i="2"/>
  <c r="AJ295" i="2"/>
  <c r="AJ271" i="2"/>
  <c r="AJ249" i="2"/>
  <c r="AJ329" i="2"/>
  <c r="AJ105" i="2"/>
  <c r="AK105" i="2"/>
  <c r="AJ148" i="2"/>
  <c r="AK148" i="2"/>
  <c r="AJ235" i="2"/>
  <c r="AK235" i="2"/>
  <c r="AJ145" i="2"/>
  <c r="AK145" i="2"/>
  <c r="AJ224" i="2"/>
  <c r="AK224" i="2"/>
  <c r="AJ202" i="2"/>
  <c r="AK202" i="2"/>
  <c r="AJ180" i="2"/>
  <c r="AK180" i="2"/>
  <c r="AJ158" i="2"/>
  <c r="AK158" i="2"/>
  <c r="T158" i="2" s="1"/>
  <c r="J157" i="10" s="1"/>
  <c r="AJ136" i="2"/>
  <c r="AK136" i="2"/>
  <c r="T136" i="2" s="1"/>
  <c r="J135" i="10" s="1"/>
  <c r="AJ114" i="2"/>
  <c r="AK114" i="2"/>
  <c r="AJ92" i="2"/>
  <c r="AK92" i="2"/>
  <c r="AJ70" i="2"/>
  <c r="AK70" i="2"/>
  <c r="AJ48" i="2"/>
  <c r="AK48" i="2"/>
  <c r="AJ26" i="2"/>
  <c r="AK26" i="2"/>
  <c r="AJ316" i="2"/>
  <c r="AJ294" i="2"/>
  <c r="AJ270" i="2"/>
  <c r="AJ248" i="2"/>
  <c r="AJ328" i="2"/>
  <c r="AJ215" i="2"/>
  <c r="AK215" i="2"/>
  <c r="AJ261" i="2"/>
  <c r="AJ16" i="2"/>
  <c r="AK16" i="2"/>
  <c r="AJ79" i="2"/>
  <c r="AK79" i="2"/>
  <c r="AJ223" i="2"/>
  <c r="AK223" i="2"/>
  <c r="AJ201" i="2"/>
  <c r="AK201" i="2"/>
  <c r="AJ179" i="2"/>
  <c r="AK179" i="2"/>
  <c r="AJ157" i="2"/>
  <c r="AK157" i="2"/>
  <c r="AJ135" i="2"/>
  <c r="AK135" i="2"/>
  <c r="T135" i="2" s="1"/>
  <c r="J134" i="10" s="1"/>
  <c r="AJ113" i="2"/>
  <c r="AK113" i="2"/>
  <c r="AJ91" i="2"/>
  <c r="AK91" i="2"/>
  <c r="AJ69" i="2"/>
  <c r="AK69" i="2"/>
  <c r="AJ47" i="2"/>
  <c r="AK47" i="2"/>
  <c r="AJ25" i="2"/>
  <c r="AK25" i="2"/>
  <c r="AJ315" i="2"/>
  <c r="AJ293" i="2"/>
  <c r="AJ269" i="2"/>
  <c r="AJ247" i="2"/>
  <c r="AJ327" i="2"/>
  <c r="AJ238" i="2"/>
  <c r="AJ125" i="2"/>
  <c r="AK125" i="2"/>
  <c r="AJ101" i="2"/>
  <c r="AK101" i="2"/>
  <c r="AJ222" i="2"/>
  <c r="AK222" i="2"/>
  <c r="AJ200" i="2"/>
  <c r="AK200" i="2"/>
  <c r="AJ178" i="2"/>
  <c r="AK178" i="2"/>
  <c r="CP178" i="2" s="1"/>
  <c r="AJ156" i="2"/>
  <c r="AK156" i="2"/>
  <c r="AJ134" i="2"/>
  <c r="AK134" i="2"/>
  <c r="T134" i="2" s="1"/>
  <c r="J133" i="10" s="1"/>
  <c r="AJ112" i="2"/>
  <c r="AK112" i="2"/>
  <c r="AJ90" i="2"/>
  <c r="AK90" i="2"/>
  <c r="AJ68" i="2"/>
  <c r="AK68" i="2"/>
  <c r="AJ46" i="2"/>
  <c r="AK46" i="2"/>
  <c r="AJ24" i="2"/>
  <c r="AK24" i="2"/>
  <c r="AJ314" i="2"/>
  <c r="AJ292" i="2"/>
  <c r="AJ268" i="2"/>
  <c r="AJ246" i="2"/>
  <c r="AJ170" i="2"/>
  <c r="AK170" i="2"/>
  <c r="T170" i="2" s="1"/>
  <c r="J169" i="10" s="1"/>
  <c r="AJ37" i="2"/>
  <c r="AK37" i="2"/>
  <c r="AJ123" i="2"/>
  <c r="AK123" i="2"/>
  <c r="AJ221" i="2"/>
  <c r="AK221" i="2"/>
  <c r="CP221" i="2" s="1"/>
  <c r="AJ199" i="2"/>
  <c r="AK199" i="2"/>
  <c r="AJ177" i="2"/>
  <c r="AK177" i="2"/>
  <c r="CP177" i="2" s="1"/>
  <c r="AJ155" i="2"/>
  <c r="AK155" i="2"/>
  <c r="AJ133" i="2"/>
  <c r="AK133" i="2"/>
  <c r="T133" i="2" s="1"/>
  <c r="J132" i="10" s="1"/>
  <c r="AJ111" i="2"/>
  <c r="AK111" i="2"/>
  <c r="AJ89" i="2"/>
  <c r="AK89" i="2"/>
  <c r="AJ67" i="2"/>
  <c r="AK67" i="2"/>
  <c r="AJ45" i="2"/>
  <c r="AK45" i="2"/>
  <c r="AJ23" i="2"/>
  <c r="AK23" i="2"/>
  <c r="AJ313" i="2"/>
  <c r="U313" i="2"/>
  <c r="K312" i="10" s="1"/>
  <c r="AJ291" i="2"/>
  <c r="AJ267" i="2"/>
  <c r="AJ245" i="2"/>
  <c r="AJ307" i="2"/>
  <c r="AJ260" i="2"/>
  <c r="AJ103" i="2"/>
  <c r="AK103" i="2"/>
  <c r="AJ57" i="2"/>
  <c r="AK57" i="2"/>
  <c r="CP57" i="2" s="1"/>
  <c r="AJ220" i="2"/>
  <c r="AK220" i="2"/>
  <c r="AJ198" i="2"/>
  <c r="AK198" i="2"/>
  <c r="CP198" i="2" s="1"/>
  <c r="AJ176" i="2"/>
  <c r="AK176" i="2"/>
  <c r="CP176" i="2" s="1"/>
  <c r="AJ154" i="2"/>
  <c r="AK154" i="2"/>
  <c r="AJ132" i="2"/>
  <c r="AK132" i="2"/>
  <c r="AJ110" i="2"/>
  <c r="AK110" i="2"/>
  <c r="AJ88" i="2"/>
  <c r="AK88" i="2"/>
  <c r="AJ66" i="2"/>
  <c r="AK66" i="2"/>
  <c r="AJ44" i="2"/>
  <c r="AK44" i="2"/>
  <c r="AJ22" i="2"/>
  <c r="AK22" i="2"/>
  <c r="AJ312" i="2"/>
  <c r="AJ290" i="2"/>
  <c r="AJ266" i="2"/>
  <c r="AJ244" i="2"/>
  <c r="AJ324" i="2"/>
  <c r="AJ147" i="2"/>
  <c r="AK147" i="2"/>
  <c r="T147" i="2" s="1"/>
  <c r="J146" i="10" s="1"/>
  <c r="AJ242" i="2"/>
  <c r="AJ219" i="2"/>
  <c r="AK219" i="2"/>
  <c r="T219" i="2" s="1"/>
  <c r="J218" i="10" s="1"/>
  <c r="AJ197" i="2"/>
  <c r="AK197" i="2"/>
  <c r="AJ175" i="2"/>
  <c r="AK175" i="2"/>
  <c r="CP175" i="2" s="1"/>
  <c r="AJ153" i="2"/>
  <c r="AK153" i="2"/>
  <c r="AJ131" i="2"/>
  <c r="AK131" i="2"/>
  <c r="AJ109" i="2"/>
  <c r="AK109" i="2"/>
  <c r="AJ87" i="2"/>
  <c r="AK87" i="2"/>
  <c r="AJ65" i="2"/>
  <c r="AK65" i="2"/>
  <c r="AJ43" i="2"/>
  <c r="AK43" i="2"/>
  <c r="AJ21" i="2"/>
  <c r="AK21" i="2"/>
  <c r="AJ311" i="2"/>
  <c r="AJ289" i="2"/>
  <c r="AJ265" i="2"/>
  <c r="AJ243" i="2"/>
  <c r="AJ149" i="2"/>
  <c r="AK149" i="2"/>
  <c r="AJ104" i="2"/>
  <c r="AK104" i="2"/>
  <c r="AJ339" i="2"/>
  <c r="AJ241" i="2"/>
  <c r="AJ218" i="2"/>
  <c r="AK218" i="2"/>
  <c r="AJ196" i="2"/>
  <c r="AK196" i="2"/>
  <c r="T196" i="2" s="1"/>
  <c r="J195" i="10" s="1"/>
  <c r="AJ174" i="2"/>
  <c r="AK174" i="2"/>
  <c r="AJ152" i="2"/>
  <c r="AK152" i="2"/>
  <c r="AJ130" i="2"/>
  <c r="AK130" i="2"/>
  <c r="AJ108" i="2"/>
  <c r="AK108" i="2"/>
  <c r="AJ86" i="2"/>
  <c r="AK86" i="2"/>
  <c r="AJ64" i="2"/>
  <c r="AK64" i="2"/>
  <c r="AJ42" i="2"/>
  <c r="AK42" i="2"/>
  <c r="AJ20" i="2"/>
  <c r="AK20" i="2"/>
  <c r="AJ310" i="2"/>
  <c r="AJ288" i="2"/>
  <c r="AJ264" i="2"/>
  <c r="AJ344" i="2"/>
  <c r="AI237" i="2"/>
  <c r="AJ237" i="2"/>
  <c r="AI254" i="2"/>
  <c r="AJ254" i="2"/>
  <c r="AI319" i="2"/>
  <c r="AJ319" i="2"/>
  <c r="AI318" i="2"/>
  <c r="AJ318" i="2"/>
  <c r="AI320" i="2"/>
  <c r="AJ320" i="2"/>
  <c r="AI326" i="2"/>
  <c r="AJ326" i="2"/>
  <c r="AI325" i="2"/>
  <c r="AJ325" i="2"/>
  <c r="AI323" i="2"/>
  <c r="AJ323" i="2"/>
  <c r="AI322" i="2"/>
  <c r="AH322" i="2" s="1"/>
  <c r="AJ322" i="2"/>
  <c r="T238" i="2"/>
  <c r="J237" i="10" s="1"/>
  <c r="AI238" i="2"/>
  <c r="AI236" i="2"/>
  <c r="AH236" i="2" s="1"/>
  <c r="AI214" i="2"/>
  <c r="AH214" i="2" s="1"/>
  <c r="AI192" i="2"/>
  <c r="AH192" i="2" s="1"/>
  <c r="AI170" i="2"/>
  <c r="AH170" i="2" s="1"/>
  <c r="AI148" i="2"/>
  <c r="AH148" i="2" s="1"/>
  <c r="AI126" i="2"/>
  <c r="AH126" i="2" s="1"/>
  <c r="AI104" i="2"/>
  <c r="AH104" i="2" s="1"/>
  <c r="AI82" i="2"/>
  <c r="AH82" i="2" s="1"/>
  <c r="AI60" i="2"/>
  <c r="AH60" i="2" s="1"/>
  <c r="AI38" i="2"/>
  <c r="AH38" i="2" s="1"/>
  <c r="AI16" i="2"/>
  <c r="AH16" i="2" s="1"/>
  <c r="T306" i="2"/>
  <c r="J305" i="10" s="1"/>
  <c r="AI306" i="2"/>
  <c r="AI284" i="2"/>
  <c r="AI260" i="2"/>
  <c r="AI340" i="2"/>
  <c r="AI173" i="2"/>
  <c r="AH173" i="2" s="1"/>
  <c r="T287" i="2"/>
  <c r="J286" i="10" s="1"/>
  <c r="AI287" i="2"/>
  <c r="AI216" i="2"/>
  <c r="AH216" i="2" s="1"/>
  <c r="AI84" i="2"/>
  <c r="AH84" i="2" s="1"/>
  <c r="T308" i="2"/>
  <c r="J307" i="10" s="1"/>
  <c r="AI308" i="2"/>
  <c r="AI171" i="2"/>
  <c r="AH171" i="2" s="1"/>
  <c r="T285" i="2"/>
  <c r="J284" i="10" s="1"/>
  <c r="AI285" i="2"/>
  <c r="AI235" i="2"/>
  <c r="AH235" i="2" s="1"/>
  <c r="AI213" i="2"/>
  <c r="AH213" i="2" s="1"/>
  <c r="AI191" i="2"/>
  <c r="AH191" i="2" s="1"/>
  <c r="AI169" i="2"/>
  <c r="AH169" i="2" s="1"/>
  <c r="AI147" i="2"/>
  <c r="AH147" i="2" s="1"/>
  <c r="AI125" i="2"/>
  <c r="AH125" i="2" s="1"/>
  <c r="AI103" i="2"/>
  <c r="AH103" i="2" s="1"/>
  <c r="AI81" i="2"/>
  <c r="AH81" i="2" s="1"/>
  <c r="AI59" i="2"/>
  <c r="AH59" i="2" s="1"/>
  <c r="AI37" i="2"/>
  <c r="AH37" i="2" s="1"/>
  <c r="AI15" i="2"/>
  <c r="AH15" i="2" s="1"/>
  <c r="AI305" i="2"/>
  <c r="T283" i="2"/>
  <c r="J282" i="10" s="1"/>
  <c r="AI283" i="2"/>
  <c r="AI259" i="2"/>
  <c r="AI339" i="2"/>
  <c r="AI151" i="2"/>
  <c r="AH151" i="2" s="1"/>
  <c r="AI19" i="2"/>
  <c r="AH19" i="2" s="1"/>
  <c r="AI239" i="2"/>
  <c r="AI172" i="2"/>
  <c r="AH172" i="2" s="1"/>
  <c r="AI106" i="2"/>
  <c r="AH106" i="2" s="1"/>
  <c r="AI62" i="2"/>
  <c r="AH62" i="2" s="1"/>
  <c r="AI40" i="2"/>
  <c r="AH40" i="2" s="1"/>
  <c r="AI18" i="2"/>
  <c r="AH18" i="2" s="1"/>
  <c r="AI215" i="2"/>
  <c r="AH215" i="2" s="1"/>
  <c r="AI127" i="2"/>
  <c r="AH127" i="2" s="1"/>
  <c r="AI83" i="2"/>
  <c r="AH83" i="2" s="1"/>
  <c r="AI61" i="2"/>
  <c r="AH61" i="2" s="1"/>
  <c r="AI39" i="2"/>
  <c r="AH39" i="2" s="1"/>
  <c r="AI17" i="2"/>
  <c r="AH17" i="2" s="1"/>
  <c r="AI341" i="2"/>
  <c r="AI234" i="2"/>
  <c r="AH234" i="2" s="1"/>
  <c r="AI212" i="2"/>
  <c r="AH212" i="2" s="1"/>
  <c r="AI190" i="2"/>
  <c r="AH190" i="2" s="1"/>
  <c r="AI168" i="2"/>
  <c r="AH168" i="2" s="1"/>
  <c r="AI146" i="2"/>
  <c r="AH146" i="2" s="1"/>
  <c r="AI124" i="2"/>
  <c r="AH124" i="2" s="1"/>
  <c r="AI102" i="2"/>
  <c r="AH102" i="2" s="1"/>
  <c r="AI80" i="2"/>
  <c r="AH80" i="2" s="1"/>
  <c r="AI58" i="2"/>
  <c r="AH58" i="2" s="1"/>
  <c r="AI36" i="2"/>
  <c r="AH36" i="2" s="1"/>
  <c r="AI14" i="2"/>
  <c r="AH14" i="2" s="1"/>
  <c r="AI304" i="2"/>
  <c r="AI282" i="2"/>
  <c r="AI258" i="2"/>
  <c r="T338" i="2"/>
  <c r="J337" i="10" s="1"/>
  <c r="AI338" i="2"/>
  <c r="AI233" i="2"/>
  <c r="AH233" i="2" s="1"/>
  <c r="AI211" i="2"/>
  <c r="AH211" i="2" s="1"/>
  <c r="AI189" i="2"/>
  <c r="AH189" i="2" s="1"/>
  <c r="AI167" i="2"/>
  <c r="AH167" i="2" s="1"/>
  <c r="AI145" i="2"/>
  <c r="AH145" i="2" s="1"/>
  <c r="AI123" i="2"/>
  <c r="AH123" i="2" s="1"/>
  <c r="AI101" i="2"/>
  <c r="AH101" i="2" s="1"/>
  <c r="AI79" i="2"/>
  <c r="AH79" i="2" s="1"/>
  <c r="AI57" i="2"/>
  <c r="AH57" i="2" s="1"/>
  <c r="AI35" i="2"/>
  <c r="AH35" i="2" s="1"/>
  <c r="AI13" i="2"/>
  <c r="AH13" i="2" s="1"/>
  <c r="T303" i="2"/>
  <c r="J302" i="10" s="1"/>
  <c r="AI303" i="2"/>
  <c r="T281" i="2"/>
  <c r="J280" i="10" s="1"/>
  <c r="AI281" i="2"/>
  <c r="AI257" i="2"/>
  <c r="AI337" i="2"/>
  <c r="AH337" i="2" s="1"/>
  <c r="T240" i="2"/>
  <c r="J239" i="10" s="1"/>
  <c r="AI240" i="2"/>
  <c r="AI263" i="2"/>
  <c r="AI128" i="2"/>
  <c r="AH128" i="2" s="1"/>
  <c r="AI286" i="2"/>
  <c r="AI193" i="2"/>
  <c r="AH193" i="2" s="1"/>
  <c r="AI105" i="2"/>
  <c r="AH105" i="2" s="1"/>
  <c r="AI232" i="2"/>
  <c r="AH232" i="2" s="1"/>
  <c r="AI210" i="2"/>
  <c r="AH210" i="2" s="1"/>
  <c r="AI188" i="2"/>
  <c r="AH188" i="2" s="1"/>
  <c r="AI166" i="2"/>
  <c r="AH166" i="2" s="1"/>
  <c r="AI144" i="2"/>
  <c r="AH144" i="2" s="1"/>
  <c r="AI122" i="2"/>
  <c r="AH122" i="2" s="1"/>
  <c r="AI100" i="2"/>
  <c r="AH100" i="2" s="1"/>
  <c r="AI78" i="2"/>
  <c r="AH78" i="2" s="1"/>
  <c r="AI56" i="2"/>
  <c r="AH56" i="2" s="1"/>
  <c r="AI34" i="2"/>
  <c r="AH34" i="2" s="1"/>
  <c r="AI12" i="2"/>
  <c r="AH12" i="2" s="1"/>
  <c r="AI302" i="2"/>
  <c r="T280" i="2"/>
  <c r="J279" i="10" s="1"/>
  <c r="AI280" i="2"/>
  <c r="AI256" i="2"/>
  <c r="AI336" i="2"/>
  <c r="AI217" i="2"/>
  <c r="AH217" i="2" s="1"/>
  <c r="AI107" i="2"/>
  <c r="AH107" i="2" s="1"/>
  <c r="AI150" i="2"/>
  <c r="AH150" i="2" s="1"/>
  <c r="AI262" i="2"/>
  <c r="AI149" i="2"/>
  <c r="AH149" i="2" s="1"/>
  <c r="AI261" i="2"/>
  <c r="AI231" i="2"/>
  <c r="AH231" i="2" s="1"/>
  <c r="AI209" i="2"/>
  <c r="AH209" i="2" s="1"/>
  <c r="AI187" i="2"/>
  <c r="AH187" i="2" s="1"/>
  <c r="AI165" i="2"/>
  <c r="AH165" i="2" s="1"/>
  <c r="AI143" i="2"/>
  <c r="AH143" i="2" s="1"/>
  <c r="AI121" i="2"/>
  <c r="AH121" i="2" s="1"/>
  <c r="AI99" i="2"/>
  <c r="AH99" i="2" s="1"/>
  <c r="AI77" i="2"/>
  <c r="AH77" i="2" s="1"/>
  <c r="AI55" i="2"/>
  <c r="AH55" i="2" s="1"/>
  <c r="AI33" i="2"/>
  <c r="AH33" i="2" s="1"/>
  <c r="AI11" i="2"/>
  <c r="AH11" i="2" s="1"/>
  <c r="AI301" i="2"/>
  <c r="AI279" i="2"/>
  <c r="AI255" i="2"/>
  <c r="AI335" i="2"/>
  <c r="AI309" i="2"/>
  <c r="AI194" i="2"/>
  <c r="AH194" i="2" s="1"/>
  <c r="T342" i="2"/>
  <c r="J341" i="10" s="1"/>
  <c r="AI342" i="2"/>
  <c r="AI307" i="2"/>
  <c r="AI230" i="2"/>
  <c r="AH230" i="2" s="1"/>
  <c r="AI208" i="2"/>
  <c r="AH208" i="2" s="1"/>
  <c r="AI186" i="2"/>
  <c r="AH186" i="2" s="1"/>
  <c r="AI164" i="2"/>
  <c r="AH164" i="2" s="1"/>
  <c r="AI142" i="2"/>
  <c r="AH142" i="2" s="1"/>
  <c r="AI120" i="2"/>
  <c r="AH120" i="2" s="1"/>
  <c r="AI98" i="2"/>
  <c r="AH98" i="2" s="1"/>
  <c r="AI76" i="2"/>
  <c r="AH76" i="2" s="1"/>
  <c r="AI54" i="2"/>
  <c r="AH54" i="2" s="1"/>
  <c r="AI32" i="2"/>
  <c r="AH32" i="2" s="1"/>
  <c r="AI10" i="2"/>
  <c r="AH10" i="2" s="1"/>
  <c r="AI300" i="2"/>
  <c r="T277" i="2"/>
  <c r="J276" i="10" s="1"/>
  <c r="AI277" i="2"/>
  <c r="AI334" i="2"/>
  <c r="AI343" i="2"/>
  <c r="AI229" i="2"/>
  <c r="AH229" i="2" s="1"/>
  <c r="AI207" i="2"/>
  <c r="AH207" i="2" s="1"/>
  <c r="AI185" i="2"/>
  <c r="AH185" i="2" s="1"/>
  <c r="AI163" i="2"/>
  <c r="AH163" i="2" s="1"/>
  <c r="AI141" i="2"/>
  <c r="AH141" i="2" s="1"/>
  <c r="AI119" i="2"/>
  <c r="AH119" i="2" s="1"/>
  <c r="AI97" i="2"/>
  <c r="AH97" i="2" s="1"/>
  <c r="AI75" i="2"/>
  <c r="AH75" i="2" s="1"/>
  <c r="AI53" i="2"/>
  <c r="AH53" i="2" s="1"/>
  <c r="AI31" i="2"/>
  <c r="AH31" i="2" s="1"/>
  <c r="AI9" i="2"/>
  <c r="AH9" i="2" s="1"/>
  <c r="AI321" i="2"/>
  <c r="T299" i="2"/>
  <c r="J298" i="10" s="1"/>
  <c r="AI299" i="2"/>
  <c r="AI276" i="2"/>
  <c r="AI253" i="2"/>
  <c r="AI333" i="2"/>
  <c r="AI228" i="2"/>
  <c r="AI206" i="2"/>
  <c r="AH206" i="2" s="1"/>
  <c r="AI184" i="2"/>
  <c r="AH184" i="2" s="1"/>
  <c r="AI162" i="2"/>
  <c r="AH162" i="2" s="1"/>
  <c r="AI140" i="2"/>
  <c r="AH140" i="2" s="1"/>
  <c r="AI118" i="2"/>
  <c r="AH118" i="2" s="1"/>
  <c r="AI96" i="2"/>
  <c r="AH96" i="2" s="1"/>
  <c r="AI74" i="2"/>
  <c r="AH74" i="2" s="1"/>
  <c r="AI52" i="2"/>
  <c r="AH52" i="2" s="1"/>
  <c r="AI30" i="2"/>
  <c r="AH30" i="2" s="1"/>
  <c r="AI8" i="2"/>
  <c r="AH8" i="2" s="1"/>
  <c r="T298" i="2"/>
  <c r="J297" i="10" s="1"/>
  <c r="AI298" i="2"/>
  <c r="AI275" i="2"/>
  <c r="AI252" i="2"/>
  <c r="AI332" i="2"/>
  <c r="AH332" i="2" s="1"/>
  <c r="AI195" i="2"/>
  <c r="AH195" i="2" s="1"/>
  <c r="AI129" i="2"/>
  <c r="AH129" i="2" s="1"/>
  <c r="AI41" i="2"/>
  <c r="AH41" i="2" s="1"/>
  <c r="AI227" i="2"/>
  <c r="AI205" i="2"/>
  <c r="AH205" i="2" s="1"/>
  <c r="AI183" i="2"/>
  <c r="AH183" i="2" s="1"/>
  <c r="AI161" i="2"/>
  <c r="AH161" i="2" s="1"/>
  <c r="AI139" i="2"/>
  <c r="AH139" i="2" s="1"/>
  <c r="AI117" i="2"/>
  <c r="AH117" i="2" s="1"/>
  <c r="AI95" i="2"/>
  <c r="AH95" i="2" s="1"/>
  <c r="AI73" i="2"/>
  <c r="AH73" i="2" s="1"/>
  <c r="AI51" i="2"/>
  <c r="AH51" i="2" s="1"/>
  <c r="AI29" i="2"/>
  <c r="AH29" i="2" s="1"/>
  <c r="AI7" i="2"/>
  <c r="AH7" i="2" s="1"/>
  <c r="T297" i="2"/>
  <c r="J296" i="10" s="1"/>
  <c r="AI297" i="2"/>
  <c r="AI274" i="2"/>
  <c r="AI251" i="2"/>
  <c r="T331" i="2"/>
  <c r="J330" i="10" s="1"/>
  <c r="AI331" i="2"/>
  <c r="AI226" i="2"/>
  <c r="AI204" i="2"/>
  <c r="AH204" i="2" s="1"/>
  <c r="AI182" i="2"/>
  <c r="AH182" i="2" s="1"/>
  <c r="AI160" i="2"/>
  <c r="AH160" i="2" s="1"/>
  <c r="AI138" i="2"/>
  <c r="AH138" i="2" s="1"/>
  <c r="AI116" i="2"/>
  <c r="AH116" i="2" s="1"/>
  <c r="AI94" i="2"/>
  <c r="AI72" i="2"/>
  <c r="AH72" i="2" s="1"/>
  <c r="AI50" i="2"/>
  <c r="AH50" i="2" s="1"/>
  <c r="AI28" i="2"/>
  <c r="AH28" i="2" s="1"/>
  <c r="AI6" i="2"/>
  <c r="AH6" i="2" s="1"/>
  <c r="AI296" i="2"/>
  <c r="AI272" i="2"/>
  <c r="AI250" i="2"/>
  <c r="AI330" i="2"/>
  <c r="AI115" i="2"/>
  <c r="AH115" i="2" s="1"/>
  <c r="AI49" i="2"/>
  <c r="AH49" i="2" s="1"/>
  <c r="AI27" i="2"/>
  <c r="AH27" i="2" s="1"/>
  <c r="AI5" i="2"/>
  <c r="AH5" i="2" s="1"/>
  <c r="T317" i="2"/>
  <c r="J316" i="10" s="1"/>
  <c r="AI317" i="2"/>
  <c r="T295" i="2"/>
  <c r="J294" i="10" s="1"/>
  <c r="AI295" i="2"/>
  <c r="AI271" i="2"/>
  <c r="T329" i="2"/>
  <c r="J328" i="10" s="1"/>
  <c r="AI329" i="2"/>
  <c r="AI85" i="2"/>
  <c r="AH85" i="2" s="1"/>
  <c r="AI225" i="2"/>
  <c r="AI203" i="2"/>
  <c r="AH203" i="2" s="1"/>
  <c r="AI181" i="2"/>
  <c r="AH181" i="2" s="1"/>
  <c r="AI159" i="2"/>
  <c r="AH159" i="2" s="1"/>
  <c r="AI137" i="2"/>
  <c r="AH137" i="2" s="1"/>
  <c r="AI93" i="2"/>
  <c r="AI71" i="2"/>
  <c r="AH71" i="2" s="1"/>
  <c r="AI249" i="2"/>
  <c r="AI224" i="2"/>
  <c r="AI202" i="2"/>
  <c r="AH202" i="2" s="1"/>
  <c r="AI180" i="2"/>
  <c r="AH180" i="2" s="1"/>
  <c r="AI158" i="2"/>
  <c r="AH158" i="2" s="1"/>
  <c r="AI136" i="2"/>
  <c r="AH136" i="2" s="1"/>
  <c r="AI114" i="2"/>
  <c r="AH114" i="2" s="1"/>
  <c r="AI92" i="2"/>
  <c r="AI70" i="2"/>
  <c r="AH70" i="2" s="1"/>
  <c r="AI48" i="2"/>
  <c r="AH48" i="2" s="1"/>
  <c r="AI26" i="2"/>
  <c r="AH26" i="2" s="1"/>
  <c r="AI316" i="2"/>
  <c r="AI294" i="2"/>
  <c r="AI270" i="2"/>
  <c r="AI248" i="2"/>
  <c r="AI328" i="2"/>
  <c r="AI63" i="2"/>
  <c r="AH63" i="2" s="1"/>
  <c r="AI223" i="2"/>
  <c r="AI201" i="2"/>
  <c r="AH201" i="2" s="1"/>
  <c r="AI179" i="2"/>
  <c r="AH179" i="2" s="1"/>
  <c r="AI157" i="2"/>
  <c r="AH157" i="2" s="1"/>
  <c r="AI135" i="2"/>
  <c r="AH135" i="2" s="1"/>
  <c r="AI113" i="2"/>
  <c r="AH113" i="2" s="1"/>
  <c r="AI91" i="2"/>
  <c r="AH91" i="2" s="1"/>
  <c r="AI69" i="2"/>
  <c r="AH69" i="2" s="1"/>
  <c r="AI47" i="2"/>
  <c r="AH47" i="2" s="1"/>
  <c r="AI25" i="2"/>
  <c r="AH25" i="2" s="1"/>
  <c r="AI315" i="2"/>
  <c r="AI293" i="2"/>
  <c r="AI269" i="2"/>
  <c r="AI247" i="2"/>
  <c r="AI327" i="2"/>
  <c r="AH327" i="2" s="1"/>
  <c r="AI222" i="2"/>
  <c r="AH222" i="2" s="1"/>
  <c r="AI200" i="2"/>
  <c r="AH200" i="2" s="1"/>
  <c r="AI178" i="2"/>
  <c r="AH178" i="2" s="1"/>
  <c r="AI156" i="2"/>
  <c r="AH156" i="2" s="1"/>
  <c r="AI134" i="2"/>
  <c r="AH134" i="2" s="1"/>
  <c r="AI112" i="2"/>
  <c r="AH112" i="2" s="1"/>
  <c r="AI90" i="2"/>
  <c r="AH90" i="2" s="1"/>
  <c r="AI68" i="2"/>
  <c r="AH68" i="2" s="1"/>
  <c r="AI46" i="2"/>
  <c r="AH46" i="2" s="1"/>
  <c r="AI24" i="2"/>
  <c r="AH24" i="2" s="1"/>
  <c r="AI314" i="2"/>
  <c r="AI292" i="2"/>
  <c r="AI268" i="2"/>
  <c r="AI246" i="2"/>
  <c r="AI221" i="2"/>
  <c r="AH221" i="2" s="1"/>
  <c r="AI199" i="2"/>
  <c r="AH199" i="2" s="1"/>
  <c r="AI177" i="2"/>
  <c r="AH177" i="2" s="1"/>
  <c r="AI155" i="2"/>
  <c r="AH155" i="2" s="1"/>
  <c r="AI133" i="2"/>
  <c r="AH133" i="2" s="1"/>
  <c r="AI111" i="2"/>
  <c r="AH111" i="2" s="1"/>
  <c r="AI89" i="2"/>
  <c r="AH89" i="2" s="1"/>
  <c r="AI67" i="2"/>
  <c r="AH67" i="2" s="1"/>
  <c r="AI45" i="2"/>
  <c r="AH45" i="2" s="1"/>
  <c r="AI23" i="2"/>
  <c r="AH23" i="2" s="1"/>
  <c r="AI313" i="2"/>
  <c r="AI291" i="2"/>
  <c r="AI267" i="2"/>
  <c r="AI245" i="2"/>
  <c r="AI220" i="2"/>
  <c r="AH220" i="2" s="1"/>
  <c r="AI198" i="2"/>
  <c r="AH198" i="2" s="1"/>
  <c r="AI176" i="2"/>
  <c r="AH176" i="2" s="1"/>
  <c r="AI154" i="2"/>
  <c r="AH154" i="2" s="1"/>
  <c r="AI132" i="2"/>
  <c r="AH132" i="2" s="1"/>
  <c r="AI110" i="2"/>
  <c r="AH110" i="2" s="1"/>
  <c r="AI88" i="2"/>
  <c r="AH88" i="2" s="1"/>
  <c r="AI66" i="2"/>
  <c r="AH66" i="2" s="1"/>
  <c r="AI44" i="2"/>
  <c r="AH44" i="2" s="1"/>
  <c r="AI22" i="2"/>
  <c r="AH22" i="2" s="1"/>
  <c r="T312" i="2"/>
  <c r="J311" i="10" s="1"/>
  <c r="AI312" i="2"/>
  <c r="AI290" i="2"/>
  <c r="AI266" i="2"/>
  <c r="AI244" i="2"/>
  <c r="AI324" i="2"/>
  <c r="AI242" i="2"/>
  <c r="AI219" i="2"/>
  <c r="AH219" i="2" s="1"/>
  <c r="AI197" i="2"/>
  <c r="AH197" i="2" s="1"/>
  <c r="AI175" i="2"/>
  <c r="AH175" i="2" s="1"/>
  <c r="AI153" i="2"/>
  <c r="AH153" i="2" s="1"/>
  <c r="AI131" i="2"/>
  <c r="AH131" i="2" s="1"/>
  <c r="AI109" i="2"/>
  <c r="AH109" i="2" s="1"/>
  <c r="AI87" i="2"/>
  <c r="AH87" i="2" s="1"/>
  <c r="AI65" i="2"/>
  <c r="AH65" i="2" s="1"/>
  <c r="AI43" i="2"/>
  <c r="AH43" i="2" s="1"/>
  <c r="AI21" i="2"/>
  <c r="AH21" i="2" s="1"/>
  <c r="AI311" i="2"/>
  <c r="AI289" i="2"/>
  <c r="AI265" i="2"/>
  <c r="AI243" i="2"/>
  <c r="AI241" i="2"/>
  <c r="AI218" i="2"/>
  <c r="AH218" i="2" s="1"/>
  <c r="AI196" i="2"/>
  <c r="AH196" i="2" s="1"/>
  <c r="AI174" i="2"/>
  <c r="AH174" i="2" s="1"/>
  <c r="AI152" i="2"/>
  <c r="AH152" i="2" s="1"/>
  <c r="AI130" i="2"/>
  <c r="AH130" i="2" s="1"/>
  <c r="AI108" i="2"/>
  <c r="AH108" i="2" s="1"/>
  <c r="AI86" i="2"/>
  <c r="AH86" i="2" s="1"/>
  <c r="AI64" i="2"/>
  <c r="AH64" i="2" s="1"/>
  <c r="AI42" i="2"/>
  <c r="AH42" i="2" s="1"/>
  <c r="AI20" i="2"/>
  <c r="AH20" i="2" s="1"/>
  <c r="AI310" i="2"/>
  <c r="T288" i="2"/>
  <c r="J287" i="10" s="1"/>
  <c r="AI288" i="2"/>
  <c r="T264" i="2"/>
  <c r="J263" i="10" s="1"/>
  <c r="AI264" i="2"/>
  <c r="AI344" i="2"/>
  <c r="T318" i="2"/>
  <c r="J317" i="10" s="1"/>
  <c r="CM326" i="2"/>
  <c r="CR326" i="2" s="1"/>
  <c r="CM323" i="2"/>
  <c r="CR323" i="2" s="1"/>
  <c r="CR320" i="2"/>
  <c r="T326" i="2"/>
  <c r="J325" i="10" s="1"/>
  <c r="T325" i="2"/>
  <c r="J324" i="10" s="1"/>
  <c r="CR325" i="2"/>
  <c r="T324" i="2"/>
  <c r="J323" i="10" s="1"/>
  <c r="CR324" i="2"/>
  <c r="T323" i="2"/>
  <c r="J322" i="10" s="1"/>
  <c r="T293" i="2"/>
  <c r="J292" i="10" s="1"/>
  <c r="CR293" i="2"/>
  <c r="AB273" i="2"/>
  <c r="AA273" i="2" s="1"/>
  <c r="CP273" i="2" s="1"/>
  <c r="AB278" i="2"/>
  <c r="AA278" i="2" s="1"/>
  <c r="T321" i="2"/>
  <c r="J320" i="10" s="1"/>
  <c r="CM321" i="2"/>
  <c r="L299" i="10" l="1"/>
  <c r="N299" i="10" s="1"/>
  <c r="L340" i="10"/>
  <c r="N340" i="10" s="1"/>
  <c r="V3" i="2"/>
  <c r="Z3" i="2"/>
  <c r="AA3" i="2"/>
  <c r="AB3" i="2"/>
  <c r="CP265" i="2"/>
  <c r="T265" i="2" s="1"/>
  <c r="U321" i="2"/>
  <c r="K320" i="10" s="1"/>
  <c r="U288" i="2"/>
  <c r="K287" i="10" s="1"/>
  <c r="U167" i="2"/>
  <c r="K166" i="10" s="1"/>
  <c r="U238" i="2"/>
  <c r="K237" i="10" s="1"/>
  <c r="U317" i="2"/>
  <c r="K316" i="10" s="1"/>
  <c r="U312" i="2"/>
  <c r="K311" i="10" s="1"/>
  <c r="U274" i="2"/>
  <c r="K273" i="10" s="1"/>
  <c r="U306" i="2"/>
  <c r="K305" i="10" s="1"/>
  <c r="U297" i="2"/>
  <c r="K296" i="10" s="1"/>
  <c r="U338" i="2"/>
  <c r="K337" i="10" s="1"/>
  <c r="U146" i="2"/>
  <c r="K145" i="10" s="1"/>
  <c r="U240" i="2"/>
  <c r="K239" i="10" s="1"/>
  <c r="U140" i="2"/>
  <c r="K139" i="10" s="1"/>
  <c r="U168" i="2"/>
  <c r="K167" i="10" s="1"/>
  <c r="U280" i="2"/>
  <c r="K279" i="10" s="1"/>
  <c r="U134" i="2"/>
  <c r="K133" i="10" s="1"/>
  <c r="U308" i="2"/>
  <c r="K307" i="10" s="1"/>
  <c r="U329" i="2"/>
  <c r="K328" i="10" s="1"/>
  <c r="U303" i="2"/>
  <c r="K302" i="10" s="1"/>
  <c r="U318" i="2"/>
  <c r="K317" i="10" s="1"/>
  <c r="U342" i="2"/>
  <c r="K341" i="10" s="1"/>
  <c r="U138" i="2"/>
  <c r="K137" i="10" s="1"/>
  <c r="U150" i="2"/>
  <c r="K149" i="10" s="1"/>
  <c r="U323" i="2"/>
  <c r="K322" i="10" s="1"/>
  <c r="U184" i="2"/>
  <c r="K183" i="10" s="1"/>
  <c r="U324" i="2"/>
  <c r="K323" i="10" s="1"/>
  <c r="U151" i="2"/>
  <c r="K150" i="10" s="1"/>
  <c r="U325" i="2"/>
  <c r="K324" i="10" s="1"/>
  <c r="U173" i="2"/>
  <c r="K172" i="10" s="1"/>
  <c r="U322" i="2"/>
  <c r="K321" i="10" s="1"/>
  <c r="U219" i="2"/>
  <c r="K218" i="10" s="1"/>
  <c r="U147" i="2"/>
  <c r="K146" i="10" s="1"/>
  <c r="U298" i="2"/>
  <c r="K297" i="10" s="1"/>
  <c r="U133" i="2"/>
  <c r="K132" i="10" s="1"/>
  <c r="U320" i="2"/>
  <c r="K319" i="10" s="1"/>
  <c r="U293" i="2"/>
  <c r="K292" i="10" s="1"/>
  <c r="U169" i="2"/>
  <c r="K168" i="10" s="1"/>
  <c r="U171" i="2"/>
  <c r="K170" i="10" s="1"/>
  <c r="U281" i="2"/>
  <c r="K280" i="10" s="1"/>
  <c r="U208" i="2"/>
  <c r="K207" i="10" s="1"/>
  <c r="U326" i="2"/>
  <c r="K325" i="10" s="1"/>
  <c r="U287" i="2"/>
  <c r="K286" i="10" s="1"/>
  <c r="U331" i="2"/>
  <c r="K330" i="10" s="1"/>
  <c r="U137" i="2"/>
  <c r="K136" i="10" s="1"/>
  <c r="U319" i="2"/>
  <c r="K318" i="10" s="1"/>
  <c r="U264" i="2"/>
  <c r="K263" i="10" s="1"/>
  <c r="U136" i="2"/>
  <c r="K135" i="10" s="1"/>
  <c r="U282" i="2"/>
  <c r="K281" i="10" s="1"/>
  <c r="U196" i="2"/>
  <c r="K195" i="10" s="1"/>
  <c r="U285" i="2"/>
  <c r="K284" i="10" s="1"/>
  <c r="U277" i="2"/>
  <c r="K276" i="10" s="1"/>
  <c r="U295" i="2"/>
  <c r="K294" i="10" s="1"/>
  <c r="U299" i="2"/>
  <c r="K298" i="10" s="1"/>
  <c r="U283" i="2"/>
  <c r="K282" i="10" s="1"/>
  <c r="U170" i="2"/>
  <c r="K169" i="10" s="1"/>
  <c r="U139" i="2"/>
  <c r="K138" i="10" s="1"/>
  <c r="AK273" i="2"/>
  <c r="T211" i="2"/>
  <c r="J210" i="10" s="1"/>
  <c r="T190" i="2"/>
  <c r="J189" i="10" s="1"/>
  <c r="T221" i="2"/>
  <c r="J220" i="10" s="1"/>
  <c r="T213" i="2"/>
  <c r="J212" i="10" s="1"/>
  <c r="AH228" i="2"/>
  <c r="AH224" i="2"/>
  <c r="AH225" i="2"/>
  <c r="AH227" i="2"/>
  <c r="AH226" i="2"/>
  <c r="AH223" i="2"/>
  <c r="T223" i="2"/>
  <c r="J222" i="10" s="1"/>
  <c r="CR223" i="2"/>
  <c r="CT223" i="2"/>
  <c r="CS223" i="2"/>
  <c r="CQ223" i="2"/>
  <c r="T226" i="2"/>
  <c r="J225" i="10" s="1"/>
  <c r="CR226" i="2"/>
  <c r="CT226" i="2"/>
  <c r="CS226" i="2"/>
  <c r="CQ226" i="2"/>
  <c r="T225" i="2"/>
  <c r="J224" i="10" s="1"/>
  <c r="CT225" i="2"/>
  <c r="CS225" i="2"/>
  <c r="CQ225" i="2"/>
  <c r="CR225" i="2"/>
  <c r="T228" i="2"/>
  <c r="J227" i="10" s="1"/>
  <c r="CT228" i="2"/>
  <c r="CS228" i="2"/>
  <c r="CQ228" i="2"/>
  <c r="CR228" i="2"/>
  <c r="T224" i="2"/>
  <c r="J223" i="10" s="1"/>
  <c r="CS224" i="2"/>
  <c r="CQ224" i="2"/>
  <c r="CR224" i="2"/>
  <c r="CT224" i="2"/>
  <c r="T227" i="2"/>
  <c r="J226" i="10" s="1"/>
  <c r="CS227" i="2"/>
  <c r="CQ227" i="2"/>
  <c r="CR227" i="2"/>
  <c r="CT227" i="2"/>
  <c r="T286" i="2"/>
  <c r="J285" i="10" s="1"/>
  <c r="AH325" i="2"/>
  <c r="T258" i="2"/>
  <c r="J257" i="10" s="1"/>
  <c r="T292" i="2"/>
  <c r="J291" i="10" s="1"/>
  <c r="T249" i="2"/>
  <c r="J248" i="10" s="1"/>
  <c r="T239" i="2"/>
  <c r="J238" i="10" s="1"/>
  <c r="T270" i="2"/>
  <c r="J269" i="10" s="1"/>
  <c r="T263" i="2"/>
  <c r="J262" i="10" s="1"/>
  <c r="T266" i="2"/>
  <c r="J265" i="10" s="1"/>
  <c r="T267" i="2"/>
  <c r="J266" i="10" s="1"/>
  <c r="T269" i="2"/>
  <c r="J268" i="10" s="1"/>
  <c r="T268" i="2"/>
  <c r="J267" i="10" s="1"/>
  <c r="T262" i="2"/>
  <c r="J261" i="10" s="1"/>
  <c r="T255" i="2"/>
  <c r="J254" i="10" s="1"/>
  <c r="T309" i="2"/>
  <c r="J308" i="10" s="1"/>
  <c r="AH94" i="2"/>
  <c r="AH93" i="2"/>
  <c r="AH92" i="2"/>
  <c r="T261" i="2"/>
  <c r="J260" i="10" s="1"/>
  <c r="T343" i="2"/>
  <c r="J342" i="10" s="1"/>
  <c r="AH335" i="2"/>
  <c r="AH343" i="2"/>
  <c r="AH324" i="2"/>
  <c r="AL278" i="2"/>
  <c r="AK278" i="2"/>
  <c r="CP278" i="2" s="1"/>
  <c r="T278" i="2" s="1"/>
  <c r="J277" i="10" s="1"/>
  <c r="T30" i="2"/>
  <c r="J29" i="10" s="1"/>
  <c r="T75" i="2"/>
  <c r="J74" i="10" s="1"/>
  <c r="T34" i="2"/>
  <c r="J33" i="10" s="1"/>
  <c r="T76" i="2"/>
  <c r="J75" i="10" s="1"/>
  <c r="T74" i="2"/>
  <c r="J73" i="10" s="1"/>
  <c r="T78" i="2"/>
  <c r="J77" i="10" s="1"/>
  <c r="T57" i="2"/>
  <c r="J56" i="10" s="1"/>
  <c r="T77" i="2"/>
  <c r="J76" i="10" s="1"/>
  <c r="U158" i="2"/>
  <c r="K157" i="10" s="1"/>
  <c r="U188" i="2"/>
  <c r="K187" i="10" s="1"/>
  <c r="U135" i="2"/>
  <c r="K134" i="10" s="1"/>
  <c r="AH289" i="2"/>
  <c r="AH265" i="2"/>
  <c r="AH264" i="2"/>
  <c r="AH328" i="2"/>
  <c r="AH344" i="2"/>
  <c r="AH339" i="2"/>
  <c r="U157" i="2"/>
  <c r="K156" i="10" s="1"/>
  <c r="U156" i="2"/>
  <c r="K155" i="10" s="1"/>
  <c r="AH290" i="2"/>
  <c r="AH254" i="2"/>
  <c r="AH255" i="2"/>
  <c r="AH296" i="2"/>
  <c r="AH295" i="2"/>
  <c r="AH336" i="2"/>
  <c r="AH268" i="2"/>
  <c r="AH249" i="2"/>
  <c r="AH251" i="2"/>
  <c r="AH309" i="2"/>
  <c r="AH314" i="2"/>
  <c r="AH292" i="2"/>
  <c r="AH256" i="2"/>
  <c r="AH311" i="2"/>
  <c r="AH299" i="2"/>
  <c r="AH303" i="2"/>
  <c r="AH284" i="2"/>
  <c r="AH269" i="2"/>
  <c r="AH257" i="2"/>
  <c r="AH239" i="2"/>
  <c r="AH301" i="2"/>
  <c r="AH263" i="2"/>
  <c r="AH321" i="2"/>
  <c r="AH306" i="2"/>
  <c r="AH261" i="2"/>
  <c r="AH308" i="2"/>
  <c r="AH312" i="2"/>
  <c r="AH252" i="2"/>
  <c r="AH243" i="2"/>
  <c r="AH271" i="2"/>
  <c r="AH297" i="2"/>
  <c r="AH280" i="2"/>
  <c r="AH283" i="2"/>
  <c r="AH279" i="2"/>
  <c r="AH302" i="2"/>
  <c r="AH338" i="2"/>
  <c r="AH305" i="2"/>
  <c r="AH258" i="2"/>
  <c r="AH238" i="2"/>
  <c r="AH317" i="2"/>
  <c r="AH266" i="2"/>
  <c r="AH315" i="2"/>
  <c r="AH277" i="2"/>
  <c r="AH245" i="2"/>
  <c r="AH250" i="2"/>
  <c r="AH262" i="2"/>
  <c r="AH248" i="2"/>
  <c r="AH275" i="2"/>
  <c r="AH307" i="2"/>
  <c r="AL273" i="2"/>
  <c r="AH240" i="2"/>
  <c r="AH287" i="2"/>
  <c r="AH270" i="2"/>
  <c r="AH331" i="2"/>
  <c r="AH333" i="2"/>
  <c r="AH298" i="2"/>
  <c r="AH244" i="2"/>
  <c r="AH285" i="2"/>
  <c r="AH293" i="2"/>
  <c r="AH334" i="2"/>
  <c r="AH282" i="2"/>
  <c r="AH330" i="2"/>
  <c r="AH286" i="2"/>
  <c r="AH304" i="2"/>
  <c r="AH300" i="2"/>
  <c r="AH341" i="2"/>
  <c r="AJ278" i="2"/>
  <c r="AH288" i="2"/>
  <c r="AH267" i="2"/>
  <c r="AH272" i="2"/>
  <c r="AH326" i="2"/>
  <c r="AH310" i="2"/>
  <c r="AH241" i="2"/>
  <c r="AH291" i="2"/>
  <c r="AH329" i="2"/>
  <c r="AH342" i="2"/>
  <c r="AH313" i="2"/>
  <c r="AH246" i="2"/>
  <c r="AH294" i="2"/>
  <c r="AH242" i="2"/>
  <c r="AH247" i="2"/>
  <c r="AH316" i="2"/>
  <c r="AH253" i="2"/>
  <c r="AH340" i="2"/>
  <c r="AH319" i="2"/>
  <c r="AH274" i="2"/>
  <c r="AH276" i="2"/>
  <c r="AH281" i="2"/>
  <c r="AH259" i="2"/>
  <c r="AH260" i="2"/>
  <c r="AH323" i="2"/>
  <c r="AH320" i="2"/>
  <c r="AH318" i="2"/>
  <c r="AI273" i="2"/>
  <c r="AJ273" i="2"/>
  <c r="AH237" i="2"/>
  <c r="AI278" i="2"/>
  <c r="T273" i="2"/>
  <c r="J272" i="10" s="1"/>
  <c r="CR321" i="2"/>
  <c r="U265" i="2" l="1"/>
  <c r="K264" i="10" s="1"/>
  <c r="J264" i="10"/>
  <c r="U227" i="2"/>
  <c r="K226" i="10" s="1"/>
  <c r="U263" i="2"/>
  <c r="K262" i="10" s="1"/>
  <c r="U270" i="2"/>
  <c r="K269" i="10" s="1"/>
  <c r="U239" i="2"/>
  <c r="K238" i="10" s="1"/>
  <c r="U292" i="2"/>
  <c r="K291" i="10" s="1"/>
  <c r="U309" i="2"/>
  <c r="K308" i="10" s="1"/>
  <c r="U255" i="2"/>
  <c r="K254" i="10" s="1"/>
  <c r="U224" i="2"/>
  <c r="K223" i="10" s="1"/>
  <c r="U273" i="2"/>
  <c r="K272" i="10" s="1"/>
  <c r="U286" i="2"/>
  <c r="K285" i="10" s="1"/>
  <c r="U262" i="2"/>
  <c r="K261" i="10" s="1"/>
  <c r="U343" i="2"/>
  <c r="K342" i="10" s="1"/>
  <c r="U278" i="2"/>
  <c r="K277" i="10" s="1"/>
  <c r="U228" i="2"/>
  <c r="K227" i="10" s="1"/>
  <c r="U268" i="2"/>
  <c r="K267" i="10" s="1"/>
  <c r="U267" i="2"/>
  <c r="K266" i="10" s="1"/>
  <c r="U266" i="2"/>
  <c r="K265" i="10" s="1"/>
  <c r="U223" i="2"/>
  <c r="K222" i="10" s="1"/>
  <c r="U261" i="2"/>
  <c r="K260" i="10" s="1"/>
  <c r="U225" i="2"/>
  <c r="K224" i="10" s="1"/>
  <c r="U269" i="2"/>
  <c r="K268" i="10" s="1"/>
  <c r="U226" i="2"/>
  <c r="K225" i="10" s="1"/>
  <c r="U213" i="2"/>
  <c r="K212" i="10" s="1"/>
  <c r="U221" i="2"/>
  <c r="K220" i="10" s="1"/>
  <c r="U190" i="2"/>
  <c r="K189" i="10" s="1"/>
  <c r="U211" i="2"/>
  <c r="K210" i="10" s="1"/>
  <c r="T178" i="2"/>
  <c r="J177" i="10" s="1"/>
  <c r="T192" i="2"/>
  <c r="J191" i="10" s="1"/>
  <c r="T183" i="2"/>
  <c r="J182" i="10" s="1"/>
  <c r="T289" i="2"/>
  <c r="J288" i="10" s="1"/>
  <c r="T337" i="2"/>
  <c r="J336" i="10" s="1"/>
  <c r="T177" i="2"/>
  <c r="J176" i="10" s="1"/>
  <c r="T335" i="2"/>
  <c r="J334" i="10" s="1"/>
  <c r="T176" i="2"/>
  <c r="J175" i="10" s="1"/>
  <c r="T175" i="2"/>
  <c r="J174" i="10" s="1"/>
  <c r="T198" i="2"/>
  <c r="J197" i="10" s="1"/>
  <c r="U34" i="2"/>
  <c r="K33" i="10" s="1"/>
  <c r="U75" i="2"/>
  <c r="K74" i="10" s="1"/>
  <c r="U78" i="2"/>
  <c r="K77" i="10" s="1"/>
  <c r="U76" i="2"/>
  <c r="K75" i="10" s="1"/>
  <c r="U30" i="2"/>
  <c r="K29" i="10" s="1"/>
  <c r="U77" i="2"/>
  <c r="K76" i="10" s="1"/>
  <c r="U57" i="2"/>
  <c r="K56" i="10" s="1"/>
  <c r="U74" i="2"/>
  <c r="K73" i="10" s="1"/>
  <c r="T248" i="2"/>
  <c r="J247" i="10" s="1"/>
  <c r="T301" i="2"/>
  <c r="J300" i="10" s="1"/>
  <c r="T316" i="2"/>
  <c r="J315" i="10" s="1"/>
  <c r="T260" i="2"/>
  <c r="J259" i="10" s="1"/>
  <c r="T279" i="2"/>
  <c r="J278" i="10" s="1"/>
  <c r="U249" i="2"/>
  <c r="K248" i="10" s="1"/>
  <c r="T336" i="2"/>
  <c r="J335" i="10" s="1"/>
  <c r="T311" i="2"/>
  <c r="J310" i="10" s="1"/>
  <c r="T294" i="2"/>
  <c r="J293" i="10" s="1"/>
  <c r="T305" i="2"/>
  <c r="J304" i="10" s="1"/>
  <c r="T271" i="2"/>
  <c r="J270" i="10" s="1"/>
  <c r="T334" i="2"/>
  <c r="J333" i="10" s="1"/>
  <c r="T327" i="2"/>
  <c r="J326" i="10" s="1"/>
  <c r="T332" i="2"/>
  <c r="J331" i="10" s="1"/>
  <c r="T241" i="2"/>
  <c r="J240" i="10" s="1"/>
  <c r="T243" i="2"/>
  <c r="J242" i="10" s="1"/>
  <c r="T330" i="2"/>
  <c r="J329" i="10" s="1"/>
  <c r="T314" i="2"/>
  <c r="J313" i="10" s="1"/>
  <c r="T284" i="2"/>
  <c r="J283" i="10" s="1"/>
  <c r="T247" i="2"/>
  <c r="J246" i="10" s="1"/>
  <c r="T339" i="2"/>
  <c r="J338" i="10" s="1"/>
  <c r="T333" i="2"/>
  <c r="J332" i="10" s="1"/>
  <c r="U258" i="2"/>
  <c r="K257" i="10" s="1"/>
  <c r="T276" i="2"/>
  <c r="J275" i="10" s="1"/>
  <c r="T259" i="2"/>
  <c r="J258" i="10" s="1"/>
  <c r="T290" i="2"/>
  <c r="J289" i="10" s="1"/>
  <c r="T302" i="2"/>
  <c r="J301" i="10" s="1"/>
  <c r="T304" i="2"/>
  <c r="J303" i="10" s="1"/>
  <c r="T237" i="2"/>
  <c r="J236" i="10" s="1"/>
  <c r="T310" i="2"/>
  <c r="J309" i="10" s="1"/>
  <c r="T256" i="2"/>
  <c r="J255" i="10" s="1"/>
  <c r="T341" i="2"/>
  <c r="J340" i="10" s="1"/>
  <c r="T245" i="2"/>
  <c r="J244" i="10" s="1"/>
  <c r="T246" i="2"/>
  <c r="J245" i="10" s="1"/>
  <c r="T296" i="2"/>
  <c r="J295" i="10" s="1"/>
  <c r="T242" i="2"/>
  <c r="J241" i="10" s="1"/>
  <c r="T250" i="2"/>
  <c r="J249" i="10" s="1"/>
  <c r="T315" i="2"/>
  <c r="J314" i="10" s="1"/>
  <c r="T340" i="2"/>
  <c r="J339" i="10" s="1"/>
  <c r="T252" i="2"/>
  <c r="J251" i="10" s="1"/>
  <c r="T272" i="2"/>
  <c r="J271" i="10" s="1"/>
  <c r="T257" i="2"/>
  <c r="J256" i="10" s="1"/>
  <c r="T307" i="2"/>
  <c r="J306" i="10" s="1"/>
  <c r="T291" i="2"/>
  <c r="J290" i="10" s="1"/>
  <c r="T244" i="2"/>
  <c r="J243" i="10" s="1"/>
  <c r="T344" i="2"/>
  <c r="J343" i="10" s="1"/>
  <c r="T251" i="2"/>
  <c r="J250" i="10" s="1"/>
  <c r="T300" i="2"/>
  <c r="J299" i="10" s="1"/>
  <c r="T253" i="2"/>
  <c r="J252" i="10" s="1"/>
  <c r="T328" i="2"/>
  <c r="J327" i="10" s="1"/>
  <c r="T275" i="2"/>
  <c r="J274" i="10" s="1"/>
  <c r="AH278" i="2"/>
  <c r="AH273" i="2"/>
  <c r="U339" i="2" l="1"/>
  <c r="K338" i="10" s="1"/>
  <c r="U241" i="2"/>
  <c r="K240" i="10" s="1"/>
  <c r="U243" i="2"/>
  <c r="K242" i="10" s="1"/>
  <c r="U250" i="2"/>
  <c r="K249" i="10" s="1"/>
  <c r="U271" i="2"/>
  <c r="K270" i="10" s="1"/>
  <c r="U341" i="2"/>
  <c r="K340" i="10" s="1"/>
  <c r="U305" i="2"/>
  <c r="K304" i="10" s="1"/>
  <c r="U256" i="2"/>
  <c r="K255" i="10" s="1"/>
  <c r="U310" i="2"/>
  <c r="K309" i="10" s="1"/>
  <c r="U311" i="2"/>
  <c r="K310" i="10" s="1"/>
  <c r="U344" i="2"/>
  <c r="K343" i="10" s="1"/>
  <c r="U257" i="2"/>
  <c r="K256" i="10" s="1"/>
  <c r="U247" i="2"/>
  <c r="K246" i="10" s="1"/>
  <c r="U252" i="2"/>
  <c r="K251" i="10" s="1"/>
  <c r="U251" i="2"/>
  <c r="K250" i="10" s="1"/>
  <c r="U244" i="2"/>
  <c r="K243" i="10" s="1"/>
  <c r="U248" i="2"/>
  <c r="K247" i="10" s="1"/>
  <c r="U242" i="2"/>
  <c r="K241" i="10" s="1"/>
  <c r="U246" i="2"/>
  <c r="K245" i="10" s="1"/>
  <c r="U245" i="2"/>
  <c r="K244" i="10" s="1"/>
  <c r="U275" i="2"/>
  <c r="K274" i="10" s="1"/>
  <c r="U253" i="2"/>
  <c r="K252" i="10" s="1"/>
  <c r="U279" i="2"/>
  <c r="K278" i="10" s="1"/>
  <c r="U177" i="2"/>
  <c r="K176" i="10" s="1"/>
  <c r="U307" i="2"/>
  <c r="K306" i="10" s="1"/>
  <c r="U259" i="2"/>
  <c r="K258" i="10" s="1"/>
  <c r="U183" i="2"/>
  <c r="K182" i="10" s="1"/>
  <c r="U192" i="2"/>
  <c r="K191" i="10" s="1"/>
  <c r="U300" i="2"/>
  <c r="K299" i="10" s="1"/>
  <c r="U316" i="2"/>
  <c r="K315" i="10" s="1"/>
  <c r="U314" i="2"/>
  <c r="K313" i="10" s="1"/>
  <c r="U337" i="2"/>
  <c r="K336" i="10" s="1"/>
  <c r="U336" i="2"/>
  <c r="K335" i="10" s="1"/>
  <c r="U304" i="2"/>
  <c r="K303" i="10" s="1"/>
  <c r="U302" i="2"/>
  <c r="K301" i="10" s="1"/>
  <c r="U290" i="2"/>
  <c r="K289" i="10" s="1"/>
  <c r="U340" i="2"/>
  <c r="K339" i="10" s="1"/>
  <c r="U335" i="2"/>
  <c r="K334" i="10" s="1"/>
  <c r="U294" i="2"/>
  <c r="K293" i="10" s="1"/>
  <c r="U260" i="2"/>
  <c r="K259" i="10" s="1"/>
  <c r="U330" i="2"/>
  <c r="K329" i="10" s="1"/>
  <c r="U178" i="2"/>
  <c r="K177" i="10" s="1"/>
  <c r="U276" i="2"/>
  <c r="K275" i="10" s="1"/>
  <c r="U301" i="2"/>
  <c r="K300" i="10" s="1"/>
  <c r="U315" i="2"/>
  <c r="K314" i="10" s="1"/>
  <c r="U332" i="2"/>
  <c r="K331" i="10" s="1"/>
  <c r="U198" i="2"/>
  <c r="K197" i="10" s="1"/>
  <c r="U272" i="2"/>
  <c r="K271" i="10" s="1"/>
  <c r="U296" i="2"/>
  <c r="K295" i="10" s="1"/>
  <c r="U327" i="2"/>
  <c r="K326" i="10" s="1"/>
  <c r="U175" i="2"/>
  <c r="K174" i="10" s="1"/>
  <c r="U289" i="2"/>
  <c r="K288" i="10" s="1"/>
  <c r="U328" i="2"/>
  <c r="K327" i="10" s="1"/>
  <c r="U291" i="2"/>
  <c r="K290" i="10" s="1"/>
  <c r="U333" i="2"/>
  <c r="K332" i="10" s="1"/>
  <c r="U284" i="2"/>
  <c r="K283" i="10" s="1"/>
  <c r="U334" i="2"/>
  <c r="K333" i="10" s="1"/>
  <c r="U176" i="2"/>
  <c r="K175" i="10" s="1"/>
  <c r="U237" i="2"/>
  <c r="K236" i="10" s="1"/>
  <c r="N35" i="5" l="1"/>
  <c r="N32" i="5"/>
  <c r="L32" i="5"/>
  <c r="J32" i="5"/>
  <c r="H32" i="5"/>
  <c r="E53" i="5"/>
  <c r="E50" i="5"/>
  <c r="E47" i="5"/>
  <c r="E44" i="5"/>
  <c r="E41" i="5"/>
  <c r="E38" i="5"/>
  <c r="E35" i="5"/>
  <c r="E32" i="5"/>
  <c r="E8" i="5"/>
  <c r="N11" i="5"/>
  <c r="L11" i="5"/>
  <c r="H11" i="5"/>
  <c r="J11" i="5"/>
  <c r="N14" i="5"/>
  <c r="L14" i="5"/>
  <c r="H14" i="5"/>
  <c r="J14" i="5"/>
  <c r="N17" i="5"/>
  <c r="J17" i="5"/>
  <c r="L17" i="5"/>
  <c r="H17" i="5"/>
  <c r="N20" i="5"/>
  <c r="L20" i="5"/>
  <c r="J20" i="5"/>
  <c r="H20" i="5"/>
  <c r="N23" i="5"/>
  <c r="L23" i="5"/>
  <c r="J23" i="5"/>
  <c r="H23" i="5"/>
  <c r="N26" i="5"/>
  <c r="L26" i="5"/>
  <c r="J26" i="5"/>
  <c r="H26" i="5"/>
  <c r="CI336" i="2"/>
  <c r="CJ336" i="2" s="1"/>
  <c r="CI335" i="2"/>
  <c r="CJ335" i="2" s="1"/>
  <c r="CI334" i="2"/>
  <c r="CJ334" i="2" s="1"/>
  <c r="CI333" i="2"/>
  <c r="CJ333" i="2" s="1"/>
  <c r="CI332" i="2"/>
  <c r="CJ332" i="2" s="1"/>
  <c r="CI331" i="2"/>
  <c r="CJ331" i="2" s="1"/>
  <c r="CI330" i="2"/>
  <c r="CJ330" i="2" s="1"/>
  <c r="CI329" i="2"/>
  <c r="CJ329" i="2" s="1"/>
  <c r="CI328" i="2"/>
  <c r="CJ328" i="2" s="1"/>
  <c r="CI327" i="2"/>
  <c r="CJ327" i="2" s="1"/>
  <c r="CI326" i="2"/>
  <c r="CJ326" i="2" s="1"/>
  <c r="CI325" i="2"/>
  <c r="CJ325" i="2" s="1"/>
  <c r="CI324" i="2"/>
  <c r="CJ324" i="2" s="1"/>
  <c r="CI323" i="2"/>
  <c r="CJ323" i="2" s="1"/>
  <c r="CI322" i="2"/>
  <c r="CJ322" i="2" s="1"/>
  <c r="CI321" i="2"/>
  <c r="CJ321" i="2" s="1"/>
  <c r="CI320" i="2"/>
  <c r="CJ320" i="2" s="1"/>
  <c r="CI319" i="2"/>
  <c r="CJ319" i="2" s="1"/>
  <c r="CI312" i="2"/>
  <c r="CJ312" i="2" s="1"/>
  <c r="CI311" i="2"/>
  <c r="CJ311" i="2" s="1"/>
  <c r="CI310" i="2"/>
  <c r="CJ310" i="2" s="1"/>
  <c r="CI309" i="2"/>
  <c r="CJ309" i="2" s="1"/>
  <c r="CI308" i="2"/>
  <c r="CJ308" i="2" s="1"/>
  <c r="CI307" i="2"/>
  <c r="CJ307" i="2" s="1"/>
  <c r="CI306" i="2"/>
  <c r="CJ306" i="2" s="1"/>
  <c r="CI305" i="2"/>
  <c r="CJ305" i="2" s="1"/>
  <c r="CI304" i="2"/>
  <c r="CJ304" i="2" s="1"/>
  <c r="CI303" i="2"/>
  <c r="CJ303" i="2" s="1"/>
  <c r="CI302" i="2"/>
  <c r="CJ302" i="2" s="1"/>
  <c r="CI301" i="2"/>
  <c r="CJ301" i="2" s="1"/>
  <c r="CI300" i="2"/>
  <c r="CJ300" i="2" s="1"/>
  <c r="CI299" i="2"/>
  <c r="CJ299" i="2" s="1"/>
  <c r="CI298" i="2"/>
  <c r="CJ298" i="2" s="1"/>
  <c r="CI297" i="2"/>
  <c r="CJ297" i="2" s="1"/>
  <c r="CI296" i="2"/>
  <c r="CJ296" i="2" s="1"/>
  <c r="CI295" i="2"/>
  <c r="CJ295" i="2" s="1"/>
  <c r="CI294" i="2"/>
  <c r="CJ294" i="2" s="1"/>
  <c r="CI293" i="2"/>
  <c r="CJ293" i="2" s="1"/>
  <c r="CI292" i="2"/>
  <c r="CJ292" i="2" s="1"/>
  <c r="CI291" i="2"/>
  <c r="CJ291" i="2" s="1"/>
  <c r="CI290" i="2"/>
  <c r="CJ290" i="2" s="1"/>
  <c r="CI289" i="2"/>
  <c r="CJ289" i="2" s="1"/>
  <c r="CI288" i="2"/>
  <c r="CJ288" i="2" s="1"/>
  <c r="CI287" i="2"/>
  <c r="CJ287" i="2" s="1"/>
  <c r="CI286" i="2"/>
  <c r="CJ286" i="2" s="1"/>
  <c r="CI285" i="2"/>
  <c r="CJ285" i="2" s="1"/>
  <c r="CI284" i="2"/>
  <c r="CJ284" i="2" s="1"/>
  <c r="CI283" i="2"/>
  <c r="CJ283" i="2" s="1"/>
  <c r="CI282" i="2"/>
  <c r="CJ282" i="2" s="1"/>
  <c r="CI281" i="2"/>
  <c r="CJ281" i="2" s="1"/>
  <c r="CI280" i="2"/>
  <c r="CJ280" i="2" s="1"/>
  <c r="CI279" i="2"/>
  <c r="CJ279" i="2" s="1"/>
  <c r="CI278" i="2"/>
  <c r="CJ278" i="2" s="1"/>
  <c r="CI277" i="2"/>
  <c r="CJ277" i="2" s="1"/>
  <c r="CI276" i="2"/>
  <c r="CJ276" i="2" s="1"/>
  <c r="CI275" i="2"/>
  <c r="CJ275" i="2" s="1"/>
  <c r="CI274" i="2"/>
  <c r="CJ274" i="2" s="1"/>
  <c r="CI273" i="2"/>
  <c r="CJ273" i="2" s="1"/>
  <c r="CI272" i="2"/>
  <c r="CJ272" i="2" s="1"/>
  <c r="CI271" i="2"/>
  <c r="CJ271" i="2" s="1"/>
  <c r="CI270" i="2"/>
  <c r="CJ270" i="2" s="1"/>
  <c r="CI269" i="2"/>
  <c r="CJ269" i="2" s="1"/>
  <c r="CI268" i="2"/>
  <c r="CJ268" i="2" s="1"/>
  <c r="CI267" i="2"/>
  <c r="CJ267" i="2" s="1"/>
  <c r="CI266" i="2"/>
  <c r="CJ266" i="2" s="1"/>
  <c r="CI265" i="2"/>
  <c r="CJ265" i="2" s="1"/>
  <c r="CI264" i="2"/>
  <c r="CJ264" i="2" s="1"/>
  <c r="CI263" i="2"/>
  <c r="CJ263" i="2" s="1"/>
  <c r="CI262" i="2"/>
  <c r="CJ262" i="2" s="1"/>
  <c r="CI261" i="2"/>
  <c r="CJ261" i="2" s="1"/>
  <c r="CI260" i="2"/>
  <c r="CJ260" i="2" s="1"/>
  <c r="CI259" i="2"/>
  <c r="CJ259" i="2" s="1"/>
  <c r="CI258" i="2"/>
  <c r="CJ258" i="2" s="1"/>
  <c r="CI257" i="2"/>
  <c r="CJ257" i="2" s="1"/>
  <c r="CI256" i="2"/>
  <c r="CJ256" i="2" s="1"/>
  <c r="CI255" i="2"/>
  <c r="CJ255" i="2" s="1"/>
  <c r="CI253" i="2"/>
  <c r="CJ253" i="2" s="1"/>
  <c r="CI252" i="2"/>
  <c r="CJ252" i="2" s="1"/>
  <c r="CI251" i="2"/>
  <c r="CJ251" i="2" s="1"/>
  <c r="CI250" i="2"/>
  <c r="CJ250" i="2" s="1"/>
  <c r="CI249" i="2"/>
  <c r="CJ249" i="2" s="1"/>
  <c r="CI248" i="2"/>
  <c r="CJ248" i="2" s="1"/>
  <c r="CI247" i="2"/>
  <c r="CJ247" i="2" s="1"/>
  <c r="CI246" i="2"/>
  <c r="CJ246" i="2" s="1"/>
  <c r="CI245" i="2"/>
  <c r="CJ245" i="2" s="1"/>
  <c r="CI244" i="2"/>
  <c r="CJ244" i="2" s="1"/>
  <c r="CI243" i="2"/>
  <c r="CJ243" i="2" s="1"/>
  <c r="CI242" i="2"/>
  <c r="CJ242" i="2" s="1"/>
  <c r="CI241" i="2"/>
  <c r="CJ241" i="2" s="1"/>
  <c r="CI240" i="2"/>
  <c r="CJ240" i="2" s="1"/>
  <c r="CI239" i="2"/>
  <c r="CJ239" i="2" s="1"/>
  <c r="CI238" i="2"/>
  <c r="CJ238" i="2" s="1"/>
  <c r="CI237" i="2"/>
  <c r="CJ237" i="2" s="1"/>
  <c r="CI236" i="2"/>
  <c r="CJ236" i="2" s="1"/>
  <c r="CI235" i="2"/>
  <c r="CJ235" i="2" s="1"/>
  <c r="CI234" i="2"/>
  <c r="CJ234" i="2" s="1"/>
  <c r="CI233" i="2"/>
  <c r="CJ233" i="2" s="1"/>
  <c r="CI232" i="2"/>
  <c r="CJ232" i="2" s="1"/>
  <c r="CI231" i="2"/>
  <c r="CJ231" i="2" s="1"/>
  <c r="CI230" i="2"/>
  <c r="CJ230" i="2" s="1"/>
  <c r="CI229" i="2"/>
  <c r="CJ229" i="2" s="1"/>
  <c r="CI228" i="2"/>
  <c r="CJ228" i="2" s="1"/>
  <c r="CI227" i="2"/>
  <c r="CJ227" i="2" s="1"/>
  <c r="CI226" i="2"/>
  <c r="CJ226" i="2" s="1"/>
  <c r="CI225" i="2"/>
  <c r="CJ225" i="2" s="1"/>
  <c r="CI224" i="2"/>
  <c r="CJ224" i="2" s="1"/>
  <c r="CI223" i="2"/>
  <c r="CJ223" i="2" s="1"/>
  <c r="CI222" i="2"/>
  <c r="CJ222" i="2" s="1"/>
  <c r="CI221" i="2"/>
  <c r="CJ221" i="2" s="1"/>
  <c r="CI220" i="2"/>
  <c r="CJ220" i="2" s="1"/>
  <c r="CI219" i="2"/>
  <c r="CJ219" i="2" s="1"/>
  <c r="CI218" i="2"/>
  <c r="CJ218" i="2" s="1"/>
  <c r="CI217" i="2"/>
  <c r="CJ217" i="2" s="1"/>
  <c r="CI216" i="2"/>
  <c r="CJ216" i="2" s="1"/>
  <c r="CI215" i="2"/>
  <c r="CJ215" i="2" s="1"/>
  <c r="CI214" i="2"/>
  <c r="CJ214" i="2" s="1"/>
  <c r="CI213" i="2"/>
  <c r="CJ213" i="2" s="1"/>
  <c r="CI212" i="2"/>
  <c r="CJ212" i="2" s="1"/>
  <c r="CI211" i="2"/>
  <c r="CJ211" i="2" s="1"/>
  <c r="CI210" i="2"/>
  <c r="CJ210" i="2" s="1"/>
  <c r="CI209" i="2"/>
  <c r="CJ209" i="2" s="1"/>
  <c r="CI208" i="2"/>
  <c r="CJ208" i="2" s="1"/>
  <c r="CI207" i="2"/>
  <c r="CJ207" i="2" s="1"/>
  <c r="CI206" i="2"/>
  <c r="CJ206" i="2" s="1"/>
  <c r="CI205" i="2"/>
  <c r="CJ205" i="2" s="1"/>
  <c r="CI204" i="2"/>
  <c r="CJ204" i="2" s="1"/>
  <c r="CI203" i="2"/>
  <c r="CJ203" i="2" s="1"/>
  <c r="CI202" i="2"/>
  <c r="CJ202" i="2" s="1"/>
  <c r="CI201" i="2"/>
  <c r="CJ201" i="2" s="1"/>
  <c r="CI200" i="2"/>
  <c r="CJ200" i="2" s="1"/>
  <c r="CI199" i="2"/>
  <c r="CJ199" i="2" s="1"/>
  <c r="CI198" i="2"/>
  <c r="CJ198" i="2" s="1"/>
  <c r="CI197" i="2"/>
  <c r="CJ197" i="2" s="1"/>
  <c r="CI196" i="2"/>
  <c r="CJ196" i="2" s="1"/>
  <c r="CI195" i="2"/>
  <c r="CJ195" i="2" s="1"/>
  <c r="CI194" i="2"/>
  <c r="CJ194" i="2" s="1"/>
  <c r="CI193" i="2"/>
  <c r="CJ193" i="2" s="1"/>
  <c r="CI192" i="2"/>
  <c r="CJ192" i="2" s="1"/>
  <c r="CI191" i="2"/>
  <c r="CJ191" i="2" s="1"/>
  <c r="CI190" i="2"/>
  <c r="CJ190" i="2" s="1"/>
  <c r="CI189" i="2"/>
  <c r="CJ189" i="2" s="1"/>
  <c r="CI188" i="2"/>
  <c r="CJ188" i="2" s="1"/>
  <c r="CI187" i="2"/>
  <c r="CJ187" i="2" s="1"/>
  <c r="CI186" i="2"/>
  <c r="CJ186" i="2" s="1"/>
  <c r="CI185" i="2"/>
  <c r="CJ185" i="2" s="1"/>
  <c r="CI184" i="2"/>
  <c r="CJ184" i="2" s="1"/>
  <c r="CI183" i="2"/>
  <c r="CJ183" i="2" s="1"/>
  <c r="CI182" i="2"/>
  <c r="CJ182" i="2" s="1"/>
  <c r="CI181" i="2"/>
  <c r="CJ181" i="2" s="1"/>
  <c r="CI180" i="2"/>
  <c r="CJ180" i="2" s="1"/>
  <c r="CI179" i="2"/>
  <c r="CJ179" i="2" s="1"/>
  <c r="CI178" i="2"/>
  <c r="CJ178" i="2" s="1"/>
  <c r="CI177" i="2"/>
  <c r="CJ177" i="2" s="1"/>
  <c r="CI176" i="2"/>
  <c r="CJ176" i="2" s="1"/>
  <c r="CI175" i="2"/>
  <c r="CJ175" i="2" s="1"/>
  <c r="CI174" i="2"/>
  <c r="CJ174" i="2" s="1"/>
  <c r="CI173" i="2"/>
  <c r="CJ173" i="2" s="1"/>
  <c r="CI172" i="2"/>
  <c r="CJ172" i="2" s="1"/>
  <c r="CI171" i="2"/>
  <c r="CJ171" i="2" s="1"/>
  <c r="CI170" i="2"/>
  <c r="CJ170" i="2" s="1"/>
  <c r="CI169" i="2"/>
  <c r="CJ169" i="2" s="1"/>
  <c r="CI168" i="2"/>
  <c r="CJ168" i="2" s="1"/>
  <c r="CI167" i="2"/>
  <c r="CJ167" i="2" s="1"/>
  <c r="CI166" i="2"/>
  <c r="CJ166" i="2" s="1"/>
  <c r="CI165" i="2"/>
  <c r="CJ165" i="2" s="1"/>
  <c r="CI164" i="2"/>
  <c r="CJ164" i="2" s="1"/>
  <c r="CI163" i="2"/>
  <c r="CJ163" i="2" s="1"/>
  <c r="CI162" i="2"/>
  <c r="CJ162" i="2" s="1"/>
  <c r="CI161" i="2"/>
  <c r="CJ161" i="2" s="1"/>
  <c r="CI160" i="2"/>
  <c r="CJ160" i="2" s="1"/>
  <c r="CI159" i="2"/>
  <c r="CJ159" i="2" s="1"/>
  <c r="CI158" i="2"/>
  <c r="CJ158" i="2" s="1"/>
  <c r="CI157" i="2"/>
  <c r="CJ157" i="2" s="1"/>
  <c r="CI156" i="2"/>
  <c r="CJ156" i="2" s="1"/>
  <c r="CI155" i="2"/>
  <c r="CJ155" i="2" s="1"/>
  <c r="CI154" i="2"/>
  <c r="CJ154" i="2" s="1"/>
  <c r="CI153" i="2"/>
  <c r="CJ153" i="2" s="1"/>
  <c r="CI152" i="2"/>
  <c r="CJ152" i="2" s="1"/>
  <c r="CI151" i="2"/>
  <c r="CJ151" i="2" s="1"/>
  <c r="CI150" i="2"/>
  <c r="CJ150" i="2" s="1"/>
  <c r="CI149" i="2"/>
  <c r="CJ149" i="2" s="1"/>
  <c r="CI148" i="2"/>
  <c r="CJ148" i="2" s="1"/>
  <c r="CI147" i="2"/>
  <c r="CJ147" i="2" s="1"/>
  <c r="CI146" i="2"/>
  <c r="CJ146" i="2" s="1"/>
  <c r="CI145" i="2"/>
  <c r="CJ145" i="2" s="1"/>
  <c r="CI144" i="2"/>
  <c r="CJ144" i="2" s="1"/>
  <c r="CI143" i="2"/>
  <c r="CJ143" i="2" s="1"/>
  <c r="CI142" i="2"/>
  <c r="CJ142" i="2" s="1"/>
  <c r="CI141" i="2"/>
  <c r="CJ141" i="2" s="1"/>
  <c r="CI140" i="2"/>
  <c r="CJ140" i="2" s="1"/>
  <c r="CI139" i="2"/>
  <c r="CJ139" i="2" s="1"/>
  <c r="CI138" i="2"/>
  <c r="CJ138" i="2" s="1"/>
  <c r="CI137" i="2"/>
  <c r="CJ137" i="2" s="1"/>
  <c r="CI136" i="2"/>
  <c r="CJ136" i="2" s="1"/>
  <c r="CI135" i="2"/>
  <c r="CJ135" i="2" s="1"/>
  <c r="CI134" i="2"/>
  <c r="CJ134" i="2" s="1"/>
  <c r="CI133" i="2"/>
  <c r="CJ133" i="2" s="1"/>
  <c r="CI132" i="2"/>
  <c r="CJ132" i="2" s="1"/>
  <c r="CI131" i="2"/>
  <c r="CJ131" i="2" s="1"/>
  <c r="CI130" i="2"/>
  <c r="CJ130" i="2" s="1"/>
  <c r="CI129" i="2"/>
  <c r="CJ129" i="2" s="1"/>
  <c r="CI128" i="2"/>
  <c r="CJ128" i="2" s="1"/>
  <c r="CI127" i="2"/>
  <c r="CJ127" i="2" s="1"/>
  <c r="CI126" i="2"/>
  <c r="CJ126" i="2" s="1"/>
  <c r="CI125" i="2"/>
  <c r="CJ125" i="2" s="1"/>
  <c r="CI124" i="2"/>
  <c r="CJ124" i="2" s="1"/>
  <c r="CI123" i="2"/>
  <c r="CJ123" i="2" s="1"/>
  <c r="CI122" i="2"/>
  <c r="CJ122" i="2" s="1"/>
  <c r="U121" i="2"/>
  <c r="K120" i="10" s="1"/>
  <c r="CI121" i="2"/>
  <c r="CJ121" i="2" s="1"/>
  <c r="CI120" i="2"/>
  <c r="CJ120" i="2" s="1"/>
  <c r="CI119" i="2"/>
  <c r="CJ119" i="2" s="1"/>
  <c r="CI118" i="2"/>
  <c r="CJ118" i="2" s="1"/>
  <c r="CI117" i="2"/>
  <c r="CJ117" i="2" s="1"/>
  <c r="CI116" i="2"/>
  <c r="CJ116" i="2" s="1"/>
  <c r="CI115" i="2"/>
  <c r="CJ115" i="2" s="1"/>
  <c r="CI114" i="2"/>
  <c r="CJ114" i="2" s="1"/>
  <c r="CI113" i="2"/>
  <c r="CJ113" i="2" s="1"/>
  <c r="CI112" i="2"/>
  <c r="CJ112" i="2" s="1"/>
  <c r="CI111" i="2"/>
  <c r="CJ111" i="2" s="1"/>
  <c r="CI110" i="2"/>
  <c r="CJ110" i="2" s="1"/>
  <c r="CI109" i="2"/>
  <c r="CJ109" i="2" s="1"/>
  <c r="CI108" i="2"/>
  <c r="CJ108" i="2" s="1"/>
  <c r="CI107" i="2"/>
  <c r="CJ107" i="2" s="1"/>
  <c r="CI106" i="2"/>
  <c r="CJ106" i="2" s="1"/>
  <c r="CI105" i="2"/>
  <c r="CJ105" i="2" s="1"/>
  <c r="CI104" i="2"/>
  <c r="CJ104" i="2" s="1"/>
  <c r="CI103" i="2"/>
  <c r="CJ103" i="2" s="1"/>
  <c r="CI102" i="2"/>
  <c r="CJ102" i="2" s="1"/>
  <c r="CI101" i="2"/>
  <c r="CJ101" i="2" s="1"/>
  <c r="CI100" i="2"/>
  <c r="CJ100" i="2" s="1"/>
  <c r="CI99" i="2"/>
  <c r="CJ99" i="2" s="1"/>
  <c r="CI98" i="2"/>
  <c r="CJ98" i="2" s="1"/>
  <c r="CI97" i="2"/>
  <c r="CJ97" i="2" s="1"/>
  <c r="CI96" i="2"/>
  <c r="CJ96" i="2" s="1"/>
  <c r="CI95" i="2"/>
  <c r="CJ95" i="2" s="1"/>
  <c r="CI94" i="2"/>
  <c r="CJ94" i="2" s="1"/>
  <c r="CI93" i="2"/>
  <c r="CJ93" i="2" s="1"/>
  <c r="CI92" i="2"/>
  <c r="CJ92" i="2" s="1"/>
  <c r="CI91" i="2"/>
  <c r="CJ91" i="2" s="1"/>
  <c r="CI90" i="2"/>
  <c r="CJ90" i="2" s="1"/>
  <c r="CI89" i="2"/>
  <c r="CJ89" i="2" s="1"/>
  <c r="CI88" i="2"/>
  <c r="CJ88" i="2" s="1"/>
  <c r="CI87" i="2"/>
  <c r="CJ87" i="2" s="1"/>
  <c r="CI86" i="2"/>
  <c r="CJ86" i="2" s="1"/>
  <c r="CI85" i="2"/>
  <c r="CJ85" i="2" s="1"/>
  <c r="CI84" i="2"/>
  <c r="CJ84" i="2" s="1"/>
  <c r="CI83" i="2"/>
  <c r="CJ83" i="2" s="1"/>
  <c r="CI82" i="2"/>
  <c r="CJ82" i="2" s="1"/>
  <c r="CI81" i="2"/>
  <c r="CJ81" i="2" s="1"/>
  <c r="CI80" i="2"/>
  <c r="CJ80" i="2" s="1"/>
  <c r="CI79" i="2"/>
  <c r="CJ79" i="2" s="1"/>
  <c r="CI78" i="2"/>
  <c r="CJ78" i="2" s="1"/>
  <c r="CI77" i="2"/>
  <c r="CJ77" i="2" s="1"/>
  <c r="CI76" i="2"/>
  <c r="CJ76" i="2" s="1"/>
  <c r="CI75" i="2"/>
  <c r="CJ75" i="2" s="1"/>
  <c r="CI74" i="2"/>
  <c r="CJ74" i="2" s="1"/>
  <c r="CI73" i="2"/>
  <c r="CJ73" i="2" s="1"/>
  <c r="CI72" i="2"/>
  <c r="CJ72" i="2" s="1"/>
  <c r="CI71" i="2"/>
  <c r="CJ71" i="2" s="1"/>
  <c r="CI70" i="2"/>
  <c r="CJ70" i="2" s="1"/>
  <c r="CI69" i="2"/>
  <c r="CJ69" i="2" s="1"/>
  <c r="CI68" i="2"/>
  <c r="CJ68" i="2" s="1"/>
  <c r="CI67" i="2"/>
  <c r="CJ67" i="2" s="1"/>
  <c r="CI66" i="2"/>
  <c r="CJ66" i="2" s="1"/>
  <c r="CI65" i="2"/>
  <c r="CJ65" i="2" s="1"/>
  <c r="CI64" i="2"/>
  <c r="CJ64" i="2" s="1"/>
  <c r="CI63" i="2"/>
  <c r="CJ63" i="2" s="1"/>
  <c r="CI62" i="2"/>
  <c r="CJ62" i="2" s="1"/>
  <c r="CI61" i="2"/>
  <c r="CJ61" i="2" s="1"/>
  <c r="CI60" i="2"/>
  <c r="CJ60" i="2" s="1"/>
  <c r="CI59" i="2"/>
  <c r="CJ59" i="2" s="1"/>
  <c r="CI58" i="2"/>
  <c r="CJ58" i="2" s="1"/>
  <c r="CI57" i="2"/>
  <c r="CJ57" i="2" s="1"/>
  <c r="CI56" i="2"/>
  <c r="CJ56" i="2" s="1"/>
  <c r="CI55" i="2"/>
  <c r="CJ55" i="2" s="1"/>
  <c r="CI54" i="2"/>
  <c r="CJ54" i="2" s="1"/>
  <c r="CI53" i="2"/>
  <c r="CJ53" i="2" s="1"/>
  <c r="CI52" i="2"/>
  <c r="CJ52" i="2" s="1"/>
  <c r="CI51" i="2"/>
  <c r="CJ51" i="2" s="1"/>
  <c r="CI50" i="2"/>
  <c r="CJ50" i="2" s="1"/>
  <c r="CI49" i="2"/>
  <c r="CJ49" i="2" s="1"/>
  <c r="CI48" i="2"/>
  <c r="CJ48" i="2" s="1"/>
  <c r="CI47" i="2"/>
  <c r="CJ47" i="2" s="1"/>
  <c r="CI46" i="2"/>
  <c r="CJ46" i="2" s="1"/>
  <c r="CI45" i="2"/>
  <c r="CJ45" i="2" s="1"/>
  <c r="CI44" i="2"/>
  <c r="CJ44" i="2" s="1"/>
  <c r="CI43" i="2"/>
  <c r="CJ43" i="2" s="1"/>
  <c r="CI42" i="2"/>
  <c r="CJ42" i="2" s="1"/>
  <c r="CI41" i="2"/>
  <c r="CJ41" i="2" s="1"/>
  <c r="CI40" i="2"/>
  <c r="CJ40" i="2" s="1"/>
  <c r="CI39" i="2"/>
  <c r="CJ39" i="2" s="1"/>
  <c r="CI38" i="2"/>
  <c r="CJ38" i="2" s="1"/>
  <c r="CI37" i="2"/>
  <c r="CJ37" i="2" s="1"/>
  <c r="CI36" i="2"/>
  <c r="CJ36" i="2" s="1"/>
  <c r="CI35" i="2"/>
  <c r="CJ35" i="2" s="1"/>
  <c r="CI34" i="2"/>
  <c r="CJ34" i="2" s="1"/>
  <c r="CI33" i="2"/>
  <c r="CJ33" i="2" s="1"/>
  <c r="CI32" i="2"/>
  <c r="CJ32" i="2" s="1"/>
  <c r="CI31" i="2"/>
  <c r="CJ31" i="2" s="1"/>
  <c r="CI30" i="2"/>
  <c r="CJ30" i="2" s="1"/>
  <c r="CI29" i="2"/>
  <c r="CJ29" i="2" s="1"/>
  <c r="CI28" i="2"/>
  <c r="CJ28" i="2" s="1"/>
  <c r="CI27" i="2"/>
  <c r="CJ27" i="2" s="1"/>
  <c r="CI26" i="2"/>
  <c r="CJ26" i="2" s="1"/>
  <c r="U25" i="2"/>
  <c r="K24" i="10" s="1"/>
  <c r="CI25" i="2"/>
  <c r="CJ25" i="2" s="1"/>
  <c r="CI24" i="2"/>
  <c r="CJ24" i="2" s="1"/>
  <c r="CI23" i="2"/>
  <c r="CJ23" i="2" s="1"/>
  <c r="CI22" i="2"/>
  <c r="CJ22" i="2" s="1"/>
  <c r="CI21" i="2"/>
  <c r="CJ21" i="2" s="1"/>
  <c r="CI20" i="2"/>
  <c r="CJ20" i="2" s="1"/>
  <c r="CI19" i="2"/>
  <c r="CJ19" i="2" s="1"/>
  <c r="CI18" i="2"/>
  <c r="CJ18" i="2" s="1"/>
  <c r="CI17" i="2"/>
  <c r="CJ17" i="2" s="1"/>
  <c r="CI16" i="2"/>
  <c r="CJ16" i="2" s="1"/>
  <c r="CI15" i="2"/>
  <c r="CJ15" i="2" s="1"/>
  <c r="CI14" i="2"/>
  <c r="CJ14" i="2" s="1"/>
  <c r="CI13" i="2"/>
  <c r="CJ13" i="2" s="1"/>
  <c r="CI12" i="2"/>
  <c r="CJ12" i="2" s="1"/>
  <c r="CI11" i="2"/>
  <c r="CJ11" i="2" s="1"/>
  <c r="CI10" i="2"/>
  <c r="CJ10" i="2" s="1"/>
  <c r="CI9" i="2"/>
  <c r="CJ9" i="2" s="1"/>
  <c r="CI8" i="2"/>
  <c r="CJ8" i="2" s="1"/>
  <c r="CI7" i="2"/>
  <c r="CJ7" i="2" s="1"/>
  <c r="CI6" i="2"/>
  <c r="CJ6" i="2" s="1"/>
  <c r="CI5" i="2"/>
  <c r="CJ5" i="2" s="1"/>
  <c r="CJ3" i="2" l="1"/>
  <c r="W8" i="5"/>
  <c r="Y8" i="5"/>
  <c r="AA8" i="5"/>
  <c r="AC8" i="5"/>
  <c r="AA44" i="5"/>
  <c r="AC44" i="5"/>
  <c r="W44" i="5"/>
  <c r="Y44" i="5"/>
  <c r="W50" i="5"/>
  <c r="AC50" i="5"/>
  <c r="AA50" i="5"/>
  <c r="Y50" i="5"/>
  <c r="W41" i="5"/>
  <c r="AA41" i="5"/>
  <c r="Y41" i="5"/>
  <c r="AC41" i="5"/>
  <c r="AA38" i="5"/>
  <c r="AC38" i="5"/>
  <c r="W38" i="5"/>
  <c r="Y38" i="5"/>
  <c r="Y47" i="5"/>
  <c r="AA47" i="5"/>
  <c r="AC47" i="5"/>
  <c r="W47" i="5"/>
  <c r="E24" i="3"/>
  <c r="L35" i="5"/>
  <c r="H35" i="5"/>
  <c r="J35" i="5"/>
  <c r="H8" i="5"/>
  <c r="N50" i="5"/>
  <c r="N38" i="5"/>
  <c r="N47" i="5"/>
  <c r="N44" i="5"/>
  <c r="N41" i="5"/>
  <c r="L38" i="5"/>
  <c r="N8" i="5"/>
  <c r="L47" i="5"/>
  <c r="L50" i="5"/>
  <c r="L44" i="5"/>
  <c r="L41" i="5"/>
  <c r="J38" i="5"/>
  <c r="L8" i="5"/>
  <c r="J50" i="5"/>
  <c r="J47" i="5"/>
  <c r="J44" i="5"/>
  <c r="J41" i="5"/>
  <c r="J8" i="5"/>
  <c r="H47" i="5"/>
  <c r="H50" i="5"/>
  <c r="H44" i="5"/>
  <c r="H41" i="5"/>
  <c r="H38" i="5"/>
  <c r="CI3" i="2"/>
  <c r="E23" i="5" l="1"/>
  <c r="E26" i="5"/>
  <c r="E17" i="5"/>
  <c r="E20" i="5"/>
  <c r="E11" i="5"/>
  <c r="E14" i="5"/>
  <c r="E12" i="3"/>
  <c r="B8" i="5" l="1"/>
  <c r="T126" i="2" l="1"/>
  <c r="J125" i="10" s="1"/>
  <c r="T127" i="2"/>
  <c r="J126" i="10" s="1"/>
  <c r="T128" i="2"/>
  <c r="J127" i="10" s="1"/>
  <c r="T3" i="2" l="1"/>
  <c r="U127" i="2"/>
  <c r="K126" i="10" s="1"/>
  <c r="U126" i="2"/>
  <c r="K125" i="10" s="1"/>
  <c r="U128" i="2"/>
  <c r="K127" i="10" s="1"/>
  <c r="U3" i="2" l="1"/>
  <c r="AJ24" i="3"/>
  <c r="E23" i="9" s="1"/>
  <c r="AK24" i="3"/>
  <c r="D23" i="9" s="1"/>
  <c r="AM24" i="3"/>
  <c r="C23" i="9" s="1"/>
  <c r="B23" i="9" l="1"/>
  <c r="FL163" i="2"/>
  <c r="FL165" i="2"/>
  <c r="FS165" i="2" s="1"/>
  <c r="FT165" i="2" s="1"/>
  <c r="FU165" i="2" s="1"/>
  <c r="FL178" i="2"/>
  <c r="FL322" i="2"/>
  <c r="FL192" i="2"/>
  <c r="FS192" i="2" s="1"/>
  <c r="FT192" i="2" s="1"/>
  <c r="FU192" i="2" s="1"/>
  <c r="FL296" i="2"/>
  <c r="FL182" i="2"/>
  <c r="FS182" i="2" s="1"/>
  <c r="FT182" i="2" s="1"/>
  <c r="FU182" i="2" s="1"/>
  <c r="FL183" i="2"/>
  <c r="FL318" i="2"/>
  <c r="FL221" i="2"/>
  <c r="FS221" i="2" s="1"/>
  <c r="FT221" i="2" s="1"/>
  <c r="FU221" i="2" s="1"/>
  <c r="FL166" i="2"/>
  <c r="FS166" i="2" s="1"/>
  <c r="FT166" i="2" s="1"/>
  <c r="FU166" i="2" s="1"/>
  <c r="FL177" i="2"/>
  <c r="FL200" i="2"/>
  <c r="FS200" i="2" s="1"/>
  <c r="FT200" i="2" s="1"/>
  <c r="FU200" i="2" s="1"/>
  <c r="FL175" i="2"/>
  <c r="FL213" i="2"/>
  <c r="FL327" i="2"/>
  <c r="FS327" i="2" s="1"/>
  <c r="FT327" i="2" s="1"/>
  <c r="FU327" i="2" s="1"/>
  <c r="FL198" i="2"/>
  <c r="FL164" i="2"/>
  <c r="FS164" i="2" s="1"/>
  <c r="FT164" i="2" s="1"/>
  <c r="FU164" i="2" s="1"/>
  <c r="FL199" i="2"/>
  <c r="FS199" i="2" s="1"/>
  <c r="FT199" i="2" s="1"/>
  <c r="FU199" i="2" s="1"/>
  <c r="FL299" i="2"/>
  <c r="FS299" i="2" s="1"/>
  <c r="FT299" i="2" s="1"/>
  <c r="FU299" i="2" s="1"/>
  <c r="FL211" i="2"/>
  <c r="FL307" i="2"/>
  <c r="FS307" i="2" s="1"/>
  <c r="FT307" i="2" s="1"/>
  <c r="FU307" i="2" s="1"/>
  <c r="FL304" i="2"/>
  <c r="FL332" i="2"/>
  <c r="FS332" i="2" s="1"/>
  <c r="FT332" i="2" s="1"/>
  <c r="FU332" i="2" s="1"/>
  <c r="FL176" i="2"/>
  <c r="FS176" i="2" s="1"/>
  <c r="FT176" i="2" s="1"/>
  <c r="FU176" i="2" s="1"/>
  <c r="FL345" i="2"/>
  <c r="P7" i="8"/>
  <c r="Q7" i="8"/>
  <c r="O7" i="8"/>
  <c r="N7" i="8"/>
  <c r="G7" i="8"/>
  <c r="L7" i="8"/>
  <c r="W9" i="8"/>
  <c r="X5" i="8"/>
  <c r="V8" i="8"/>
  <c r="U5" i="8"/>
  <c r="V9" i="8"/>
  <c r="W5" i="8"/>
  <c r="V11" i="8"/>
  <c r="W7" i="8"/>
  <c r="M6" i="8"/>
  <c r="V13" i="8"/>
  <c r="U13" i="8"/>
  <c r="U11" i="8"/>
  <c r="O6" i="8"/>
  <c r="W6" i="8"/>
  <c r="FL222" i="2"/>
  <c r="FS222" i="2" s="1"/>
  <c r="FT222" i="2" s="1"/>
  <c r="FU222" i="2" s="1"/>
  <c r="N5" i="8"/>
  <c r="O5" i="8"/>
  <c r="E35" i="8" l="1"/>
  <c r="E36" i="8"/>
  <c r="J7" i="8"/>
  <c r="E37" i="8"/>
  <c r="X6" i="8"/>
  <c r="W4" i="8"/>
  <c r="W12" i="8"/>
  <c r="X11" i="8"/>
  <c r="F6" i="8"/>
  <c r="X12" i="8"/>
  <c r="E5" i="8"/>
  <c r="X14" i="8"/>
  <c r="V4" i="8"/>
  <c r="V12" i="8"/>
  <c r="X13" i="8"/>
  <c r="U3" i="8"/>
  <c r="W13" i="8"/>
  <c r="I6" i="8"/>
  <c r="V5" i="8"/>
  <c r="X3" i="8"/>
  <c r="K6" i="8"/>
  <c r="N6" i="8"/>
  <c r="V6" i="8"/>
  <c r="V10" i="8"/>
  <c r="F5" i="8"/>
  <c r="W10" i="8"/>
  <c r="H6" i="8"/>
  <c r="H7" i="8"/>
  <c r="L5" i="8"/>
  <c r="L6" i="8"/>
  <c r="V14" i="8"/>
  <c r="W8" i="8"/>
  <c r="Q5" i="8"/>
  <c r="F7" i="8"/>
  <c r="H5" i="8"/>
  <c r="X10" i="8"/>
  <c r="U4" i="8"/>
  <c r="I7" i="8"/>
  <c r="E7" i="8"/>
  <c r="J6" i="8"/>
  <c r="X8" i="8"/>
  <c r="I5" i="8"/>
  <c r="X4" i="8"/>
  <c r="U7" i="8"/>
  <c r="J5" i="8"/>
  <c r="G5" i="8"/>
  <c r="K7" i="8"/>
  <c r="W11" i="8"/>
  <c r="V7" i="8"/>
  <c r="V3" i="8"/>
  <c r="W3" i="8"/>
  <c r="E6" i="8"/>
  <c r="P6" i="8"/>
  <c r="X7" i="8"/>
  <c r="U9" i="8"/>
  <c r="M5" i="8"/>
  <c r="U14" i="8"/>
  <c r="M7" i="8"/>
  <c r="W14" i="8"/>
  <c r="X9" i="8"/>
  <c r="P5" i="8"/>
  <c r="U6" i="8"/>
  <c r="Q6" i="8"/>
  <c r="G6" i="8"/>
  <c r="U12" i="8"/>
  <c r="K5" i="8"/>
  <c r="U10" i="8"/>
  <c r="U8" i="8"/>
  <c r="FS175" i="2"/>
  <c r="FT175" i="2" s="1"/>
  <c r="FU175" i="2" s="1"/>
  <c r="FS177" i="2"/>
  <c r="FT177" i="2" s="1"/>
  <c r="FU177" i="2" s="1"/>
  <c r="FS178" i="2"/>
  <c r="FT178" i="2" s="1"/>
  <c r="FU178" i="2" s="1"/>
  <c r="FS318" i="2"/>
  <c r="FT318" i="2" s="1"/>
  <c r="FU318" i="2" s="1"/>
  <c r="FS163" i="2"/>
  <c r="FS198" i="2"/>
  <c r="FT198" i="2" s="1"/>
  <c r="FU198" i="2" s="1"/>
  <c r="FS183" i="2"/>
  <c r="FT183" i="2" s="1"/>
  <c r="FU183" i="2" s="1"/>
  <c r="FS211" i="2"/>
  <c r="FT211" i="2" s="1"/>
  <c r="FU211" i="2" s="1"/>
  <c r="FS304" i="2"/>
  <c r="FT304" i="2" s="1"/>
  <c r="FU304" i="2" s="1"/>
  <c r="FS296" i="2"/>
  <c r="FS213" i="2"/>
  <c r="FT213" i="2" s="1"/>
  <c r="FU213" i="2" s="1"/>
  <c r="FS322" i="2"/>
  <c r="FT322" i="2" s="1"/>
  <c r="FU322" i="2" s="1"/>
  <c r="R5" i="8" l="1"/>
  <c r="V15" i="8"/>
  <c r="R7" i="8"/>
  <c r="W15" i="8"/>
  <c r="U15" i="8"/>
  <c r="X15" i="8"/>
  <c r="R6" i="8"/>
  <c r="FT296" i="2"/>
  <c r="FU296" i="2" s="1"/>
  <c r="J20" i="8"/>
  <c r="I20" i="8"/>
  <c r="K20" i="8"/>
  <c r="M20" i="8"/>
  <c r="L20" i="8"/>
  <c r="N20" i="8"/>
  <c r="FT163" i="2"/>
  <c r="FU163" i="2" s="1"/>
  <c r="I19" i="8"/>
  <c r="J19" i="8"/>
  <c r="L19" i="8"/>
  <c r="K19" i="8"/>
  <c r="M19" i="8"/>
  <c r="N19" i="8"/>
  <c r="O19" i="8" l="1"/>
  <c r="O20" i="8"/>
  <c r="E27" i="9"/>
  <c r="D27" i="9"/>
  <c r="E26" i="9"/>
  <c r="B26" i="9" s="1"/>
  <c r="E25" i="9"/>
  <c r="B25" i="9" s="1"/>
  <c r="B27"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nagaarga@gmail.com</author>
  </authors>
  <commentList>
    <comment ref="CE90" authorId="0" shapeId="0" xr:uid="{06E9DA9A-47F8-42DA-8378-97ED2B5CFADD}">
      <text>
        <r>
          <rPr>
            <b/>
            <sz val="9"/>
            <color indexed="81"/>
            <rFont val="Tahoma"/>
            <family val="2"/>
          </rPr>
          <t>HP:</t>
        </r>
        <r>
          <rPr>
            <sz val="9"/>
            <color indexed="81"/>
            <rFont val="Tahoma"/>
            <family val="2"/>
          </rPr>
          <t xml:space="preserve">
Ada perubahan jalur yang menyebabkan pipa berkurang dari survey mc-0</t>
        </r>
      </text>
    </comment>
    <comment ref="CE102" authorId="0" shapeId="0" xr:uid="{D4CAD034-A839-48BA-B90D-8A89E04F003D}">
      <text>
        <r>
          <rPr>
            <b/>
            <sz val="9"/>
            <color indexed="81"/>
            <rFont val="Tahoma"/>
            <family val="2"/>
          </rPr>
          <t>HP:</t>
        </r>
        <r>
          <rPr>
            <sz val="9"/>
            <color indexed="81"/>
            <rFont val="Tahoma"/>
            <family val="2"/>
          </rPr>
          <t xml:space="preserve">
Ada permasalahan dalam penggalian </t>
        </r>
      </text>
    </comment>
    <comment ref="CF266" authorId="1" shapeId="0" xr:uid="{DFBC970B-7D6B-4D3D-A148-6BEB32C52F98}">
      <text>
        <r>
          <rPr>
            <sz val="11"/>
            <color theme="1"/>
            <rFont val="Calibri"/>
            <family val="2"/>
            <scheme val="minor"/>
          </rPr>
          <t>Privat Area Cluster The East Pancoran dan warga perumahan menolak untuk dipasangan jaringan pipa</t>
        </r>
      </text>
    </comment>
    <comment ref="GT266" authorId="1" shapeId="0" xr:uid="{B2F78F00-A920-4436-941E-8FAB4FDEE6C9}">
      <text>
        <r>
          <rPr>
            <sz val="11"/>
            <color theme="1"/>
            <rFont val="Calibri"/>
            <family val="2"/>
            <scheme val="minor"/>
          </rPr>
          <t>Sudah dilakukan Hydrotest 2 segment 26 Feb 26 dari 6 segment</t>
        </r>
      </text>
    </comment>
    <comment ref="CF268" authorId="1" shapeId="0" xr:uid="{C0963215-5EAE-40B5-BDF8-5B4B517FC502}">
      <text>
        <r>
          <rPr>
            <sz val="11"/>
            <color theme="1"/>
            <rFont val="Calibri"/>
            <family val="2"/>
            <scheme val="minor"/>
          </rPr>
          <t>Terdapat penolakan privat area pipa dia. 63 mm di jalan Raya Rawa Jati Timur 2, Gang Porti RT. 002 RW. 02 sepanjang 72 m</t>
        </r>
      </text>
    </comment>
    <comment ref="CE274" authorId="1" shapeId="0" xr:uid="{2514ED72-FB74-4D25-B1E0-1CB5ECCE33FC}">
      <text>
        <r>
          <rPr>
            <sz val="11"/>
            <color theme="1"/>
            <rFont val="Calibri"/>
            <family val="2"/>
            <scheme val="minor"/>
          </rPr>
          <t>Warga tidak mengizinkan pemasangan pipa baru dikarenakan ingin membuat pondasi cakar ayam (Pembuatan Rumah)</t>
        </r>
      </text>
    </comment>
    <comment ref="CE282" authorId="1" shapeId="0" xr:uid="{20A3C2D6-6F08-4813-A52A-15FC6A570A1A}">
      <text>
        <r>
          <rPr>
            <sz val="11"/>
            <color theme="1"/>
            <rFont val="Calibri"/>
            <family val="2"/>
            <scheme val="minor"/>
          </rPr>
          <t>Note : Berdasarkan Vol DED bukan MC-0
Warga tidak mengizinkan untuk dilakukan penggalian dan pemasangan pipa baru</t>
        </r>
      </text>
    </comment>
    <comment ref="GT292" authorId="1" shapeId="0" xr:uid="{A282B5B1-61D7-4D7B-B7F5-402CA0B7D291}">
      <text>
        <r>
          <rPr>
            <sz val="11"/>
            <color theme="1"/>
            <rFont val="Calibri"/>
            <family val="2"/>
            <scheme val="minor"/>
          </rPr>
          <t>Hydrotest di lakukan 2 Segmen</t>
        </r>
      </text>
    </comment>
    <comment ref="HG305" authorId="1" shapeId="0" xr:uid="{CF3B52D1-42B9-4191-A771-F9A45B46FB17}">
      <text>
        <r>
          <rPr>
            <sz val="11"/>
            <color theme="1"/>
            <rFont val="Calibri"/>
            <family val="2"/>
            <scheme val="minor"/>
          </rPr>
          <t>Note:
19 Januari 2026 Sudah dilakukan tescom tetapi tidak lolos (1 unit strapot tidak uji fungsikan karena posisi centre valve miring / tidak center)
(Area Pemancingan). sudah dilaukan tindak lanjut pada tanggal 23 jan 2026</t>
        </r>
      </text>
    </comment>
    <comment ref="CE309" authorId="1" shapeId="0" xr:uid="{AD6EAB20-E37B-4FB0-B445-878328342403}">
      <text>
        <r>
          <rPr>
            <sz val="11"/>
            <color theme="1"/>
            <rFont val="Calibri"/>
            <family val="2"/>
            <scheme val="minor"/>
          </rPr>
          <t>Pipa HDPE Ø63mm di Jl. Anggrek Raya III sepanjang 103 m tidak dapat dilakukan pemasangan dikarenakan penolakan oleh warga.</t>
        </r>
      </text>
    </comment>
    <comment ref="CF309" authorId="1" shapeId="0" xr:uid="{B0E201EC-302B-405C-9CE9-FF430211501A}">
      <text>
        <r>
          <rPr>
            <sz val="11"/>
            <color theme="1"/>
            <rFont val="Calibri"/>
            <family val="2"/>
            <scheme val="minor"/>
          </rPr>
          <t>Pipa HDPE Ø63mm di Jl. Anggrek Raya sepanjang 37 m tidak dapat dilakukan pemasangan dikarenakan adanya rencana pemasangan septic tank oleh warga pada rencana jalur pemasangan pipa.
Pipa HDPE Ø63 mm di Jl. Krt Radjiman sepanjang 57 m tidak dapat dilakukan pemasangan karena private area.</t>
        </r>
      </text>
    </comment>
    <comment ref="DH387" authorId="1" shapeId="0" xr:uid="{3696343E-38D7-4508-A058-FAE1CBAE01B3}">
      <text>
        <r>
          <rPr>
            <sz val="11"/>
            <color theme="1"/>
            <rFont val="Calibri"/>
            <family val="2"/>
            <scheme val="minor"/>
          </rPr>
          <t>Note : Izin belom PO</t>
        </r>
      </text>
    </comment>
    <comment ref="DH391" authorId="1" shapeId="0" xr:uid="{1112501A-783F-4A4A-8B48-9FF77D8BCA88}">
      <text>
        <r>
          <rPr>
            <sz val="11"/>
            <color theme="1"/>
            <rFont val="Calibri"/>
            <family val="2"/>
            <scheme val="minor"/>
          </rPr>
          <t xml:space="preserve">nagaarga@gmail.com: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<sst xmlns="http://schemas.openxmlformats.org/spreadsheetml/2006/main" count="15818" uniqueCount="3608">
  <si>
    <t xml:space="preserve">   </t>
  </si>
  <si>
    <t>PC 070 KELURAHAN CAKUNG TIMUR, ROROTAN, UJUNG MENTENG KECAMATAN CAKUNG, CILINCING</t>
  </si>
  <si>
    <t>"Volume
BA MC-0"</t>
  </si>
  <si>
    <t>Volume
BA MC-0
SUM -&gt;</t>
  </si>
  <si>
    <t>S.14 Progres : 20.762 m
S.17 Progres : 4.857 m</t>
  </si>
  <si>
    <t>Total Panjang Pipa Aktual
(Sum-&gt;)3</t>
  </si>
  <si>
    <t>n</t>
  </si>
  <si>
    <t>A</t>
  </si>
  <si>
    <t xml:space="preserve">DATABASE PROJECT GREENFIELD </t>
  </si>
  <si>
    <t>Cut Off</t>
  </si>
  <si>
    <t>UPDATE 07/06/26</t>
  </si>
  <si>
    <t>UPDATE 31/05/26</t>
  </si>
  <si>
    <t>*Pemasangan Pipa</t>
  </si>
  <si>
    <t>No</t>
  </si>
  <si>
    <t>No urut</t>
  </si>
  <si>
    <t>Proyek</t>
  </si>
  <si>
    <t>Kode Program</t>
  </si>
  <si>
    <t>Nama Program</t>
  </si>
  <si>
    <t>Jadwal TOK</t>
  </si>
  <si>
    <t>Schedule</t>
  </si>
  <si>
    <t>Sub-Proyek</t>
  </si>
  <si>
    <t>Status TOK</t>
  </si>
  <si>
    <t>Nama PM</t>
  </si>
  <si>
    <t>Kategori Pekerjaan</t>
  </si>
  <si>
    <t>Directorat</t>
  </si>
  <si>
    <t>Volume
(m)</t>
  </si>
  <si>
    <t>Satuan</t>
  </si>
  <si>
    <t>Status Target</t>
  </si>
  <si>
    <t>Status Aktual</t>
  </si>
  <si>
    <t>Column5</t>
  </si>
  <si>
    <t>Target Progres
(%)</t>
  </si>
  <si>
    <t>Progres Aktual
(%)</t>
  </si>
  <si>
    <t>Deviasi
(%)</t>
  </si>
  <si>
    <t>Volume
BA MC-0</t>
  </si>
  <si>
    <t>Total Panjang Pipa Aktual</t>
  </si>
  <si>
    <t>Lokasi, RAB dan Bobot</t>
  </si>
  <si>
    <t>Lokasi</t>
  </si>
  <si>
    <t>Nilai RAB Jaringan
(file pa aji)</t>
  </si>
  <si>
    <t>Kontrol Nilai RAB Jaringan
(Include Ppn)</t>
  </si>
  <si>
    <t>Nilai RAB Jaringan
(Exclude Ppn)</t>
  </si>
  <si>
    <t>RAB Kegiatan Umum</t>
  </si>
  <si>
    <t>RAB Pemasangan</t>
  </si>
  <si>
    <t>RAB Pengadaan</t>
  </si>
  <si>
    <t>RAB Perizinan</t>
  </si>
  <si>
    <t>Nilai RAB IOT</t>
  </si>
  <si>
    <t>Total Bobot</t>
  </si>
  <si>
    <t>Bobot Keg Umum</t>
  </si>
  <si>
    <t>Bobot Pemasangan</t>
  </si>
  <si>
    <t>Bobot Pengadaan</t>
  </si>
  <si>
    <t>Bobot Perizinan</t>
  </si>
  <si>
    <t>Aktual Pipa Terpasang</t>
  </si>
  <si>
    <t>Pipa 63 mm</t>
  </si>
  <si>
    <t>Pipa 90 mm</t>
  </si>
  <si>
    <t>Pipa 110 mm</t>
  </si>
  <si>
    <t>Pipa 160 mm</t>
  </si>
  <si>
    <t>Pipa 200 mm</t>
  </si>
  <si>
    <t>Pipa 250 mm</t>
  </si>
  <si>
    <t>Pipa 315 mm</t>
  </si>
  <si>
    <t>Pipa 350 mm</t>
  </si>
  <si>
    <t>Pipa 400 mm</t>
  </si>
  <si>
    <t>Pipa 500 mm</t>
  </si>
  <si>
    <t>Pipa 630 mm</t>
  </si>
  <si>
    <t>Pipa 700 mm</t>
  </si>
  <si>
    <t>Pipa 800 mm</t>
  </si>
  <si>
    <t>Pipa 900 mm</t>
  </si>
  <si>
    <t>Pipa 1,000 mm</t>
  </si>
  <si>
    <t>Pipa 1,200 mm</t>
  </si>
  <si>
    <t>Pipa 1,400 mm</t>
  </si>
  <si>
    <t>Pipa 1,500 mm</t>
  </si>
  <si>
    <t>Pipa 1,600 mm</t>
  </si>
  <si>
    <t>Pipa 1,800 mm</t>
  </si>
  <si>
    <t>Pipa 63 mm2</t>
  </si>
  <si>
    <t>Pipa 90 mm3</t>
  </si>
  <si>
    <t>Pipa 110 mm4</t>
  </si>
  <si>
    <t>Pipa 160 mm5</t>
  </si>
  <si>
    <t>Pipa 200 mm6</t>
  </si>
  <si>
    <t>Pipa 250 mm7</t>
  </si>
  <si>
    <t>Pipa 315 mm8</t>
  </si>
  <si>
    <t>Pipa 350 mm9</t>
  </si>
  <si>
    <t>Pipa 400 mm10</t>
  </si>
  <si>
    <t>Pipa 500 mm11</t>
  </si>
  <si>
    <t>Pipa 630 mm12</t>
  </si>
  <si>
    <t>Pipa 700 mm13</t>
  </si>
  <si>
    <t>Pipa 800 mm14</t>
  </si>
  <si>
    <t>Pipa 900 mm15</t>
  </si>
  <si>
    <t>Pipa 1,000 mm16</t>
  </si>
  <si>
    <t>Pipa 1,200 mm17</t>
  </si>
  <si>
    <t>Pipa 1,400 mm18</t>
  </si>
  <si>
    <t>Pipa 1,500 mm19</t>
  </si>
  <si>
    <t>Pipa 1,600 mm20</t>
  </si>
  <si>
    <t>Pipa 1,800 mm21</t>
  </si>
  <si>
    <t>Volume
Penolakan Warga</t>
  </si>
  <si>
    <t>Volume
Private Area</t>
  </si>
  <si>
    <t>Volume
Sudah ada eksisting</t>
  </si>
  <si>
    <t>Volume
Tidak sesuai DED</t>
  </si>
  <si>
    <t>Total Volume
tidak dapat dipasang</t>
  </si>
  <si>
    <t>Volume
Sisa Pekerjaan</t>
  </si>
  <si>
    <t>Progres dan VOWD - RNA</t>
  </si>
  <si>
    <t>Progres Keg. Umum
(%)</t>
  </si>
  <si>
    <t>Progres MOS
(%)</t>
  </si>
  <si>
    <t>Progres Pemasangan
(%)</t>
  </si>
  <si>
    <t>Progres Perizinan
(%)</t>
  </si>
  <si>
    <t>Progres Total Aktual
(%)</t>
  </si>
  <si>
    <t>VOWD Keg. Umum
(Rp)</t>
  </si>
  <si>
    <t>VOWD Pengadaan
(Rp)</t>
  </si>
  <si>
    <t>VOWD Pemasangan
(Rp)</t>
  </si>
  <si>
    <t>VOWD Perizinan
(Rp)</t>
  </si>
  <si>
    <t>VOWD (kolom bantu)</t>
  </si>
  <si>
    <t>VOWD Total
(Rp)</t>
  </si>
  <si>
    <t>Nilai RNA Update</t>
  </si>
  <si>
    <t>Kolom Bantu RNA Update</t>
  </si>
  <si>
    <t>PR-PO-MOS</t>
  </si>
  <si>
    <t>PLAN PR-PO ABJ
start</t>
  </si>
  <si>
    <t>PLAN PR-PO ABJ
finish</t>
  </si>
  <si>
    <t>PR Aktual
(tanggal)</t>
  </si>
  <si>
    <t>No PR</t>
  </si>
  <si>
    <t>Nilai PR + Perizinan
(Rp)</t>
  </si>
  <si>
    <t>Review PR ABJ</t>
  </si>
  <si>
    <t>PO Aktual
(tanggal)</t>
  </si>
  <si>
    <t>No PO</t>
  </si>
  <si>
    <t>Nilai PO ABJ
(Rp)</t>
  </si>
  <si>
    <t>Review PO ABJ</t>
  </si>
  <si>
    <t>PLAN PR-PO BPM Jasa
start</t>
  </si>
  <si>
    <t>PLAN PR-PO BPM Jasa
finish</t>
  </si>
  <si>
    <t>PR Jasa Aktual 
(tanggal)</t>
  </si>
  <si>
    <t>No PR Jasa</t>
  </si>
  <si>
    <t>Review PR Jasa BPM</t>
  </si>
  <si>
    <t>PO Jasa Aktual 
(tanggal)</t>
  </si>
  <si>
    <t>No PO Jasa</t>
  </si>
  <si>
    <t>Nama Vendor</t>
  </si>
  <si>
    <t>Review PO Jasa BPM</t>
  </si>
  <si>
    <t>PLAN PR-PO BPM Material
start</t>
  </si>
  <si>
    <t>Forecast PO
Start</t>
  </si>
  <si>
    <t>PLAN PR-PO BPM Material
finish</t>
  </si>
  <si>
    <t>Forecast PO
Finish</t>
  </si>
  <si>
    <t>PR Material Aktual 
(tanggal)</t>
  </si>
  <si>
    <t>No PR Material</t>
  </si>
  <si>
    <t>Line PR</t>
  </si>
  <si>
    <t>Line PR (kolom bantu)</t>
  </si>
  <si>
    <t>Review PR Material BPM</t>
  </si>
  <si>
    <t>Tanggal Selesai PO Material</t>
  </si>
  <si>
    <t>Line PO</t>
  </si>
  <si>
    <t>Line PO (kolom  bantu)2</t>
  </si>
  <si>
    <t>NO PO Material</t>
  </si>
  <si>
    <t>PO Material Aktual 
(%)</t>
  </si>
  <si>
    <t>UPDATE PO
(kolom bantu)</t>
  </si>
  <si>
    <t>Review PO Material BPM</t>
  </si>
  <si>
    <t>Review PO Material</t>
  </si>
  <si>
    <t>PLAN MOS
start</t>
  </si>
  <si>
    <t>Forecast MOS
Start</t>
  </si>
  <si>
    <t>PLAN MOS
finish</t>
  </si>
  <si>
    <t>Forecast MOS
Finish</t>
  </si>
  <si>
    <t>Tanggal Selesai MOS</t>
  </si>
  <si>
    <t>Line MOS</t>
  </si>
  <si>
    <t>Line MOS (kolom bantu)</t>
  </si>
  <si>
    <t>Progres MOS</t>
  </si>
  <si>
    <t>UPDATE MOS
(kolom bantu)</t>
  </si>
  <si>
    <t>Status MOS</t>
  </si>
  <si>
    <t>Review MOS</t>
  </si>
  <si>
    <t>PERMIT</t>
  </si>
  <si>
    <t>PLAN PERMIT
start</t>
  </si>
  <si>
    <t>Forecast Perizinan
Start</t>
  </si>
  <si>
    <t>PLAN PERMIT
finish</t>
  </si>
  <si>
    <t>Forecast Perizinan
Finish</t>
  </si>
  <si>
    <t>IPPJU</t>
  </si>
  <si>
    <t>IPPJU2</t>
  </si>
  <si>
    <t>Persiapan Dokumen</t>
  </si>
  <si>
    <t>Upload Jakevo</t>
  </si>
  <si>
    <t>Gambar Rekomtek</t>
  </si>
  <si>
    <t>Upload DBM</t>
  </si>
  <si>
    <t>Survey IPPJU</t>
  </si>
  <si>
    <t>Revisi Gambar Rekomtek</t>
  </si>
  <si>
    <t>Proses Rekomtek</t>
  </si>
  <si>
    <t>Rekomtek Terbit</t>
  </si>
  <si>
    <t>Proses Penerbitan Izin</t>
  </si>
  <si>
    <t>Izin Terbit</t>
  </si>
  <si>
    <t>Column2</t>
  </si>
  <si>
    <t>Tanggal Pengajuan Dokumen</t>
  </si>
  <si>
    <t>Column4</t>
  </si>
  <si>
    <t>Tanggal Terbit/ Target Izin Terbit</t>
  </si>
  <si>
    <t>Crossing Sungai</t>
  </si>
  <si>
    <t>Crossing Kereta</t>
  </si>
  <si>
    <t>Crossing Toll</t>
  </si>
  <si>
    <t>Status Perizinan</t>
  </si>
  <si>
    <t>Status Izin</t>
  </si>
  <si>
    <t>Remaining7</t>
  </si>
  <si>
    <t>Review14</t>
  </si>
  <si>
    <t>Remain7</t>
  </si>
  <si>
    <t>PLAN vs ACT</t>
  </si>
  <si>
    <t>PLAN Penyerahan DPPK</t>
  </si>
  <si>
    <t>Aktual DPPK</t>
  </si>
  <si>
    <t>Review</t>
  </si>
  <si>
    <t>PLAN PCM</t>
  </si>
  <si>
    <t>Tanggal Aktual PCM</t>
  </si>
  <si>
    <t>Review PCM</t>
  </si>
  <si>
    <t>PLAN Kick Off</t>
  </si>
  <si>
    <t>Tanggal Aktual Kick Off</t>
  </si>
  <si>
    <t>Review Kick Off</t>
  </si>
  <si>
    <t>PLAN MC-0
start</t>
  </si>
  <si>
    <t>PLAN MC-0
finish</t>
  </si>
  <si>
    <t>Tanggal Aktual MC-0</t>
  </si>
  <si>
    <t>Review MC-0</t>
  </si>
  <si>
    <t>PLAN KONSTRUKSI
start</t>
  </si>
  <si>
    <t>Forecast Konstruksi
Start</t>
  </si>
  <si>
    <t>PLAN KONSTRUKSI
finish</t>
  </si>
  <si>
    <t>Forecast Konstruksi
Finish
(s.d. Flushing)</t>
  </si>
  <si>
    <t>Aktual Selesai Konstruksi*
(tanggal)</t>
  </si>
  <si>
    <t>Review Konstruksi</t>
  </si>
  <si>
    <t>PLAN Hydro Tes
start</t>
  </si>
  <si>
    <t>PLAN Hydro Tes
finish</t>
  </si>
  <si>
    <t>Hydro Tes Actual
(tanggal)</t>
  </si>
  <si>
    <t>Status Hydro</t>
  </si>
  <si>
    <t>PLAN Interkoneksi
start</t>
  </si>
  <si>
    <t>PLAN Interkoneksi
finish</t>
  </si>
  <si>
    <t>Interkoneksi Actual
(tanggal)</t>
  </si>
  <si>
    <t>Status Interkoneksi</t>
  </si>
  <si>
    <t>PLAN Flushing
start</t>
  </si>
  <si>
    <t>PLAN Flushing
finish</t>
  </si>
  <si>
    <t>Flushing Actual
(tanggal)</t>
  </si>
  <si>
    <t>Status Flushing</t>
  </si>
  <si>
    <t>PLAN TC
start</t>
  </si>
  <si>
    <t>Forecast TC dan MC-100
Start</t>
  </si>
  <si>
    <t>PLAN TC
finish</t>
  </si>
  <si>
    <t>TC Aktual
(tanggal)</t>
  </si>
  <si>
    <t>Status TC</t>
  </si>
  <si>
    <t>PLAN Reinstatement
start</t>
  </si>
  <si>
    <t>PLAN Reinstatement
finish</t>
  </si>
  <si>
    <t>Reinstatement Aktual
(tanggal)</t>
  </si>
  <si>
    <t>Status Reinstatement</t>
  </si>
  <si>
    <t>PLAN MC-100
start</t>
  </si>
  <si>
    <t>PLAN MC-100
finish</t>
  </si>
  <si>
    <t>Forecast MC-100
Finish</t>
  </si>
  <si>
    <t>MC-100 Aktual
(tanggal)</t>
  </si>
  <si>
    <t>Review MC-100</t>
  </si>
  <si>
    <t>PLAN DPPP
start</t>
  </si>
  <si>
    <t>Forecast DPPP
Start</t>
  </si>
  <si>
    <t>PLAN DPPP
finish</t>
  </si>
  <si>
    <t>Forecast DPPP
Finish</t>
  </si>
  <si>
    <t>Aktual Submit DPPP
(tanggal)</t>
  </si>
  <si>
    <t>Review DPPP</t>
  </si>
  <si>
    <t>Issue dan Forecast</t>
  </si>
  <si>
    <t>Isu</t>
  </si>
  <si>
    <t>Column1</t>
  </si>
  <si>
    <t>Durasi Kontrak (Month)</t>
  </si>
  <si>
    <t>SPAM Jatiluhur Hilir</t>
  </si>
  <si>
    <t>NPP23JTA A2.2.1a</t>
  </si>
  <si>
    <t>A2 - BKT DN1500 (Segmen 1.a BKT - Pondok Kopi)</t>
  </si>
  <si>
    <t>MS</t>
  </si>
  <si>
    <t>Trunk Main</t>
  </si>
  <si>
    <t>Muhrojin</t>
  </si>
  <si>
    <t>Pipa</t>
  </si>
  <si>
    <t>PMO 2</t>
  </si>
  <si>
    <t>m</t>
  </si>
  <si>
    <t>Jl. Basuki Rahmat, Bypass</t>
  </si>
  <si>
    <t>AJC/2023/11/Q800/362</t>
  </si>
  <si>
    <t>AJCPOV-2300148</t>
  </si>
  <si>
    <t>PR-UN/BPM/JTLBarat/2412/0366</t>
  </si>
  <si>
    <t>BPMPO-2405299</t>
  </si>
  <si>
    <t>PT. KMU Konstruksi Indonesia</t>
  </si>
  <si>
    <t>10.Izin Terbit</t>
  </si>
  <si>
    <t>Sudah</t>
  </si>
  <si>
    <t>-</t>
  </si>
  <si>
    <t>NPP23JTAA06</t>
  </si>
  <si>
    <t>A6 - Pondok Kopi DN1000</t>
  </si>
  <si>
    <t>Jl. Mawar Merah II, Kel. Pondok Kopi, Kec. Duren Sawit</t>
  </si>
  <si>
    <t>PR/BPM/JTLTimur/2312/0007</t>
  </si>
  <si>
    <t>BPMPO-2402410</t>
  </si>
  <si>
    <t>23ABJ.NRP095</t>
  </si>
  <si>
    <t>Dakota DN600</t>
  </si>
  <si>
    <t>PMO 1</t>
  </si>
  <si>
    <t>PC 095 Jl. Kemayoran Gempol &amp; Jl. Dakota Raya</t>
  </si>
  <si>
    <t>AJC/2023/08/Q800/246</t>
  </si>
  <si>
    <t>AJCPOV-2300133</t>
  </si>
  <si>
    <t>PR/BPM/JTLBarat/2310/0019</t>
  </si>
  <si>
    <t>PO/BPM-ABJ/XI/23/0781</t>
  </si>
  <si>
    <t>PT Djatipiring Jaya Abadi</t>
  </si>
  <si>
    <t>23ABJNINJT095.C01</t>
  </si>
  <si>
    <t>PC 095 Kebon Kosong Paket 1</t>
  </si>
  <si>
    <t>JDU+JDB+JDL</t>
  </si>
  <si>
    <t>Kebon Kosong - Paket 1 (RW 4)</t>
  </si>
  <si>
    <t>AJC/2023/08/Q800/237</t>
  </si>
  <si>
    <t>AJCPOV-2300087</t>
  </si>
  <si>
    <t>TIDAK PERLU</t>
  </si>
  <si>
    <t>SUDAH</t>
  </si>
  <si>
    <t>23ABJNINJT095.C02</t>
  </si>
  <si>
    <t>PC 095 Kebon Kosong Paket 2</t>
  </si>
  <si>
    <t>Kebon Kosong - Paket 2 (RW 5)</t>
  </si>
  <si>
    <t>AJC/2023/08/Q800/247</t>
  </si>
  <si>
    <t>AJCPOV-2300088</t>
  </si>
  <si>
    <t>23ABJ.NINJT073.01</t>
  </si>
  <si>
    <t>PC 073 Kebon Baru</t>
  </si>
  <si>
    <t>Jl. Kebon Baru RT 003 RW 010 Kel. Sempet Barat</t>
  </si>
  <si>
    <t xml:space="preserve"> </t>
  </si>
  <si>
    <t>AJC/2024/05/Q800/161</t>
  </si>
  <si>
    <t>AJCPOV-2400184</t>
  </si>
  <si>
    <t>PR/BPM/JTLBarat/2409/0252</t>
  </si>
  <si>
    <t>BPMPO-2403783</t>
  </si>
  <si>
    <t xml:space="preserve">PT.Shima Citra Selaras </t>
  </si>
  <si>
    <t>9.Proses Penerbitan Izin</t>
  </si>
  <si>
    <t>23ABJ.NINJT076.01</t>
  </si>
  <si>
    <t>PC 076 Kalibaru Barat RT005/RW015</t>
  </si>
  <si>
    <t>Jl. Kalibaru Barat RT 005 RW 015 Kel. Kalibaru</t>
  </si>
  <si>
    <t>AJC/2024/02/Q800/7</t>
  </si>
  <si>
    <t>AJCPOV-2400054</t>
  </si>
  <si>
    <t>23ABJ.NINJT092.01</t>
  </si>
  <si>
    <t>PC 092 Sunter Jaya</t>
  </si>
  <si>
    <t>Jl. Sunter Jaya RT 007 RW 009 Kel. Sunter</t>
  </si>
  <si>
    <t>23ABJ.NINKARB015.1JE</t>
  </si>
  <si>
    <t>B015 Perumahan BNI</t>
  </si>
  <si>
    <t>Pemukiman Dalam Perumahan BNI RT 01/04 Kel. Wijaya Kusuma</t>
  </si>
  <si>
    <t>PR/BPM/JTLBarat/2405/0101</t>
  </si>
  <si>
    <t>BPMPO-2400980</t>
  </si>
  <si>
    <t>PT Abhinaya Prima Enjinering</t>
  </si>
  <si>
    <t>23ABJ.NINJTP008.1JE</t>
  </si>
  <si>
    <t>P008 Pluit Raya</t>
  </si>
  <si>
    <t>Jl. Pluit Raya RT 09 / RW 07</t>
  </si>
  <si>
    <t>23ABJ.NINJT078.01</t>
  </si>
  <si>
    <t>PC 078 Mundari Gg. Mushola</t>
  </si>
  <si>
    <t>Jl. Mundari Gg. Mushola AL Kisof, Bendungan Melayu RT 005/002 Kel. Rawa Badak Selatan</t>
  </si>
  <si>
    <t>PR/BPM/JTLBarat/2404/0068</t>
  </si>
  <si>
    <t>BPMPO-2400950</t>
  </si>
  <si>
    <t>NPP23JTA A2.2.1b</t>
  </si>
  <si>
    <t>A2 - BKT DN1500 (Segmen 1.b Pondok Kopi- Rd Inten)</t>
  </si>
  <si>
    <t>PNA23JT003-C02.1</t>
  </si>
  <si>
    <t>CDC</t>
  </si>
  <si>
    <t>Pumping Station</t>
  </si>
  <si>
    <t>Pompa</t>
  </si>
  <si>
    <t>ls</t>
  </si>
  <si>
    <t>PR/BPM/JTLTimur/2407/0071</t>
  </si>
  <si>
    <t>BPMPO-2401243</t>
  </si>
  <si>
    <t>PT Jassa Santosa Mandiri</t>
  </si>
  <si>
    <t>PNA23JT003-C02.2</t>
  </si>
  <si>
    <t>CDC - C02.2</t>
  </si>
  <si>
    <t>PR/BPM/JTLTimur/2407/0075</t>
  </si>
  <si>
    <t>PNA23JT003-C02.3</t>
  </si>
  <si>
    <t>CDC - C02.3</t>
  </si>
  <si>
    <t>23ABJNINJT095.C03</t>
  </si>
  <si>
    <t>PC 095 Kebon Kosong Paket 3</t>
  </si>
  <si>
    <t>Kebon Kosong - Paket 3 (RW 6)</t>
  </si>
  <si>
    <t>24ABJ.NINJTS001.1JR</t>
  </si>
  <si>
    <t>S001 Townhouse Mahoni</t>
  </si>
  <si>
    <t>Jl. Masjid Al-Hidayah RT 05 RW 07</t>
  </si>
  <si>
    <t>PR/BPM/JTLBarat/2409/0242</t>
  </si>
  <si>
    <t>BPMPO-2403779</t>
  </si>
  <si>
    <t>PT Das Veda Teknologi</t>
  </si>
  <si>
    <t>24ABJ.NINJT086.1JR</t>
  </si>
  <si>
    <t>PC 086 Bakti RT 03 RW 13</t>
  </si>
  <si>
    <t>Jl. Bakti RT 03 RW 13</t>
  </si>
  <si>
    <t>PR/BPM/JTLBarat/2409/0244</t>
  </si>
  <si>
    <t>BPMPO-2403786</t>
  </si>
  <si>
    <t>24ABJ.NINJT080.1JR</t>
  </si>
  <si>
    <t>PC 080 Cipeucang</t>
  </si>
  <si>
    <t>Jl. Cipeucang II No 48 B RT 05 RT 13</t>
  </si>
  <si>
    <t>PR/BPM/JTLBarat/2409/0246</t>
  </si>
  <si>
    <t>BPMPO-2403775</t>
  </si>
  <si>
    <t>24ABJ.NINJTA095.6JR</t>
  </si>
  <si>
    <t>PC 095 Kebon Kosong (tambahan)</t>
  </si>
  <si>
    <t>Kebon Kosong RT 03, 04, 05 RW 04</t>
  </si>
  <si>
    <t>PR/BPM/JTLBarat/2410/0274</t>
  </si>
  <si>
    <t>BPMPO-2403859</t>
  </si>
  <si>
    <t>24ABJ.NINJTS001.2JR</t>
  </si>
  <si>
    <t>S001 Ampera Raya</t>
  </si>
  <si>
    <t>Jl. Ampera Raya Kav 4 No 129 RT 05 RW 10</t>
  </si>
  <si>
    <t>PR/BPM/JTLBarat/2511/0063</t>
  </si>
  <si>
    <t>BPMPO-2507685</t>
  </si>
  <si>
    <t>PT Cahaya Agung Dirgayasa</t>
  </si>
  <si>
    <t>24ABJ.NINJT055JREZ1</t>
  </si>
  <si>
    <t>PC 055 EZ 1</t>
  </si>
  <si>
    <t>PC 055 EZ 01 KELURAHAN CAKUNG TIMUR. KECAMATAN CAKUNG</t>
  </si>
  <si>
    <t>PR/BPM/JTLBarat/2407/0173</t>
  </si>
  <si>
    <t>BPMPO-2402325</t>
  </si>
  <si>
    <t>PT Buana Djaya Harapan</t>
  </si>
  <si>
    <t>24ABJ.NINJT055JREZ2</t>
  </si>
  <si>
    <t>PC 055 EZ 2</t>
  </si>
  <si>
    <t>PC 055 EZ 02 KELURAHAN UJUNG MENTENG. KECAMATAN CAKUNG</t>
  </si>
  <si>
    <t>PR/BPM/JTLBarat/2408/0204</t>
  </si>
  <si>
    <t>BPMPO-2402327</t>
  </si>
  <si>
    <t>24ABJ.NINJT055JREZ3</t>
  </si>
  <si>
    <t>PC 055 EZ 3</t>
  </si>
  <si>
    <t>PC 055 EZ 03 KELURAHAN PULO GEBANG. KECAMATAN CAKUNG</t>
  </si>
  <si>
    <t>PR/BPM/JTLBarat/2407/0175</t>
  </si>
  <si>
    <t>BPMPO-2402326</t>
  </si>
  <si>
    <t>24ABJ.NINJT055JREZ3C</t>
  </si>
  <si>
    <t xml:space="preserve">PC 055 EZ 3 Settlement Area </t>
  </si>
  <si>
    <t>PC 055 EZ 3C KELURAHAN PULO GEBANG. KECAMATAN CAKUNG - SETTLEMENT AREA</t>
  </si>
  <si>
    <t>PR/BPM/JTLBarat/2407/0177</t>
  </si>
  <si>
    <t>BPMPO-2402345</t>
  </si>
  <si>
    <t>24ABJ.NINJT055JREZ4</t>
  </si>
  <si>
    <t>PC 055 EZ 4</t>
  </si>
  <si>
    <t>BATAL / CANCEL</t>
  </si>
  <si>
    <t>PC 055 EZ 04 KELURAHAN UJUNG MENTENG. KECAMATAN CAKUNG</t>
  </si>
  <si>
    <t>PR/BPM/JTLBarat/2408/0199</t>
  </si>
  <si>
    <t>BPMPO-2402346</t>
  </si>
  <si>
    <t>24ABJ.NINJT055JREZ5</t>
  </si>
  <si>
    <t>PC 055 EZ 5</t>
  </si>
  <si>
    <t>PC 055 EZ 05 KELURAHAN PENGGILINGAN DAN PULOGEBANG. KECAMATAN CAKUNG</t>
  </si>
  <si>
    <t>PR/BPM/JTLBarat/2408/0180</t>
  </si>
  <si>
    <t>BPMPO-2403155</t>
  </si>
  <si>
    <t>24ABJ.NINJT055JREZ6</t>
  </si>
  <si>
    <t>PC 055 EZ 6</t>
  </si>
  <si>
    <t>PC 055 EZ 06 KELURAHAN PENGGILINGAN. KECAMATAN CAKUNG</t>
  </si>
  <si>
    <t>PR/BPM/JTLBarat/2408/0184</t>
  </si>
  <si>
    <t>BPMPO-2403156</t>
  </si>
  <si>
    <t>24ABJ.NINJT055JREZ7</t>
  </si>
  <si>
    <t>PC 055 EZ 7</t>
  </si>
  <si>
    <t>PC 055 EZ 07 KELURAHAN PULO GEBANG &amp; PANGGILINGAN. KECAMATAN CAKUNG</t>
  </si>
  <si>
    <t>PR/BPM/JTLBarat/2408/0206</t>
  </si>
  <si>
    <t>BPMPO-2403157</t>
  </si>
  <si>
    <t>24ABJ.NINJT055JREZ8</t>
  </si>
  <si>
    <t>PC 055 EZ 8</t>
  </si>
  <si>
    <t>PC 055 EZ 08 KELURAHAN CAKUNG BARAT. KECAMATAN CAKUNG</t>
  </si>
  <si>
    <t>PR/BPM/JTLBarat/2408/0186</t>
  </si>
  <si>
    <t>BPMPO-2403158</t>
  </si>
  <si>
    <t>24ABJ.NINJT055JREZ9</t>
  </si>
  <si>
    <t>PC 055 EZ 9</t>
  </si>
  <si>
    <t>PC 055 EZ 09 KELURAHAN PULO GEBANG, PENGGILINGAN, CAKUNG BARAT. KECAMATAN CAKUNG</t>
  </si>
  <si>
    <t>PR/BPM/JTLBarat/2408/0222</t>
  </si>
  <si>
    <t>BPMPO-2402553</t>
  </si>
  <si>
    <t>24ABJ.NINJT055JREZ10</t>
  </si>
  <si>
    <t>PC 055 EZ 10</t>
  </si>
  <si>
    <t>PC 055 EZ 10 KELURAHAN PENGGILINGAN &amp; PULO GEBANG. KECAMATAN CAKUNG</t>
  </si>
  <si>
    <t>PR/BPM/JTLBarat/2408/0208</t>
  </si>
  <si>
    <t>BPMPO-2402551</t>
  </si>
  <si>
    <t>24ABJ.NINJT055JREZ11</t>
  </si>
  <si>
    <t>PC 055 EZ 11</t>
  </si>
  <si>
    <t>PC 055 EZ 11 KELURAHAN PULO GEBANG. KECAMATAN CAKUNG</t>
  </si>
  <si>
    <t>PR/BPM/JTLBarat/2408/0188</t>
  </si>
  <si>
    <t>BPMPO-2402552</t>
  </si>
  <si>
    <t>24ABJ.NINJT055JREZ12</t>
  </si>
  <si>
    <t>PC 055 EZ 12</t>
  </si>
  <si>
    <t>PC 055 EZ 12 KELURAHAN PULO GEBANG. KECAMATAN CAKUNG</t>
  </si>
  <si>
    <t>PR/BPM/JTLBarat/2408/0190</t>
  </si>
  <si>
    <t>BPMPO-2402272</t>
  </si>
  <si>
    <t>PT Pancaputri Binabawana</t>
  </si>
  <si>
    <t>24ABJ.NINJT055JREZ13</t>
  </si>
  <si>
    <t>PC 055 EZ 13</t>
  </si>
  <si>
    <t>PC 055 EZ 13 KELURAHAN PULO GEBANG. KECAMATAN CAKUNG</t>
  </si>
  <si>
    <t>PR/BPM/JTLBarat/2408/0192</t>
  </si>
  <si>
    <t>BPMPO-2402274</t>
  </si>
  <si>
    <t>24ABJ.NINJT055JREZ14</t>
  </si>
  <si>
    <t>PC 055 EZ 14</t>
  </si>
  <si>
    <t>PC 055 EZ 14 KELURAHAN PULO GEBANG. KECAMATAN CAKUNG</t>
  </si>
  <si>
    <t>PR/BPM/JTLBarat/2408/0210</t>
  </si>
  <si>
    <t>BPMPO-2402275</t>
  </si>
  <si>
    <t>24ABJ.NINJT055JREZ15</t>
  </si>
  <si>
    <t>PC 055 EZ 15</t>
  </si>
  <si>
    <t>PC 055 EZ 15 KELURAHAN PULO GEBANG. KECAMATAN CAKUNG</t>
  </si>
  <si>
    <t>PR/BPM/JTLBarat/2408/0194</t>
  </si>
  <si>
    <t>BPMPO-2402276</t>
  </si>
  <si>
    <t>NIN23JTA147EZ1</t>
  </si>
  <si>
    <t>PC 147 EZ 1</t>
  </si>
  <si>
    <t>PC 147 EZ 01</t>
  </si>
  <si>
    <t>PR/BPM/JTLBarat/2406/0124</t>
  </si>
  <si>
    <t>BPMPO-2401279</t>
  </si>
  <si>
    <t>NIN23JTA147EZ2</t>
  </si>
  <si>
    <t>PC 147 EZ 2</t>
  </si>
  <si>
    <t>PC 147 EZ 02</t>
  </si>
  <si>
    <t>PR/BPM/JTLBarat/2406/0125</t>
  </si>
  <si>
    <t>BPMPO-2401280</t>
  </si>
  <si>
    <t>NIN23JTA147EZ3</t>
  </si>
  <si>
    <t>PC 147 EZ 3</t>
  </si>
  <si>
    <t>PC 147 EZ 03</t>
  </si>
  <si>
    <t>PR/BPM/JTLBarat/2407/0128</t>
  </si>
  <si>
    <t>BPMPO-2401281</t>
  </si>
  <si>
    <t>NIN23JTA147EZ4</t>
  </si>
  <si>
    <t>PC 147 EZ 4</t>
  </si>
  <si>
    <t>PC 147 EZ 04</t>
  </si>
  <si>
    <t>PR/BPM/JTLBarat/2407/0136</t>
  </si>
  <si>
    <t>BPMPO-2401297</t>
  </si>
  <si>
    <t>NIN23JTA147EZ5</t>
  </si>
  <si>
    <t>PC 147 EZ 5</t>
  </si>
  <si>
    <t>PC 147 EZ 05</t>
  </si>
  <si>
    <t>PR/BPM/JTLBarat/2407/0138</t>
  </si>
  <si>
    <t>BPMPO-2401541</t>
  </si>
  <si>
    <t>NIN23JTA147EZ6</t>
  </si>
  <si>
    <t>PC 147 EZ 6</t>
  </si>
  <si>
    <t>PC 147 EZ 06</t>
  </si>
  <si>
    <t>PR/BPM/JTLBarat/2407/0132</t>
  </si>
  <si>
    <t>BPMPO-2401282</t>
  </si>
  <si>
    <t>PT Spectra OdeliaÂ Shorai</t>
  </si>
  <si>
    <t>24ABJ.NINJT150JREZ1</t>
  </si>
  <si>
    <t>PC 150 EZ 1</t>
  </si>
  <si>
    <t>PC 150 EZ 01</t>
  </si>
  <si>
    <t>PR/BPM/JTLBarat/2407/0161</t>
  </si>
  <si>
    <t>BPMPO-2402055</t>
  </si>
  <si>
    <t>PT Dinara Arshan Sejahtera</t>
  </si>
  <si>
    <t>24ABJ.NINJT150JREZ2</t>
  </si>
  <si>
    <t>PC 150 EZ 2</t>
  </si>
  <si>
    <t>PC 150 EZ 02</t>
  </si>
  <si>
    <t>PR/BPM/JTLBarat/2407/0164</t>
  </si>
  <si>
    <t>BPMPO-2402080</t>
  </si>
  <si>
    <t>24ABJ.NINJT150JREZ3</t>
  </si>
  <si>
    <t>PC 150 EZ 3</t>
  </si>
  <si>
    <t>PC 150 EZ 03</t>
  </si>
  <si>
    <t>PR/BPM/JTLBarat/2408/0218</t>
  </si>
  <si>
    <t>BPMPO-2402641</t>
  </si>
  <si>
    <t>24ABJ.NINJT150JREZ4</t>
  </si>
  <si>
    <t>PC 150 EZ 4</t>
  </si>
  <si>
    <t>PC 150 EZ 04</t>
  </si>
  <si>
    <t>PR/BPM/JTLBarat/2407/0167</t>
  </si>
  <si>
    <t>BPMPO-2402081</t>
  </si>
  <si>
    <t>PT Cahaya Trisula Manunggal</t>
  </si>
  <si>
    <t>24ABJ.NINJT150JREZ5</t>
  </si>
  <si>
    <t>PC 150 EZ 5</t>
  </si>
  <si>
    <t>PC 150 EZ 05</t>
  </si>
  <si>
    <t>PR/BPM/JTLBarat/2407/0169</t>
  </si>
  <si>
    <t>BPMPO-2402056</t>
  </si>
  <si>
    <t>24ABJ.NINJT150JREZ6</t>
  </si>
  <si>
    <t>PC 150 EZ 6</t>
  </si>
  <si>
    <t>PC 150 EZ 06</t>
  </si>
  <si>
    <t>PR/BPM/JTLBarat/2407/0171</t>
  </si>
  <si>
    <t>BPMPO-2402057</t>
  </si>
  <si>
    <t>NIN23JTA151EZ1</t>
  </si>
  <si>
    <t>PC 151 EZ 1</t>
  </si>
  <si>
    <t>PC 151 EZ 01</t>
  </si>
  <si>
    <t>PR/BPM/JTLBarat/2407/0151</t>
  </si>
  <si>
    <t>BPMPO-2402029</t>
  </si>
  <si>
    <t>NIN23JTA151EZ2</t>
  </si>
  <si>
    <t>PC 151 EZ 2</t>
  </si>
  <si>
    <t>PC 151 EZ 02</t>
  </si>
  <si>
    <t>PR/BPM/JTLBarat/2408/0224</t>
  </si>
  <si>
    <t>BPMPO-2402069</t>
  </si>
  <si>
    <t>NIN23JTA151EZ3</t>
  </si>
  <si>
    <t>PC 151 EZ 3</t>
  </si>
  <si>
    <t>PC 151 EZ 03</t>
  </si>
  <si>
    <t>PR/BPM/JTLBarat/2407/0153</t>
  </si>
  <si>
    <t>BPMPO-2402095</t>
  </si>
  <si>
    <t>NIN23JTA151EZ4</t>
  </si>
  <si>
    <t>PC 151 EZ 4</t>
  </si>
  <si>
    <t>PC 151 EZ 04</t>
  </si>
  <si>
    <t>PR/BPM/JTLBarat/2407/0155</t>
  </si>
  <si>
    <t>BPMPO-2401660</t>
  </si>
  <si>
    <t>NIN23JTA151EZ5</t>
  </si>
  <si>
    <t>PC 151 EZ 5</t>
  </si>
  <si>
    <t>PC 151 EZ 05</t>
  </si>
  <si>
    <t>PR/BPM/JTLBarat/2408/0220</t>
  </si>
  <si>
    <t>BPMPO-2402268</t>
  </si>
  <si>
    <t>NIN23JTA151EZ6</t>
  </si>
  <si>
    <t>PC 151 EZ 6</t>
  </si>
  <si>
    <t>PC 151 EZ 06</t>
  </si>
  <si>
    <t>PR/BPM/JTLBarat/2407/0157</t>
  </si>
  <si>
    <t>BPMPO-2401661</t>
  </si>
  <si>
    <t>NIN23JTA153EZ1</t>
  </si>
  <si>
    <t>PC 153 EZ 1</t>
  </si>
  <si>
    <t>PC 153 EZ 01</t>
  </si>
  <si>
    <t>PR/BPM/JTLBarat/2407/0134</t>
  </si>
  <si>
    <t>BPMPO-2401323</t>
  </si>
  <si>
    <t>NIN23JTA153EZ2</t>
  </si>
  <si>
    <t>PC 153 EZ 2</t>
  </si>
  <si>
    <t>PC 153 EZ 02</t>
  </si>
  <si>
    <t>PR/BPM/JTLBarat/2407/0130</t>
  </si>
  <si>
    <t>NIN23JTA153EZ3</t>
  </si>
  <si>
    <t>PC 153 EZ 3</t>
  </si>
  <si>
    <t>PC 153 EZ 03</t>
  </si>
  <si>
    <t>PR/BPM/JTLBarat/2407/0140</t>
  </si>
  <si>
    <t>NIN23JTA153EZ4</t>
  </si>
  <si>
    <t>PC 153 EZ 4</t>
  </si>
  <si>
    <t>PC 153 EZ 04</t>
  </si>
  <si>
    <t>PR/BPM/JTLBarat/2407/0146</t>
  </si>
  <si>
    <t>BPMPO-2401349</t>
  </si>
  <si>
    <t>PT Karta Jaya Santosa</t>
  </si>
  <si>
    <t>NIN23JTA153EZ5</t>
  </si>
  <si>
    <t>PC 153 EZ 5</t>
  </si>
  <si>
    <t>PC 153 EZ 05</t>
  </si>
  <si>
    <t>PR/BPM/JTLBarat/2407/0142</t>
  </si>
  <si>
    <t>BPMPO-2401324</t>
  </si>
  <si>
    <t>NIN23JTA153EZ6</t>
  </si>
  <si>
    <t>PC 153 EZ 6</t>
  </si>
  <si>
    <t>PC 153 EZ 06</t>
  </si>
  <si>
    <t>PR/BPM/JTLBarat/2407/0144</t>
  </si>
  <si>
    <t>23ABJ.NINJT051.1JR</t>
  </si>
  <si>
    <t>PC 051 Kp Warung Jengkol</t>
  </si>
  <si>
    <t>Kp Warung Jengkol RT 05/02 Kel. Rawa Terate</t>
  </si>
  <si>
    <t>PR/BPM/JTLBarat/2409/0266</t>
  </si>
  <si>
    <t>BPMPO-2403780</t>
  </si>
  <si>
    <t>23ABJ.NINJT055.1JR</t>
  </si>
  <si>
    <t>PC 055 Rawa Bebek Gg. H Salim</t>
  </si>
  <si>
    <t>Jl. Rawa Bebek Gg. H Salim RT 05/01</t>
  </si>
  <si>
    <t>PR/BPM/JTLBarat/2409/0264</t>
  </si>
  <si>
    <t>BPMPO-2403778</t>
  </si>
  <si>
    <t>23ABJ.NINJT070.2JR</t>
  </si>
  <si>
    <t>PC 070 Green Garden</t>
  </si>
  <si>
    <t>Green Garden</t>
  </si>
  <si>
    <t>PR/BPM/JTLBarat/2412/0306</t>
  </si>
  <si>
    <t>BPMPO-2405255</t>
  </si>
  <si>
    <t>24ABJ.NINJT070.5JR</t>
  </si>
  <si>
    <t>PC 070 Al Fallah</t>
  </si>
  <si>
    <t>Jl. Al Fallah No. 242 A, B, C, D, E, F</t>
  </si>
  <si>
    <t>PR/BPM/JTLBarat/2409/0261</t>
  </si>
  <si>
    <t>BPMPO-2403774</t>
  </si>
  <si>
    <t>23ABJ.NINJT150.1JR</t>
  </si>
  <si>
    <t>PC 150 Kampung Bulak Timur 1</t>
  </si>
  <si>
    <t>Jl. Kampung Bulak Timur 1 (Samping Kelurahan)</t>
  </si>
  <si>
    <t>PR/BPM/JTLBarat/2412/0311</t>
  </si>
  <si>
    <t>BPMPO-2405263</t>
  </si>
  <si>
    <t>24ABJ.NINJTAS001.3</t>
  </si>
  <si>
    <t>S001 Redy Ferryanto</t>
  </si>
  <si>
    <t>Jl. Masjid Al Hidayah No 38E RT/RW 05/07</t>
  </si>
  <si>
    <t>PR/BPM/JTLBarat/2409/0258</t>
  </si>
  <si>
    <t>BPMPO-2403784</t>
  </si>
  <si>
    <t>23ABJ.NINJT054.3JR</t>
  </si>
  <si>
    <t>PC 054 Rawa Badung RT 08</t>
  </si>
  <si>
    <t>Jl. Rawa Badung RT 08</t>
  </si>
  <si>
    <t>23ABJ.NINJT054.4JR</t>
  </si>
  <si>
    <t>PC 054 Rawa Badung RT 11</t>
  </si>
  <si>
    <t>Jl. Rawa Badung RT 11</t>
  </si>
  <si>
    <t>23ABJ.NINJT054.2JR</t>
  </si>
  <si>
    <t>PC 054 Kp Jembatan</t>
  </si>
  <si>
    <t>Jl. Kp Jembatan RT 08/14</t>
  </si>
  <si>
    <t>23ABJ.NINJT070.1JR</t>
  </si>
  <si>
    <t>PC 070 Jl. Sungai Kendal + Jl. Sarang Bango + Jl. Malaka</t>
  </si>
  <si>
    <t>Jl. Sungai Kendal + Jl. Sarang Bango + Jl. Malaka</t>
  </si>
  <si>
    <t>PR/BPM/JTLBarat/2412/0305</t>
  </si>
  <si>
    <t>BPMPO-2405253</t>
  </si>
  <si>
    <t>23ABJ.NINJT070.3JR</t>
  </si>
  <si>
    <t>PC 070 KAV Barokah</t>
  </si>
  <si>
    <t>KAV Barokah Jl. Kayu Tinggi RT 08/12, Cakung Timur</t>
  </si>
  <si>
    <t>PR/BPM/JTLBarat/2412/0308</t>
  </si>
  <si>
    <t>BPMPO-2405262</t>
  </si>
  <si>
    <t>23ABJ.NINJT147.1JR</t>
  </si>
  <si>
    <t>PC 147 Kesehatan Gg. Swadaya</t>
  </si>
  <si>
    <t>Jl. Kesehatan Gg. Swadaya RT 02/05</t>
  </si>
  <si>
    <t>PR/BPM/JTLBarat/2412/0310</t>
  </si>
  <si>
    <t>BPMPO-2405252</t>
  </si>
  <si>
    <t>23ABJ.NINJT070.4JR</t>
  </si>
  <si>
    <t>PC 070 Kamp. Gempol Gg. Subur</t>
  </si>
  <si>
    <t>Kamp. Gempol Gg. Subur RT 07/01</t>
  </si>
  <si>
    <t>PR/BPM/JTLBarat/2412/0307</t>
  </si>
  <si>
    <t>BPMPO-2405256</t>
  </si>
  <si>
    <t>SPAM Buaran 3 Hilir</t>
  </si>
  <si>
    <t>24ABJ.NINBUR145.2JP</t>
  </si>
  <si>
    <t>PC 145 Kapin</t>
  </si>
  <si>
    <t>Puji Raharjo</t>
  </si>
  <si>
    <t>Jl. Kapin Raya, Gg Nuar</t>
  </si>
  <si>
    <t>PR/BPM/BRN3HLR/2406/017</t>
  </si>
  <si>
    <t>BPMPO-2400948</t>
  </si>
  <si>
    <t>23ABJ.NINJT145.1JR</t>
  </si>
  <si>
    <t>PC 145 Rambutan 3</t>
  </si>
  <si>
    <t>Jl. Rambutan 3</t>
  </si>
  <si>
    <t>PR/BPM/BRN3HLR/2406/018</t>
  </si>
  <si>
    <t>BPMPO-2400949</t>
  </si>
  <si>
    <t>NPP23BURP01</t>
  </si>
  <si>
    <t>P1 - Jl. Kalimalang - Jatiwaringin DN1800</t>
  </si>
  <si>
    <t>Jl. Raya Kalimalang - Jatiwaringin</t>
  </si>
  <si>
    <t>PR-UN/BPM/BRN3HLR/2412/207</t>
  </si>
  <si>
    <t>BPMPO-2405304</t>
  </si>
  <si>
    <t>PT Fastindo Wiratama</t>
  </si>
  <si>
    <t>NPP23BURP02</t>
  </si>
  <si>
    <t>P2 - Jatiwaringin - Pangkalan Jati DN1200</t>
  </si>
  <si>
    <t>Jl. Jati Waringin - Pangkalan Jati</t>
  </si>
  <si>
    <t>AJC/2023/11/Q800/373</t>
  </si>
  <si>
    <t>AJCPOV-2300162</t>
  </si>
  <si>
    <t>PR/BPM/BRN3HLR/2411/117</t>
  </si>
  <si>
    <t>BPMPO-2405032</t>
  </si>
  <si>
    <t>23ABJ.NINBUR159.1JP</t>
  </si>
  <si>
    <t>PC 159 EZ 02 (Jl. Dato Tonggara Rt 04,08,10,13 Kel. Kramat Jati)</t>
  </si>
  <si>
    <t>Jl. Dato Tonggara III RT 04, 08, 10, 13</t>
  </si>
  <si>
    <t>PR/BPM/BRN3HLR/2411/158</t>
  </si>
  <si>
    <t>BPMPO-2404937</t>
  </si>
  <si>
    <t>24ABJ.NINBUR161.2JP</t>
  </si>
  <si>
    <t>PC 161 Masjid Al-Khairot</t>
  </si>
  <si>
    <t>Jl. Masjid Al-Khairot</t>
  </si>
  <si>
    <t>24ABJ.NINBUR162.1JP</t>
  </si>
  <si>
    <t>PC 162 Bhexman (Cipayung)</t>
  </si>
  <si>
    <t>Jl. Bhexmas (Cipayung)</t>
  </si>
  <si>
    <t>23ABJ.NINBUR162.2JP</t>
  </si>
  <si>
    <t>PC 162 Manunggal 1A</t>
  </si>
  <si>
    <t>Jl. Manunggal 1A RT 13/02 Kel. Kelapa Dua Wetan</t>
  </si>
  <si>
    <t>23ABJ.NINBUR163.1JP</t>
  </si>
  <si>
    <t>PC 163 Inti Sari Raya</t>
  </si>
  <si>
    <t>Jl. Inti Sari Raya RT 01/09 Kel. Kalisari Kec. Pasar Rebo</t>
  </si>
  <si>
    <t>PR/BPM/BRN3HLR/2509/473</t>
  </si>
  <si>
    <t>BPMPO-2506206</t>
  </si>
  <si>
    <t>SPAM Karian Serpong Hilir</t>
  </si>
  <si>
    <t>NPP23KAB035</t>
  </si>
  <si>
    <t>P35 - Citra 8 &amp; Gombol Paya DN300</t>
  </si>
  <si>
    <t>Ervin Yanuar</t>
  </si>
  <si>
    <t>Citra 8 &amp; Gombol Paya</t>
  </si>
  <si>
    <t xml:space="preserve">- Segment 1 : 01/05/2024
- Segment 2 : 27/03/2024
- Segment 3 : 29/04/2024
- Segment 4 : 29/04/2024
- Segment 5 : </t>
  </si>
  <si>
    <t>23ABJ.NINKARB020.14</t>
  </si>
  <si>
    <t>Citra 8 - P35 (Tapping Citra 8)</t>
  </si>
  <si>
    <t>Non-MS</t>
  </si>
  <si>
    <t>Citra 8</t>
  </si>
  <si>
    <t>PR/BPM/KRN-HLR/2403/039</t>
  </si>
  <si>
    <t>BPMPO-2400445</t>
  </si>
  <si>
    <t>PT Kananga Citra Karya</t>
  </si>
  <si>
    <t>23ABJ.NINKARS006.02</t>
  </si>
  <si>
    <t>S006 PT Toyota Housing Indonesia</t>
  </si>
  <si>
    <t>Jl. Cidodol No. 62 RT 005 RW 11 Kel. Grogol Selatan</t>
  </si>
  <si>
    <t>PR/BPM/KRN-HLR/2404/048</t>
  </si>
  <si>
    <t>BPMPO-2400714</t>
  </si>
  <si>
    <t>23ABJ.NINKARB013.02</t>
  </si>
  <si>
    <t>B013 Permata Buana - Blok D5, Blok D6, Blok D7, Blok D7A, dan Blok 12</t>
  </si>
  <si>
    <t>Permata Buana Blok D5, D6, D7, D7A, D12</t>
  </si>
  <si>
    <t>PR/BPM/KRN-HLR/2405/078</t>
  </si>
  <si>
    <t>BPMPO-2400935</t>
  </si>
  <si>
    <t>PT Padma Panji Pratama</t>
  </si>
  <si>
    <t>23ABJ.NINKARB013.03</t>
  </si>
  <si>
    <t>B013 Permata Buana Blok L8</t>
  </si>
  <si>
    <t>Permata Buana Blok L8</t>
  </si>
  <si>
    <t>PR/BPM/KRN-HLR/2405/086</t>
  </si>
  <si>
    <t>23ABJ.NINKARB013.04</t>
  </si>
  <si>
    <t>B013 Permata Buana Blok H8</t>
  </si>
  <si>
    <t>Permata Buana Blok H8</t>
  </si>
  <si>
    <t>PR/BPM/KRN-HLR/2405/083</t>
  </si>
  <si>
    <t>23ABJ.NINKARB013.01</t>
  </si>
  <si>
    <t>B013 Permata Buana Blok O7 dan O8</t>
  </si>
  <si>
    <t>Permata Buana Blok O7, O8</t>
  </si>
  <si>
    <t>PR/BPM/KRN-HLR/2405/079</t>
  </si>
  <si>
    <t>24ABJ.NINKARB006.3JE</t>
  </si>
  <si>
    <t>B006 Pesing Koneng</t>
  </si>
  <si>
    <t>Jl. Pesing Koneng ,RT 03/01 Kel. Kedoya Utara</t>
  </si>
  <si>
    <t>PR-UN/BPM/KRN-HLR/2502/040</t>
  </si>
  <si>
    <t>BPMPO-2502837</t>
  </si>
  <si>
    <t>23ABJ.NINKARB006.2JE</t>
  </si>
  <si>
    <t>B006 Pilar 2</t>
  </si>
  <si>
    <t>Jl. Pilar 2 RT 08/03 Kel. Kedoya Selatan</t>
  </si>
  <si>
    <t>PR/BPM/KRN-HLR/2404/047</t>
  </si>
  <si>
    <t>23ABJ.NINKARB016.1JE</t>
  </si>
  <si>
    <t>B016 Vikamas Tengah 14</t>
  </si>
  <si>
    <t>Jl. Vikamas Tengah 14 RT 14/05 Kel. Kapuk Muara</t>
  </si>
  <si>
    <t>PR/BPM/KRN-HLR/2404/049</t>
  </si>
  <si>
    <t>04/07/2024
16/08/2024</t>
  </si>
  <si>
    <t>23ABJ.NINKARB019.4JE</t>
  </si>
  <si>
    <t>B019 Cluster AA8 Residence</t>
  </si>
  <si>
    <t>Cluster AA8 Residence Kel. Tegal Alur</t>
  </si>
  <si>
    <t>23ABJ.NINKARB006.1JE</t>
  </si>
  <si>
    <t>B006 Bahagia</t>
  </si>
  <si>
    <t>Jl. Bahagia III, V, VII, VIII, Kel. Kedoya Utara</t>
  </si>
  <si>
    <t>PR/BPM/KRN-HLR/2405/087</t>
  </si>
  <si>
    <t>23ABJ.NINKARB012.1JE</t>
  </si>
  <si>
    <t>B012 Klingkit Raya Residence</t>
  </si>
  <si>
    <t>Klingkit Raya Residence, RT 12/01Kel. Rawa Buaya</t>
  </si>
  <si>
    <t>PR/BPM/KRN-HLR/2405/082</t>
  </si>
  <si>
    <t>24ABJ.NINKARB007.1JE</t>
  </si>
  <si>
    <t>B007 Green Garden Residence &amp; Andrew Wijaya</t>
  </si>
  <si>
    <t>Jl. Green Garden Residence RT 05/04, Kel. Kembangan Utara</t>
  </si>
  <si>
    <t>PR/BPM/KRN-HLR/2406/113</t>
  </si>
  <si>
    <t>BPMPO-2401768</t>
  </si>
  <si>
    <t>23ABJ.NINKARB017.1JE</t>
  </si>
  <si>
    <t>B017 Ida Fitriyah</t>
  </si>
  <si>
    <t>Jl. Kapuk Kebon Jahe RT 18/03, Kel. Kapuk</t>
  </si>
  <si>
    <t>PR-UN/BPM/KRN-HLR/2410/004</t>
  </si>
  <si>
    <t>11/10/2024
14/10/2024</t>
  </si>
  <si>
    <t>NIN23KABB020.1</t>
  </si>
  <si>
    <t>B020 Citra 5</t>
  </si>
  <si>
    <t>Citra 5</t>
  </si>
  <si>
    <t>PR/BPM/KRN-HLR/2310/010</t>
  </si>
  <si>
    <t>PO/BPM-ABJ/X/23/0722</t>
  </si>
  <si>
    <t xml:space="preserve">13/09/2024
03/10/2024
18/10/2024
28/10/2024
07/11/2024
11/11/2024
19/11/2024
04/12/2024
09/12/2024
16/12/2024
20/12/2024
23/12/2024
03/01/2025
07/01/2025
10/01/2025
11/01/2025
</t>
  </si>
  <si>
    <t xml:space="preserve">19/11/2024
26/11/2024
24/01/2025
25/01/2025
31/01/2025
03/02/2025
</t>
  </si>
  <si>
    <t>NIN23KABB020.2</t>
  </si>
  <si>
    <t>B020 Gombol Paya</t>
  </si>
  <si>
    <t>Gombol Paya</t>
  </si>
  <si>
    <t>PR/BPM/KRN-HLR/2310/013</t>
  </si>
  <si>
    <t>BPMPO-2400403</t>
  </si>
  <si>
    <t xml:space="preserve">21/10/2024
18/12/2024
27/12/2024
28/12/2024
10/01/2025
</t>
  </si>
  <si>
    <t>23ABJ.NINKARB014.1JE</t>
  </si>
  <si>
    <t>B014 AMD Duri Kosambi</t>
  </si>
  <si>
    <t>Jl. AMD RW 8 Kel. Duri Kosambi</t>
  </si>
  <si>
    <t>PR/BPM/KRN-HLR/2409/202</t>
  </si>
  <si>
    <t>BPMPO-2403913</t>
  </si>
  <si>
    <t>PT Prima Artha Utama</t>
  </si>
  <si>
    <t>23ABJ.NINKARB020.13</t>
  </si>
  <si>
    <t>B020 Pergudangan 198</t>
  </si>
  <si>
    <t>Pergudangan 198 Kamal RW 09 Kel. Kamal</t>
  </si>
  <si>
    <t>PR/BPM/KRN-HLR/2405/084</t>
  </si>
  <si>
    <t>07/11/2024
09/12/2024</t>
  </si>
  <si>
    <t>23ABJ.NINKARB018.1JE</t>
  </si>
  <si>
    <t>B018 Palmasera</t>
  </si>
  <si>
    <t>Palmasera Kapuk Pedongkelan RT 11/13 Kel. Kapuk</t>
  </si>
  <si>
    <t>PR/BPM/KRN-HLR/2409/210</t>
  </si>
  <si>
    <t>BPMPO-2403675</t>
  </si>
  <si>
    <t>23ABJ.NINKARB009.1JE</t>
  </si>
  <si>
    <t>B009 Mutiara Kedoya</t>
  </si>
  <si>
    <t>Komplek Mutiara Kedoya RT 11/05 Kel. Kembangan Selatan</t>
  </si>
  <si>
    <t>PR/BPM/KRN-HLR/2405/081</t>
  </si>
  <si>
    <t>31/10/2024
11/11/2024
02/12/2024</t>
  </si>
  <si>
    <t>24ABJ.NINKARB019.6JE</t>
  </si>
  <si>
    <t>B019 RW 13 Tegal Alur</t>
  </si>
  <si>
    <t>RW 13 Tegal Alur, Jl. Raya Prepedan Kel. Tegal Alur</t>
  </si>
  <si>
    <t>PR/BPM/KRN-HLR/2409/191</t>
  </si>
  <si>
    <t>BPMPO-2403912</t>
  </si>
  <si>
    <t>PT Delima Anugrah Suplindo</t>
  </si>
  <si>
    <t>16/12/2024
19/12/2024
23/12/2024
27/12/2024</t>
  </si>
  <si>
    <t>24ABJ.NINKARB019.5JE</t>
  </si>
  <si>
    <t>B019 Kamal Muara RT 07 RW 11</t>
  </si>
  <si>
    <t>Jl. Kamal Muara RT 07 RW 11 Kel. Kamal Muara</t>
  </si>
  <si>
    <t>PR/BPM/KRN-HLR/2409/195</t>
  </si>
  <si>
    <t>BPMPO-2403911</t>
  </si>
  <si>
    <t>24ABJ.NINKARB016.3JE</t>
  </si>
  <si>
    <t>B016 Sumartini</t>
  </si>
  <si>
    <t>Jl. Vikamas RT 06/05, Kel. Kapuk Muara</t>
  </si>
  <si>
    <t>PR/BPM/KRN-HLR/2409/187</t>
  </si>
  <si>
    <t>BPMPO-2403668</t>
  </si>
  <si>
    <t>24ABJ.NINKARB006.2JE</t>
  </si>
  <si>
    <t>B006 Pesing Gadog</t>
  </si>
  <si>
    <t>Jl. Pesing Gadog RT 08/06, Kel. Kedoya Utara</t>
  </si>
  <si>
    <t>PR/BPM/KRN-HLR/2409/200</t>
  </si>
  <si>
    <t>BPMPO-2403802</t>
  </si>
  <si>
    <t>24ABJ.NINKARB013.6JE</t>
  </si>
  <si>
    <t>B013 Solite Townhouse</t>
  </si>
  <si>
    <t>Permata Buana Blok H1, Kel. Kembangan Utara</t>
  </si>
  <si>
    <t>PR/BPM/KRN-HLR/2409/240</t>
  </si>
  <si>
    <t>BPMPO-2403782</t>
  </si>
  <si>
    <t>24ABJ.NINKARB006.4JE</t>
  </si>
  <si>
    <t>B006 PT Multi Amerta Sinergi</t>
  </si>
  <si>
    <t>PT Multi Amerta Sinergi, Jl. Surya Utama Raya</t>
  </si>
  <si>
    <t>PR/BPM/KRN-HLR/2409/197</t>
  </si>
  <si>
    <t>BPMPO-2403801</t>
  </si>
  <si>
    <t>24ABJ.NINKARB014.5JE</t>
  </si>
  <si>
    <t>B014 Jl. Raya Duri Kosambi</t>
  </si>
  <si>
    <t>Jl. Raya Duri Kosambi</t>
  </si>
  <si>
    <t>PR/BPM/KRN-HLR/2409/201</t>
  </si>
  <si>
    <t>BPMPO-2403898</t>
  </si>
  <si>
    <t>24ABJ.NINKARS006.4JE</t>
  </si>
  <si>
    <t>S006 Masjid Al-Huda</t>
  </si>
  <si>
    <t>Jl. Masjid Al-Huda RW 05</t>
  </si>
  <si>
    <t>PR/BPM/KRN-HLR/2409/214</t>
  </si>
  <si>
    <t>BPMPO-2403773</t>
  </si>
  <si>
    <t>24ABJ.NINKARB014.6JE</t>
  </si>
  <si>
    <t>B014 Perumahan Aria Puri</t>
  </si>
  <si>
    <t>Jl. Kresek</t>
  </si>
  <si>
    <t>PR/BPM/KRN-HLR/2409/212</t>
  </si>
  <si>
    <t>BPMPO-2403909</t>
  </si>
  <si>
    <t>04/12/2024
13/12/2024</t>
  </si>
  <si>
    <t>24ABJ.NINKARS006.6JE</t>
  </si>
  <si>
    <t>S006 Green Permata</t>
  </si>
  <si>
    <t>Swadarma Raya</t>
  </si>
  <si>
    <t>PR/BPM/KRN-HLR/2409/206</t>
  </si>
  <si>
    <t>BPMPO-2403798</t>
  </si>
  <si>
    <t>22/12/2024
23/12/2024</t>
  </si>
  <si>
    <t>24ABJ.NINKARB019.11JE</t>
  </si>
  <si>
    <t>B019 Perumahan Taman Surya 5</t>
  </si>
  <si>
    <t>Perumahan Taman Surya 5 RT 01 RW 17 Pegadungan</t>
  </si>
  <si>
    <t>PR/BPM/SR/2509/121</t>
  </si>
  <si>
    <t>24ABJ.NINKARB014.71JE</t>
  </si>
  <si>
    <t>B014 Ruko Duri Kosambi</t>
  </si>
  <si>
    <t>PR/BPM/KRN-HLR/2409/213</t>
  </si>
  <si>
    <t>BPMPO-2403908</t>
  </si>
  <si>
    <t>23ABJ.NPPKAR037</t>
  </si>
  <si>
    <t>P37 - Semanan DN250</t>
  </si>
  <si>
    <t>Semanan</t>
  </si>
  <si>
    <t>PR/BPM/KRN-HLR/2408/171</t>
  </si>
  <si>
    <t>BPMPO-2404030</t>
  </si>
  <si>
    <t>03/09/2024
13/09/2024
19/09/2024
25/09/2024
27/09/2025</t>
  </si>
  <si>
    <t>24ABJ.NINKARB006.1JE</t>
  </si>
  <si>
    <t>B006 Arief Setiawan</t>
  </si>
  <si>
    <t>Jl. Surya Mutiara RT 09/02, Kel. Kedoya Selatan</t>
  </si>
  <si>
    <t>PR/BPM/KRN-HLR/2409/189</t>
  </si>
  <si>
    <t>BPMPO-2403797</t>
  </si>
  <si>
    <t>24ABJ.NINKARS006.5JE</t>
  </si>
  <si>
    <t>S006 Komplek Lemigas Blok A</t>
  </si>
  <si>
    <t>Jl. Panjang Cipulir RT 08 RW 09</t>
  </si>
  <si>
    <t>PR/BPM/KRN-HLR/2409/209</t>
  </si>
  <si>
    <t>BPMPO-2403772</t>
  </si>
  <si>
    <t>PT Das Vega Teknologi</t>
  </si>
  <si>
    <t>23ABJ.NINKARB020.12</t>
  </si>
  <si>
    <t>B20.12 Golden Palm</t>
  </si>
  <si>
    <t>Golden Palm</t>
  </si>
  <si>
    <t>PR/BPM/KRN-HLR/2403/040</t>
  </si>
  <si>
    <t>24ABJ.NINKARB016.6</t>
  </si>
  <si>
    <t>B016 Lucky Point 2</t>
  </si>
  <si>
    <t>SE Cluster Lucky Park II</t>
  </si>
  <si>
    <t>PR/BPM/KRN-HLR/2409/215</t>
  </si>
  <si>
    <t>BPMPO-2403673</t>
  </si>
  <si>
    <t>24ABJ.NINKARS002.3JE</t>
  </si>
  <si>
    <t>S002 SPBU Shell TB Simatupang</t>
  </si>
  <si>
    <t>Lwt apr25</t>
  </si>
  <si>
    <t>Jl. TB Simatupang No 10</t>
  </si>
  <si>
    <t>PR/BPM/KRN-HLR/2411/320</t>
  </si>
  <si>
    <t>BPMPO-2405276</t>
  </si>
  <si>
    <t>23ABJ.NINKARB013.5JE</t>
  </si>
  <si>
    <t>B013 Kembangan Raya</t>
  </si>
  <si>
    <t>Jl. Kembangan Raya RT 01/03 Kel. Kembangan Utara</t>
  </si>
  <si>
    <t>23ABJ.NINKARS002.2</t>
  </si>
  <si>
    <t>S002 Gaharu</t>
  </si>
  <si>
    <t>Jl. Gaharu VII RT 003 RT 11 Kel Cilandak Barat</t>
  </si>
  <si>
    <t>PR/BPM/KRN-HLR/2409/203</t>
  </si>
  <si>
    <t>BPMPO-2508317</t>
  </si>
  <si>
    <t>NPP23BURP03</t>
  </si>
  <si>
    <t>P3 - Pangkalan Jati - Jatiwaringin DN1600</t>
  </si>
  <si>
    <t>Selesai Fisik dan Dokumen</t>
  </si>
  <si>
    <t>JL.PANGKALAN JATI - JATI WARINGIN</t>
  </si>
  <si>
    <t>PR/BPM/BRN3HLR/2508/385</t>
  </si>
  <si>
    <t>BPMPO-2505281</t>
  </si>
  <si>
    <t>PR-UN/BPM/BRN3HLR/2503/295</t>
  </si>
  <si>
    <t>BPMPO-2503632</t>
  </si>
  <si>
    <t>16 Aug 2024</t>
  </si>
  <si>
    <t>NPP23BURP04</t>
  </si>
  <si>
    <t>P4 - Jatiwaringin - Halim DN1600</t>
  </si>
  <si>
    <t>Jati Waringin - Pondok Gede</t>
  </si>
  <si>
    <t>PR/BPM/BRN3HLR/2508/386</t>
  </si>
  <si>
    <t>PR/BPM/BRN3HLR/2510/500</t>
  </si>
  <si>
    <t>BPMPO-2507431</t>
  </si>
  <si>
    <t>NPP23BURP05</t>
  </si>
  <si>
    <t>P5 - Jl. Pondok Gede DN1600</t>
  </si>
  <si>
    <t>JL. PONDOK GEDE</t>
  </si>
  <si>
    <t>AJC/2024/03/Q800/85</t>
  </si>
  <si>
    <t>AJCPOV-2400151</t>
  </si>
  <si>
    <t>PR/BPM/BRN3HLR/2508/387</t>
  </si>
  <si>
    <t>PR/BPM/BRN3HLR/2510/498</t>
  </si>
  <si>
    <t>BPMPO-2506946</t>
  </si>
  <si>
    <t>NPP23BURS03</t>
  </si>
  <si>
    <t>S3 - HEK DN800</t>
  </si>
  <si>
    <t>JL. RAYA PONDOK GEDE</t>
  </si>
  <si>
    <t>AJC/2023/08/Q800/248</t>
  </si>
  <si>
    <t>AJCPOV-2400384</t>
  </si>
  <si>
    <t>PR/BPM/BRN3HLR/2511/566</t>
  </si>
  <si>
    <t>BPMPO-2508539</t>
  </si>
  <si>
    <t>CRCC11  Indonesia RespresentativeÂ Office</t>
  </si>
  <si>
    <t>PR-UN/BPM/BRN3HLR/2504/300</t>
  </si>
  <si>
    <t>BPMPO-2503437</t>
  </si>
  <si>
    <t>NIN23BUR152EZ1</t>
  </si>
  <si>
    <t>PC 152 - EZ 1</t>
  </si>
  <si>
    <t>Topan S</t>
  </si>
  <si>
    <t>PC 152 EZ 01 KELURAHAN HALIM PERDANAKUSUMA &amp; CIPINANG MELAYU KECAMATAN MAKASAR</t>
  </si>
  <si>
    <t>AJC/2024/08/Q800/480</t>
  </si>
  <si>
    <t>AJCPOV-2400401</t>
  </si>
  <si>
    <t>PR/BPM/BRN3HLR/2510/494</t>
  </si>
  <si>
    <t>BPMPO-2506693</t>
  </si>
  <si>
    <t>PR/BPM/BRN3HLR/2511/578</t>
  </si>
  <si>
    <t>BPMPO-2507625</t>
  </si>
  <si>
    <t>Menunggu Jadwal Survey</t>
  </si>
  <si>
    <t>NIN23BUR152EZ2</t>
  </si>
  <si>
    <t>PC 152 - EZ 2</t>
  </si>
  <si>
    <t>PC 152 EZ 02 KELURAHAN CIPINANG MELAYU &amp; HALIM PERDANAKUSUMA. KECAMATAN MAKASAR</t>
  </si>
  <si>
    <t>AJC/2024/08/Q800/481</t>
  </si>
  <si>
    <t>AJCPOV-2400400</t>
  </si>
  <si>
    <t>PR/BPM/BRN3HLR/2507/350</t>
  </si>
  <si>
    <t>BPMPO-2507048</t>
  </si>
  <si>
    <t>PR/BPM/BRN3HLR/2511/593</t>
  </si>
  <si>
    <t>BPMPO-2507823</t>
  </si>
  <si>
    <t>NIN23BUR152EZ2.1</t>
  </si>
  <si>
    <t>PC 152 - EZ 2.1</t>
  </si>
  <si>
    <t>AJC/2024/10/Q800/713</t>
  </si>
  <si>
    <t>AJCPOV-2400629</t>
  </si>
  <si>
    <t>PR/BPM/BRN3HLR/2505/316</t>
  </si>
  <si>
    <t>BPMPO-2503726</t>
  </si>
  <si>
    <t>PR/BPM/BRN3HLR/2511/574</t>
  </si>
  <si>
    <t>BPMPO-2507667</t>
  </si>
  <si>
    <t>NIN23BUR154EZ1</t>
  </si>
  <si>
    <t>PC 154 - EZ 1</t>
  </si>
  <si>
    <t>Lewat 90 hari</t>
  </si>
  <si>
    <t>DPPP</t>
  </si>
  <si>
    <t>PC 154 EZ 01 KELURAHAN CAWANG &amp; CILILITAN KECAMATAN KRAMATJATI</t>
  </si>
  <si>
    <t>AJC/2024/08/Q800/482</t>
  </si>
  <si>
    <t>AJCPOV-2400412</t>
  </si>
  <si>
    <t>PR/BPM/BRN3HLR/2411/121</t>
  </si>
  <si>
    <t>BPMPO-2404537</t>
  </si>
  <si>
    <t>PR/BPM/BRN3HLR/2511/587</t>
  </si>
  <si>
    <t>BPMPO-2507735</t>
  </si>
  <si>
    <t>NIN23BUR154EZ2</t>
  </si>
  <si>
    <t>PC 154 - EZ 2</t>
  </si>
  <si>
    <t>PC 154 EZ 02 KELURAHAN CILILITAN KECAMATAN KRAMATJATI</t>
  </si>
  <si>
    <t>AJC/2024/08/Q800/483</t>
  </si>
  <si>
    <t>AJCPOV-2400413</t>
  </si>
  <si>
    <t>PR/BPM/BRN3HLR/2510/506</t>
  </si>
  <si>
    <t>BPMPO-2506991</t>
  </si>
  <si>
    <t>PR/BPM/BRN3HLR/2511/592</t>
  </si>
  <si>
    <t>BPMPO-2507822</t>
  </si>
  <si>
    <t>NIN23BUR154EZ3</t>
  </si>
  <si>
    <t>PC 154 - EZ 3</t>
  </si>
  <si>
    <t>PC 154 EZ 03 KELURAHAN KEBONPALA KECAMATAN MAKASAR</t>
  </si>
  <si>
    <t>AJC/2024/08/Q800/484</t>
  </si>
  <si>
    <t>AJCPOV-2400398</t>
  </si>
  <si>
    <t>PR/BPM/BRN3HLR/2510/507</t>
  </si>
  <si>
    <t>BPMPO-2507003</t>
  </si>
  <si>
    <t>BPMPO-2507325</t>
  </si>
  <si>
    <t>NIN23BUR154EZ4</t>
  </si>
  <si>
    <t>PC 154 - EZ 4</t>
  </si>
  <si>
    <t>PC 154 EZ 04 KELURAHAN HALIMPERDANAKUSUMA KECAMATAN MAKASAR</t>
  </si>
  <si>
    <t>AJC/2024/08/Q800/485</t>
  </si>
  <si>
    <t>AJCPOV-2400411</t>
  </si>
  <si>
    <t>PR/BPM/BRN3HLR/2411/174</t>
  </si>
  <si>
    <t>BPMPO-2404965</t>
  </si>
  <si>
    <t>PR/BPM/BRN3HLR/2511/589</t>
  </si>
  <si>
    <t>BPMPO-2507777</t>
  </si>
  <si>
    <t>NIN23BUR154EZ5</t>
  </si>
  <si>
    <t>PC 154 - EZ 5</t>
  </si>
  <si>
    <t>PC 154 EZ 05 KELURAHAN KEBON PALA KECAMATAN MAKASAR</t>
  </si>
  <si>
    <t>AJC/2024/08/Q800/486</t>
  </si>
  <si>
    <t>AJCPOV-2400397</t>
  </si>
  <si>
    <t>PR/BPM/BRN3HLR/2510/508</t>
  </si>
  <si>
    <t>BPMPO-2506971</t>
  </si>
  <si>
    <t>PR/BPM/BRN3HLR/2511/559</t>
  </si>
  <si>
    <t>BPMPO-2507740</t>
  </si>
  <si>
    <t>NIN23BUR154EZ6</t>
  </si>
  <si>
    <t>PC 154 - EZ 6</t>
  </si>
  <si>
    <t>PC 154 EZ 06 KELURAHAN KEBONPALA KECAMATAN MAKASAR</t>
  </si>
  <si>
    <t>AJC/2024/08/Q800/487</t>
  </si>
  <si>
    <t>AJCPOV-2400399</t>
  </si>
  <si>
    <t>PR/BPM/BRN3HLR/2411/178</t>
  </si>
  <si>
    <t>BPMPO-2404927</t>
  </si>
  <si>
    <t>PR/BPM/BRN3HLR/2506/327</t>
  </si>
  <si>
    <t>BPMPO-2506999</t>
  </si>
  <si>
    <t>24ABJ.NINBUR159JPEZ1</t>
  </si>
  <si>
    <t>PC 159 - EZ 1</t>
  </si>
  <si>
    <t>PC 159 EZ 01 KELURAHAN KRAMAT JATI KECAMATAN KRAMAT JATI</t>
  </si>
  <si>
    <t>AJC/2024/09/Q800/544</t>
  </si>
  <si>
    <t>AJCPOV-2400476</t>
  </si>
  <si>
    <t>PR/BPM/BRN3HLR/2411/153</t>
  </si>
  <si>
    <t>BPMPO-2404936</t>
  </si>
  <si>
    <t>PR-UN/BPM/BRN3HLR/2502/268</t>
  </si>
  <si>
    <t>BPMPO-2503339</t>
  </si>
  <si>
    <t>24ABJ.NINBUR159JPEZ2</t>
  </si>
  <si>
    <t>PC 159 - EZ 2</t>
  </si>
  <si>
    <t>PC 159 EZ 02 KELURAHAN KRAMATJATI &amp; DUKUH KECAMATAN KRAMATJATI</t>
  </si>
  <si>
    <t>AJC/2024/09/Q800/546</t>
  </si>
  <si>
    <t>AJCPOV-2400471</t>
  </si>
  <si>
    <t>PR/BPM/SR/2509/109</t>
  </si>
  <si>
    <t>BPMPO-2506319</t>
  </si>
  <si>
    <t>24ABJ.NINBUR159JPEZ3</t>
  </si>
  <si>
    <t>PC 159 - EZ 3</t>
  </si>
  <si>
    <t>PC 159 EZ 03 KELURAHAN MAKASAR. KECAMATAN MAKASAR</t>
  </si>
  <si>
    <t>AJC/2024/09/Q800/547</t>
  </si>
  <si>
    <t>AJCPOV-2400473</t>
  </si>
  <si>
    <t>PR/BPM/BRN3HLR/2411/161</t>
  </si>
  <si>
    <t>BPMPO-2404938</t>
  </si>
  <si>
    <t>PR-UN/BPM/BRN3HLR/2512/574</t>
  </si>
  <si>
    <t>BPMPO-2507987</t>
  </si>
  <si>
    <t>24ABJ.NINBUR159JPEZ4</t>
  </si>
  <si>
    <t>PC 159 - EZ 4</t>
  </si>
  <si>
    <t>PC 159 EZ 04 KELURAHAN MAKASAR KECAMATAN MAKASAR</t>
  </si>
  <si>
    <t>AJC/2024/09/Q800/548</t>
  </si>
  <si>
    <t>AJCPOV-2400472</t>
  </si>
  <si>
    <t>PR/BPM/BRN3HLR/2411/166</t>
  </si>
  <si>
    <t>BPMPO-2404947</t>
  </si>
  <si>
    <t>PR/BPM/SR/2511/152</t>
  </si>
  <si>
    <t>BPMPO-2507173</t>
  </si>
  <si>
    <t>24ABJ.NINBUR159JPEZ5</t>
  </si>
  <si>
    <t>PC 159 - EZ 5</t>
  </si>
  <si>
    <t>PC 159 EZ 05 KELURAHAN HALIMPERDANAKUSUMA &amp; KEBONPALA KECAMATAN MAKASAR</t>
  </si>
  <si>
    <t>AJC/2024/09/Q800/549</t>
  </si>
  <si>
    <t>AJCPOV-2400470</t>
  </si>
  <si>
    <t>PR/BPM/BRN3HLR/2411/182</t>
  </si>
  <si>
    <t>BPMPO-2404951</t>
  </si>
  <si>
    <t>PR/BPM/BRN3HLR/2511/569</t>
  </si>
  <si>
    <t>BPMPO-2507663</t>
  </si>
  <si>
    <t>24ABJ.NINBUR159JPEZ6</t>
  </si>
  <si>
    <t>PC 159 - EZ 6</t>
  </si>
  <si>
    <t>PC 159 EZ 06 KELURAHAN PINANGRANTI KECAMATAN MAKASAR</t>
  </si>
  <si>
    <t>AJC/2024/09/Q800/550</t>
  </si>
  <si>
    <t>AJCPOV-2400474</t>
  </si>
  <si>
    <t>PR/BPM/BRN3HLR/2509/475</t>
  </si>
  <si>
    <t>BPMPO-2507036</t>
  </si>
  <si>
    <t>PR/BPM/BRN3HLR/2511/586</t>
  </si>
  <si>
    <t>BPMPO-2507767</t>
  </si>
  <si>
    <t>24ABJ.NINBUR159JPEZ7</t>
  </si>
  <si>
    <t>PC 159 - EZ 7</t>
  </si>
  <si>
    <t>PC 159 EZ 07 KELURAHAN HALIM PERDANA KUSUMA &amp; CIPINANG MELAYU. KECAMATAN MAKASAR</t>
  </si>
  <si>
    <t>AJC/2024/09/Q800/551</t>
  </si>
  <si>
    <t>AJCPOV-2400464</t>
  </si>
  <si>
    <t>PR/BPM/BRN3HLR/2411/170</t>
  </si>
  <si>
    <t>BPMPO-2405169</t>
  </si>
  <si>
    <t>PR/BPM/BRN3HLR/2511/599</t>
  </si>
  <si>
    <t>BPMPO-2507309</t>
  </si>
  <si>
    <t>24ABJ.NINBUR159JPEZ8</t>
  </si>
  <si>
    <t>PC 159 - EZ 8</t>
  </si>
  <si>
    <t>PC 159 EZ 08 KELURAHAN HALIMPERDANAKUSUMA KECAMATAN MAKASAR</t>
  </si>
  <si>
    <t>AJC/2024/09/Q800/552</t>
  </si>
  <si>
    <t>AJCPOV-2400465</t>
  </si>
  <si>
    <t>PR/BPM/BRN3HLR/2411/184</t>
  </si>
  <si>
    <t>BPMPO-2404953</t>
  </si>
  <si>
    <t>PR/BPM/BRN3HLR/2509/420</t>
  </si>
  <si>
    <t>BPMPO-2506181</t>
  </si>
  <si>
    <t>24ABJ.NINBUR161JPEZ5</t>
  </si>
  <si>
    <t>PC 161 - EZ 5</t>
  </si>
  <si>
    <t>PC 161 EZ 05 KELURAHAN BATU AMPAR. KECAMATAN KRAMATJATI</t>
  </si>
  <si>
    <t>AJC/2024/08/Q800/488</t>
  </si>
  <si>
    <t>AJCPOV-2400422</t>
  </si>
  <si>
    <t>PR/BPM/BRN3HLR/2410/105</t>
  </si>
  <si>
    <t>BPMPO-2404163</t>
  </si>
  <si>
    <t>PR/BPM/BRN3HLR/2511/584</t>
  </si>
  <si>
    <t>BPMPO-2507899</t>
  </si>
  <si>
    <t>24ABJ.NINBUR161JPEZ13</t>
  </si>
  <si>
    <t>PC 161 - EZ 13</t>
  </si>
  <si>
    <t>PC 161 EZ 13 KELURAHAN BATU AMPAR KECAMATAN KRAMAT JATI</t>
  </si>
  <si>
    <t>AJC/2024/08/Q800/489</t>
  </si>
  <si>
    <t>AJCPOV-2400423</t>
  </si>
  <si>
    <t>PR/BPM/BRN3HLR/2510/497</t>
  </si>
  <si>
    <t>BPMPO-2506780</t>
  </si>
  <si>
    <t>PR/BPM/BRN3HLR/2511/597</t>
  </si>
  <si>
    <t>24ABJ.NINBUR162.4JP</t>
  </si>
  <si>
    <t>PC 162 Lilis Rahayu</t>
  </si>
  <si>
    <t>Jl. H Baping Gg Pule 88 II RT 17 RW 09</t>
  </si>
  <si>
    <t>AJC/2024/11/Q800780</t>
  </si>
  <si>
    <t>AJCPOV-2400708</t>
  </si>
  <si>
    <t>PR/BPM/BRN3HLR/2412/212</t>
  </si>
  <si>
    <t>BPMPO-2500151</t>
  </si>
  <si>
    <t>PR/BPM/SR/2509/106</t>
  </si>
  <si>
    <t>BPMPO-2506036</t>
  </si>
  <si>
    <t>24ABJ.NINBUR162.5JP</t>
  </si>
  <si>
    <t>PC 162 Ukar</t>
  </si>
  <si>
    <t>Gg. Swadaya RT 02 / RW 09</t>
  </si>
  <si>
    <t>AJC/2024/12/Q800/818</t>
  </si>
  <si>
    <t>AJCPOV-2400747</t>
  </si>
  <si>
    <t>PR/BPM/BRN3HLR/2412/213</t>
  </si>
  <si>
    <t>BPMPO-2500387</t>
  </si>
  <si>
    <t>PR/BPM/SR/2503/025</t>
  </si>
  <si>
    <t>BPMPO-2503705</t>
  </si>
  <si>
    <t>24ABJ.NINBUR162.6JP</t>
  </si>
  <si>
    <t>PC 162 Aziz Zulkarnain</t>
  </si>
  <si>
    <t>Griya Usaha Residence Gg. Mekar RT/RW 005/009</t>
  </si>
  <si>
    <t>AJC/2025/05/Q800/162</t>
  </si>
  <si>
    <t>AJCPOV-2505035</t>
  </si>
  <si>
    <t>PR/BPM/BRN3HLR/2507/349</t>
  </si>
  <si>
    <t>BPMPO-2504992</t>
  </si>
  <si>
    <t>BPMPO-2505296</t>
  </si>
  <si>
    <t>25ABJ.NINBUR162.2JP</t>
  </si>
  <si>
    <t>PC 162 Nurhadi</t>
  </si>
  <si>
    <t>Jl. Pule Gg. H. Ishak RT. 013/ RW. 004</t>
  </si>
  <si>
    <t>AJC/2025/05/Q800/166</t>
  </si>
  <si>
    <t>AJCPOV-2505080</t>
  </si>
  <si>
    <t>PR/BPM/BRN3HLR/2507/342</t>
  </si>
  <si>
    <t>BPMPO-2504989</t>
  </si>
  <si>
    <t>BPMPO-2505298</t>
  </si>
  <si>
    <t>25ABJ.NINBUR162.3JP</t>
  </si>
  <si>
    <t>PC 162 Andi</t>
  </si>
  <si>
    <t>Gg. H. Nisin RT/RW 007/007, Ciracas</t>
  </si>
  <si>
    <t>AJC/2025/05/Q800/168</t>
  </si>
  <si>
    <t>AJCPOV-2505079</t>
  </si>
  <si>
    <t>PR/BPM/BRN3HLR/2507/344</t>
  </si>
  <si>
    <t>BPMPO-2504990</t>
  </si>
  <si>
    <t>BPMPO-2505297</t>
  </si>
  <si>
    <t>25ABJ.NINBUR162.4JP</t>
  </si>
  <si>
    <t>PC 162 H Muhammad Thamrin</t>
  </si>
  <si>
    <t>Jl H. Baping RT/RW 012/004, Susukan</t>
  </si>
  <si>
    <t>AJC/2025/05/Q800/170</t>
  </si>
  <si>
    <t>AJCPOV-2505043</t>
  </si>
  <si>
    <t>PR/BPM/BRN3HLR/2507/346</t>
  </si>
  <si>
    <t>BPMPO-2504991</t>
  </si>
  <si>
    <t>BPMPO-2505253</t>
  </si>
  <si>
    <t>24ABJ.NINBUR159JPEZ4.1</t>
  </si>
  <si>
    <t>PC 159 EZ 4 RT 007 RW 04</t>
  </si>
  <si>
    <t>RT 007 RW 04 JL.LINGKAR LUIAR BARAT KEL. MAKASAR &amp; PINANG RANTI, KEC. MAKASAR</t>
  </si>
  <si>
    <t>AJC/2025/04/Q800/89</t>
  </si>
  <si>
    <t>AJCPOV-2500093</t>
  </si>
  <si>
    <t>PR/BPM/BRN3HLR/2505/306</t>
  </si>
  <si>
    <t>BPMPO-2504053</t>
  </si>
  <si>
    <t>BPMPO-2506238</t>
  </si>
  <si>
    <t>8 Okt 2025</t>
  </si>
  <si>
    <t>NPP23JTA A2.2.2</t>
  </si>
  <si>
    <t>A2 - BKT DN1500 (Segmen 2 Pondok Kopi - DI Panjaitan)</t>
  </si>
  <si>
    <t>PR/BPM/JTLBARAT/2511/0303</t>
  </si>
  <si>
    <t>BPMPO-2507922</t>
  </si>
  <si>
    <t>26/08/2025, 27/08/2025, 03/09/2025, 12/09/2025, 22/09/2025, 24/09/2025</t>
  </si>
  <si>
    <t>NPP23JTA B01</t>
  </si>
  <si>
    <t>B1 - Pegangsaan Dua DN1000</t>
  </si>
  <si>
    <t>JL. PEGANGSAAN DUA, KEL. PEGANGSAAN DUA, KEC. KELAPA GADING</t>
  </si>
  <si>
    <t>PR/BPM/JTLBarat/2401/0019</t>
  </si>
  <si>
    <t>BPMPO-2402409</t>
  </si>
  <si>
    <t>PR/BPM/JTLTimur/2509/002</t>
  </si>
  <si>
    <t>BPMPO-2505516</t>
  </si>
  <si>
    <t>29/08/2025, 10/09/2025, 17/10/2025</t>
  </si>
  <si>
    <t>NPP23JTA B03</t>
  </si>
  <si>
    <t>B3 - Rawamangun DN1200</t>
  </si>
  <si>
    <t>JL. JATINEGARA KAUM - JL. RAWAMANGUN MUKA, KEL. RAWAMANGUN, KEC. PULOGADUNG</t>
  </si>
  <si>
    <t>AJC/2023/12/Q800/466</t>
  </si>
  <si>
    <t>AJCPOV-2300172</t>
  </si>
  <si>
    <t>PR/BPM/JTLBarat/2312/0038</t>
  </si>
  <si>
    <t>BPMPO-2506353</t>
  </si>
  <si>
    <t>09/08/2025, 06/09/2025, 17/09/2025, 22/09/2025, 27/09/2025</t>
  </si>
  <si>
    <t>24ABJ.NINJT70JR9</t>
  </si>
  <si>
    <t>Jl Rorotan 1 (Al-Wathoniyah) DN500</t>
  </si>
  <si>
    <t>Danny Leonardo</t>
  </si>
  <si>
    <t>KELURAHAN CAKUNG TIMUR, ROROTAN, UJUNG MENTENG KECAMATAN CAKUNG, CILINCING</t>
  </si>
  <si>
    <t>AJC/2024/12/Q800/820</t>
  </si>
  <si>
    <t>AJCPOV-2500008</t>
  </si>
  <si>
    <t>PR/BPM/JTLBarat/2502/0004</t>
  </si>
  <si>
    <t>BPMPO-2502333</t>
  </si>
  <si>
    <t>PR/BPM/JTLBarat/2508/0026</t>
  </si>
  <si>
    <t>BPMPO-2506014</t>
  </si>
  <si>
    <t>08/10/2025, 22/10/2025, 23/10/2025</t>
  </si>
  <si>
    <t>PNA23JT0003 - C01.1</t>
  </si>
  <si>
    <t>IBP Halim - Pekerjaan Mekanikal &amp; Pekerjaan Elektrikal</t>
  </si>
  <si>
    <t>IBP Halim</t>
  </si>
  <si>
    <t>AJC/2023/11/Q800/365</t>
  </si>
  <si>
    <t>AJCPOV-2300150</t>
  </si>
  <si>
    <t>PR/BPM/JTLBarat/2408/0183 ; PR/BPM/JTLBarat/2406/0122</t>
  </si>
  <si>
    <t>BPMPO-2400882</t>
  </si>
  <si>
    <t>PT Heksa Mandiri Utama</t>
  </si>
  <si>
    <t>PR/BPM/JTLBarat/2506/0110</t>
  </si>
  <si>
    <t>BPMPO-2504765</t>
  </si>
  <si>
    <t>PNA23JT0003 - C01.2</t>
  </si>
  <si>
    <t>IBP Halim - Pekerjaan Sipil</t>
  </si>
  <si>
    <t>AJC/2023/12/Q800/453</t>
  </si>
  <si>
    <t>AJCPOV-2300171</t>
  </si>
  <si>
    <t>PR/BPM/JTLBarat/2508/0027</t>
  </si>
  <si>
    <t>BPMPO-2506867</t>
  </si>
  <si>
    <t>PT Indoserako Sejahtera</t>
  </si>
  <si>
    <t>PR/BPM/JTLBarat/2502/0015</t>
  </si>
  <si>
    <t>BPMPO-2501265</t>
  </si>
  <si>
    <t>07/11/2024, 08/11/2024, 08/12/2024</t>
  </si>
  <si>
    <t>PNA23JT0003 - C01.3</t>
  </si>
  <si>
    <t>IBP Halim - Tambahan Pompa IBP Halim</t>
  </si>
  <si>
    <t>AJC/2024/10/Q800/709</t>
  </si>
  <si>
    <t>AJCPOV-2400603</t>
  </si>
  <si>
    <t>PR/BPM/JTLBarat/2506/0088</t>
  </si>
  <si>
    <t>BPMPO-2504995</t>
  </si>
  <si>
    <t>PT LAKSANA TEKNIK PERKASA</t>
  </si>
  <si>
    <t>PR/BPM/JTLBarat/2508/0031</t>
  </si>
  <si>
    <t>BPMPO-2507067</t>
  </si>
  <si>
    <t>PNA23JT0003 - C01.4</t>
  </si>
  <si>
    <t>IBP Halim - Pembangunan Ruang Trafo &amp; Infrastruktur</t>
  </si>
  <si>
    <t>AJC/2024/11/Q800/749</t>
  </si>
  <si>
    <t>AJCPOV-2400692</t>
  </si>
  <si>
    <t>PR/BPM/JTLBarat/2501/0003</t>
  </si>
  <si>
    <t>BPMPO-2500367</t>
  </si>
  <si>
    <t>CV SUMBER MAKMUR PRATAMA</t>
  </si>
  <si>
    <t>24ABJ.NBVJTA01</t>
  </si>
  <si>
    <t>Lodan DN400</t>
  </si>
  <si>
    <t>Koneksi BV</t>
  </si>
  <si>
    <t>BV</t>
  </si>
  <si>
    <t>unit</t>
  </si>
  <si>
    <t>Jembatan Lodan, DIP Diameter 400 mm</t>
  </si>
  <si>
    <t>AJC/2025/02/Q800/25</t>
  </si>
  <si>
    <t>AJCPOV-2500096</t>
  </si>
  <si>
    <t>PR/BPM/JTLBarat/2505/0041</t>
  </si>
  <si>
    <t>BPMPO-2503641</t>
  </si>
  <si>
    <t>PR/BPM/JTLBarat/2511/0074</t>
  </si>
  <si>
    <t>BPMPO-2507813</t>
  </si>
  <si>
    <t>24ABJ.NBVJTA02</t>
  </si>
  <si>
    <t>Kp Bandan DN400</t>
  </si>
  <si>
    <t>Jembatan Pipa Kp. Bandan, DIP Diameter 400 mm</t>
  </si>
  <si>
    <t>AJC/2025/02/Q800/26</t>
  </si>
  <si>
    <t>AJCPOV-2500052</t>
  </si>
  <si>
    <t>PR/BPM/JTLBarat/2504/143</t>
  </si>
  <si>
    <t>BPMPO-2503636</t>
  </si>
  <si>
    <t>PR/BPM/JTLBarat/2508/0004</t>
  </si>
  <si>
    <t>BPMPO-2508467</t>
  </si>
  <si>
    <t>24ABJ.NBVJTA07</t>
  </si>
  <si>
    <t>Kwitang 2 DN900</t>
  </si>
  <si>
    <t>Jembatan Pipa Kwitang 2 - DIP Diameter 800 mm</t>
  </si>
  <si>
    <t>AJC/2025/02/Q800/27</t>
  </si>
  <si>
    <t>AJCPOV-2500072</t>
  </si>
  <si>
    <t>PR/BPM/JTLBarat/2504/0148</t>
  </si>
  <si>
    <t>BPMPO-2503640</t>
  </si>
  <si>
    <t>PR/BPM/JTLBarat/2511/0071</t>
  </si>
  <si>
    <t>BPMPO-2507700</t>
  </si>
  <si>
    <t>24ABJ.NBVJTA08</t>
  </si>
  <si>
    <t>Diponegoro DN500</t>
  </si>
  <si>
    <t>JEMBATAN DIPONEGORO, DIP DIA. 500 MM</t>
  </si>
  <si>
    <t>AJC/2025/02/Q800/28</t>
  </si>
  <si>
    <t>AJCPOV-2500097</t>
  </si>
  <si>
    <t>PR/BPM/JTLBarat/2505/0045</t>
  </si>
  <si>
    <t>BPMPO-2503635</t>
  </si>
  <si>
    <t>PR/BPM/JTLBarat/2511/0073</t>
  </si>
  <si>
    <t>06/02/2026, 08/05/2026</t>
  </si>
  <si>
    <t>24ABJ.NBVJTA09</t>
  </si>
  <si>
    <t>Matraman DN600</t>
  </si>
  <si>
    <t>Jembatan Matraman  - DIP Diameter 600 mm</t>
  </si>
  <si>
    <t>AJC/2025/02/Q800/29</t>
  </si>
  <si>
    <t>AJCPOV-2500074</t>
  </si>
  <si>
    <t>PR/BPM/JTLBarat/2504/0149</t>
  </si>
  <si>
    <t>BPMPO-2503660</t>
  </si>
  <si>
    <t>PR/BPM/JTLBarat/2601/0144</t>
  </si>
  <si>
    <t>24ABJ.NBVJTA10</t>
  </si>
  <si>
    <t>Slamet Riyadi DN400</t>
  </si>
  <si>
    <t>Jembatan Slamet Riyadi - DIP Diameter 400 mm</t>
  </si>
  <si>
    <t>AJC/2025/02/Q800/30</t>
  </si>
  <si>
    <t>AJCPOV-2500098</t>
  </si>
  <si>
    <t>PR/BPM/JTLBarat/2505/0043</t>
  </si>
  <si>
    <t>BPMPO-2503652</t>
  </si>
  <si>
    <t>PR/BPM/JTLBarat/2505/0042</t>
  </si>
  <si>
    <t>BPMPO-2503576</t>
  </si>
  <si>
    <t>Tidak Perlu</t>
  </si>
  <si>
    <t>24ABJ.NBVJTA12</t>
  </si>
  <si>
    <t>MT Haryono DN1000</t>
  </si>
  <si>
    <t>Jembatan MT. Haryono, DIP Diameter 1000 mm</t>
  </si>
  <si>
    <t>AJC/2025/02/Q800/31</t>
  </si>
  <si>
    <t>AJCPOV-2500076</t>
  </si>
  <si>
    <t>PR/BPM/JTLBarat/2504/115</t>
  </si>
  <si>
    <t>BPMPO-2503659</t>
  </si>
  <si>
    <t>PR/BPM/JTLBarat/2601/0145</t>
  </si>
  <si>
    <t>23ABJ.NINJT146.1JR</t>
  </si>
  <si>
    <t>PC 146 Kav. Marinir (Bu Silvy)</t>
  </si>
  <si>
    <t>Kav. Marinir Pondok Kelapa (Bu Silvy)</t>
  </si>
  <si>
    <t>AJC/2024/10/Q800/639</t>
  </si>
  <si>
    <t>AJCPOV-2400577</t>
  </si>
  <si>
    <t>PR/BPM/JTLBarat/2412/0312</t>
  </si>
  <si>
    <t>BPMPO-2500370</t>
  </si>
  <si>
    <t>BPMPO-2502845</t>
  </si>
  <si>
    <t>18/03/2025</t>
  </si>
  <si>
    <t>14/03/2025</t>
  </si>
  <si>
    <t>28/03/2025</t>
  </si>
  <si>
    <t>24ABJ.NINJTP011.1JR</t>
  </si>
  <si>
    <t>P011 Bank Mas</t>
  </si>
  <si>
    <t>Jl. Tanah Abang</t>
  </si>
  <si>
    <t>PR/BPM/JTLBarat/2411/0288</t>
  </si>
  <si>
    <t>BPMPO-2405175</t>
  </si>
  <si>
    <t>26/05/2025</t>
  </si>
  <si>
    <t>24ABJ.NINJTP002.1JR</t>
  </si>
  <si>
    <t>P002 Dedy Cahyadi</t>
  </si>
  <si>
    <t>Jl. Kebon Sirih</t>
  </si>
  <si>
    <t>24ABJ.NINJTP010.1JR</t>
  </si>
  <si>
    <t>P010 Lilis Surjani (Warung Mie Aceh)</t>
  </si>
  <si>
    <t>Jl. Palmerah Utara</t>
  </si>
  <si>
    <t>24ABJ.NINJTP003.1JR</t>
  </si>
  <si>
    <t>P003 ⁠Lie Lindra Riady (Kopi Kenangan)</t>
  </si>
  <si>
    <t>Pecenongan</t>
  </si>
  <si>
    <t>24ABJ.NINJT068.1JR</t>
  </si>
  <si>
    <t>PC 068 Adi Ono</t>
  </si>
  <si>
    <t>Jl. Boulevard Sedayu Blok SCBB 03 Sedayu City</t>
  </si>
  <si>
    <t>AJC/2024/10/Q800/670</t>
  </si>
  <si>
    <t>AJCPOV-2400604</t>
  </si>
  <si>
    <t>PR/BPM/JTLBarat/2411/0282</t>
  </si>
  <si>
    <t>BPMPO-2405172</t>
  </si>
  <si>
    <t>PR/BPM/JTLBarat/2411/0281</t>
  </si>
  <si>
    <t>BPMPO-2505190</t>
  </si>
  <si>
    <t>24ABJ.NINJTS013.1JR</t>
  </si>
  <si>
    <t>S013 Arief Kurniawan</t>
  </si>
  <si>
    <t>Jl. Kemang Timur XVII</t>
  </si>
  <si>
    <t>AJC/2024/11/Q800/788</t>
  </si>
  <si>
    <t>AJCPOV-2400698</t>
  </si>
  <si>
    <t>PR/BPM/JTLBarat/2412/0302</t>
  </si>
  <si>
    <t>BPMPO-2404996</t>
  </si>
  <si>
    <t>PR/BPM/KRN-HLR/2409/190</t>
  </si>
  <si>
    <t>BPMPO-2507924</t>
  </si>
  <si>
    <t>24ABJ.NINJTP008.10JR</t>
  </si>
  <si>
    <t>P008 Nurhayati</t>
  </si>
  <si>
    <t>Jl. Mangga Dua VIII RT 11 RW 05</t>
  </si>
  <si>
    <t>AJC/2024/12/Q800/851</t>
  </si>
  <si>
    <t>AJCPOV-2500016</t>
  </si>
  <si>
    <t>PR/BPM/JTLBarat/2502/0008</t>
  </si>
  <si>
    <t>BPMPO-2501030</t>
  </si>
  <si>
    <t>PR/BPM/JTLBarat/2503/0007</t>
  </si>
  <si>
    <t>BPMPO-2600166</t>
  </si>
  <si>
    <t>23ABJ.NINJT095.C04</t>
  </si>
  <si>
    <t>PC 095 Kebon Kosong - Paket 4</t>
  </si>
  <si>
    <t>Kebon Kosong - Paket 4 (RW 7, 8, 9)</t>
  </si>
  <si>
    <t>AJC/2023/09/Q800/322</t>
  </si>
  <si>
    <t>AJCPOV-2300132</t>
  </si>
  <si>
    <t>PR/BPM/JTLBarat/2506/0055</t>
  </si>
  <si>
    <t>BPMPO-2505378</t>
  </si>
  <si>
    <t>PR/BPM/JTLBarat/2506/0056</t>
  </si>
  <si>
    <t>BPMPO-2600130</t>
  </si>
  <si>
    <t>Izin Dari PPKK</t>
  </si>
  <si>
    <t>23ABJ.NINJT054.1JR</t>
  </si>
  <si>
    <t>PC 054 Petukangan</t>
  </si>
  <si>
    <t>Petukangan RT 06/04 Kel. Rawa Terate</t>
  </si>
  <si>
    <t>AJC/2024/09/Q800/494</t>
  </si>
  <si>
    <t>AJCPOV-2400743</t>
  </si>
  <si>
    <t>23ABJ.PNAJT095</t>
  </si>
  <si>
    <t>Reservoir Kebon Kosong 200 m3</t>
  </si>
  <si>
    <t>Reservoir</t>
  </si>
  <si>
    <t>m3</t>
  </si>
  <si>
    <t>Kebon Kosong</t>
  </si>
  <si>
    <t>AJC/2024/11/Q800/751</t>
  </si>
  <si>
    <t>AJCPOV-2400704</t>
  </si>
  <si>
    <t>PR/BPM/JTLBarat/2503/0012</t>
  </si>
  <si>
    <t>BPMPO-2502713</t>
  </si>
  <si>
    <t>PT Jagat Konstruksi Abdipersada</t>
  </si>
  <si>
    <t>BPMPO-2603304</t>
  </si>
  <si>
    <t>24/09/2025, 21/11/2025</t>
  </si>
  <si>
    <t>25ABJ.NINJT095.1JR</t>
  </si>
  <si>
    <t>PC 095 Kebon Kosong RT 07 &amp; 08 RW06</t>
  </si>
  <si>
    <t>Jl. Kemayoran Gempol Rt 007 &amp; 008 Rw 006 Kel. Kebon Kosong Kec. Kemayoran</t>
  </si>
  <si>
    <t>AJC/2025/03/Q800/38</t>
  </si>
  <si>
    <t>AJCPOV-2500048</t>
  </si>
  <si>
    <t>PR/BPM/JTLBarat/2504/0011</t>
  </si>
  <si>
    <t>BPMPO-2502523</t>
  </si>
  <si>
    <t>PR/BPM/JTLBarat/2504/0008</t>
  </si>
  <si>
    <t>BPMPO-2600097</t>
  </si>
  <si>
    <t>17 Mar 2025, 20 Mar 2025</t>
  </si>
  <si>
    <t>17 Mar 2025, 24 Mar 2025</t>
  </si>
  <si>
    <t>25ABJ.NINJT054.2JR</t>
  </si>
  <si>
    <t>PC 054 H. Syahroni (DPRD DKI Jakarta)</t>
  </si>
  <si>
    <t>Jl. Kalibuaran RT.010 RW.007 Kelurahan Penggilingan Kecamatan Cakung Jakarta Timur</t>
  </si>
  <si>
    <t>AJC/2025/03/Q800/40</t>
  </si>
  <si>
    <t>AJCPOV-2500047</t>
  </si>
  <si>
    <t>PR/BPM/JTLBarat/2506/0061</t>
  </si>
  <si>
    <t>BPMPO-2504865</t>
  </si>
  <si>
    <t>PR/BPM/JTLBarat/2503/0010</t>
  </si>
  <si>
    <t>BPMPO-2508268</t>
  </si>
  <si>
    <t>16 May 2025</t>
  </si>
  <si>
    <t>24ABJ.NINJT066.1JR</t>
  </si>
  <si>
    <t>Master Meter Supadi</t>
  </si>
  <si>
    <t>Jl. Pegangsaan 2</t>
  </si>
  <si>
    <t>AJC/2025/04/Q800/80</t>
  </si>
  <si>
    <t>AJCPOV-2500090</t>
  </si>
  <si>
    <t>PR/BPM/JTLBarat/2505/0033</t>
  </si>
  <si>
    <t>BPMPO-2504873</t>
  </si>
  <si>
    <t>PR/BPM/JTLBarat/2505/0032</t>
  </si>
  <si>
    <t>BPMPO-2503213</t>
  </si>
  <si>
    <t>18/06/2025</t>
  </si>
  <si>
    <t>24ABJ.NINJT087.2JR</t>
  </si>
  <si>
    <t>Master Meter Basri</t>
  </si>
  <si>
    <t>Jl. Agung Karya VI Kel. Papanggo</t>
  </si>
  <si>
    <t>AJC/2025/04/Q800/78</t>
  </si>
  <si>
    <t>AJCPOV-2500088</t>
  </si>
  <si>
    <t>PR/BPM/JTLBarat/2503/0028</t>
  </si>
  <si>
    <t>BPMPO-2503628</t>
  </si>
  <si>
    <t>PR/BPM/JTLBarat/2512/0092</t>
  </si>
  <si>
    <t>24ABJ.NINJT088.3JR</t>
  </si>
  <si>
    <t>Master Meter Eddy</t>
  </si>
  <si>
    <t>Jl. Warakas I Gg. 26</t>
  </si>
  <si>
    <t>AJC/2025/04/Q800/97</t>
  </si>
  <si>
    <t>AJCPOV-2500101</t>
  </si>
  <si>
    <t>PR/BPM/JTLBarat/2503/0030</t>
  </si>
  <si>
    <t>BPMPO-2503629</t>
  </si>
  <si>
    <t>PR/BPM/JTLBarat/2503/0029</t>
  </si>
  <si>
    <t>BPMPO-2503205</t>
  </si>
  <si>
    <t>26/07/2025</t>
  </si>
  <si>
    <t>24ABJ.NINJT065.1JR</t>
  </si>
  <si>
    <t>Master Meter Usman</t>
  </si>
  <si>
    <t>Jl. Perintis Kemerdekaan</t>
  </si>
  <si>
    <t>AJC/2025/04/Q800/75</t>
  </si>
  <si>
    <t>AJCPOV-2500087</t>
  </si>
  <si>
    <t>PR/BPM/JTLBarat/2503/0026</t>
  </si>
  <si>
    <t>BPMPO-2504608</t>
  </si>
  <si>
    <t>PR/BPM/JTLBarat/2512/0113</t>
  </si>
  <si>
    <t>24ABJ.NINJT088.2JR</t>
  </si>
  <si>
    <t>Master Meter Supriyanto dan Wargono</t>
  </si>
  <si>
    <t>Jl. Muara Bahari Ujung RT/RW 11/06 Kel. Papanggo Kec. Tanjung Priok</t>
  </si>
  <si>
    <t>AJC/2025/04/Q800/85</t>
  </si>
  <si>
    <t>AJCPOV-2505004</t>
  </si>
  <si>
    <t>PR/BPM/JTLBarat/2505/0047</t>
  </si>
  <si>
    <t>BPMPO-2503630</t>
  </si>
  <si>
    <t>PR/BPM/JTLBarat/2505/0046</t>
  </si>
  <si>
    <t>BPMPO-2600131</t>
  </si>
  <si>
    <t>24ABJ.NINJT088.1JR</t>
  </si>
  <si>
    <t>Master Meter Anas</t>
  </si>
  <si>
    <t>Jl. Kampung Muara Bahari</t>
  </si>
  <si>
    <t>AJC/2025/03/Q800/66</t>
  </si>
  <si>
    <t>AJCPOV-2500086</t>
  </si>
  <si>
    <t>PR/BPM/JTLBarat/2503/0024</t>
  </si>
  <si>
    <t>BPMPO-2503627</t>
  </si>
  <si>
    <t>24ABJ.NINJTP008.8JR</t>
  </si>
  <si>
    <t>Master Meter Misyanto</t>
  </si>
  <si>
    <t>Gg. Elektro, Muara Baru</t>
  </si>
  <si>
    <t>AJC/2025/04/Q800/93</t>
  </si>
  <si>
    <t>AJCPOV-2500106</t>
  </si>
  <si>
    <t>PR/BPM/JTLBarat/2505/0038</t>
  </si>
  <si>
    <t>BPMPO-2503514</t>
  </si>
  <si>
    <t>PR/BPM/JTLBarat/2505/0037</t>
  </si>
  <si>
    <t>BPMPO-2603002</t>
  </si>
  <si>
    <t>24ABJ.NINJTP011.2JR</t>
  </si>
  <si>
    <t>Master Meter Jembatan Besi</t>
  </si>
  <si>
    <t>Jl. Jembatan Besi 1 RT 06 / RW 04</t>
  </si>
  <si>
    <t>AJC/2025/04/Q800/95</t>
  </si>
  <si>
    <t>AJCPOV-2500099</t>
  </si>
  <si>
    <t>PR/BPM/JTLBarat/2503/0032</t>
  </si>
  <si>
    <t>BPMPO-2503524</t>
  </si>
  <si>
    <t>PR/BPM/JTLBarat/2503/0031</t>
  </si>
  <si>
    <t>BPMPO-2503207</t>
  </si>
  <si>
    <t>24ABJ.NINJTP008.2JR</t>
  </si>
  <si>
    <t>Master Meter CBO (Rawa Bebek)</t>
  </si>
  <si>
    <t>Jl. Rawa Bebek, Kel. Penjaringan</t>
  </si>
  <si>
    <t>AJC/2025/04/Q800/87</t>
  </si>
  <si>
    <t>AJCPOV-2505011</t>
  </si>
  <si>
    <t>PR/BPM/JTLBarat/2506/0049</t>
  </si>
  <si>
    <t>BPMPO-2504895</t>
  </si>
  <si>
    <t>PR/BPM/JTLBarat/2506/0048</t>
  </si>
  <si>
    <t>24ABJ.NINJT051.1JR</t>
  </si>
  <si>
    <t>Master Meter Binton Silaen</t>
  </si>
  <si>
    <t>Jl. Warung Jengkol RT 06 / RW 02</t>
  </si>
  <si>
    <t>AJC/2025/04/Q800/90</t>
  </si>
  <si>
    <t>AJCPOV-2500104</t>
  </si>
  <si>
    <t>PR/BPM/JTLBarat/2505/0036</t>
  </si>
  <si>
    <t>BPMPO-2504615</t>
  </si>
  <si>
    <t>PR/BPM/JTLBarat/2505/0035</t>
  </si>
  <si>
    <t>24ABJNINJT095.1JR</t>
  </si>
  <si>
    <t>Kebon Kosong RW 04 RT 04</t>
  </si>
  <si>
    <t>Jl. Kemayoran Gempol RW 04</t>
  </si>
  <si>
    <t>AJC/2025/05/Q800/112</t>
  </si>
  <si>
    <t>AJCPOV-2505007</t>
  </si>
  <si>
    <t>PR/BPM/JTLBarat/2506/0053</t>
  </si>
  <si>
    <t>BPMPO-2503752</t>
  </si>
  <si>
    <t>PR/BPM/JTLBarat/2506/0052</t>
  </si>
  <si>
    <t>BPMPO-2508220</t>
  </si>
  <si>
    <t>24ABJNINJT095.2JR</t>
  </si>
  <si>
    <t>Kebon Kosong (Gg Sejahtera)</t>
  </si>
  <si>
    <t>Jl. Kemayoran Gempol RW 05</t>
  </si>
  <si>
    <t>AJC/2025/05/Q800/114</t>
  </si>
  <si>
    <t>AJCPOV-2505084</t>
  </si>
  <si>
    <t>PR/BPM/JTLBarat/2506/0092</t>
  </si>
  <si>
    <t>BPMPO-2504898</t>
  </si>
  <si>
    <t>24ABJ.NINJT095.3JR</t>
  </si>
  <si>
    <t>Kebon Kosong (Kandang Kambing)</t>
  </si>
  <si>
    <t>Jl. E Raya (Kebon Kosong) Kandang Kambing</t>
  </si>
  <si>
    <t>AJC/2025/05/Q800/134</t>
  </si>
  <si>
    <t>AJCPOV-2505012</t>
  </si>
  <si>
    <t>PR/BPM/JTLBarat/2506/0073</t>
  </si>
  <si>
    <t>BPMPO-2504904</t>
  </si>
  <si>
    <t>PR/BPM/JTLBarat/2506/0072</t>
  </si>
  <si>
    <t>BPMPO-2508217</t>
  </si>
  <si>
    <t>24ABJ.NINJT095.4JR</t>
  </si>
  <si>
    <t>Kebon Kosong (Bend Jago)</t>
  </si>
  <si>
    <t>Jl. Kebon Kosong RW 05 Sunter Bendungan Jago</t>
  </si>
  <si>
    <t>AJC/2025/05/Q800/136</t>
  </si>
  <si>
    <t>AJCPOV-2505066</t>
  </si>
  <si>
    <t>PR/BPM/JTLBarat/2506/0058</t>
  </si>
  <si>
    <t>BPMPO-2504897</t>
  </si>
  <si>
    <t>PR/BPM/JTLBarat/2506/0057</t>
  </si>
  <si>
    <t>BPMPO-2505238</t>
  </si>
  <si>
    <t>15 Sep 2025, 16 Sep 2025</t>
  </si>
  <si>
    <t>24ABJ.NINJTS013.2JR</t>
  </si>
  <si>
    <t>S013 Isyana Sarasvati</t>
  </si>
  <si>
    <t>Jl. Wijaya Timur Dalam No 15B RT 015 RW 02</t>
  </si>
  <si>
    <t>AJC/2025/05/Q800/116</t>
  </si>
  <si>
    <t>AJCPOV-2505023</t>
  </si>
  <si>
    <t>PR/BPM/JTLBarat/2506/0079</t>
  </si>
  <si>
    <t>BPMPO-2505074</t>
  </si>
  <si>
    <t>PR/BPM/JTLBarat/2506/0078</t>
  </si>
  <si>
    <t>BPMPO-2600125</t>
  </si>
  <si>
    <t>25ABJ.NINJT070.1JR</t>
  </si>
  <si>
    <t>PC 070 Dian Darusalam</t>
  </si>
  <si>
    <t>Jl. Satria RT/RW 002/002 Ujung Menteng</t>
  </si>
  <si>
    <t>AJC/2025/05/Q800/146</t>
  </si>
  <si>
    <t>AJCPOV-2505032</t>
  </si>
  <si>
    <t>PR/BPM/JTLBarat/2506/0081</t>
  </si>
  <si>
    <t>BPMPO-2504858</t>
  </si>
  <si>
    <t>PR/BPM/JTLBarat/2506/0080</t>
  </si>
  <si>
    <t>BPMPO-2600159</t>
  </si>
  <si>
    <t>24ABJ.NPPKARPSG01JE</t>
  </si>
  <si>
    <t>Trunk Main Pesanggrahan - TMPS-1 (DN1000)</t>
  </si>
  <si>
    <t>Fabianus</t>
  </si>
  <si>
    <t>IPA Pesanggrahan - Jl. Deplu Raya</t>
  </si>
  <si>
    <t>AJC/2024/10/Q800/655</t>
  </si>
  <si>
    <t>AJCPOV-2400601</t>
  </si>
  <si>
    <t>PR/BPM/KRN-HLR/2504/055</t>
  </si>
  <si>
    <t>BPMPO-2503251</t>
  </si>
  <si>
    <t>PR/BPM/KRN-HLR/2511/190</t>
  </si>
  <si>
    <t>BPMPO-2507480</t>
  </si>
  <si>
    <t>- 01/11/2025
- 29/11/2025
- 02/12/2025
- 10/12/2025</t>
  </si>
  <si>
    <t>24ABJ.NPPKARPSG02JE</t>
  </si>
  <si>
    <t>Trunk Main Pesanggrahan - TMPS-2 (DN800)</t>
  </si>
  <si>
    <t>JL. KESEHATAN RAYA - JL. BINTARO UTARA</t>
  </si>
  <si>
    <t>AJC/2024/10/Q800/657</t>
  </si>
  <si>
    <t>AJCPOV-2505015</t>
  </si>
  <si>
    <t>PR/BPM/KRN-HLR/2601/002</t>
  </si>
  <si>
    <t>BPMPO-2600587</t>
  </si>
  <si>
    <t>PR/BPM/KRN-HLR/2512/241</t>
  </si>
  <si>
    <t>BPMPO-2600282</t>
  </si>
  <si>
    <t>24ABJ.NPPKARPSG02AJE</t>
  </si>
  <si>
    <t>Trunk Main Pesanggrahan - TMPS-2A (DN300)</t>
  </si>
  <si>
    <t>Jl. Veteran Raya</t>
  </si>
  <si>
    <t>AJC/2024/10/Q800/663</t>
  </si>
  <si>
    <t>AJCPOV-2400575</t>
  </si>
  <si>
    <t>PR/BPM/KRN-HLR/2504/053</t>
  </si>
  <si>
    <t>BPMPO-2502871</t>
  </si>
  <si>
    <t xml:space="preserve">PT Shima Citra Selaras </t>
  </si>
  <si>
    <t>PR/BPM/KRN-HLR/2504/054</t>
  </si>
  <si>
    <t>BPMPO-2507210</t>
  </si>
  <si>
    <t>24ABJ.NPPKARPSG04JE</t>
  </si>
  <si>
    <t>Trunk Main Pesanggrahan - TMPS-4 (DN300)</t>
  </si>
  <si>
    <t>JL. BINTARO PERMAI - JL. CILEDUG RAYA</t>
  </si>
  <si>
    <t>AJC/2024/10/Q800/669</t>
  </si>
  <si>
    <t>AJCPOV-2505016</t>
  </si>
  <si>
    <t>PR/BPM/KRN-HLR/2505/066</t>
  </si>
  <si>
    <t>BPMPO-2503718</t>
  </si>
  <si>
    <t>PR-UN/BPM/KRN-HLR/2512/073</t>
  </si>
  <si>
    <t>24ABJ.NPPKARPSG08JE</t>
  </si>
  <si>
    <t>Trunk Main Pesanggrahan - TMPS-8 (DN800)</t>
  </si>
  <si>
    <t>JL. ULUJAMI RAYA</t>
  </si>
  <si>
    <t>AJC/2024/10/Q800/673</t>
  </si>
  <si>
    <t>AJCPOV-2505014</t>
  </si>
  <si>
    <t>PR/BPM/KRN-HLR/2601/001</t>
  </si>
  <si>
    <t>BPMPO-2600586</t>
  </si>
  <si>
    <t>PR/BPM/KRN-HLR/2601/010</t>
  </si>
  <si>
    <t>BPMPO-2600104</t>
  </si>
  <si>
    <t>NIN23KABB020.3</t>
  </si>
  <si>
    <t>B020 Citra 8</t>
  </si>
  <si>
    <t>AJC/2023/09/Q800/278</t>
  </si>
  <si>
    <t>AJCPOV-2300186</t>
  </si>
  <si>
    <t>PR/BPM/KRN-HLR/2406/126</t>
  </si>
  <si>
    <t>BPMPO-2401212</t>
  </si>
  <si>
    <t>PR/BPM/KRN-HLR/2508/126</t>
  </si>
  <si>
    <t>BPMPO-2504611</t>
  </si>
  <si>
    <t>NIN23KABB020.4</t>
  </si>
  <si>
    <t>B020 Citra 2 Ext</t>
  </si>
  <si>
    <t>Citra 2 Ext</t>
  </si>
  <si>
    <t>AJC/2023/09/Q800/288</t>
  </si>
  <si>
    <t>AJCPOV-2300103</t>
  </si>
  <si>
    <t>PR/BPM/KRN-HLR/2409/241</t>
  </si>
  <si>
    <t>BPMPO-2500392</t>
  </si>
  <si>
    <t>PR/BPM/KRN-HLR/2601/009</t>
  </si>
  <si>
    <t>NIN23KABB020.5</t>
  </si>
  <si>
    <t>B020 Citra 2</t>
  </si>
  <si>
    <t>Citra 2</t>
  </si>
  <si>
    <t>AJC/2023/09/Q800/289</t>
  </si>
  <si>
    <t>AJCPOV-2300104</t>
  </si>
  <si>
    <t>PR/BPM/KRN-HLR/2411/294</t>
  </si>
  <si>
    <t>BPMPO-2404817</t>
  </si>
  <si>
    <t>PR/BPM/KRN-HLR/2601/0043</t>
  </si>
  <si>
    <t>- Segment 1 : 12/09/2025
- Segment 2 : 07/10/2025
- Segment 3 : 10/10/2025
- Segment 4 : 22/10/2025
- Segment 5 : 05/11/2025
- Segment 9 : 03/12/2025</t>
  </si>
  <si>
    <t>NIN23KABB014.1</t>
  </si>
  <si>
    <t>B014 Green Royale</t>
  </si>
  <si>
    <t>Green Royale</t>
  </si>
  <si>
    <t>AJC/2024/08/Q800/472</t>
  </si>
  <si>
    <t>AJCPOV-2400407</t>
  </si>
  <si>
    <t>8.Rekomtek Terbit</t>
  </si>
  <si>
    <t>23ABJ.NINKARS002.1</t>
  </si>
  <si>
    <t>S002 Bonavista Residence</t>
  </si>
  <si>
    <t>Jl. Bonavista Raya Kel. Lebak Bulus</t>
  </si>
  <si>
    <t>AJC/2024/11/Q800/753</t>
  </si>
  <si>
    <t>AJCPOV-2400713</t>
  </si>
  <si>
    <t>PR/BPM/KRN-HLR/2502/018</t>
  </si>
  <si>
    <t>BPMPO-2501152</t>
  </si>
  <si>
    <t>PR/BPM/KRN-HLR/2502/019</t>
  </si>
  <si>
    <t>BPMPO-2503857</t>
  </si>
  <si>
    <t>- Segment 1 : 10/07/2025
- Segment 2 : 29/08/2025</t>
  </si>
  <si>
    <t>23ABJ.NINKARS006.1JE</t>
  </si>
  <si>
    <t>S006 PT Talanoa Oase Mulia</t>
  </si>
  <si>
    <t>Jl. Rawa Simprug 1 RT 009 RW 10 Kel. Grogol Selatan</t>
  </si>
  <si>
    <t>AJC/2024/11/Q800/755</t>
  </si>
  <si>
    <t>AJCPOV-2400716</t>
  </si>
  <si>
    <t>24ABJ.NINKARB020.15JE</t>
  </si>
  <si>
    <t>B020 Puri Permata Mediterania</t>
  </si>
  <si>
    <t>Puri Permata Mediterania RT 08/14 Kel. Pegadungan</t>
  </si>
  <si>
    <t>AJC/2024/10/Q800/619</t>
  </si>
  <si>
    <t>AJCPOV-2400553</t>
  </si>
  <si>
    <t>PR/BPM/KRN-HLR/2411/303</t>
  </si>
  <si>
    <t>BPMPO-2404984</t>
  </si>
  <si>
    <t>PR/BPM/KRN-HLR/2411/322</t>
  </si>
  <si>
    <t>BPMPO-2503008</t>
  </si>
  <si>
    <t>03/02/2025
02/05/2025</t>
  </si>
  <si>
    <t>23ABJ.NINKARB020.6JE</t>
  </si>
  <si>
    <t>B020 Premier Pavilion</t>
  </si>
  <si>
    <t>Premier Pavilion RT 01/01 Kel. Pegadungan</t>
  </si>
  <si>
    <t>AJC/2024/10/Q800/720</t>
  </si>
  <si>
    <t>AJCPOV-2400622</t>
  </si>
  <si>
    <t>PR/BPM/KRN-HLR/2502/016</t>
  </si>
  <si>
    <t>BPMPO-2501240</t>
  </si>
  <si>
    <t>PR/BPM/KRN-HLR/2502/017</t>
  </si>
  <si>
    <t>BPMPO-2503582</t>
  </si>
  <si>
    <t xml:space="preserve">- Segment 1 : 03/06/2025
- Segment 2 : 10/06/2025
</t>
  </si>
  <si>
    <t>- 12 Sep 2025
- 30 Sep 2025</t>
  </si>
  <si>
    <t>24ABJ.NINKARB020.17JE</t>
  </si>
  <si>
    <t>B020 Kumbang</t>
  </si>
  <si>
    <t>Jl. Kumbang Raya, RT00/RW001, Kel. Pegadungan</t>
  </si>
  <si>
    <t>AJC/2024/11/Q800/773</t>
  </si>
  <si>
    <t>AJCPOV-2400726</t>
  </si>
  <si>
    <t>PR/BPM/KRN-HLR/2502/026</t>
  </si>
  <si>
    <t>BPMPO-2501108</t>
  </si>
  <si>
    <t>PR/BPM/KRN-HLR/2502/027</t>
  </si>
  <si>
    <t>BPMPO-2502614</t>
  </si>
  <si>
    <t>- Segment 2 : 23/05/2025
- Segment 4 : 28/05/2025
- Segment 3 : 28/05/2025
- Segment 5 : 03/06/2025</t>
  </si>
  <si>
    <t>- 04 Jun 2025
- 14 Jun 2025</t>
  </si>
  <si>
    <t>24ABJ.NINKARB019.7JE</t>
  </si>
  <si>
    <t>B019 Kayu Besar</t>
  </si>
  <si>
    <t>Jl. Kayu Besar RT00/RW000, Kel. Tegal Alur</t>
  </si>
  <si>
    <t>AJC/2024/11/Q800/757</t>
  </si>
  <si>
    <t>AJCPOV-2400709</t>
  </si>
  <si>
    <t>PR/BPM/KRN-HLR/2501/007</t>
  </si>
  <si>
    <t>BPMPO-2501243</t>
  </si>
  <si>
    <t>BPMPO-2500972</t>
  </si>
  <si>
    <t>24ABJ.NINKARB019.8JE</t>
  </si>
  <si>
    <t>B019 Perumahan Taman Surya 6 PALM CLUSTER BLOSSOM</t>
  </si>
  <si>
    <t>Perumahan Taman Surya 6 PALM CLUSTER BLOSSOM</t>
  </si>
  <si>
    <t>AJC/2024/10/Q800/627</t>
  </si>
  <si>
    <t>AJCPOV-2400550</t>
  </si>
  <si>
    <t>PR/BPM/KRN-HLR/2411/302</t>
  </si>
  <si>
    <t>BPMPO-2405275</t>
  </si>
  <si>
    <t>24ABJ.NINKARB004.1JE</t>
  </si>
  <si>
    <t>B004 SPBU BP AKR</t>
  </si>
  <si>
    <t>Jl. Meruya Utara No 26 RT 01 RW 05</t>
  </si>
  <si>
    <t>AJC/2024/12/Q800/825</t>
  </si>
  <si>
    <t>AJCPOV-2400777</t>
  </si>
  <si>
    <t>PR/BPM/KRN-HLR/2502/029</t>
  </si>
  <si>
    <t>BPMPO-2501811</t>
  </si>
  <si>
    <t>PR/BPM/KRN-HLR/2502/030</t>
  </si>
  <si>
    <t>BPMPO-2501994</t>
  </si>
  <si>
    <t>24ABJ.NINKARB019.10JE</t>
  </si>
  <si>
    <t>B019 Perumahan SUTASA</t>
  </si>
  <si>
    <t>Jl. Keluraham, Kamal, Kec. Kalideres</t>
  </si>
  <si>
    <t>AJC/2024/11/Q800/759</t>
  </si>
  <si>
    <t>AJCPOV-2400711</t>
  </si>
  <si>
    <t>PR/BPM/KRN-HLR/2502/020</t>
  </si>
  <si>
    <t>BPMPO-2501327</t>
  </si>
  <si>
    <t>PT Desra Banyu Enjinering</t>
  </si>
  <si>
    <t>PR/BPM/KRN-HLR/2502/021</t>
  </si>
  <si>
    <t>BPMPO-2501081</t>
  </si>
  <si>
    <t>24ABJ.NINKARB016.5JE</t>
  </si>
  <si>
    <t>B016 PT Trans Elektric</t>
  </si>
  <si>
    <t>Jl. Peternakan 1, Pergudangan Ruko No C9 RT 05 RW 01</t>
  </si>
  <si>
    <t>AJC/2024/11/Q800/793</t>
  </si>
  <si>
    <t>AJCPOV-2400729</t>
  </si>
  <si>
    <t>23ABJ.NINKARB019.2JE</t>
  </si>
  <si>
    <t xml:space="preserve">B019 Mutiara Taman Palem Blok A </t>
  </si>
  <si>
    <t>Mutiara Taman Palem Blok A, Blok B, Blok E, Kel. Cengkareng Timur</t>
  </si>
  <si>
    <t>AJC/2024/09/Q800/578</t>
  </si>
  <si>
    <t>AJCPOV-2400524</t>
  </si>
  <si>
    <t>PR/BPM/KRN-HLR/2411/300</t>
  </si>
  <si>
    <t>BPMPO-2404983</t>
  </si>
  <si>
    <t>- Segment 1 : 09/07/2025
- Segment 2 : 01/08/2025</t>
  </si>
  <si>
    <t>24ABJ.NINKARS006PSG.13JE</t>
  </si>
  <si>
    <t>S006 Pesanggrahan - EZ 13</t>
  </si>
  <si>
    <t>PA S006 - 13 KELURAHAN BINTARO KECAMATAN PESANGGRAHAN</t>
  </si>
  <si>
    <t>AJC/2024/10/Q800/682</t>
  </si>
  <si>
    <t>AJCPOV-2400588</t>
  </si>
  <si>
    <t>PR/BPM/KRN-HLR/2502/045</t>
  </si>
  <si>
    <t>BPMPO-2501992</t>
  </si>
  <si>
    <t>PR/BPM/KRN-HLR/2512/232</t>
  </si>
  <si>
    <t>- Segment 1 : 27/08/2025
- Segment 2 : 29/08/2025
- Segment 3 : 23/09/2025
- Segment 4 : 12/09/2025
- Segment 5 : 26/09/2025
- Segment 7 : 26/09/2025</t>
  </si>
  <si>
    <t>24ABJ.NINKARS006PSG.14JE</t>
  </si>
  <si>
    <t>S006 Pesanggrahan - EZ 14</t>
  </si>
  <si>
    <t>PA S006 - 14 KELURAHAN BINTARO KECAMATAN PESANGGRAHAN</t>
  </si>
  <si>
    <t>AJC/2024/10/Q800/686</t>
  </si>
  <si>
    <t>AJCPOV-2400590</t>
  </si>
  <si>
    <t>PR/BPM/KRN-HLR/2502/033</t>
  </si>
  <si>
    <t>BPMPO-2502332</t>
  </si>
  <si>
    <t>PR/BPM/KRN-HLR/2502/032</t>
  </si>
  <si>
    <t>BPMPO-2502315</t>
  </si>
  <si>
    <t>- Segment 1 : 14/11/2025
- Segment 2 : 14/11/2025</t>
  </si>
  <si>
    <t>24ABJ.NINKARS006PSG.15JE</t>
  </si>
  <si>
    <t>S006 Pesanggrahan - EZ 15</t>
  </si>
  <si>
    <t>PA S006 - 15 KELURAHAN BINTARO KECAMATAN PESANGGRAHAN</t>
  </si>
  <si>
    <t>AJC/2024/10/Q800/690</t>
  </si>
  <si>
    <t>AJCPOV-2400596</t>
  </si>
  <si>
    <t>PR/BPM/KRN-HLR/2502/035</t>
  </si>
  <si>
    <t>BPMPO-2502000</t>
  </si>
  <si>
    <t>PR/BPM/KRN-HLR/2506/080</t>
  </si>
  <si>
    <t>BPMPO-2506514</t>
  </si>
  <si>
    <t>24ABJ.NINKARS006PSG.16JE</t>
  </si>
  <si>
    <t>S006 Pesanggrahan - EZ 16</t>
  </si>
  <si>
    <t>PA S006 - 16 KELURAHAN BINTARO KECAMATAN PESANGGRAHAN</t>
  </si>
  <si>
    <t>AJC/2024/10/Q800/697</t>
  </si>
  <si>
    <t>AJCPOV-2400602</t>
  </si>
  <si>
    <t>PR/BPM/KRN-HLR/2502/037</t>
  </si>
  <si>
    <t>BPMPO-2501903</t>
  </si>
  <si>
    <t>PR/BPM/KRN-HLR/2506/079</t>
  </si>
  <si>
    <t>BPMPO-2504167</t>
  </si>
  <si>
    <t>- Segment 1 : 27/08/2025 
- Segment 2 : 27/08/2025
- Segment 4 : 17/10/2025
- Segment 4 : 14/11/2025</t>
  </si>
  <si>
    <t>24ABJ.NINKARS006PSG.17JE</t>
  </si>
  <si>
    <t>S006 Pesanggrahan - EZ 17</t>
  </si>
  <si>
    <t>PA S006 - 17 KELURAHAN BINTARO KECAMATAN PESANGGRAHAN</t>
  </si>
  <si>
    <t>AJC/2024/10/Q800/701</t>
  </si>
  <si>
    <t>AJCPOV-2400621</t>
  </si>
  <si>
    <t>PR/BPM/KRN-HLR/2502/039</t>
  </si>
  <si>
    <t>BPMPO-2501906</t>
  </si>
  <si>
    <t>PR/BPM/KRN-HLR/2502/040</t>
  </si>
  <si>
    <t>BPMPO-2501210</t>
  </si>
  <si>
    <t>- Segment 1 : 17/09/2025
- Segment 2 : 22/10/2025
- Segment 3 : 05/11/2025</t>
  </si>
  <si>
    <t>24ABJ.NINKARS006PSG.18JE</t>
  </si>
  <si>
    <t>S006 Pesanggrahan - EZ 18</t>
  </si>
  <si>
    <t>PA S006 - 18 KELURAHAN BINTARO KECAMATAN PESANGGRAHAN</t>
  </si>
  <si>
    <t>AJC/2024/10/Q800/705</t>
  </si>
  <si>
    <t>AJCPOV-2400651</t>
  </si>
  <si>
    <t>PR/BPM/KRN-HLR/2502/041</t>
  </si>
  <si>
    <t>BPMPO-2501911</t>
  </si>
  <si>
    <t>PR/BPM/KRN-HLR/2512/233</t>
  </si>
  <si>
    <t>- Segment 1 : 04/08/2025
- Segment 2 : 09/09/2025
- Segment 3 : 22/09/2025
- Segment 5 : 07/10/2025</t>
  </si>
  <si>
    <t>24ABJ.NINKARB007.3JE</t>
  </si>
  <si>
    <t>B007 Kampung Basmol</t>
  </si>
  <si>
    <t>Kampung Basmol RT 01/06 Kel. Kembangan Utara</t>
  </si>
  <si>
    <t>AJC/2024/10/Q800/623</t>
  </si>
  <si>
    <t>AJCPOV-2400551</t>
  </si>
  <si>
    <t>PR/BPM/KRN-HLR/2411/297</t>
  </si>
  <si>
    <t>BPMPO-2405270</t>
  </si>
  <si>
    <t>PR/BPM/KRN-HLR/2411/298</t>
  </si>
  <si>
    <t>BPMPO-2501418</t>
  </si>
  <si>
    <t>- Segment 1 : 28/04/2025
- Segment 2 : 28/04/2025
- Segment 3 : 28/04/2025</t>
  </si>
  <si>
    <t>24ABJ.NINKARB006.8JE</t>
  </si>
  <si>
    <t>B006 PT Pesta Pora</t>
  </si>
  <si>
    <t>Jl. Panjang</t>
  </si>
  <si>
    <t>AJC/2024/10/Q800/635</t>
  </si>
  <si>
    <t>AJCPOV-2400543</t>
  </si>
  <si>
    <t>PR/BPM/KRN-HLR/2411/296</t>
  </si>
  <si>
    <t>BPMPO-2405269</t>
  </si>
  <si>
    <t>PR/BPM/KRN-HLR/2411/295</t>
  </si>
  <si>
    <t>24ABJ.NINKARB020.20JE</t>
  </si>
  <si>
    <t>B020 Gombol Paya (tambahan)</t>
  </si>
  <si>
    <t>Kp Gombol Paya RW 13</t>
  </si>
  <si>
    <t>AJC/2024/11/Q800/797</t>
  </si>
  <si>
    <t>AJCPOV-2400707</t>
  </si>
  <si>
    <t>PR/BPM/KRN-HLR/2310/009</t>
  </si>
  <si>
    <t>BPMPO-2501627</t>
  </si>
  <si>
    <t>- Segment 1 : 14/05/2025
- Segment 2 : 14/05/2025
- Segment 3 : 26/05/2025
- Segment 4 : 26/05/2025
- Segment 6 : 04/08/2025</t>
  </si>
  <si>
    <t xml:space="preserve">- 23/04/2025
- 04/05/2025
- 17/05/2025
- </t>
  </si>
  <si>
    <t>24ABJ.NINKARB019.14JE</t>
  </si>
  <si>
    <t>B019 Pergudangan Ecopark</t>
  </si>
  <si>
    <t>Jl. Kapuk Kayu Besar</t>
  </si>
  <si>
    <t>AJC/2024/12/Q800/846</t>
  </si>
  <si>
    <t>AJCPOV-2500002</t>
  </si>
  <si>
    <t>PR/BPM/KRN-HLR/2502/024</t>
  </si>
  <si>
    <t>BPMPO-2501245</t>
  </si>
  <si>
    <t>PR/BPM/KRN-HLR/2502/025</t>
  </si>
  <si>
    <t>BPMPO-2502615</t>
  </si>
  <si>
    <t>24ABJ.NINKARB012.1JE</t>
  </si>
  <si>
    <t>Master Meter Telaga Bojong</t>
  </si>
  <si>
    <t>Jl. Telaga Bojong</t>
  </si>
  <si>
    <t>AJC/2025/04/Q800/82</t>
  </si>
  <si>
    <t>AJCPOV-2500089</t>
  </si>
  <si>
    <t>PR/BPM/KRN-HLR/2504/060</t>
  </si>
  <si>
    <t>BPMPO-2505003</t>
  </si>
  <si>
    <t>PR/BPM/KRN-HLR/2504/061</t>
  </si>
  <si>
    <t>BPMPO-2508035</t>
  </si>
  <si>
    <t>24ABJ.NINKARB019.16JE</t>
  </si>
  <si>
    <t>B019 Seafood Bakaran</t>
  </si>
  <si>
    <t>Jl. Satu Maret No. 1A</t>
  </si>
  <si>
    <t>AJC/2025/05/Q800/174</t>
  </si>
  <si>
    <t>AJCPOV-2505025</t>
  </si>
  <si>
    <t>PR/BPM/KRN-HLR/2506/066</t>
  </si>
  <si>
    <t>BPMPO-2504221</t>
  </si>
  <si>
    <t>PR/BPM/KRN-HLR/2506/067</t>
  </si>
  <si>
    <t>BPMPO-2501351</t>
  </si>
  <si>
    <t>25ABJ.NINKARS002.2JE</t>
  </si>
  <si>
    <t>S002 Sekda DKI Jakarta</t>
  </si>
  <si>
    <t>Jl. Mandala II No.124 RT. 04/RW. 02, Kel. Cilandak barat, Kec. Cilandak, Kota Jakarta Selatan</t>
  </si>
  <si>
    <t>AJC/2025/05/Q800/117</t>
  </si>
  <si>
    <t>AJCPOV-2505042</t>
  </si>
  <si>
    <t>PR/BPM/KRN-HLR/2506/064</t>
  </si>
  <si>
    <t>BPMPO-2503481</t>
  </si>
  <si>
    <t>PR/BPM/KRN-HLR/2506/065</t>
  </si>
  <si>
    <t>BPMPO-2604545</t>
  </si>
  <si>
    <t>25ABJ.NINKARSN01.2JE</t>
  </si>
  <si>
    <t>SN01 Rumah Gubernur</t>
  </si>
  <si>
    <t>Jl. Haji Ambas No. 18, Cipete Selatan, Jakarta Selatan</t>
  </si>
  <si>
    <t>AJC/2025/05/Q800/192</t>
  </si>
  <si>
    <t>AJCPOV-2506018</t>
  </si>
  <si>
    <t>PR/BPM/KRN-HLR/2506/071</t>
  </si>
  <si>
    <t>BPMPO-2504318</t>
  </si>
  <si>
    <t>PR/BPM/KRN-HLR/2506/072</t>
  </si>
  <si>
    <t>BPMPO-2600149</t>
  </si>
  <si>
    <t>NPP23BURP01A</t>
  </si>
  <si>
    <t>P1A - Jl Pahlawan Revolusi DN600</t>
  </si>
  <si>
    <t>TOK +90 Hari</t>
  </si>
  <si>
    <t>Proses Konstruksi</t>
  </si>
  <si>
    <t>JL. PAHLAWAN REVOLUSI</t>
  </si>
  <si>
    <t> </t>
  </si>
  <si>
    <t>AJC/2025/04/Q800/105</t>
  </si>
  <si>
    <t>AJCPOV-2505003</t>
  </si>
  <si>
    <t>PR/BPM/BRN3HLR/2508/377</t>
  </si>
  <si>
    <t>BPMPO-2505326</t>
  </si>
  <si>
    <t>KJA</t>
  </si>
  <si>
    <t>PR/BPM/BRN3HLR/2402/006</t>
  </si>
  <si>
    <t>NPP23BURP06</t>
  </si>
  <si>
    <t>P6 - Jl Taman Mini I DN1600</t>
  </si>
  <si>
    <t>Bisa TOK</t>
  </si>
  <si>
    <t>Jl Taman Mini I</t>
  </si>
  <si>
    <t>AJC/2024/03/Q800/86</t>
  </si>
  <si>
    <t>AJCPOV-2400163</t>
  </si>
  <si>
    <t>PR/BPM/BRN3HLR/2506/321</t>
  </si>
  <si>
    <t>BPMPO-2506092</t>
  </si>
  <si>
    <t>KMU/CRCC</t>
  </si>
  <si>
    <t>PR/BPM/BRN3HLR/2509/426</t>
  </si>
  <si>
    <t>BPMPO-2600852</t>
  </si>
  <si>
    <t>NPP23BURP11</t>
  </si>
  <si>
    <t>P11 - Jl Raya Mabes Hankam DN1200</t>
  </si>
  <si>
    <t>Jl Raya Mabes Hankam</t>
  </si>
  <si>
    <t>AJC/2025/04/Q800/101</t>
  </si>
  <si>
    <t>AJCPOV-2505021</t>
  </si>
  <si>
    <t>PR/BPM/BRN3HLR/2507/347</t>
  </si>
  <si>
    <t>BPMPO-2504398</t>
  </si>
  <si>
    <t>PR/BPM/BRN3HLR/2509/429</t>
  </si>
  <si>
    <t>BPMPO-2603541</t>
  </si>
  <si>
    <t>NPP23BURP12</t>
  </si>
  <si>
    <t>P12 - Ps Rebo DN1000</t>
  </si>
  <si>
    <t>Pasar Rebo</t>
  </si>
  <si>
    <t>AJC/2025/04/Q800/102</t>
  </si>
  <si>
    <t>AJCPOV-2505002</t>
  </si>
  <si>
    <t>PR/BPM/BRN3HLR/2506/322</t>
  </si>
  <si>
    <t>PR/BPM/BRN3HLR/2509/454</t>
  </si>
  <si>
    <t>Rekomtek terbit</t>
  </si>
  <si>
    <t>NPP23BURS02</t>
  </si>
  <si>
    <t>S2 - Jl Mabes Hankam DN500</t>
  </si>
  <si>
    <t>TMII- JL. PAGELARANG</t>
  </si>
  <si>
    <t>AJC/2025/08/Q800/330</t>
  </si>
  <si>
    <t>AJCPOV-2508022</t>
  </si>
  <si>
    <t>PR/BPM/BRN3HLR/2509/405</t>
  </si>
  <si>
    <t>BPMPO-2506555</t>
  </si>
  <si>
    <t>PT Persada Priyatna</t>
  </si>
  <si>
    <t>PR/BPM/BRN3HLR/2509/408</t>
  </si>
  <si>
    <t>ISI YA RENGGA</t>
  </si>
  <si>
    <t>24ABJ.NINBUR145</t>
  </si>
  <si>
    <t>PC 145</t>
  </si>
  <si>
    <t>PC 145 KELURAHAN CIPINANG MELAYU, PONDOK KELAPA, KECMATAN DUREN SAWIT, MAKASAR</t>
  </si>
  <si>
    <t>AJC/2025/06/Q800/201</t>
  </si>
  <si>
    <t>AJCPOV-2506012</t>
  </si>
  <si>
    <t>PR/BPM/BRN3HLR/2509/456</t>
  </si>
  <si>
    <t>BPMPO-2506809</t>
  </si>
  <si>
    <t>DJA</t>
  </si>
  <si>
    <t>PR/BPM/BRN3HLR/2509/410</t>
  </si>
  <si>
    <t>24ABJ.NINBUR156</t>
  </si>
  <si>
    <t>PC 156</t>
  </si>
  <si>
    <t>PC 156, KELURAHAN CAWANG, KECAMATAN KERAMAT JATI</t>
  </si>
  <si>
    <t>AJC/2025/08/Q800/335</t>
  </si>
  <si>
    <t>AJCPOV-2508053</t>
  </si>
  <si>
    <t>PR/BPM/BRN3HLR/2509/457</t>
  </si>
  <si>
    <t>BPMPO-2506451</t>
  </si>
  <si>
    <t>PR/BPM/BRN3HLR/2509/428</t>
  </si>
  <si>
    <t>BPMPO-2508093</t>
  </si>
  <si>
    <t>24ABJ.NINBUR161JPEZ1</t>
  </si>
  <si>
    <t>PC 161 - EZ 1</t>
  </si>
  <si>
    <t>MC-100</t>
  </si>
  <si>
    <t>PC 161 EZ 01 KELURAHAN CILILITAN. KECAMATAN KRAMATJATI</t>
  </si>
  <si>
    <t>AJC/2025/06/Q800/205</t>
  </si>
  <si>
    <t>AJCPOV-2506013</t>
  </si>
  <si>
    <t>PR/BPM/BRN3HLR/2509/411</t>
  </si>
  <si>
    <t>BPMPO-2506472</t>
  </si>
  <si>
    <t>PT. Persada Priyatna</t>
  </si>
  <si>
    <t>PR/BPM/BRN3HLR/2509/412</t>
  </si>
  <si>
    <t>BPMPO-2508153</t>
  </si>
  <si>
    <t>24ABJ.NINBUR161JPEZ2</t>
  </si>
  <si>
    <t>PC 161 - EZ 2</t>
  </si>
  <si>
    <t>PC 161 EZ 02 KELURAHAN BALEKAMBANG &amp; CILILITAN. KECAMATAN KRAMATJATI</t>
  </si>
  <si>
    <t>AJC/2025/10/Q800/499</t>
  </si>
  <si>
    <t>AJCPOV-2511003</t>
  </si>
  <si>
    <t>PR/BPM/BRN3HLR/2509/413</t>
  </si>
  <si>
    <t>BPMPO-2507229</t>
  </si>
  <si>
    <t>PR/BPM/BRN3HLR/2509/414</t>
  </si>
  <si>
    <t>24ABJ.NINBUR161JPEZ3</t>
  </si>
  <si>
    <t>PC 161 - EZ 3</t>
  </si>
  <si>
    <t>PC 161 EZ 3, KELURAHAN BATU AMPAR, KECAMATAN KRAMAT JATI</t>
  </si>
  <si>
    <t>AJC/2025/06/Q800/246</t>
  </si>
  <si>
    <t>AJCPOV-2506057</t>
  </si>
  <si>
    <t>PR/BPM/BRN3HLR/2509/458</t>
  </si>
  <si>
    <t>BPMPO-2506204</t>
  </si>
  <si>
    <t>CRCC</t>
  </si>
  <si>
    <t>PR/BPM/BRN3HLR/2509/450</t>
  </si>
  <si>
    <t>24ABJ.NINBUR161JPEZ4</t>
  </si>
  <si>
    <t>PC 161 - EZ 4</t>
  </si>
  <si>
    <t>PC 161 EZ 4 KELURAHAN BATU AMPAR KECAMATAN KRAMAT JATI</t>
  </si>
  <si>
    <t>AJC/2025/10/Q800/416</t>
  </si>
  <si>
    <t>AJCPOV-2511004</t>
  </si>
  <si>
    <t>PR/BPM/BRN3HLR/2509/465</t>
  </si>
  <si>
    <t>BPMPO-2506244</t>
  </si>
  <si>
    <t xml:space="preserve">KJS &amp; Parma </t>
  </si>
  <si>
    <t>PR/BPM/BRN3HLR/2509/435</t>
  </si>
  <si>
    <t>24ABJ.NINBUR161JPEZ6</t>
  </si>
  <si>
    <t>PC 161 - EZ 6</t>
  </si>
  <si>
    <t>PA 161 EZ 6 KEL. BALEKAMBANG, KEC. KRAMAT JATI</t>
  </si>
  <si>
    <t>AJC/2025/07/Q800/273</t>
  </si>
  <si>
    <t>AJCPOV-2507017</t>
  </si>
  <si>
    <t>PR/BPM/BRN3HLR/2509/466</t>
  </si>
  <si>
    <t>BPMPO-2506805</t>
  </si>
  <si>
    <t>PR/BPM/BRN3HLR/2509/394</t>
  </si>
  <si>
    <t>BPMPO-2508126</t>
  </si>
  <si>
    <t>24ABJ.NINBUR161JPEZ7</t>
  </si>
  <si>
    <t>PC 161 - EZ 7</t>
  </si>
  <si>
    <t>PC 161 EZ 7, KELURAHAN BATU AMPAR, KECAMATAN KRAMAT JATI</t>
  </si>
  <si>
    <t>AJC/2025/08/Q800/327</t>
  </si>
  <si>
    <t>AJCPOV-2508029</t>
  </si>
  <si>
    <t>PR/BPM/BRN3HLR/2509/459</t>
  </si>
  <si>
    <t>BPMPO-2506016</t>
  </si>
  <si>
    <t>Abhinaya</t>
  </si>
  <si>
    <t>PR/BPM/BRN3HLR/2509/438</t>
  </si>
  <si>
    <t>24ABJ.NINBUR161JPEZ8</t>
  </si>
  <si>
    <t>PC 161 - EZ 8</t>
  </si>
  <si>
    <t>PC 161 EZ 8, KELURAHAN BALE KAMBANG, KECAMATAN KRAMAT JATI</t>
  </si>
  <si>
    <t>AJC/2025/06/Q800/248</t>
  </si>
  <si>
    <t>AJCPOV-2506059</t>
  </si>
  <si>
    <t>PR/BPM/BRN3HLR/2509/404</t>
  </si>
  <si>
    <t>BPMPO-2506205</t>
  </si>
  <si>
    <t>PR/BPM/BRN3HLR/2509/409</t>
  </si>
  <si>
    <t>24ABJ.NINBUR161JPEZ11</t>
  </si>
  <si>
    <t>PC 161 - EZ 11</t>
  </si>
  <si>
    <t>PC 161 EZ 11, KELURAHAN KAMPUNG TENGAH, KECAMATAN KRAMAT JATI</t>
  </si>
  <si>
    <t>AJC/2025/06/Q800/224</t>
  </si>
  <si>
    <t>AJCPOV-2506037</t>
  </si>
  <si>
    <t>PR/BPM/BRN3HLR/2509/460</t>
  </si>
  <si>
    <t>BPMPO-2506288</t>
  </si>
  <si>
    <t>PT INDO REKAELKA SINERGI</t>
  </si>
  <si>
    <t>PR/BPM/BRN3HLR/2509/437</t>
  </si>
  <si>
    <t>24ABJ.NINBUR161JPEZ12</t>
  </si>
  <si>
    <t>PC 161 - EZ 12</t>
  </si>
  <si>
    <t>PC 161 EZ 12, KELURAHAN GEDONG, KECAMATAN PASAR REBO</t>
  </si>
  <si>
    <t>AJC/2025/08/Q800/325</t>
  </si>
  <si>
    <t>AJCPOV-2508024</t>
  </si>
  <si>
    <t>PR/BPM/BRN3HLR/2509/406</t>
  </si>
  <si>
    <t>BPMPO-2506017</t>
  </si>
  <si>
    <t>PR/BPM/BRN3HLR/2509/407</t>
  </si>
  <si>
    <t>24ABJ.NPPBUR161JP</t>
  </si>
  <si>
    <t>PC 161 - JDU</t>
  </si>
  <si>
    <t>PC 161 JL. BATU AMPAR 1&amp;3 - JL. BATU WEDAS - JL. MASJID CONDET - JL. RAYA TENGAH - JL. H. ALI - JL. CONDET RAYA</t>
  </si>
  <si>
    <t>AJC/2025/08/Q800/351</t>
  </si>
  <si>
    <t>AJCPOV-2509002</t>
  </si>
  <si>
    <t>PR/BPM/BRN3HLR/2510/502</t>
  </si>
  <si>
    <t>BPMPO-2506927</t>
  </si>
  <si>
    <t>PR/BPM/BRN3HLR/2510/488</t>
  </si>
  <si>
    <t>25ABJ.NINBUR162.11JP</t>
  </si>
  <si>
    <t>PC 162 The Riscon Hills</t>
  </si>
  <si>
    <t>JL. BAMBU HITAM RT.011/RW.001 KEL.BAMBU APUS, KEC CIPAYUNG</t>
  </si>
  <si>
    <t>AJC/2025/09/Q800/386</t>
  </si>
  <si>
    <t>AJCPOV-2509007</t>
  </si>
  <si>
    <t>PR/BPM/BRN3HLR/2509/451</t>
  </si>
  <si>
    <t>BPMPO-2506022</t>
  </si>
  <si>
    <t>CAD</t>
  </si>
  <si>
    <t>PR/BPM/BRN3HLR/2509/452</t>
  </si>
  <si>
    <t>BPMPO-2507983</t>
  </si>
  <si>
    <t>Sudah HT : 15/10/25</t>
  </si>
  <si>
    <t>24ABJ.NINBUR162.2JP</t>
  </si>
  <si>
    <t>PC 162 Jl. Mustika Ratu</t>
  </si>
  <si>
    <t>Jl. Mustika Ratu Gg Ikhlas / GG X2</t>
  </si>
  <si>
    <t>AJC/2025/05/Q800/158</t>
  </si>
  <si>
    <t>AJCPOV-2505013</t>
  </si>
  <si>
    <t>PR/BPM/BRN3HLR/2507/358</t>
  </si>
  <si>
    <t>BPMPO-2504920</t>
  </si>
  <si>
    <t>PR/BPM/BRN3HLR/2507/357</t>
  </si>
  <si>
    <t>BPMPO-2508156</t>
  </si>
  <si>
    <t>24ABJ.NINBUR162.3JP</t>
  </si>
  <si>
    <t>PC 162 Jl. Pendidikan</t>
  </si>
  <si>
    <t>Jl. Pendidikan RT/RW 07/06</t>
  </si>
  <si>
    <t>AJC/2025/09/Q800/405</t>
  </si>
  <si>
    <t>AJCPOV-2510012</t>
  </si>
  <si>
    <t>PR/BPM/BRN3HLR/2507/369</t>
  </si>
  <si>
    <t>BPMPO-2504921</t>
  </si>
  <si>
    <t>PR/BPM/BRN3HLR/2507/370</t>
  </si>
  <si>
    <t>BPMPO-2508100</t>
  </si>
  <si>
    <t>25ABJ.NINBUR163.1JR</t>
  </si>
  <si>
    <t>PC 163 Mulyanto (RT 01/RW 09)</t>
  </si>
  <si>
    <t>Jl. Jatisari RT. 011/ RW. 009, Kel. Kalisari, Kec. Pasar Rebo</t>
  </si>
  <si>
    <t>AJC/2025/05/Q800/172</t>
  </si>
  <si>
    <t>AJCPOV-2505037</t>
  </si>
  <si>
    <t>PR/BPM/BRN3HLR/2507/366</t>
  </si>
  <si>
    <t>BPMPO-2504936</t>
  </si>
  <si>
    <t>PR/BPM/BRN3HLR/2507/365</t>
  </si>
  <si>
    <t>BPMPO-2600141</t>
  </si>
  <si>
    <t>23ABJ.NINBUR163.2JP</t>
  </si>
  <si>
    <t>PC 163 Kalisari (Pak Endriartono)</t>
  </si>
  <si>
    <t>Jl. Kalisari RW 010 dari RT 01 s.d RT 09 (Pak Endriartono)</t>
  </si>
  <si>
    <t>AJC/2025/05/Q800/164</t>
  </si>
  <si>
    <t>AJCPOV-2505022</t>
  </si>
  <si>
    <t>PR/BPM/BRN3HLR/2507/360</t>
  </si>
  <si>
    <t>BPMPO-2504948</t>
  </si>
  <si>
    <t>PR/BPM/BRN3HLR/2507/359</t>
  </si>
  <si>
    <t>24ABJ.NINBUR163.3JP</t>
  </si>
  <si>
    <t>PC 163 Muhammad Al Fatih</t>
  </si>
  <si>
    <t>Jl. Intisari Raya RT / RW 001 / 009</t>
  </si>
  <si>
    <t>AJC/2025/08/Q800/334</t>
  </si>
  <si>
    <t>AJCPOV-2508036</t>
  </si>
  <si>
    <t>PR/BPM/BRN3HLR/2509/464</t>
  </si>
  <si>
    <t>BPMPO-2506764</t>
  </si>
  <si>
    <t>25ABJ.NINBUR161.1JP</t>
  </si>
  <si>
    <t>PC 161 Anwar Burhanudin</t>
  </si>
  <si>
    <t>Jl. Masjid Al Barkah Gg. Masjid IV RT/RW 005/001</t>
  </si>
  <si>
    <t>AJC/2025/08/Q800/332</t>
  </si>
  <si>
    <t>AJCPOV-2510004</t>
  </si>
  <si>
    <t>PR/BPM/BRN3HLR/2510/492</t>
  </si>
  <si>
    <t>BPMPO-2506457</t>
  </si>
  <si>
    <t>PR/BPM/BRN3HLR/2510/487</t>
  </si>
  <si>
    <t>BPMPO-2508237</t>
  </si>
  <si>
    <t>25ABJ.NINJT069R1</t>
  </si>
  <si>
    <t>CDC Cilincing (DN800)</t>
  </si>
  <si>
    <t>CDC Cilincing</t>
  </si>
  <si>
    <t>AJC/2025/07/Q800/281</t>
  </si>
  <si>
    <t>AJCPOV-2507020</t>
  </si>
  <si>
    <t>PR/BPM/JTLBarat/2508/0272</t>
  </si>
  <si>
    <t>BPMPO-2505560</t>
  </si>
  <si>
    <t>PT. Kalirandoe Jaya Abadi</t>
  </si>
  <si>
    <t>PR/BPM/JTLBarat/2508/0274</t>
  </si>
  <si>
    <t>BPMPO-2507382</t>
  </si>
  <si>
    <t>19/12/2025, 29/12/2025</t>
  </si>
  <si>
    <t>24ABJ.NPPJTCLW010JR</t>
  </si>
  <si>
    <t>TMCL-10</t>
  </si>
  <si>
    <t>Dikeluarkan</t>
  </si>
  <si>
    <t>Jl. Rajawati Timur - Jl. Rawa Jati Barat - Jl. TMP Kalibata</t>
  </si>
  <si>
    <t>AJC/2025/03/Q800/48</t>
  </si>
  <si>
    <t>AJCPOV-2500068</t>
  </si>
  <si>
    <t>PR/BPM/JTLBarat/2504/0015</t>
  </si>
  <si>
    <t>BPMPO-2505056</t>
  </si>
  <si>
    <t>PR/BPM/JTLBarat/2504/0014</t>
  </si>
  <si>
    <t>5/4/2026,
6/3/2026</t>
  </si>
  <si>
    <t>24ABJ.NPPJTCLW011JR</t>
  </si>
  <si>
    <t>TMCL-11</t>
  </si>
  <si>
    <t>Jl. Kalibata Timur - Jl. Raya Pasar Minggu</t>
  </si>
  <si>
    <t>AJC/2025/03/Q800/50</t>
  </si>
  <si>
    <t>AJCPOV-2500070</t>
  </si>
  <si>
    <t>PR/BPM/JTLBarat/2504/123</t>
  </si>
  <si>
    <t>BPMPO-2503975</t>
  </si>
  <si>
    <t>PR/BPM/JTLBarat/2504/124</t>
  </si>
  <si>
    <t>24ABJ.NPPJTCLW010.1JR</t>
  </si>
  <si>
    <t>TMCL-10.1 (Interkoneksi Pipa SPAM Ciliwung Hilir - Pipa Eksisting)</t>
  </si>
  <si>
    <t>Jl. Rajawati Timur</t>
  </si>
  <si>
    <t>AJC/2025/05/Q800/177</t>
  </si>
  <si>
    <t>AJCPOV-2505078</t>
  </si>
  <si>
    <t>PR/BPM/JTLBarat/2506/0102</t>
  </si>
  <si>
    <t>PR/BPM/JTLBarat/2506/0101</t>
  </si>
  <si>
    <t>24ABJ.NPPJTCLW010.2JR</t>
  </si>
  <si>
    <t>TMCL-10.2 (Pipa Input PA S001.04)</t>
  </si>
  <si>
    <t>AJC/2025/06/Q800/208</t>
  </si>
  <si>
    <t>AJCPOV-2506028</t>
  </si>
  <si>
    <t>PR/BPM/JTLBarat/2506/0111</t>
  </si>
  <si>
    <t>BPMPO-2505381</t>
  </si>
  <si>
    <t>PR/BPM/JTLBarat/2506/0109</t>
  </si>
  <si>
    <t>24ABJ.NINJTS011CLW.01JR</t>
  </si>
  <si>
    <t>PA S011.01</t>
  </si>
  <si>
    <t>S011-1 KELURAHAN PANCORAN, DUREN TIGA, CIKOKO, PANGADEGAN. KECAMATAN PANCORAN</t>
  </si>
  <si>
    <t>AJC/2025/03/Q800/52</t>
  </si>
  <si>
    <t>AJCPOV-2500060</t>
  </si>
  <si>
    <t>PR/BPM/JTLBarat/2504/0054</t>
  </si>
  <si>
    <t>BPMPO-2504219</t>
  </si>
  <si>
    <t>Shima</t>
  </si>
  <si>
    <t>PR/BPM/JTLBarat/2504/0023</t>
  </si>
  <si>
    <t>Pemenuhan Data</t>
  </si>
  <si>
    <t>26/2/2026, 
14/3/2026, 
24/3/2026</t>
  </si>
  <si>
    <t>24ABJ.NINJTS011CLW.02JR</t>
  </si>
  <si>
    <t>PA S011.02</t>
  </si>
  <si>
    <t>S011-2 KELURAHAN KALIBATA, RAJAWATI. KECAMATAN PANCORAN</t>
  </si>
  <si>
    <t>AJC/2025/03/Q800/55</t>
  </si>
  <si>
    <t>AJCPOV-2500066</t>
  </si>
  <si>
    <t>PR/BPM/JTLBarat/2504/0034</t>
  </si>
  <si>
    <t>BPMPO-2503974</t>
  </si>
  <si>
    <t>PR/BPM/JTLBarat/2504/0013</t>
  </si>
  <si>
    <t>27/4/2026
18/5/2026
23/5/2026
30/5/2026</t>
  </si>
  <si>
    <t>24ABJ.NINJTS011CLW.03JR</t>
  </si>
  <si>
    <t>PA S011.03</t>
  </si>
  <si>
    <t>S011-3 KELURAHAN RAWAJATI, PANGADEGAN, CIKOKO KECAMATAN PANCORAN</t>
  </si>
  <si>
    <t>AJC/2025/03/Q800/57</t>
  </si>
  <si>
    <t>AJCPOV-2500061</t>
  </si>
  <si>
    <t>PR/BPM/JTLBarat/2504/0047</t>
  </si>
  <si>
    <t>BPMPO-2503986</t>
  </si>
  <si>
    <t>PR/BPM/JTLBarat/2504/0052</t>
  </si>
  <si>
    <t>17/3/2026
11/5/2026
26/5/2026</t>
  </si>
  <si>
    <t>24ABJ.NINJTS011CLW.04JR</t>
  </si>
  <si>
    <t>PA S011.04</t>
  </si>
  <si>
    <t>S011-4 KELURAHAN PEJATEN TIMUR. KECAMATAN PANCORAN</t>
  </si>
  <si>
    <t>AJC/2025/03/Q800/59</t>
  </si>
  <si>
    <t>AJCPOV-2500067</t>
  </si>
  <si>
    <t>PR/BPM/JTLBarat/2504/0017</t>
  </si>
  <si>
    <t>BPMPO-2504076</t>
  </si>
  <si>
    <t>PR/BPM/JTLBarat/2504/0012</t>
  </si>
  <si>
    <t>13/5/2026</t>
  </si>
  <si>
    <t>24ABJ.NINJTS001CLW.04JR</t>
  </si>
  <si>
    <t>PA S001.04</t>
  </si>
  <si>
    <t>S001.4 KELURAHAN PEJATEN TIMUR &amp; PASAR MINGGU. KECAMATAN PASAR MINGGU</t>
  </si>
  <si>
    <t>AJC/2025/03/Q800/61</t>
  </si>
  <si>
    <t>AJCPOV-2500062</t>
  </si>
  <si>
    <t>PR/BPM/JTLBarat/2504/0075</t>
  </si>
  <si>
    <t>BPMPO-2503988</t>
  </si>
  <si>
    <t>PR/BPM/JTLBarat/2504/0078</t>
  </si>
  <si>
    <t>BPMPO-2508076</t>
  </si>
  <si>
    <t>24ABJ.NINJT087.1JR</t>
  </si>
  <si>
    <t>Master Meter Lis</t>
  </si>
  <si>
    <t>Jl. Papanggo 1 D Kel. Papanggo Kec. Tanjung Priok</t>
  </si>
  <si>
    <t>AJC/2025/05/Q800/194</t>
  </si>
  <si>
    <t>AJCPOV-2506026</t>
  </si>
  <si>
    <t>PR/BPM/JTLBarat/2506/0117</t>
  </si>
  <si>
    <t>BPMPO-2504951</t>
  </si>
  <si>
    <t>PR/BPM/JTLBarat/2506/0116</t>
  </si>
  <si>
    <t>24ABJ.NINJTS001.5JR</t>
  </si>
  <si>
    <t>S001 PT. Pesta Pora Abadi (Ampera)</t>
  </si>
  <si>
    <t>Jl. Ampera Raya RT/RW 04/03</t>
  </si>
  <si>
    <t>AJC/2025/05/Q800/120</t>
  </si>
  <si>
    <t>AJCPOV-2505067</t>
  </si>
  <si>
    <t>PR/BPM/JTLBarat/2506/0063</t>
  </si>
  <si>
    <t>BPMPO-2503955</t>
  </si>
  <si>
    <t>PR/BPM/JTLBarat/2506/0062</t>
  </si>
  <si>
    <t>BPMPO-2500858</t>
  </si>
  <si>
    <t>24ABJ.NINJTS001.4JR</t>
  </si>
  <si>
    <t>S001 Perumahan Tanjung Mas Raya</t>
  </si>
  <si>
    <t>Jl. Tanjung Mas Utara</t>
  </si>
  <si>
    <t>AJC/2025/05/Q800/122</t>
  </si>
  <si>
    <t>AJCPOV-2505041</t>
  </si>
  <si>
    <t>PR/BPM/JTLBarat/2506/0077</t>
  </si>
  <si>
    <t>BPMPO-2503737</t>
  </si>
  <si>
    <t>PR/BPM/JTLBarat/2506/0075</t>
  </si>
  <si>
    <t>BPMPO-2600160</t>
  </si>
  <si>
    <t>8 Agu 2025, 15 Agu 2025, 2025 22 Agu 2025, 29 Agu 2025, 2 September 2025</t>
  </si>
  <si>
    <t>24ABJ.NINJT068.3JR</t>
  </si>
  <si>
    <t>PC 068 Kramayudha Gg Hj Kentur</t>
  </si>
  <si>
    <t>Kramayudha Gg Hj Kentur RT 07/05 Kel Rawa Terate Kec Cakung</t>
  </si>
  <si>
    <t>AJC/2025/05/Q800/124</t>
  </si>
  <si>
    <t>AJCPOV-2505006</t>
  </si>
  <si>
    <t>PR/BPM/JTLBarat/2506/0051</t>
  </si>
  <si>
    <t>BPMPO-2504888</t>
  </si>
  <si>
    <t>PR/BPM/JTLBarat/2506/0050</t>
  </si>
  <si>
    <t>24ABJ.NINJT068.4JR</t>
  </si>
  <si>
    <t>PC 068 Swadaya IV</t>
  </si>
  <si>
    <t>Swadaya IV Gg Puskesmas RT 02/05 Kel Rawa Terate Kec Cakung</t>
  </si>
  <si>
    <t>AJC/2025/05/Q800/126</t>
  </si>
  <si>
    <t>AJCPOV-2505020</t>
  </si>
  <si>
    <t>PR/BPM/JTLBarat/2506/0076</t>
  </si>
  <si>
    <t>BPMPO-2503966</t>
  </si>
  <si>
    <t>PR/BPM/JTLBarat/2506/0074</t>
  </si>
  <si>
    <t>BPMPO-2600161</t>
  </si>
  <si>
    <t>24ABJ.NINJTS012.1JR</t>
  </si>
  <si>
    <t>S012 Tebet Utara 1 RW 10</t>
  </si>
  <si>
    <t>Jl. Tebet Dalam</t>
  </si>
  <si>
    <t>AJC/2025/05/Q800/128</t>
  </si>
  <si>
    <t>AJCPOV-2506004</t>
  </si>
  <si>
    <t>PR/BPM/JTLBarat/2506/0100</t>
  </si>
  <si>
    <t>BPMPO-2505149</t>
  </si>
  <si>
    <t>PR/BPM/JTLBarat/2506/0099</t>
  </si>
  <si>
    <t>24ABJ.NINJTS001.8JR</t>
  </si>
  <si>
    <t>S001 McD Jati Padang (PT Resko National Food)</t>
  </si>
  <si>
    <t>Karang Pola VI No B6 RT 003 RW 03 Jati Padang</t>
  </si>
  <si>
    <t>AJC/2025/05/Q800/154</t>
  </si>
  <si>
    <t>AJCPOV-2505087</t>
  </si>
  <si>
    <t>PR/BPM/JTLBarat/2506/0090</t>
  </si>
  <si>
    <t>BPMPO-2507597</t>
  </si>
  <si>
    <t>PR/BPM/JTLBarat/2506/0089</t>
  </si>
  <si>
    <t>24ABJ.NINJTP002.2JR</t>
  </si>
  <si>
    <t>P002 Jl. Anyer RT 06 RW 09</t>
  </si>
  <si>
    <t>Jl. Anyer 16 RT06/RW09 Kel. Menteng</t>
  </si>
  <si>
    <t>AJC/2025/05/Q800/130</t>
  </si>
  <si>
    <t>AJCPOV-2506003</t>
  </si>
  <si>
    <t>PR/BPM/JTLBarat/2506/0098</t>
  </si>
  <si>
    <t>BPMPO-2505150</t>
  </si>
  <si>
    <t>PR/BPM/JTLBarat/2506/0097</t>
  </si>
  <si>
    <t>24ABJ.NINJTP001.1JR</t>
  </si>
  <si>
    <t>P001 Ruswandi</t>
  </si>
  <si>
    <t>Jl. Prof Dr Satrio Kav. 6, Kel. Karet Kuningan</t>
  </si>
  <si>
    <t>AJC/2025/05/Q800/132</t>
  </si>
  <si>
    <t>AJCPOV-2505065</t>
  </si>
  <si>
    <t>PR/BPM/JTLBarat/2506/0071</t>
  </si>
  <si>
    <t>BPMPO-2504859</t>
  </si>
  <si>
    <t>PR/BPM/JTLBarat/2506/0070</t>
  </si>
  <si>
    <t>BPMPO-2508063</t>
  </si>
  <si>
    <t>24ABJ.NINJT076.01JR</t>
  </si>
  <si>
    <t>PC 076 Kalibaru Barat RT 11 RW 7</t>
  </si>
  <si>
    <t>Jl. Kalibaru Barat RT 10 - 11 RW 7</t>
  </si>
  <si>
    <t>AJC/2025/05/Q800/138</t>
  </si>
  <si>
    <t>AJCPOV-2505085</t>
  </si>
  <si>
    <t>PR/BPM/JTLBarat/2506/0085</t>
  </si>
  <si>
    <t>BPMPO-2504860</t>
  </si>
  <si>
    <t>PR/BPM/JTLBarat/2506/0084</t>
  </si>
  <si>
    <t>24ABJ.NINJT068.5JR</t>
  </si>
  <si>
    <t>PC 068 Sukapura Barat</t>
  </si>
  <si>
    <t>Jl. Sukapura Barat 1K RT 07 RW 10 Kel Sukapura Kec Cilincing</t>
  </si>
  <si>
    <t>AJC/2025/05/Q800/140</t>
  </si>
  <si>
    <t>AJCPOV-2505028</t>
  </si>
  <si>
    <t>PR/BPM/JTLBarat/2506/0068</t>
  </si>
  <si>
    <t>BPMPO-2504857</t>
  </si>
  <si>
    <t>PR/BPM/JTLBarat/2506/0069</t>
  </si>
  <si>
    <t>BPMPO-2508064</t>
  </si>
  <si>
    <t>24ABJ.NINJT069.1JR</t>
  </si>
  <si>
    <t>PC 069 Gg Salon</t>
  </si>
  <si>
    <t>Gg Salon RT 02 03</t>
  </si>
  <si>
    <t>AJC/2025/05/Q800/142</t>
  </si>
  <si>
    <t>AJCPOV-2505064</t>
  </si>
  <si>
    <t>PR/BPM/JTLBarat/2506/0067</t>
  </si>
  <si>
    <t>BPMPO-2504864</t>
  </si>
  <si>
    <t>PR/BPM/JTLBarat/2506/0066</t>
  </si>
  <si>
    <t>24ABJ.NINJT068.6JR</t>
  </si>
  <si>
    <t>PC 068 GOR Cakung Barat</t>
  </si>
  <si>
    <t>Jl. Tipar Cakung Pool PPD</t>
  </si>
  <si>
    <t>AJC/2025/05/Q800/144</t>
  </si>
  <si>
    <t>AJCPOV-2505030</t>
  </si>
  <si>
    <t>PR/BPM/JTLBarat/2506/0065</t>
  </si>
  <si>
    <t>BPMPO-2504852</t>
  </si>
  <si>
    <t>PR/BPM/JTLBarat/2506/0064</t>
  </si>
  <si>
    <t>24ABJ.NINJTP008.11JR</t>
  </si>
  <si>
    <t>P008 PT Honor Decoration International</t>
  </si>
  <si>
    <t>Jl. Muara Baru No. 2 RT 15 RW 17</t>
  </si>
  <si>
    <t>AJC/2025/05/Q800/148</t>
  </si>
  <si>
    <t>AJCPOV-2505086</t>
  </si>
  <si>
    <t>PR/BPM/JTLBarat/2506/0083</t>
  </si>
  <si>
    <t>BPMPO-2504867</t>
  </si>
  <si>
    <t>PR/BPM/JTLBarat/2506/0082</t>
  </si>
  <si>
    <t>25ABJ.NINJT049.1JR</t>
  </si>
  <si>
    <t>PC 049 Cluster Amare Living</t>
  </si>
  <si>
    <t>Jl Pratekan 12-14 RT04 RW03</t>
  </si>
  <si>
    <t>AJC/2025/05/Q800/150</t>
  </si>
  <si>
    <t>AJCPOV-2505027</t>
  </si>
  <si>
    <t>PR/BPM/JTLBarat/2506/0096</t>
  </si>
  <si>
    <t>BPMPO-2504862</t>
  </si>
  <si>
    <t>PR/BPM/JTLBarat/2506/0095</t>
  </si>
  <si>
    <t>BPMPO-2600156</t>
  </si>
  <si>
    <t>25ABJ.NINJT054.1JR</t>
  </si>
  <si>
    <t>PC 054 H.Sutiyo</t>
  </si>
  <si>
    <t>Jl Raya Penggilingan RT 03 RW06 Kel. Penggilingan Kec. Gambir</t>
  </si>
  <si>
    <t>AJC/2025/05/Q800/152</t>
  </si>
  <si>
    <t>AJCPOV-2505036</t>
  </si>
  <si>
    <t>PR/BPM/JTLBarat/2506/0094</t>
  </si>
  <si>
    <t>BPMPO-2504863</t>
  </si>
  <si>
    <t>PR/BPM/JTLBarat/2506/0093</t>
  </si>
  <si>
    <t>BPMPO-2600157</t>
  </si>
  <si>
    <t>25ABJ.NINJTB003.1JE</t>
  </si>
  <si>
    <t>B003 Dedy Rahyansyah</t>
  </si>
  <si>
    <t>Gg. Samudra Barat RT008 RW009, Kebon Jeruk</t>
  </si>
  <si>
    <t>AJC/2025/05/Q800/156</t>
  </si>
  <si>
    <t>AJCPOV-2505033</t>
  </si>
  <si>
    <t>PR/BPM/JTLBarat/2506/0060</t>
  </si>
  <si>
    <t>25ABJ.NINJT073.1JR</t>
  </si>
  <si>
    <t>PC 073 Kampung Beting</t>
  </si>
  <si>
    <t>Jl Beting Remaja RT 5, 7, 12 RW 19</t>
  </si>
  <si>
    <t>AJC/2025/06/Q800/218</t>
  </si>
  <si>
    <t>AJCPOV-2506030</t>
  </si>
  <si>
    <t>PR/BPM/JTLBarat/2506/0108</t>
  </si>
  <si>
    <t>BPMPO-2504937</t>
  </si>
  <si>
    <t>PR/BPM/JTLBarat/2506/0107</t>
  </si>
  <si>
    <t>BPMPO-2604204</t>
  </si>
  <si>
    <t>09/01/2026, 11/01/2026, 07/03/2026</t>
  </si>
  <si>
    <t>1/11/2026, 07/03/2026</t>
  </si>
  <si>
    <t>24ABJ.NINJT096.1JR</t>
  </si>
  <si>
    <t>Master Meter Syamsudin</t>
  </si>
  <si>
    <t>Jl. Cempaka RT 17 RW 13</t>
  </si>
  <si>
    <t>AJC/2025/06/Q800/220</t>
  </si>
  <si>
    <t>AJCPOV-2506019</t>
  </si>
  <si>
    <t>PR/BPM/JTLBarat/2506/0115</t>
  </si>
  <si>
    <t>BPMPO-2505801</t>
  </si>
  <si>
    <t>PR/BPM/JTLBarat/2506/0114</t>
  </si>
  <si>
    <t>24ABJ.NINJT096.1.1JR</t>
  </si>
  <si>
    <t>Master Meter Syamsudin - Reinforcement</t>
  </si>
  <si>
    <t>AJC/2025/06/Q800/222</t>
  </si>
  <si>
    <t>AJCPOV-2506021</t>
  </si>
  <si>
    <t>PR/BPM/JTLBarat/2506/0113</t>
  </si>
  <si>
    <t>BPMPO-2505808</t>
  </si>
  <si>
    <t>PR/BPM/JTLBarat/2506/0112</t>
  </si>
  <si>
    <t>24ABJ.NINJT095.5JR</t>
  </si>
  <si>
    <t>Master Meter Sardi KSM Pesanggrahan</t>
  </si>
  <si>
    <t>Jl. Pademangan VIII Gg Pesanggrahan 9 No 76 RT/RW 007/012 Pademangan</t>
  </si>
  <si>
    <t>AJC/2025/06/Q800/226</t>
  </si>
  <si>
    <t>AJCPOV-2506029</t>
  </si>
  <si>
    <t>PR/BPM/JTLBarat/2506/0104</t>
  </si>
  <si>
    <t>BPMPO-2505151</t>
  </si>
  <si>
    <t>PR/BPM/JTLBarat/2506/0103</t>
  </si>
  <si>
    <t>24ABJ.NINJT076.02JR</t>
  </si>
  <si>
    <t>Master Meter Hasnawati, Kalo, dan Sudirman</t>
  </si>
  <si>
    <t>Jl. Kalibaru Timur</t>
  </si>
  <si>
    <t>AJC/2025/06/Q800/228</t>
  </si>
  <si>
    <t>AJCPOV-2507019</t>
  </si>
  <si>
    <t>PR/BPM/JTLBarat/2508/00070</t>
  </si>
  <si>
    <t>BPMPO-2506724</t>
  </si>
  <si>
    <t>PT PRAKASA ENVIRO INDONESIA</t>
  </si>
  <si>
    <t>PR/BPM/JTLBarat/2508/00069</t>
  </si>
  <si>
    <t>BPMPO-2508157</t>
  </si>
  <si>
    <t>28/2/2026, 02/3/2026</t>
  </si>
  <si>
    <t>24ABJ.NINJT076.02.1JR</t>
  </si>
  <si>
    <t>Master Meter Hasnawati, Kalo, dan Sudirman - Reinforcement</t>
  </si>
  <si>
    <t>AJC/2025/06/Q800/230</t>
  </si>
  <si>
    <t>AJCPOV-2506048</t>
  </si>
  <si>
    <t>PR/BPM/JTLBarat/2506/0106</t>
  </si>
  <si>
    <t>BPMPO-2504950</t>
  </si>
  <si>
    <t>PR/BPM/JTLBarat/2506/0105</t>
  </si>
  <si>
    <t>BPMPO-2508053</t>
  </si>
  <si>
    <t xml:space="preserve">14 Okt 25, 28/02/2026, 02/03/2026, 07/03/2026, </t>
  </si>
  <si>
    <t>24ABJ.NINJTP008.4JR</t>
  </si>
  <si>
    <t>P008 Toilet Disabilitas</t>
  </si>
  <si>
    <t>Jl. Ketumbar 1</t>
  </si>
  <si>
    <t>AJC/2025/07/Q800/283</t>
  </si>
  <si>
    <t>AJCPOV-2507022</t>
  </si>
  <si>
    <t>PR/BPM/JTLBarat/2510/0029</t>
  </si>
  <si>
    <t>BPMPO-2506672</t>
  </si>
  <si>
    <t>PR/BPM/JTLBarat/2510/0030</t>
  </si>
  <si>
    <t>24ABJ.NINJT068.2JR</t>
  </si>
  <si>
    <t>PC 068 Tipar Cakung</t>
  </si>
  <si>
    <t>Jl. Tipar Cakung Kel Cakung Barat Kec Cakung</t>
  </si>
  <si>
    <t>AJC/2025/07/Q800/285</t>
  </si>
  <si>
    <t>AJCPOV-2507024</t>
  </si>
  <si>
    <t>PR/BPM/JTLBarat/2510/0031</t>
  </si>
  <si>
    <t>BPMPO-2506768</t>
  </si>
  <si>
    <t>PR/BPM/JTLBarat/2510/0032</t>
  </si>
  <si>
    <t>24ABJ.NINJTP008.14JR</t>
  </si>
  <si>
    <t>P008 HokBen</t>
  </si>
  <si>
    <t>Jl. Lada Stand Stasiun Kota Pintu Utara</t>
  </si>
  <si>
    <t>25ABJ.NINJTS010.1JR</t>
  </si>
  <si>
    <t>S010 Pancoran Barat VIB</t>
  </si>
  <si>
    <t>Jl Pancoran Barat VI B</t>
  </si>
  <si>
    <t>AJC/2025/07/Q800/289</t>
  </si>
  <si>
    <t>AJCPOV-2507018</t>
  </si>
  <si>
    <t>PR/BPM/JTLBarat/2510/0035</t>
  </si>
  <si>
    <t>BPMPO-2506790</t>
  </si>
  <si>
    <t>PR/BPM/JTLBarat/2510/0036</t>
  </si>
  <si>
    <t>BPMPO-2508231</t>
  </si>
  <si>
    <t>25ABJ.NINJT076.1JR</t>
  </si>
  <si>
    <t>PC 076 Gg Batagor</t>
  </si>
  <si>
    <t>Jl Kalibaru Barat 11 Gg Batagor RT -5/15</t>
  </si>
  <si>
    <t>AJC/2025/07/Q800/291</t>
  </si>
  <si>
    <t>AJCPOV-2507029</t>
  </si>
  <si>
    <t>PR/BPM/JTLBarat/2510/0033</t>
  </si>
  <si>
    <t>BPMPO-2506674</t>
  </si>
  <si>
    <t>PR/BPM/JTLBarat/2510/0034</t>
  </si>
  <si>
    <t>BPMPO-2508040</t>
  </si>
  <si>
    <t>25ABJ.NINJT078.1JR</t>
  </si>
  <si>
    <t>PC 078 Gg Bougenville RT.05 (Tanah Merah),Gg Mawar 3, Gg Anggrek, Gg Teratai, Gg Dahlia</t>
  </si>
  <si>
    <t>Gg Bougenville, Gg Mawar, Gg Anggrek, Gg Teratai, Gg Dahlia, RKel Rawabadak Selatan Kec.Koja</t>
  </si>
  <si>
    <t>AJC/2025/07/Q800/293</t>
  </si>
  <si>
    <t>AJCPOV-2508030</t>
  </si>
  <si>
    <t>PR/BPM/JTLBarat/2508/0016</t>
  </si>
  <si>
    <t>BPMPO-2506627</t>
  </si>
  <si>
    <t>PR/BPM/JTLBarat/2508/0017</t>
  </si>
  <si>
    <t>BPMPO-2604400</t>
  </si>
  <si>
    <t>25ABJ.NINJT068.1JR</t>
  </si>
  <si>
    <t>PC 068 RT 03/RW04 Sukapura</t>
  </si>
  <si>
    <t>RT 03/RW04 Sukapura &amp; RT 05/RW010 Sukapura</t>
  </si>
  <si>
    <t>AJC/2025/07/Q800/295</t>
  </si>
  <si>
    <t>AJCPOV-2508013</t>
  </si>
  <si>
    <t>PR/BPM/JTLBarat/2508/00068</t>
  </si>
  <si>
    <t>BPMPO-2507049</t>
  </si>
  <si>
    <t>25ABJ.NINJT069.1JR</t>
  </si>
  <si>
    <t>PC 069 RT 04/RW 03 Sukapura</t>
  </si>
  <si>
    <t>GG Salon Ujung RT/RW 004/003 Sukapura</t>
  </si>
  <si>
    <t>AJC/2025/07/Q800/297</t>
  </si>
  <si>
    <t>AJCPOV-2508026</t>
  </si>
  <si>
    <t>PR/BPM/JTLBarat/2510/0037</t>
  </si>
  <si>
    <t>BPMPO-2507052</t>
  </si>
  <si>
    <t>24ABJ.NINJT049.1JR</t>
  </si>
  <si>
    <t>PC 049 Cluster Alexandria</t>
  </si>
  <si>
    <t>Jl. Pulomas Barat Daya RT. 007 RW. 009 Kelurahan Kayu Putih, Kecamatan Pulogadung, Jakarta Timur</t>
  </si>
  <si>
    <t>AJC/2025/10/Q800/418</t>
  </si>
  <si>
    <t>AJCPOV-2510028</t>
  </si>
  <si>
    <t>PR/BPM/JTLBarat/2511/0054</t>
  </si>
  <si>
    <t>PR/BPM/JTLBarat/2511/0055</t>
  </si>
  <si>
    <t>BPMPO-2502601</t>
  </si>
  <si>
    <t>25ABJ.NINJT054.3JR</t>
  </si>
  <si>
    <t>PC 054 Cahya</t>
  </si>
  <si>
    <t>Kamp Pulo Jahe GG H Cahya 2</t>
  </si>
  <si>
    <t>AJC/2025/07/Q800/300</t>
  </si>
  <si>
    <t>AJCPOV-2508027</t>
  </si>
  <si>
    <t>PR/BPM/JTLBarat/2510/0003</t>
  </si>
  <si>
    <t>BPMPO-2506445</t>
  </si>
  <si>
    <t>PR/BPM/JTLBarat/2510/0004</t>
  </si>
  <si>
    <t>BPMPO-2507949</t>
  </si>
  <si>
    <t>25ABJ.NINJT054.4JR</t>
  </si>
  <si>
    <t>PC 054 Perumahan Jatinegara Indah</t>
  </si>
  <si>
    <t>Jl. Gunung Dempo RT/RW 007/009</t>
  </si>
  <si>
    <t>AJC/2025/07/Q800/303</t>
  </si>
  <si>
    <t>AJCPOV-2508056</t>
  </si>
  <si>
    <t>PR/BPM/JTLBarat/2510/0012</t>
  </si>
  <si>
    <t>BPMPO-2506605</t>
  </si>
  <si>
    <t>PR/BPM/JTLBarat/2510/0013</t>
  </si>
  <si>
    <t>25ABJ.NINJT054.5JR</t>
  </si>
  <si>
    <t>PC 054 Rawa Badung RW 07</t>
  </si>
  <si>
    <t>Jl. Kp. Rawa Badung RT/RW 011/007</t>
  </si>
  <si>
    <t>AJC/2025/07/Q800/305</t>
  </si>
  <si>
    <t>AJCPOV-2509040</t>
  </si>
  <si>
    <t>PR/BPM/JTLBarat/2510/0023</t>
  </si>
  <si>
    <t>BPMPO-2506589</t>
  </si>
  <si>
    <t>PR/BPM/JTLBarat/2510/0024</t>
  </si>
  <si>
    <t>BPMPO-2508125</t>
  </si>
  <si>
    <t>18/12/2025. 22/12/2025</t>
  </si>
  <si>
    <t>25ABJ.NINJT054.6JR</t>
  </si>
  <si>
    <t>PC 054 Oran Danarsio</t>
  </si>
  <si>
    <t>RT. 003 RW. 05 Kelurahan Jatinegara, Kecamatan Cakung , Jakarta Timur</t>
  </si>
  <si>
    <t>AJC/2025/07/Q800/307</t>
  </si>
  <si>
    <t>AJCPOV-2508041</t>
  </si>
  <si>
    <t>PR/BPM/JTLBarat/2508/0007</t>
  </si>
  <si>
    <t>BPMPO-2506598</t>
  </si>
  <si>
    <t>PR/BPM/JTLBarat/2508/0008</t>
  </si>
  <si>
    <t>BPMPO-2507952</t>
  </si>
  <si>
    <t>25ABJ.NINJT067.1JR</t>
  </si>
  <si>
    <t>PC 067 CPT Angkasa Panca Bersaudara</t>
  </si>
  <si>
    <t>Jl. Gading Kirana 7</t>
  </si>
  <si>
    <t>AJC/2025/07/Q800/313</t>
  </si>
  <si>
    <t>AJCPOV-2508057</t>
  </si>
  <si>
    <t>PR/BPM/JTLBarat/2510/0005</t>
  </si>
  <si>
    <t>BPMPO-2506793</t>
  </si>
  <si>
    <t>PR/BPM/JTLBarat/2510/0006</t>
  </si>
  <si>
    <t>24ABJ.NINJT070.6JR</t>
  </si>
  <si>
    <t>PC 070  Kawasan JGC</t>
  </si>
  <si>
    <t>Jl. Boulevard Jakarta Garden City</t>
  </si>
  <si>
    <t>AJC/2025/07/Q800/309</t>
  </si>
  <si>
    <t>AJCPOV-2509039</t>
  </si>
  <si>
    <t>PR/BPM/JTLBarat/2510/0025</t>
  </si>
  <si>
    <t>BPMPO-2507023</t>
  </si>
  <si>
    <t>PR/BPM/JTLBarat/2510/0026</t>
  </si>
  <si>
    <t>25ABJ.NINJT054.14JR</t>
  </si>
  <si>
    <t>PC 054 Solikhun</t>
  </si>
  <si>
    <t>AJC/2025/10/Q800/417</t>
  </si>
  <si>
    <t>AJCPOV-2510023</t>
  </si>
  <si>
    <t>PR/BPM/JTLBarat/2511/0060</t>
  </si>
  <si>
    <t>BPMPO-2507050</t>
  </si>
  <si>
    <t>PR/BPM/JTLBarat/2511/0061</t>
  </si>
  <si>
    <t>BPMPO-2508288</t>
  </si>
  <si>
    <t>25ABJ.NINJT070.2JR</t>
  </si>
  <si>
    <t>PC 070  Jl. Inspeksi Kirana</t>
  </si>
  <si>
    <t>Jl. Inspeksi Kirana RT/RW 002/005</t>
  </si>
  <si>
    <t>AJC/2025/07/Q800/315</t>
  </si>
  <si>
    <t>AJCPOV-2508047</t>
  </si>
  <si>
    <t>PR/BPM/JTLBarat/2510/0014</t>
  </si>
  <si>
    <t>BPMPO-2506678</t>
  </si>
  <si>
    <t>PR/BPM/JTLBarat/2510/0015</t>
  </si>
  <si>
    <t>BPMPO-2508121</t>
  </si>
  <si>
    <t>25ABJ.NINJT068.2JR</t>
  </si>
  <si>
    <t>PC 068 Jl. Rawa Indah</t>
  </si>
  <si>
    <t>Jl. Rawa Indah RT/RW 003/003</t>
  </si>
  <si>
    <t>AJC/2025/07/Q800/318</t>
  </si>
  <si>
    <t>AJCPOV-2508042</t>
  </si>
  <si>
    <t>PR/BPM/JTLBarat/2510/0016</t>
  </si>
  <si>
    <t>BPMPO-2506677</t>
  </si>
  <si>
    <t>PR/BPM/JTLBarat/2510/0017</t>
  </si>
  <si>
    <t>BPMPO-2604399</t>
  </si>
  <si>
    <t>25ABJ.NINJT071.1JR</t>
  </si>
  <si>
    <t>PC 071 Gereja Tugu Raya</t>
  </si>
  <si>
    <t>Gereja Tugu Raya Jl. Tugu Raya Kel Semper Kec Cilincing</t>
  </si>
  <si>
    <t>AJC/2025/07/Q800/320</t>
  </si>
  <si>
    <t>AJCPOV-2508043</t>
  </si>
  <si>
    <t>PR/BPM/JTLBarat/2510/0018</t>
  </si>
  <si>
    <t>BPMPO-2506676</t>
  </si>
  <si>
    <t>PR/BPM/JTLBarat/2510/0019</t>
  </si>
  <si>
    <t>BPMPO-2604398</t>
  </si>
  <si>
    <t>25ABJ.NINJTS010.2JR</t>
  </si>
  <si>
    <t>S010 Kos Yanti</t>
  </si>
  <si>
    <t>JL KEMANG TIMUR V NO. 7</t>
  </si>
  <si>
    <t>AJC/2025/08/Q800/348</t>
  </si>
  <si>
    <t>AJCPOV-2508058</t>
  </si>
  <si>
    <t>PR/BPM/JTLBarat/2508/0009</t>
  </si>
  <si>
    <t>BPMPO-2505566</t>
  </si>
  <si>
    <t>PR/BPM/JTLBarat/2508/0010</t>
  </si>
  <si>
    <t>BPMPO-2604173</t>
  </si>
  <si>
    <t>24ABJ.NINJTP008.9JR</t>
  </si>
  <si>
    <t>P008 Kebon Bawang</t>
  </si>
  <si>
    <t>Jl. Bakti RT 03 RW 12</t>
  </si>
  <si>
    <t>AJC/2025/10/Q800/421</t>
  </si>
  <si>
    <t>AJCPOV-2510031</t>
  </si>
  <si>
    <t>PR/BPM/JTLBarat/2511/0056</t>
  </si>
  <si>
    <t>BPMPO-2507181</t>
  </si>
  <si>
    <t>PR/BPM/JTLBarat/2511/0057</t>
  </si>
  <si>
    <t>24ABJ.NINJT080.2JR</t>
  </si>
  <si>
    <t>PC 080 Henny Lasmaida Simbolon</t>
  </si>
  <si>
    <t>Jl. Kampung Walang No 61, RT 10/03</t>
  </si>
  <si>
    <t>AJC/2025/09/Q800/391</t>
  </si>
  <si>
    <t>AJCPOV-2509047</t>
  </si>
  <si>
    <t>PR/BPM/JTLBarat/2510/0027</t>
  </si>
  <si>
    <t>BPMPO-2507432</t>
  </si>
  <si>
    <t>PR/BPM/JTLBarat/2510/0028</t>
  </si>
  <si>
    <t>24ABJ.NINJT089.1JR</t>
  </si>
  <si>
    <t>PC 089 Ningsih</t>
  </si>
  <si>
    <t>Jl. Enggano No 53 RT/RW 06/016</t>
  </si>
  <si>
    <t>AJC/2025/10/Q800/422</t>
  </si>
  <si>
    <t>AJCPOV-2510027</t>
  </si>
  <si>
    <t>PR/BPM/JTLBarat/2511/0058</t>
  </si>
  <si>
    <t>BPMPO-2507180</t>
  </si>
  <si>
    <t>PR/BPM/JTLBarat/2511/0059</t>
  </si>
  <si>
    <t>25ABJ.NINJTP004.1JR</t>
  </si>
  <si>
    <t>P004 Jl Tomang Pulo RT 002 RW 05</t>
  </si>
  <si>
    <t>Jl Tomang Pulo RT 002 RW 05</t>
  </si>
  <si>
    <t>AJC/2025/10/Q800/413</t>
  </si>
  <si>
    <t>AJCPOV-2510015</t>
  </si>
  <si>
    <t>PR/BPM/JTLBarat/2508/0018</t>
  </si>
  <si>
    <t>BPMPO-2506144</t>
  </si>
  <si>
    <t>PR/BPM/JTLBarat/2508/0019</t>
  </si>
  <si>
    <t>11/7/2025,
6/5/2026</t>
  </si>
  <si>
    <t>11/12/2025,
6/5/2026</t>
  </si>
  <si>
    <t>25ABJ.NINJT078.6JR</t>
  </si>
  <si>
    <t>PC 078 Jl. Perjuangan</t>
  </si>
  <si>
    <t>Jl. Perjuangan RT 001-009 RW 010 Kel. Rawa Badak Selatan</t>
  </si>
  <si>
    <t>AJC/2025/10/Q800/420</t>
  </si>
  <si>
    <t>AJCPOV-2510024</t>
  </si>
  <si>
    <t>PR/BPM/JTLBarat/2508/0024</t>
  </si>
  <si>
    <t>BPMPO-2506342</t>
  </si>
  <si>
    <t>PR/BPM/JTLBarat/2508/0025</t>
  </si>
  <si>
    <t>BPMPO-2604730</t>
  </si>
  <si>
    <t>15 Nov 25, 7 Des 25</t>
  </si>
  <si>
    <t>24ABJ.NINKARB016.JE</t>
  </si>
  <si>
    <t>B016 PT Lucky Point Asaba</t>
  </si>
  <si>
    <t>Kapuk Raya Blok 1 Kav 1 &amp; 3 Kel. Kapuk Muara RT 07/03</t>
  </si>
  <si>
    <t>AJC/2025/05/Q800/183</t>
  </si>
  <si>
    <t>AJCPOV-2505102</t>
  </si>
  <si>
    <t>PR/BPM/KRN-HLR/2507/095</t>
  </si>
  <si>
    <t>BPMPO-2506533</t>
  </si>
  <si>
    <t>PR/BPM/KRN-HLR/2507/096</t>
  </si>
  <si>
    <t>24ABJ.NINKARS002.1JE</t>
  </si>
  <si>
    <t>S002 Terogong Raya</t>
  </si>
  <si>
    <t>Terogong Raya No. 88</t>
  </si>
  <si>
    <t>AJC/2025/05/Q800/182</t>
  </si>
  <si>
    <t>AJCPOV-2505074</t>
  </si>
  <si>
    <t>PR/BPM/KRN-HLR/2507/093</t>
  </si>
  <si>
    <t>BPMPO-2506908</t>
  </si>
  <si>
    <t>PR/BPM/KRN-HLR/2507/094</t>
  </si>
  <si>
    <t>24ABJ.NINKARB006.10JE</t>
  </si>
  <si>
    <t>B006 Ibu Elly</t>
  </si>
  <si>
    <t>Jl. Surya Muatiara 3 RT/02 RW/02</t>
  </si>
  <si>
    <t>AJC/2025/05/Q800/185</t>
  </si>
  <si>
    <t>AJCPOV-2505077</t>
  </si>
  <si>
    <t>PR/BPM/KRN-HLR/2507/118</t>
  </si>
  <si>
    <t>BPMPO-2506334</t>
  </si>
  <si>
    <t>PR/BPM/KRN-HLR/2507/122</t>
  </si>
  <si>
    <t>25ABJ.NINKARS017.1JR</t>
  </si>
  <si>
    <t>S017 Cluster Taman Aries</t>
  </si>
  <si>
    <t>Jl. Perumahan Taman Arie Blok G7</t>
  </si>
  <si>
    <t>AJC/2025/05/Q800/187</t>
  </si>
  <si>
    <t>AJCPOV-2505101</t>
  </si>
  <si>
    <t>PR/BPM/KRN-HLR/2507/120</t>
  </si>
  <si>
    <t>BPMPO-2506542</t>
  </si>
  <si>
    <t>PR/BPM/KRN-HLR/2508/127</t>
  </si>
  <si>
    <t>24ABJ.NINKARBN00.1JE</t>
  </si>
  <si>
    <t>BN00 PT Lumas Jaya Industri &amp; PT Honda Mugen</t>
  </si>
  <si>
    <t>Jl. Outer Ring Road RT 005/001, Kel. Kembangan Utara</t>
  </si>
  <si>
    <t>AJC/2025/05/Q800/189</t>
  </si>
  <si>
    <t>AJCPOV-2505075</t>
  </si>
  <si>
    <t>PR/BPM/KRN-HLR/2507/089</t>
  </si>
  <si>
    <t>BPMPO-2505187</t>
  </si>
  <si>
    <t>PR/BPM/KRN-HLR/2507/090</t>
  </si>
  <si>
    <t>Segmen 1
20/05/2026
Segmen 2
8/06/2026</t>
  </si>
  <si>
    <t>24ABJ.NINKARBN02.1JE</t>
  </si>
  <si>
    <t>BN02 PT Artha Citra Hutama</t>
  </si>
  <si>
    <t>Jl. Pantai Indah Selatan, Komp Pergudangan Sentra Industri</t>
  </si>
  <si>
    <t>AJC/2025/05/Q800/180</t>
  </si>
  <si>
    <t>AJCPOV-2505076</t>
  </si>
  <si>
    <t>PR/BPM/KRN-HLR/2507/091</t>
  </si>
  <si>
    <t>BPMPO-2505189</t>
  </si>
  <si>
    <t>PR/BPM/KRN-HLR/2507/092</t>
  </si>
  <si>
    <t>23ABJ.NPPKAR036JE</t>
  </si>
  <si>
    <t>P36 Daan Mogot (DN500)</t>
  </si>
  <si>
    <t>Daan Mogot</t>
  </si>
  <si>
    <t>AJC/2025/05/Q800/111</t>
  </si>
  <si>
    <t>AJCPOV-2505096</t>
  </si>
  <si>
    <t>PR/BPM/KRN-HLR/2506/068</t>
  </si>
  <si>
    <t>BPMPO-2504036</t>
  </si>
  <si>
    <t>PR/BPM/KRN-HLR/2506/070</t>
  </si>
  <si>
    <t>25ABJ.NINKARB020.4JE</t>
  </si>
  <si>
    <t>B020 Citra 5 Tambahan</t>
  </si>
  <si>
    <t>AJC/2025/06/Q800/216</t>
  </si>
  <si>
    <t>AJCPOV-2506044</t>
  </si>
  <si>
    <t>PR/BPM/KRN-HLR/2507/105</t>
  </si>
  <si>
    <t>BPMPO-2505019</t>
  </si>
  <si>
    <t>PR/BPM/KRN-HLR/2507/106</t>
  </si>
  <si>
    <t>BPMPO-2604211</t>
  </si>
  <si>
    <t>25ABJ.NINKARB020.1JE</t>
  </si>
  <si>
    <t>B020 Bitz Park</t>
  </si>
  <si>
    <t>AJC/2025/06/Q800/232</t>
  </si>
  <si>
    <t>AJCPOV-2506039</t>
  </si>
  <si>
    <t>PR/BPM/KRN-HLR/2507/121</t>
  </si>
  <si>
    <t>BPMPO-2505791</t>
  </si>
  <si>
    <t>PR/BPM/KRN-HLR/2508/128</t>
  </si>
  <si>
    <t>25ABJ.NINKARB020.2JE</t>
  </si>
  <si>
    <t>B020 Distribusi Daan Mogot</t>
  </si>
  <si>
    <t>AJC/2025/06/Q800/234</t>
  </si>
  <si>
    <t>AJCPOV-2506046</t>
  </si>
  <si>
    <t>PR/BPM/KRN-HLR/2507/110</t>
  </si>
  <si>
    <t>BPMPO-2506341</t>
  </si>
  <si>
    <t>PR/BPM/KRN-HLR/2507/109</t>
  </si>
  <si>
    <t>25ABJ.NINKARB020.3JE</t>
  </si>
  <si>
    <t>B020 Tanjung Pura</t>
  </si>
  <si>
    <t>Tanjung Pura</t>
  </si>
  <si>
    <t>AJC/2025/10/Q800/471</t>
  </si>
  <si>
    <t>AJCPOV-2511039</t>
  </si>
  <si>
    <t>PR/BPM/KRN-HLR/2507/114</t>
  </si>
  <si>
    <t>BPMPO-2505806</t>
  </si>
  <si>
    <t>PR/BPM/KRN-HLR/2507/108</t>
  </si>
  <si>
    <t>24ABJ.NINKARB006.6JE</t>
  </si>
  <si>
    <t>B006 CV Jakarta Mall Expressindo</t>
  </si>
  <si>
    <t>Jl. Kedoya Raya No.59 RT 01/RW 05</t>
  </si>
  <si>
    <t>AJC/2025/09/Q800/363</t>
  </si>
  <si>
    <t>AJCPOV-2509021</t>
  </si>
  <si>
    <t>PR/BPM/KRN-HLR/2510/163</t>
  </si>
  <si>
    <t>BPMPO-2506609</t>
  </si>
  <si>
    <t>PR/BPM/KRN-HLR/2510/164</t>
  </si>
  <si>
    <t>24ABJ.NINKARB016.7JE</t>
  </si>
  <si>
    <t>B016 PT Porto Indonesia</t>
  </si>
  <si>
    <t>Jl. Vikamas Selatan 1</t>
  </si>
  <si>
    <t>AJC/2025/09/Q800/371</t>
  </si>
  <si>
    <t>AJCPOV-2509014</t>
  </si>
  <si>
    <t>PR/BPM/KRN-HLR/2510/157</t>
  </si>
  <si>
    <t>BPMPO-2506907</t>
  </si>
  <si>
    <t>PR/BPM/KRN-HLR/2510/159</t>
  </si>
  <si>
    <t>BPMPO-2604390</t>
  </si>
  <si>
    <t>24ABJ.NINKARB020.19JE</t>
  </si>
  <si>
    <t>B020 Perumahan Kalideres Permai</t>
  </si>
  <si>
    <t>Jl. Kalideres Permai</t>
  </si>
  <si>
    <t>AJC/2025/09/Q800/373</t>
  </si>
  <si>
    <t>AJCPOV-2509008</t>
  </si>
  <si>
    <t>PR/BPM/KRN-HLR/2510/167</t>
  </si>
  <si>
    <t>BPMPO-2506593</t>
  </si>
  <si>
    <t>PR/BPM/KRN-HLR/2510/168</t>
  </si>
  <si>
    <t>24ABJ.NINKARB019.17JE</t>
  </si>
  <si>
    <t>B019 Satpol PP Jakarta</t>
  </si>
  <si>
    <t>Jl. Rusun Flamboyan RT 01 RW 10</t>
  </si>
  <si>
    <t>AJC/2025/09/Q800/375</t>
  </si>
  <si>
    <t>AJCPOV-2509009</t>
  </si>
  <si>
    <t>PR/BPM/KRN-HLR/2510/178</t>
  </si>
  <si>
    <t>BPMPO-2507024</t>
  </si>
  <si>
    <t>PR/BPM/KRN-HLR/2510/179</t>
  </si>
  <si>
    <t>25ABJ.NINKARB006.1JE</t>
  </si>
  <si>
    <t>B006 Charles Kurniawan</t>
  </si>
  <si>
    <t>Komplek Green Garden Residence, Kedoya utara, Kebon Jeruk</t>
  </si>
  <si>
    <t>AJC/2025/09/Q800/377</t>
  </si>
  <si>
    <t>AJCPOV-2509010</t>
  </si>
  <si>
    <t>PR/BPM/KRN-HLR/2510/155</t>
  </si>
  <si>
    <t>BPMPO-2506546</t>
  </si>
  <si>
    <t>PR/BPM/KRN-HLR/2510/156</t>
  </si>
  <si>
    <t>BPMPO-2506760</t>
  </si>
  <si>
    <t>25ABJ.NINKARS006.1JE</t>
  </si>
  <si>
    <t>S006 Jiban</t>
  </si>
  <si>
    <t>Jl. Jiban No. 6 RT/RW 014/01</t>
  </si>
  <si>
    <t>AJC/2025/09/Q800/380</t>
  </si>
  <si>
    <t>AJCPOV-2509033</t>
  </si>
  <si>
    <t>PR/BPM/KRN-HLR/2510/165</t>
  </si>
  <si>
    <t>BPMPO-2507030</t>
  </si>
  <si>
    <t>PR/BPM/KRN-HLR/2510/166</t>
  </si>
  <si>
    <t>BPMPO-2508031</t>
  </si>
  <si>
    <t>25ABJ.NINKARSN01.1JE</t>
  </si>
  <si>
    <t>SN01 Benda Raya &amp; Kemang Fight Gym</t>
  </si>
  <si>
    <t>Jl. Benda Raya No.20 RT/RW 011/004</t>
  </si>
  <si>
    <t>AJC/2025/09/Q800/365</t>
  </si>
  <si>
    <t>AJCPOV-2509019</t>
  </si>
  <si>
    <t>PR/BPM/KRN-HLR/2510/160</t>
  </si>
  <si>
    <t>BPMPO-2506592</t>
  </si>
  <si>
    <t>PR/BPM/KRN-HLR/2510/162</t>
  </si>
  <si>
    <t>23ABJ.NPPKAR036JE.1</t>
  </si>
  <si>
    <t>P36 Daan Mogot (DN500) Pemasangan EFM dan RTU</t>
  </si>
  <si>
    <t>AJC/2025/08/Q800/342</t>
  </si>
  <si>
    <t>AJCPOV-2509031</t>
  </si>
  <si>
    <t>PR/BPM/KRN-HLR/2508/134</t>
  </si>
  <si>
    <t>25ABJ.NINKARSN02.3JE</t>
  </si>
  <si>
    <t>SN02 Rumah Wagub DKJ</t>
  </si>
  <si>
    <t>JL.KARANG ASRI VII NO.1A BLOK C6 RT.013/RW.003 KEL. LEBAK BULUS, KEC. CILANDAK</t>
  </si>
  <si>
    <t>AJC/2025/08/Q800/341</t>
  </si>
  <si>
    <t>AJCPOV-2509030</t>
  </si>
  <si>
    <t>PR/BPM/KRN-HLR/2509/146</t>
  </si>
  <si>
    <t>BPMPO-2506523</t>
  </si>
  <si>
    <t>PR/BPM/KRN-HLR/2509/147</t>
  </si>
  <si>
    <t>BPMPO-2507207</t>
  </si>
  <si>
    <t>24ABJ.NINKARS017.1JE</t>
  </si>
  <si>
    <t>S017 Copylast Blok K Cluster Lavender</t>
  </si>
  <si>
    <t>Jl. Jeruk Barat</t>
  </si>
  <si>
    <t>AJC/2025/09/Q800/366</t>
  </si>
  <si>
    <t>AJCPOV-2509023</t>
  </si>
  <si>
    <t>PR/BPM/KRN-HLR/2509/149</t>
  </si>
  <si>
    <t>BPMPO-2506548</t>
  </si>
  <si>
    <t>PR/BPM/KRN-HLR/2509/150</t>
  </si>
  <si>
    <t>BPMPO-2501516</t>
  </si>
  <si>
    <t>25ABJ.NINKARS002.1JE</t>
  </si>
  <si>
    <t>S002 PT Eka Boga Inti</t>
  </si>
  <si>
    <t>Jl. RS Fatmawati No 37F</t>
  </si>
  <si>
    <t>AJC/2025/09/Q800/369</t>
  </si>
  <si>
    <t>AJCPOV-2509015</t>
  </si>
  <si>
    <t>PR/BPM/KRN-HLR/2510/153</t>
  </si>
  <si>
    <t>BPMPO-2507054</t>
  </si>
  <si>
    <t>PR/BPM/KRN-HLR/2510/154</t>
  </si>
  <si>
    <t>25ABJ.NINKARB020.18JE</t>
  </si>
  <si>
    <t>B020 Jl.Cendrawasih 7</t>
  </si>
  <si>
    <t>Jl. Cendrawasih 7 RT/RW 006/06</t>
  </si>
  <si>
    <t>AJC/2025/08/Q800/344</t>
  </si>
  <si>
    <t>AJCPOV-2509020</t>
  </si>
  <si>
    <t>PR/BPM/KRN-HLR/2509/142</t>
  </si>
  <si>
    <t>BPMPO-2506147</t>
  </si>
  <si>
    <t>PR/BPM/KRN-HLR/2509/143</t>
  </si>
  <si>
    <t>BPMPO-2508146</t>
  </si>
  <si>
    <t>25ABJ.NINKARB018.1JE</t>
  </si>
  <si>
    <t>B018 Jl. Puspa 5</t>
  </si>
  <si>
    <t>Jl. Puspa 5 RT 011 RW 012, Kelurahan Cengkareng Timur</t>
  </si>
  <si>
    <t>AJC/2025/08/Q800/346</t>
  </si>
  <si>
    <t>AJCPOV-2509018</t>
  </si>
  <si>
    <t>PR/BPM/KRN-HLR/2509/137</t>
  </si>
  <si>
    <t>BPMPO-2506157</t>
  </si>
  <si>
    <t>PR/BPM/KRN-HLR/2509/139</t>
  </si>
  <si>
    <t>25ABJ.NINKARS017.3JE</t>
  </si>
  <si>
    <t>S017 Arman Setiawan Tanudjaja</t>
  </si>
  <si>
    <t>JL.KEMBANG KENCANA NO.165 166 167, KELURAHAN MERUYA UTARA, KECAMATAN KEMBANGAN</t>
  </si>
  <si>
    <t>AJC/2025/09/Q800383</t>
  </si>
  <si>
    <t>AJCPOV-2509022</t>
  </si>
  <si>
    <t>PR/BPM/KRN-HLR/2509/140</t>
  </si>
  <si>
    <t>BPMPO-2506151</t>
  </si>
  <si>
    <t>PR/BPM/KRN-HLR/2509/141</t>
  </si>
  <si>
    <t>BPMPO-2508223</t>
  </si>
  <si>
    <t>25ABJ.NINKARB014.1JE</t>
  </si>
  <si>
    <t>Infil B014 PT Pacific Ixintraco</t>
  </si>
  <si>
    <t xml:space="preserve"> Jl. Balongan Baru Utara RT.009 Rw.03 Semanan RW.14, Kalideres</t>
  </si>
  <si>
    <t>AJC/2025/09/Q800/400</t>
  </si>
  <si>
    <t>AJCPOV-2510014</t>
  </si>
  <si>
    <t>PR/BPM/KRN-HLR/2509/136</t>
  </si>
  <si>
    <t>BPMPO-2506476</t>
  </si>
  <si>
    <t>PR/BPM/KRN-HLR/2509/138</t>
  </si>
  <si>
    <t>BPMPO-2508225</t>
  </si>
  <si>
    <t>NPP23JTA B02</t>
  </si>
  <si>
    <t>B2 - Ancol DN800</t>
  </si>
  <si>
    <t>Jl. Lodan Raya, Kel. Ancol, Kec. Pademangan</t>
  </si>
  <si>
    <t>AJC/2025/07/Q800/260</t>
  </si>
  <si>
    <t>AJCPOV-2507014</t>
  </si>
  <si>
    <t>PR/BPM/JTLBarat/2401/0005</t>
  </si>
  <si>
    <t>sudah</t>
  </si>
  <si>
    <t>PR/BPM/JTLBarat/2312/0053</t>
  </si>
  <si>
    <t>7.Proses Rekomtek</t>
  </si>
  <si>
    <t>24ABJ.PNAJT151JR1</t>
  </si>
  <si>
    <t>IBP Basura</t>
  </si>
  <si>
    <t>lps</t>
  </si>
  <si>
    <t>JL. JEND. BASUKI RACHMAT</t>
  </si>
  <si>
    <t>AJC/2025/11/Q800/507</t>
  </si>
  <si>
    <t>AJCPOV-2512021</t>
  </si>
  <si>
    <t>PR/BPM/TM/2604/0001</t>
  </si>
  <si>
    <t>BPMPO-2605432</t>
  </si>
  <si>
    <t>PR/BPM/JTLBARAT/2602/0001</t>
  </si>
  <si>
    <t>0.Tidak diperlukan Izin IPPJU</t>
  </si>
  <si>
    <t>1.Persiapan Dokumen</t>
  </si>
  <si>
    <t>Menunggu Jadwal Expose/Survey</t>
  </si>
  <si>
    <t>24ABJ.NBVJTA03</t>
  </si>
  <si>
    <t>Mangga Dua DN400</t>
  </si>
  <si>
    <t>Jembatan Mangga Dua , Diameter 400 mm</t>
  </si>
  <si>
    <t>AJC/2026/02/Q800/88</t>
  </si>
  <si>
    <t>AJCPOV-2603008</t>
  </si>
  <si>
    <t>PR/BPM/JTLBarat/2603/0252</t>
  </si>
  <si>
    <t>BPMPO-2605705</t>
  </si>
  <si>
    <t>PR/BPM/JTLBarat/2603/0253</t>
  </si>
  <si>
    <t>24ABJ.NBVJTA04</t>
  </si>
  <si>
    <t>Mangga Besar DN300</t>
  </si>
  <si>
    <t>Jembatan Mangga Besar, Diameter 300 mm</t>
  </si>
  <si>
    <t>AJC/2026/02/Q800/91</t>
  </si>
  <si>
    <t>AJCPOV-2603031</t>
  </si>
  <si>
    <t>BPMPO-2605703</t>
  </si>
  <si>
    <t>PR/BPM/JTLBarat/2604/0262</t>
  </si>
  <si>
    <t>24ABJ.NBVJTA05</t>
  </si>
  <si>
    <t>Samanhudi DN400</t>
  </si>
  <si>
    <t>Jembatan Jln KH Samanhudi</t>
  </si>
  <si>
    <t>AJC/2026/02/Q800/93</t>
  </si>
  <si>
    <t>AJCPOV-2603015</t>
  </si>
  <si>
    <t>PR/BPM/JTLBarat/2604/0263</t>
  </si>
  <si>
    <t>BPMPO-2506706</t>
  </si>
  <si>
    <t>PR/BPM/JTLBarat/2604/0264</t>
  </si>
  <si>
    <t>24ABJ.NBVJTA06</t>
  </si>
  <si>
    <t>Kwitang 1 DN400</t>
  </si>
  <si>
    <t>Jembatan Kwitang 1, Diameter 400 mm</t>
  </si>
  <si>
    <t>AJC/2026/02/Q800/95</t>
  </si>
  <si>
    <t>AJCPOV-2603016</t>
  </si>
  <si>
    <t>PR/BPM/JTLBarat/2604/0265</t>
  </si>
  <si>
    <t>BPMPO-2605707</t>
  </si>
  <si>
    <t>PR/BPM/JTLBarat/2604/0266</t>
  </si>
  <si>
    <t>24ABJ.NBVJTA11</t>
  </si>
  <si>
    <t>Kp Melayu Besar DN400</t>
  </si>
  <si>
    <t>Jembatan Kampung Melayu, Diameter 600 mm</t>
  </si>
  <si>
    <t>AJC/2026/02/Q800/97</t>
  </si>
  <si>
    <t>AJCPOV-2603021</t>
  </si>
  <si>
    <t>PR/BPM/JTLBarat/2604/0281</t>
  </si>
  <si>
    <t>BPMPO-2605704</t>
  </si>
  <si>
    <t>24ABJ.NINJT051</t>
  </si>
  <si>
    <t>PC 051</t>
  </si>
  <si>
    <t>KELURAHAN RAWE TERATE, KECAMATAN CAKUNG</t>
  </si>
  <si>
    <t>AJC/2025/10/Q800/429</t>
  </si>
  <si>
    <t>AJCPOV-2510029</t>
  </si>
  <si>
    <t>PR/BPM/KRN-HLR/2601/0052</t>
  </si>
  <si>
    <t>PR/BPM/KRN-HLR/2601/0053</t>
  </si>
  <si>
    <t>3.Gambar Rekomtek</t>
  </si>
  <si>
    <t>24ABJ.NINJT054</t>
  </si>
  <si>
    <t>PC 054</t>
  </si>
  <si>
    <t>PC 054 KELURAHAN JATINEGARA, PENGGILINGAN, RAWATERATE, CAKUNG BARAT KECAMATAN CAKUNG</t>
  </si>
  <si>
    <t>AJC/2025/10/Q800/436</t>
  </si>
  <si>
    <t>AJCPOV-2511013</t>
  </si>
  <si>
    <t>PR/BPM/JTLBarat/2512/0105</t>
  </si>
  <si>
    <t>PR/BPM/JTLBarat/2512/0106</t>
  </si>
  <si>
    <t>24ABJ.NINJT069</t>
  </si>
  <si>
    <t>PC 069</t>
  </si>
  <si>
    <t>PC 069 KELURAHAN CAKUNG BARAT, SUKAPURA, KECAMATAN CAKUNG, CILINCING</t>
  </si>
  <si>
    <t>AJC/2025/10/Q800/433</t>
  </si>
  <si>
    <t>AJCPOV-2510039</t>
  </si>
  <si>
    <t>PR/BPM/JTLBarat/2512/0123</t>
  </si>
  <si>
    <t>BPMPO-2601182</t>
  </si>
  <si>
    <t>PR/BPM/JTLBarat/2512/0122</t>
  </si>
  <si>
    <t>24ABJ.NINJT070</t>
  </si>
  <si>
    <t>PC 070 Paket Pertama</t>
  </si>
  <si>
    <t>AJC/2025/10/Q800/437</t>
  </si>
  <si>
    <t>AJCPOV-2510038</t>
  </si>
  <si>
    <t>PR/BPM/JTLBarat/2601/0146</t>
  </si>
  <si>
    <t>PR/BPM/JTLBarat/2601/0147</t>
  </si>
  <si>
    <t>24ABJ.NINJT070.1</t>
  </si>
  <si>
    <t>PC 070 Paket Kedua</t>
  </si>
  <si>
    <t>AJC/2025/12/Q800/606</t>
  </si>
  <si>
    <t>AJCPOV-2512061</t>
  </si>
  <si>
    <t>PR/BPM/JTLBarat/2601/0176</t>
  </si>
  <si>
    <t>PR/BPM/JTLBarat/2601/0177</t>
  </si>
  <si>
    <t>24ABJ.NPPJT70JR.1</t>
  </si>
  <si>
    <t>Jl. Malaka 1, Jl. Malaka 2, Jl. Malaka 3, &amp; Jl. Rorotan 11</t>
  </si>
  <si>
    <t>JL. MALAKA 1, JL. MALAKA II, JL. MALAKA III, &amp; JL. ROROTAN XI</t>
  </si>
  <si>
    <t>AJC/2025/12/Q800/614</t>
  </si>
  <si>
    <t>AJCPOV-2512058</t>
  </si>
  <si>
    <t>PR/BPM/JTLBarat/2601/0178</t>
  </si>
  <si>
    <t>PR/BPM/JTLBarat/2601/0179</t>
  </si>
  <si>
    <t>24ABJ.NPPJT70JR4</t>
  </si>
  <si>
    <t>Jl. Rorotan 9</t>
  </si>
  <si>
    <t>JL. ROROTAN IX</t>
  </si>
  <si>
    <t>AJC/2025/12/Q800/608</t>
  </si>
  <si>
    <t>AJCPOV-2512060</t>
  </si>
  <si>
    <t>PR/BPM/JTLBarat/2602/0206</t>
  </si>
  <si>
    <t>PR/BPM/JTLBarat/2602/0207</t>
  </si>
  <si>
    <t>24ABJ.NPPJT70JR6</t>
  </si>
  <si>
    <t>Menteng Metropolitan - Tambun Rengas</t>
  </si>
  <si>
    <t>Menteng Metropolitan Ke Tambun Rengas (Connect dgn JGC)</t>
  </si>
  <si>
    <t>AJC/2025/12/Q800/644</t>
  </si>
  <si>
    <t>AJCPOV-2601035</t>
  </si>
  <si>
    <t>PR/BPM/JTLBarat/2602/0214</t>
  </si>
  <si>
    <t>BPMPO-2601183</t>
  </si>
  <si>
    <t>PR/BPM/JTLBarat/2602/0215</t>
  </si>
  <si>
    <t>24ABJ.NINJT073</t>
  </si>
  <si>
    <t>PC 073</t>
  </si>
  <si>
    <t>PC 073 KELURAHAN SEMPER BARAT, TUGU UTARA, KECAMATAN CILINCING</t>
  </si>
  <si>
    <t>AJC/2025/10/Q800/439</t>
  </si>
  <si>
    <t>AJCPOV-2511041</t>
  </si>
  <si>
    <t>PR/BPM/JTLBarat/2602/0204</t>
  </si>
  <si>
    <t>PR/BPM/JTLBarat/2602/0205</t>
  </si>
  <si>
    <t>24ABJ.NINJT074</t>
  </si>
  <si>
    <t>PC 074</t>
  </si>
  <si>
    <t>Kelurahan Semper Timur &amp; Cilincing Kecamatan Cilincing</t>
  </si>
  <si>
    <t>AJC/2025/10/Q800/456</t>
  </si>
  <si>
    <t>AJCPOV-2511010</t>
  </si>
  <si>
    <t>PR/BPM/JTLBarat/2601/0180</t>
  </si>
  <si>
    <t>BPMPO-1603184</t>
  </si>
  <si>
    <t>PR/BPM/JTLBarat/2601/0181</t>
  </si>
  <si>
    <t>24ABJ.NINJT075</t>
  </si>
  <si>
    <t>PC 075</t>
  </si>
  <si>
    <t>PC 075 KELURAHAN SEMPER TIMUR KECAMATAN CILINCING</t>
  </si>
  <si>
    <t>AJC/2025/10/Q800/487</t>
  </si>
  <si>
    <t>AJCPOV-2512035</t>
  </si>
  <si>
    <t>PR/BPM/JTLBarat/2601/0182</t>
  </si>
  <si>
    <t>PR/BPM/JTLBarat/2601/0183</t>
  </si>
  <si>
    <t>24ABJ.NINJT077</t>
  </si>
  <si>
    <t>PC 077</t>
  </si>
  <si>
    <t>PC 077 KELURAHAN MARUNDA, CILINCING KECAMATAN CILINCING</t>
  </si>
  <si>
    <t>1369,.3</t>
  </si>
  <si>
    <t>AJC/2025/10/Q800/491</t>
  </si>
  <si>
    <t>AJCPOV-2511015</t>
  </si>
  <si>
    <t>PR/BPM/JTLBarat/2601/0185</t>
  </si>
  <si>
    <t>PR/BPM/JTLBarat/2601/0186</t>
  </si>
  <si>
    <t>24ABJ.NINJT146</t>
  </si>
  <si>
    <t>PC 146</t>
  </si>
  <si>
    <t>PC 146 KELURAHAN PONDOK KELAPA, PONDOK KOPI, MALAKASARI, MALAKAJAYA, KECAMATAN DUREN SAWIT</t>
  </si>
  <si>
    <t>AJC/2025/10/Q800/493</t>
  </si>
  <si>
    <t>AJCPOV-2511014</t>
  </si>
  <si>
    <t>PR/BPM/KRN-HLR/2601/0056</t>
  </si>
  <si>
    <t>BPMPO-2601099</t>
  </si>
  <si>
    <t>PT RAJAWALI NUSAPERSADA INDONESIA</t>
  </si>
  <si>
    <t>PR/BPM/KRN-HLR/2601/0057</t>
  </si>
  <si>
    <t>24ABJ.NINJT148</t>
  </si>
  <si>
    <t>PC 148</t>
  </si>
  <si>
    <t>PC 148 KELURAHAN MALAKASARI, MALAKAJAYA KECAMATAN DUREN SAWIT</t>
  </si>
  <si>
    <t>AJC/2025/11/Q800/509</t>
  </si>
  <si>
    <t>AJCPOV-2511055</t>
  </si>
  <si>
    <t>PR/BPM/KRN-HLR/2601/0054</t>
  </si>
  <si>
    <t>PR/BPM/KRN-HLR/2601/0055</t>
  </si>
  <si>
    <t>24ABJ.NINJT149</t>
  </si>
  <si>
    <t>PC 149</t>
  </si>
  <si>
    <t>KELURAHAN PONDOK KOPI KECAMATAN DUREN SAWIT</t>
  </si>
  <si>
    <t>AJC/2025/11/Q800/512</t>
  </si>
  <si>
    <t>AJCPOV-2512002</t>
  </si>
  <si>
    <t>PR/BPM/KRN-HLR/2601/0058</t>
  </si>
  <si>
    <t>PR/BPM/KRN-HLR/2601/0059</t>
  </si>
  <si>
    <t>24ABJ.NINJTS011</t>
  </si>
  <si>
    <t>S011</t>
  </si>
  <si>
    <t>PA S011, KELURAHAN RAJAWALI, KECAMATAN PANCORAN</t>
  </si>
  <si>
    <t>AJC/2025/11/Q800/514</t>
  </si>
  <si>
    <t>AJCPOV-2512001</t>
  </si>
  <si>
    <t>PR/BPM/JTLBarat/2601/0174</t>
  </si>
  <si>
    <t>PR/BPM/JTLBarat/2601/0175</t>
  </si>
  <si>
    <t>24ABJ.NINJTS012</t>
  </si>
  <si>
    <t>S012</t>
  </si>
  <si>
    <t>PC S012 KELURAHAN MANGGARAI, MANGGARAI SELATAN, BUKITDURI, MENTENG DALAM, TEBET BARAT, TEBET TIMUR, KEBON BARU, KECAMATAN TEBET.</t>
  </si>
  <si>
    <t>AJC/2025/11/Q800/516</t>
  </si>
  <si>
    <t>AJCPOV-2511056</t>
  </si>
  <si>
    <t>PR/BPM/JTLBarat/2601/0187</t>
  </si>
  <si>
    <t>PT Kalirandoe Jaya Abadi</t>
  </si>
  <si>
    <t>PR/BPM/JTLBarat/2601/0188</t>
  </si>
  <si>
    <t>25ABJ.NINJT081.1JR</t>
  </si>
  <si>
    <t>PC 081 Kalibaru Barat 13 A Gg Sadar</t>
  </si>
  <si>
    <t>Jl Kalibaru Barat 13 A Gg Sadar</t>
  </si>
  <si>
    <t>AJC/2025/11/Q800/519</t>
  </si>
  <si>
    <t>AJCPOV-2511065</t>
  </si>
  <si>
    <t>PR/BPM/JTLBarat/2512/0124</t>
  </si>
  <si>
    <t>BPMPO-1603075</t>
  </si>
  <si>
    <t>PR/BPM/JTLBarat/2512/0125</t>
  </si>
  <si>
    <t>25ABJ.NINJTP006.1JR</t>
  </si>
  <si>
    <t>P006 Jl. Bakti</t>
  </si>
  <si>
    <t>Jl. Bakti RT 5/RW 07</t>
  </si>
  <si>
    <t>AJC/2025/11/Q800/521</t>
  </si>
  <si>
    <t>AJCPOV-2511054</t>
  </si>
  <si>
    <t>PR/BPM/JTLBarat/2601/0148</t>
  </si>
  <si>
    <t>BPMPO-1603071</t>
  </si>
  <si>
    <t>PR/BPM/JTLBarat/2601/0149</t>
  </si>
  <si>
    <t>24ABJ.NINJTP008.12JR</t>
  </si>
  <si>
    <t>P008 Sri Devvi Heni Naomi</t>
  </si>
  <si>
    <t>Jl. Fajar VII No. 60C RT 01 RW 08</t>
  </si>
  <si>
    <t>AJC/2025/11/Q800/523</t>
  </si>
  <si>
    <t>AJCPOV-2511071</t>
  </si>
  <si>
    <t>PR/BPM/JTLBarat/2512/0126</t>
  </si>
  <si>
    <t>BPMPO-1603069</t>
  </si>
  <si>
    <t>PR/BPM/JTLBarat/2512/0127</t>
  </si>
  <si>
    <t>24ABJ.NINJTS010.1JR</t>
  </si>
  <si>
    <t>S010 PT. Falah Inovasi Teknologi</t>
  </si>
  <si>
    <t>Jl. Mampang Prapatan XII No 1 RT 008 RW 01</t>
  </si>
  <si>
    <t>AJC/2025/11/Q800/525</t>
  </si>
  <si>
    <t>AJCPOV-2511068</t>
  </si>
  <si>
    <t>PR/BPM/JTLBarat/2512/0128</t>
  </si>
  <si>
    <t>PR/BPM/JTLBarat/2512/0129</t>
  </si>
  <si>
    <t>5.Survey (IPPJU) / Expose (Non Ippju)</t>
  </si>
  <si>
    <t>25ABJ.NINJT078.2JR</t>
  </si>
  <si>
    <t>PC 078 Aprilliana Picauly</t>
  </si>
  <si>
    <t>Jl Rawa Sengon Gg Beo &amp; Betet (Tanah Merah)</t>
  </si>
  <si>
    <t>AJC/2025/11/Q800/527</t>
  </si>
  <si>
    <t>AJCPOV-2511070</t>
  </si>
  <si>
    <t>PR/BPM/JTLBarat/2601/0152</t>
  </si>
  <si>
    <t>BPMPO-1603175</t>
  </si>
  <si>
    <t>PR/BPM/JTLBarat/2601/0153</t>
  </si>
  <si>
    <t>25ABJ.NINJT078.3JR</t>
  </si>
  <si>
    <t>PC 078 Sungkun Sianturi</t>
  </si>
  <si>
    <t>Jl Bendungan Melayu No 35 RT 06/01</t>
  </si>
  <si>
    <t>AJC/2025/11/Q800/529</t>
  </si>
  <si>
    <t>AJCPOV-2512022</t>
  </si>
  <si>
    <t>PR/BPM/JTLBarat/2601/0150</t>
  </si>
  <si>
    <t>BPMPO-1603176</t>
  </si>
  <si>
    <t>PR/BPM/JTLBarat/2601/0151</t>
  </si>
  <si>
    <t>25ABJ.NINJT078.5JR</t>
  </si>
  <si>
    <t>PC 078 Sutarno</t>
  </si>
  <si>
    <t>Gg Masjid Al Istiqomah RT 12 RW 05 Kel. Tugu Selatan Kec. Koja</t>
  </si>
  <si>
    <t>AJC/2025/11/Q800/531</t>
  </si>
  <si>
    <t>AJCPOV-2511069</t>
  </si>
  <si>
    <t>PR/BPM/JTLBarat/2601/0154</t>
  </si>
  <si>
    <t>BPMPO-1603177</t>
  </si>
  <si>
    <t>PR/BPM/JTLBarat/2601/0155</t>
  </si>
  <si>
    <t>24ABJ.NINJT082.1JR</t>
  </si>
  <si>
    <t>PC 082 Asmawi</t>
  </si>
  <si>
    <t>Jl. Inspeksi Kali Sunter RT 03 RW 04</t>
  </si>
  <si>
    <t>AJC/2025/11/Q800/537</t>
  </si>
  <si>
    <t>AJCPOV-2511072</t>
  </si>
  <si>
    <t>PR/BPM/JTLBarat/2601/0156</t>
  </si>
  <si>
    <t>BPMPO-1603174</t>
  </si>
  <si>
    <t>PR/BPM/JTLBarat/2601/0157</t>
  </si>
  <si>
    <t>24ABJ.NINJTP003.2JR</t>
  </si>
  <si>
    <t>P003 M Andi Bharta</t>
  </si>
  <si>
    <t>Kartini IX Dalam No 32 F</t>
  </si>
  <si>
    <t>AJC/2025/11/Q800/539</t>
  </si>
  <si>
    <t>AJCPOV-2512007</t>
  </si>
  <si>
    <t>PR/BPM/JTLBarat/2602/0202</t>
  </si>
  <si>
    <t>PR/BPM/JTLBarat/2602/0203</t>
  </si>
  <si>
    <t>24ABJ.NINJTP008.3JR</t>
  </si>
  <si>
    <t>P008 PT Phrada</t>
  </si>
  <si>
    <t>Pluit Karang Indah Timur Blok C &amp; D</t>
  </si>
  <si>
    <t>AJC/2025/11/Q800/541</t>
  </si>
  <si>
    <t>AJCPOV-2512023</t>
  </si>
  <si>
    <t>PR/BPM/JTLBarat/2601/0158</t>
  </si>
  <si>
    <t>PR/BPM/JTLBarat/2601/0159</t>
  </si>
  <si>
    <t>24ABJ.NINJTP008.5JR</t>
  </si>
  <si>
    <t>P008 Pergudangan Jembatan III, Lin Chi Chen, Lie Sie Tiat, PT Total Bangun Persada</t>
  </si>
  <si>
    <t>Jl. Blok D 7A RT/RW 22/08, Jl. Blok F No. 9 RT/RW 22/08</t>
  </si>
  <si>
    <t>AJC/2025/11/Q800/543</t>
  </si>
  <si>
    <t>AJCPOV-2511079</t>
  </si>
  <si>
    <t>PR/BPM/JTLBarat/2602/0210</t>
  </si>
  <si>
    <t>BPMPO-1603074</t>
  </si>
  <si>
    <t>PR/BPM/JTLBarat/2602/0211</t>
  </si>
  <si>
    <t>25ABJ.NINJTS008.1JR</t>
  </si>
  <si>
    <t>S008 Puskesmas Mampang Prapatan</t>
  </si>
  <si>
    <t>Jl Liliana C24-24 RT 10/11</t>
  </si>
  <si>
    <t>AJC/2025/11/Q800/548</t>
  </si>
  <si>
    <t>AJCPOV-2511080</t>
  </si>
  <si>
    <t>PR/BPM/JTLBarat/2601/0160</t>
  </si>
  <si>
    <t>BPMPO-2601284</t>
  </si>
  <si>
    <t>PR/BPM/JTLBarat/2601/0161</t>
  </si>
  <si>
    <t>25ABJ.NINJTS010.3JR</t>
  </si>
  <si>
    <t>S010 Puskesmas Pembantu Mampang Prapatan</t>
  </si>
  <si>
    <t>Jl Tegal Parang utara 2 RT 11/04</t>
  </si>
  <si>
    <t>AJC/2025/11/Q800/550</t>
  </si>
  <si>
    <t>AJCPOV-2512025</t>
  </si>
  <si>
    <t>PR/BPM/JTLBarat/2601/0162</t>
  </si>
  <si>
    <t>PR/BPM/JTLBarat/2601/0163</t>
  </si>
  <si>
    <t>25ABJ.NINJTS013.1JR</t>
  </si>
  <si>
    <t>S013 Puskesmas Pembantu Bangka</t>
  </si>
  <si>
    <t>Jl Kemang Dalam 3 RT 04/03</t>
  </si>
  <si>
    <t>AJC/2025/11/Q800/551</t>
  </si>
  <si>
    <t>AJCPOV-2512024</t>
  </si>
  <si>
    <t>PR/BPM/JTLBarat/2601/0164</t>
  </si>
  <si>
    <t>BPMPO-2601286</t>
  </si>
  <si>
    <t>PR/BPM/JTLBarat/2601/0165</t>
  </si>
  <si>
    <t>25ABJ.NINJT060.1JR</t>
  </si>
  <si>
    <t>PC 060 Jl. Kalibaru Timur 7</t>
  </si>
  <si>
    <t>Jl. Kalibaru Timur 7 RT.05 RW.08 Kel. Utan Panjang</t>
  </si>
  <si>
    <t>AJC/2025/11/Q800/581</t>
  </si>
  <si>
    <t>AJCPOV-2512028</t>
  </si>
  <si>
    <t>PR/BPM/JTLBarat/2601/0166</t>
  </si>
  <si>
    <t>PR/BPM/JTLBarat/2601/0167</t>
  </si>
  <si>
    <t>25ABJ.NINJTS001.3JR</t>
  </si>
  <si>
    <t>S001 RW 06 Pejaten Timur</t>
  </si>
  <si>
    <t>Jl. Kemuning Raya</t>
  </si>
  <si>
    <t>AJC/2025/11/Q800/577</t>
  </si>
  <si>
    <t>AJCPOV-2512027</t>
  </si>
  <si>
    <t>PR/BPM/JTLBarat/2601/0168</t>
  </si>
  <si>
    <t>PR/BPM/JTLBarat/2601/0169</t>
  </si>
  <si>
    <t>25ABJ.NINJTP002.4JR</t>
  </si>
  <si>
    <t>P002 Kantin Koperasi KEMENDAGRI</t>
  </si>
  <si>
    <t>Jl. Veteran Utara II (Jl. Medan Utara No.7, Jakarta 10110)</t>
  </si>
  <si>
    <t>AJC/2025/11/Q800/579</t>
  </si>
  <si>
    <t>AJCPOV-2512029</t>
  </si>
  <si>
    <t>PR/BPM/JTLBarat/2601/0170</t>
  </si>
  <si>
    <t>PR/BPM/JTLBarat/2601/0171</t>
  </si>
  <si>
    <t>25ABJ.NINJTP008.4JR</t>
  </si>
  <si>
    <t>P008 Irsan Widjaja</t>
  </si>
  <si>
    <t>Jl. Pakin Raya No 8 RT 002/ RW 04 Kel penjaringan 14440</t>
  </si>
  <si>
    <t>AJC/2025/11/Q800/585</t>
  </si>
  <si>
    <t>AJCPOV-2512062</t>
  </si>
  <si>
    <t>PR/BPM/JTLBarat/2601/0172</t>
  </si>
  <si>
    <t>PR/BPM/JTLBarat/2601/0173</t>
  </si>
  <si>
    <t>25ABJ.NINJTS001.2JR</t>
  </si>
  <si>
    <t>S001 Perumahan Rawa Bambu</t>
  </si>
  <si>
    <t>Jl. Rawa Bambu, Pasar Minggu, Jakarta Selatan</t>
  </si>
  <si>
    <t>AJC/2025/12/Q800/628</t>
  </si>
  <si>
    <t>AJCPOV-2601005</t>
  </si>
  <si>
    <t>PR/BPM/JTLBarat/2602/0212</t>
  </si>
  <si>
    <t>BPMPO-1603181</t>
  </si>
  <si>
    <t>PR/BPM/JTLBarat/2602/0213</t>
  </si>
  <si>
    <t>25ABJ.NINJTP004.2JR</t>
  </si>
  <si>
    <t>P004 Jl Kota Bambu Utara IV</t>
  </si>
  <si>
    <t>Jl. Kota Bambu Utara IV no. 10 RT 003 RW 06</t>
  </si>
  <si>
    <t>AJC/2026/01/Q800/3</t>
  </si>
  <si>
    <t>AJCPOV-2601015</t>
  </si>
  <si>
    <t>PR/BPM/JTLBarat/2602/0195</t>
  </si>
  <si>
    <t>PR/BPM/JTLBarat/2602/0196</t>
  </si>
  <si>
    <t>24ABJ.NINJTP008.8JR.1</t>
  </si>
  <si>
    <t>Master Meter Misyanto (tambahan)</t>
  </si>
  <si>
    <t>AJC/2026/01/Q800/5</t>
  </si>
  <si>
    <t>AJCPOV-2601006</t>
  </si>
  <si>
    <t>PR/BPM/JTLBarat/2602/0191</t>
  </si>
  <si>
    <t>PR/BPM/JTLBarat/2602/0192</t>
  </si>
  <si>
    <t>BPMPO-2600831</t>
  </si>
  <si>
    <t>25ABJ.NINJTS009.1JR</t>
  </si>
  <si>
    <t>S009 PT Grha Provisioner Bersama</t>
  </si>
  <si>
    <t>Jl. Widya Chandra X No 7 RT007 RW01</t>
  </si>
  <si>
    <t>AJC/2026/01/Q800/7</t>
  </si>
  <si>
    <t>AJCPOV-2601014</t>
  </si>
  <si>
    <t>PR/BPM/JTLBarat/2602/0193</t>
  </si>
  <si>
    <t>BPMPO-2600457</t>
  </si>
  <si>
    <t>PR/BPM/JTLBarat/2602/0194</t>
  </si>
  <si>
    <t>24ABJ.NINJTS001.4JR.1</t>
  </si>
  <si>
    <t>S001 Perumahan Tanjung Mas Raya (tambahan)</t>
  </si>
  <si>
    <t>Jl. Tanjung Barat Raya</t>
  </si>
  <si>
    <t>AJC/2026/01/Q800/21</t>
  </si>
  <si>
    <t>AJCPOV-2601037</t>
  </si>
  <si>
    <t xml:space="preserve">           1,000,939,980.00</t>
  </si>
  <si>
    <t>PR/BPM/JTLBarat/2602/0200</t>
  </si>
  <si>
    <t>PR/BPM/JTLBarat/2602/0201</t>
  </si>
  <si>
    <t>25ABJ.NINJT054.7JR</t>
  </si>
  <si>
    <t>PC 054 Dinda Ariestia (Cluster Griya Kintamani 2)</t>
  </si>
  <si>
    <t>Jl.Gunung Lawu Ujung RT/RW 007/09 KelurahanJatinegara, KecamatanCakung, Jakarta Timur</t>
  </si>
  <si>
    <t>1,011,338,357</t>
  </si>
  <si>
    <t>AJC/2026/01/Q800/41</t>
  </si>
  <si>
    <t>AJCPOV-2602023</t>
  </si>
  <si>
    <t>PR/BPM/JTLBarat/2602/0224</t>
  </si>
  <si>
    <t>PR/BPM/JTLBarat/2602/0225</t>
  </si>
  <si>
    <t>25ABJ.NINJT056.1JR</t>
  </si>
  <si>
    <t>PC 056 Jl Pulo Gundul</t>
  </si>
  <si>
    <t>Jl. Pulo Gundul RT 013 RW 01, Kelurahan Johar Baru, Kecamatan Johar Baru, Jakarta Pusat</t>
  </si>
  <si>
    <t>143,518,985</t>
  </si>
  <si>
    <t>AJC/2026/01/Q800/51</t>
  </si>
  <si>
    <t>AJCPOV-2602022</t>
  </si>
  <si>
    <t>PR/BPM/JTLBarat/2602/0222</t>
  </si>
  <si>
    <t>PR/BPM/JTLBarat/2602/0223</t>
  </si>
  <si>
    <t>BPMPO-2600817</t>
  </si>
  <si>
    <t>25ABJ.NINJT078.6JR.1</t>
  </si>
  <si>
    <t>PC 078 Jl. Perjuangan (tambahan)</t>
  </si>
  <si>
    <t>JL. Perjuangan RT.001-009/RW.010 Kel. Rawa Badak Selatan, Kec. Koja</t>
  </si>
  <si>
    <t>3,781,807,025</t>
  </si>
  <si>
    <t>AJC/2025/12/Q800/602</t>
  </si>
  <si>
    <t>AJCPOV-2512059</t>
  </si>
  <si>
    <t>PR/BPM/JTLBarat/2602/0208</t>
  </si>
  <si>
    <t>PR/BPM/JTLBarat/2602/0209</t>
  </si>
  <si>
    <t>24ABJ.NPPKARPSG03JE</t>
  </si>
  <si>
    <t>TMPSG-03</t>
  </si>
  <si>
    <t>Jl Bintaro Permai Raya - Jl M Saidi Raya</t>
  </si>
  <si>
    <t>AJC/2025/11/Q800/559</t>
  </si>
  <si>
    <t>AJCPOV-2512033</t>
  </si>
  <si>
    <t>PR/BPM/KRN-HLR/2601/024</t>
  </si>
  <si>
    <t>BPMPO-2601271</t>
  </si>
  <si>
    <t>PR/BPM/KRN-HLR/2601/004</t>
  </si>
  <si>
    <t>24ABJ.NPPKARPSG05JE</t>
  </si>
  <si>
    <t>TMPSG-05</t>
  </si>
  <si>
    <t>Jl. Bintaro Permai - Jl. Ciledug Raya</t>
  </si>
  <si>
    <t>AJC/2025/10/Q800/495</t>
  </si>
  <si>
    <t>AJCPOV-2512031</t>
  </si>
  <si>
    <t>PR/BPM/KRN-HLR/2601/025</t>
  </si>
  <si>
    <t>PR/BPM/KRN-HLR/2501/002</t>
  </si>
  <si>
    <t>24ABJ.NINKARS006PSG.04JE</t>
  </si>
  <si>
    <t>S006 Pesanggrahan - EZ 4</t>
  </si>
  <si>
    <t>PESANGGRAHAN</t>
  </si>
  <si>
    <t>AJC/2025/10/Q800/442</t>
  </si>
  <si>
    <t>AJCPOV-2511020</t>
  </si>
  <si>
    <t>PR/BPM/KRN-HLR/2601/034</t>
  </si>
  <si>
    <t>BPMPO-2600488</t>
  </si>
  <si>
    <t>PR/BPM/KRN-HLR/2601/033</t>
  </si>
  <si>
    <t>24ABJ.NINKARS006PSG.05JE</t>
  </si>
  <si>
    <t>S006 Pesanggrahan - EZ 5</t>
  </si>
  <si>
    <t>AJC/2025/10/Q800/444</t>
  </si>
  <si>
    <t>AJCPOV-2510035</t>
  </si>
  <si>
    <t>PR/BPM/KRN-HLR/2601/036</t>
  </si>
  <si>
    <t>BPMPO-2600490</t>
  </si>
  <si>
    <t>PR/BPM/KRN-HLR/2601/035</t>
  </si>
  <si>
    <t>24ABJ.NINKARS006PSG.06JE</t>
  </si>
  <si>
    <t>S006 Pesanggrahan - EZ 6</t>
  </si>
  <si>
    <t>AJC/2025/10/Q800/446</t>
  </si>
  <si>
    <t>AJCPOV-2510037</t>
  </si>
  <si>
    <t>PR/BPM/KRN-HLR/2601/038</t>
  </si>
  <si>
    <t>BPMPO-2600491</t>
  </si>
  <si>
    <t>PR/BPM/KRN-HLR/2601/037</t>
  </si>
  <si>
    <t>24ABJ.NINKARS006PSG.07JE</t>
  </si>
  <si>
    <t>S006 Pesanggrahan - EZ 7</t>
  </si>
  <si>
    <t>AJC/2025/10/Q800/449</t>
  </si>
  <si>
    <t>AJCPOV-2510036</t>
  </si>
  <si>
    <t>PR/BPM/KRN-HLR/2601/026</t>
  </si>
  <si>
    <t>BPMPO-2601272</t>
  </si>
  <si>
    <t>PR/BPM/KRN-HLR/2601/031</t>
  </si>
  <si>
    <t>24ABJ.NINKARS006PSG.08JE</t>
  </si>
  <si>
    <t>S006 Pesanggrahan - EZ 8</t>
  </si>
  <si>
    <t>AJC/2025/10/Q800/451</t>
  </si>
  <si>
    <t>AJCPOV-2512012</t>
  </si>
  <si>
    <t>PR/BPM/KRN-HLR/2601/027</t>
  </si>
  <si>
    <t>PR/BPM/KRN-HLR/2601/032</t>
  </si>
  <si>
    <t>24ABJ.NINKARS006PSG.09JE</t>
  </si>
  <si>
    <t>S006 Pesanggrahan - EZ 9</t>
  </si>
  <si>
    <t>AJC/2025/10/Q800/453</t>
  </si>
  <si>
    <t>AJCPOV-2511008</t>
  </si>
  <si>
    <t>PR/BPM/KRN-HLR/2601/0064</t>
  </si>
  <si>
    <t>BPMPO-2601273</t>
  </si>
  <si>
    <t>PT Citramasjaya Teknikmandiri</t>
  </si>
  <si>
    <t>PR/BPM/KRN-HLR/2601/0068</t>
  </si>
  <si>
    <t>BPMPO-2605548</t>
  </si>
  <si>
    <t>24ABJ.NINKARS006PSG.10JE</t>
  </si>
  <si>
    <t>S006 Pesanggrahan - EZ 10</t>
  </si>
  <si>
    <t>AJC/2025/10/Q800/460</t>
  </si>
  <si>
    <t>AJCPOV-2511026</t>
  </si>
  <si>
    <t>PR/BPM/KRN-HLR/2601/0063</t>
  </si>
  <si>
    <t>PR/BPM/KRN-HLR/2601/0069</t>
  </si>
  <si>
    <t>24ABJ.NINKARS006PSG.11JE</t>
  </si>
  <si>
    <t>S006 Pesanggrahan - EZ 11</t>
  </si>
  <si>
    <t>AJC/2025/10/Q800/462</t>
  </si>
  <si>
    <t>AJCPOV-2511009</t>
  </si>
  <si>
    <t>PR/BPM/KRN-HLR/2601/040</t>
  </si>
  <si>
    <t>BPMPO-2601267</t>
  </si>
  <si>
    <t>PR/BPM/KRN-HLR/2601/039</t>
  </si>
  <si>
    <t>24ABJ.NINKARS006PSG.12JE</t>
  </si>
  <si>
    <t>S006 Pesanggrahan - EZ 12</t>
  </si>
  <si>
    <t>AJC/2025/10/Q800/465</t>
  </si>
  <si>
    <t>AJCPOV-2511040</t>
  </si>
  <si>
    <t>PR/BPM/KRN-HLR/2601/042</t>
  </si>
  <si>
    <t>BPMPO-2601268</t>
  </si>
  <si>
    <t>PR/BPM/KRN-HLR/2601/041</t>
  </si>
  <si>
    <t>24ABJ.NINKARS006</t>
  </si>
  <si>
    <t>S006 Cipulir</t>
  </si>
  <si>
    <t>NC S006 KECAMATAN KEBAYORAN LAMA KELURAHAN CIPULIR, PESANGGRAHAN , ULUJAMI, GROGOL</t>
  </si>
  <si>
    <t>AJC/2025/10/Q800/467</t>
  </si>
  <si>
    <t>AJCPOV-2511022</t>
  </si>
  <si>
    <t>PR/BPM/KRN-HLR/2601/028</t>
  </si>
  <si>
    <t>BPMPO-2600459</t>
  </si>
  <si>
    <t>PR/BPM/KRN-HLR/2601/030</t>
  </si>
  <si>
    <t xml:space="preserve">iyas </t>
  </si>
  <si>
    <t>NIN23KABB020.6</t>
  </si>
  <si>
    <t>B020 Tahap Pertama</t>
  </si>
  <si>
    <t>PA B020 KELURAHAN KALIDERES, KECAMATAN KALIDERES</t>
  </si>
  <si>
    <t>AJC/2025/12/Q800/604</t>
  </si>
  <si>
    <t>AJCPOV-2512064</t>
  </si>
  <si>
    <t>PR/BPM/KRN-HLR/2601/0050</t>
  </si>
  <si>
    <t>PR/BPM/KRN-HLR/2601/0051</t>
  </si>
  <si>
    <t>24ABJ.NINKARB019.9JE</t>
  </si>
  <si>
    <t>B019 Kamal gg H Jibobong</t>
  </si>
  <si>
    <t>Jl. Kamal gg H Jibobong RT 06/14 Kel. Cengkareng Barat</t>
  </si>
  <si>
    <t>AJC/2025/10/Q800/469</t>
  </si>
  <si>
    <t>AJCPOV-2511019</t>
  </si>
  <si>
    <t>PR/BPM/KRN-HLR/2601/0046</t>
  </si>
  <si>
    <t>PR/BPM/KRN-HLR/2601/0047</t>
  </si>
  <si>
    <t>24ABJ.NINKARB020.16JE</t>
  </si>
  <si>
    <t>B020 Jl. Tanjung Pura</t>
  </si>
  <si>
    <t>Jl. Tanjung Pura RT00/RW001, Kel. Pegadungan</t>
  </si>
  <si>
    <t>PR/BPM/KRN-HLR/2601/0044</t>
  </si>
  <si>
    <t>PR/BPM/KRN-HLR/2601/0045</t>
  </si>
  <si>
    <t>24ABJ.NINKARB019.15JE</t>
  </si>
  <si>
    <t>B019 Yayasan Tunas Blossom &amp; SPBU BP</t>
  </si>
  <si>
    <t>Jl. Citra Garden 3 Ext Blok F2 RT 05 RW 13</t>
  </si>
  <si>
    <t>AJC/2025/10/Q800/473</t>
  </si>
  <si>
    <t>AJCPOV-2511033</t>
  </si>
  <si>
    <t>PR/BPM/KRN-HLR/2601/0079</t>
  </si>
  <si>
    <t>PR/BPM/KRN-HLR/2601/0080</t>
  </si>
  <si>
    <t>25ABJ.NINKARS002.3JE</t>
  </si>
  <si>
    <t>S002 Dirgantoro Tarmizi</t>
  </si>
  <si>
    <t>Jl Adiyaksa II gg H Atjoh Buntu No31 Kompleks Kejagung</t>
  </si>
  <si>
    <t>AJC/2025/10/Q800/475</t>
  </si>
  <si>
    <t>AJCPOV-2511031</t>
  </si>
  <si>
    <t>PR/BPM/KRN-HLR/2512/203</t>
  </si>
  <si>
    <t>PR/BPM/KRN-HLR/2512/234</t>
  </si>
  <si>
    <t>25ABJ.NINKARS002.4JE</t>
  </si>
  <si>
    <t>S002 Haekal Rizky Yulianto</t>
  </si>
  <si>
    <t>Jl Cempaka Lestari IV No.46 RT 09 RW 07 Lebak Bulus</t>
  </si>
  <si>
    <t>AJC/2025/10/Q800/477</t>
  </si>
  <si>
    <t>AJCPOV-2511021</t>
  </si>
  <si>
    <t>PR/BPM/KRN-HLR/2512/204</t>
  </si>
  <si>
    <t>PR/BPM/KRN-HLR/2512/235</t>
  </si>
  <si>
    <t>25ABJ.NINKARB016.1JE</t>
  </si>
  <si>
    <t>B016 Kompleks Guru Kapuk Muara</t>
  </si>
  <si>
    <t>Jl SMPN 122 Kauk Muara, Penjaringan</t>
  </si>
  <si>
    <t>AJC/2025/10/Q800/480</t>
  </si>
  <si>
    <t>AJCPOV-2511011</t>
  </si>
  <si>
    <t>PR/BPM/KRN-HLR/2511/199</t>
  </si>
  <si>
    <t>PR/BPM/KRN-HLR/2512/210</t>
  </si>
  <si>
    <t>25ABJ.NINKARP009.1JE</t>
  </si>
  <si>
    <t>P009 Muhammad Daffa Utama</t>
  </si>
  <si>
    <t>Jl. Muara Angke No 16 RT 002/RW 021 Kel. Pluit</t>
  </si>
  <si>
    <t>AJC/2025/10/Q800/481</t>
  </si>
  <si>
    <t>AJCPOV-2511030</t>
  </si>
  <si>
    <t>PR/BPM/KRN-HLR/2512/200</t>
  </si>
  <si>
    <t>PR/BPM/KRN-HLR/2512/211</t>
  </si>
  <si>
    <t>25ABJ.NINKARB020.19JE</t>
  </si>
  <si>
    <t>B020 Ruko Citra Business Park</t>
  </si>
  <si>
    <t>Kompleks Citra Business Park, Jl. Peta Barat, Kalideres, Kec. Kalideres, Kota Jakarta Barat</t>
  </si>
  <si>
    <t>AJC/2025/11/Q800/561</t>
  </si>
  <si>
    <t>AJCPOV-2512032</t>
  </si>
  <si>
    <t>PR/BPM/KRN-HLR/2601/0066</t>
  </si>
  <si>
    <t>PR/BPM/KRN-HLR/2601/0067</t>
  </si>
  <si>
    <t>25ABJ.NINKARS014.1JE</t>
  </si>
  <si>
    <t>S014 Sapta Taruna</t>
  </si>
  <si>
    <t>Jl Sapta Taruna IV</t>
  </si>
  <si>
    <t>AJC/2025/12/Q800/591</t>
  </si>
  <si>
    <t>AJCPOV-2512037</t>
  </si>
  <si>
    <t>PR/BPM/KRN-HLR/2601/011</t>
  </si>
  <si>
    <t>PR/BPM/KRN-HLR/2601/012</t>
  </si>
  <si>
    <t>BPMPO-2604532</t>
  </si>
  <si>
    <t>4.Upload DBM</t>
  </si>
  <si>
    <t>25ABJ.NINKARB014.3JE</t>
  </si>
  <si>
    <t>B014 Puskesmas Pembantu Kembangan Selatan</t>
  </si>
  <si>
    <t>Jalan Gg. Family, Kembangan Selatan</t>
  </si>
  <si>
    <t>AJC/2025/12/Q800/589</t>
  </si>
  <si>
    <t>AJCPOV-2512054</t>
  </si>
  <si>
    <t>PR/BPM/KRN-HLR/2601/013</t>
  </si>
  <si>
    <t>25ABJ.NINKARB016.4JE</t>
  </si>
  <si>
    <t>B016 Tafsir Munir (Gg. Banjir)</t>
  </si>
  <si>
    <t>Gg. Banjir RT 04&amp;05 RW 04, Kapuk Muara</t>
  </si>
  <si>
    <t>AJC/2025/11/Q800/570</t>
  </si>
  <si>
    <t>AJCPOV-2512017</t>
  </si>
  <si>
    <t>PR/BPM/KRN-HLR/2512/221</t>
  </si>
  <si>
    <t>BPMPO-2507913</t>
  </si>
  <si>
    <t>PR/BPM/KRN-HLR/2512/222</t>
  </si>
  <si>
    <t>25ABJ.NINKARS006PSG.13.1JE</t>
  </si>
  <si>
    <t>S006.13 Bumi Bintaro Permai</t>
  </si>
  <si>
    <t>Jl. Bintaro Melati Kec. Pondok Aren Kel. Pondok Betung</t>
  </si>
  <si>
    <t>AJC/2025/12/Q800/621</t>
  </si>
  <si>
    <t>AJCPOV-2512052</t>
  </si>
  <si>
    <t>PR/BPM/KRN-HLR/2601/0077</t>
  </si>
  <si>
    <t>PR/BPM/KRN-HLR/2601/0075</t>
  </si>
  <si>
    <t>BPMPO-2600800</t>
  </si>
  <si>
    <t>25ABJ.NINKARS006PSG.14.1JE</t>
  </si>
  <si>
    <t>S006.14 Pesanggrahan (Tambahan)</t>
  </si>
  <si>
    <t>Jl. Mufakat RT 001 RW 003 Kel. Bintaro Kec. Pesanggrahan</t>
  </si>
  <si>
    <t>AJC/2025/12/Q800/619</t>
  </si>
  <si>
    <t>AJCPOV-2512056</t>
  </si>
  <si>
    <t>PR/BPM/KRN-HLR/2601/0065</t>
  </si>
  <si>
    <t>PR/BPM/KRN-HLR/2601/0070</t>
  </si>
  <si>
    <t>BPMPO-2600803</t>
  </si>
  <si>
    <t>25ABJ.NINKARS006PSG.17.1JE</t>
  </si>
  <si>
    <t>S006.17 Pesanggrahan (Tambahan)</t>
  </si>
  <si>
    <t>Jl. H. Alih RT 06 RW 07 Kel. Bintaro, Kec. Pesanggrahan</t>
  </si>
  <si>
    <t>AJC/2026/01/Q800/12</t>
  </si>
  <si>
    <t>AJCPOV-2602018</t>
  </si>
  <si>
    <t>PR/BPM/KRN-HLR/2602/0104</t>
  </si>
  <si>
    <t>PR/BPM/KRN-HLR/2602/0108</t>
  </si>
  <si>
    <t>BPMPO-2605685</t>
  </si>
  <si>
    <t>25ABJ.NINKARS006PSG.18.2JE</t>
  </si>
  <si>
    <t>S006.18 Pesanggrahan (Tambahan)</t>
  </si>
  <si>
    <t>Jl. MKJ 3 RT 002 RW 005 Kel. Bintaro, Kec. Pesanggrahan</t>
  </si>
  <si>
    <t>AJC/2025/12/Q800/623</t>
  </si>
  <si>
    <t>AJCPOV-2602021</t>
  </si>
  <si>
    <t>PR/BPM/KRN-HLR/2602/0103</t>
  </si>
  <si>
    <t>PR/BPM/KRN-HLR/2602/0101</t>
  </si>
  <si>
    <t>BPMPO-2600794</t>
  </si>
  <si>
    <t>25ABJ.NINKARS006PSG.18.1JE</t>
  </si>
  <si>
    <t>S006.18 Griya Seroja</t>
  </si>
  <si>
    <t>Jl. Mawar III RT 04 RW 05 Kec. Pesanggrahan, Kel. Bintaro</t>
  </si>
  <si>
    <t>AJC/2026/01/Q800/13</t>
  </si>
  <si>
    <t>AJCPOV-2601036</t>
  </si>
  <si>
    <t>PR/BPM/TM/2602/0001</t>
  </si>
  <si>
    <t>PR/BPM/KRN-HLR/2601/0072</t>
  </si>
  <si>
    <t>BPMPO-2600802</t>
  </si>
  <si>
    <t>25ABJ.NINKARS006PSG.13.3JE</t>
  </si>
  <si>
    <t>S006.13 Kelurahan Bintaro</t>
  </si>
  <si>
    <t>Kelurahan Bintaro, Kecamatan Pesanggrahan</t>
  </si>
  <si>
    <t>AJC/2025/12/Q800/646</t>
  </si>
  <si>
    <t>AJCPOV-2601017</t>
  </si>
  <si>
    <t>PR/BPM/KRN-HLR/2601/0082</t>
  </si>
  <si>
    <t>PR/BPM/KRN-HLR/2601/0081</t>
  </si>
  <si>
    <t>25ABJ.NINKARS006PSG.13.4JE</t>
  </si>
  <si>
    <t>S006.13 Jl. Kp Bulak RT 08 RW 02</t>
  </si>
  <si>
    <t>Jl. Kp Bulak Bhakti RT 08 RW 02 Kel. Bintaro, Kec. Pesanggrahan</t>
  </si>
  <si>
    <t>AJC/2026/01/Q800/14</t>
  </si>
  <si>
    <t>AJCPOV-2601031</t>
  </si>
  <si>
    <t>PR/BPM/KRN-HLR/2601/0078</t>
  </si>
  <si>
    <t>BPMPO-2600799</t>
  </si>
  <si>
    <t>25ABJ.NINKARS006PSG.15.1JE</t>
  </si>
  <si>
    <t>S006.15 Pesanggrahan (Tambahan)</t>
  </si>
  <si>
    <t>Jl. Pendidikan I RW 06 Kel. Bintaro, Kec. Pesanggrahan</t>
  </si>
  <si>
    <t>AJC/2026/01/Q800/15</t>
  </si>
  <si>
    <t>AJCPOV-2601030</t>
  </si>
  <si>
    <t>PR/BPM/KRN-HLR/2601/0074</t>
  </si>
  <si>
    <t>PR/BPM/KRN-HLR/2601/0073</t>
  </si>
  <si>
    <t>25ABJ.NINKARB006.4JE</t>
  </si>
  <si>
    <t>B006 Thoriq Firdaus</t>
  </si>
  <si>
    <t>Jalan Pesing Bendungan RT014 RW06, Kelurahan Kedoya Utara, Kecamatan Kebon Jeruk, Jakarta Barat</t>
  </si>
  <si>
    <t>AJC/2026/01/Q800/9</t>
  </si>
  <si>
    <t>AJCPOV-2601016</t>
  </si>
  <si>
    <t>PR/BPM/KRN-HLR/2601/0048</t>
  </si>
  <si>
    <t>PR/BPM/KRN-HLR/2601/0049</t>
  </si>
  <si>
    <t>25ABJ.NINKARB006.5JE</t>
  </si>
  <si>
    <t>B006 Joko Martono</t>
  </si>
  <si>
    <t>Jalan Bahagia V s/d Bahagia VIII RT 11, 15, 16 &amp; 17 RW 08 Kelurahan Kedoya Utara, Kecamatan Kebon Jeruk, Jakarta Barat</t>
  </si>
  <si>
    <t>AJC/2026/01/Q800/45</t>
  </si>
  <si>
    <t>AJCPOV-2602007</t>
  </si>
  <si>
    <t>PR/BPM/KRN-HLR/2602/0087</t>
  </si>
  <si>
    <t>PR/BPM/KRN-HLR/2602/0088</t>
  </si>
  <si>
    <t>25ABJ.NINKARB016.5JE</t>
  </si>
  <si>
    <t xml:space="preserve">B016 Gg. Sumur </t>
  </si>
  <si>
    <t>Gg Sumur RT 06 RW 07</t>
  </si>
  <si>
    <t>AJC/2026/01/Q800/43</t>
  </si>
  <si>
    <t>AJCPOV-2602019</t>
  </si>
  <si>
    <t>PR/BPM/KRN-HLR/2602/0091</t>
  </si>
  <si>
    <t>PR/BPM/KRN-HLR/2602/0092</t>
  </si>
  <si>
    <t>25ABJ.NINKARB016.5.1JE</t>
  </si>
  <si>
    <t>B016 Gg. Sumur Reinforcement</t>
  </si>
  <si>
    <t>AJC/2026/01/Q800/47</t>
  </si>
  <si>
    <t>AJCPOV-2602008</t>
  </si>
  <si>
    <t>PR/BPM/KRN-HLR/2602/0085</t>
  </si>
  <si>
    <t>PR/BPM/KRN-HLR/2602/0086</t>
  </si>
  <si>
    <t>25ABJ.NINKARS006.2JE</t>
  </si>
  <si>
    <t>S006 SPBU BP AKR Joglo</t>
  </si>
  <si>
    <t>Jl. Joglo Raya</t>
  </si>
  <si>
    <t>AJC/2026/01/Q800/49</t>
  </si>
  <si>
    <t>AJCPOV-2602017</t>
  </si>
  <si>
    <t>PR/BPM/KRN-HLR/2602/0089</t>
  </si>
  <si>
    <t>PR/BPM/KRN-HLR/2602/0090</t>
  </si>
  <si>
    <t>25ABJ.NINKARB020.17JE</t>
  </si>
  <si>
    <t>B020 Sky Terrace Lagon Condo</t>
  </si>
  <si>
    <t>25ABJ.NINKARB020.11JE</t>
  </si>
  <si>
    <t>B020 Rusunawa Pesakih Tower 6 &amp; 7 (Rusun Daan Mogot)</t>
  </si>
  <si>
    <t>25ABJ.NINKARB020.13JE</t>
  </si>
  <si>
    <t>B020 Paradise Mansion</t>
  </si>
  <si>
    <t>25ABJ.NINBUR162.1JP</t>
  </si>
  <si>
    <t>PC 162 Hanjuang</t>
  </si>
  <si>
    <t>Jl. Hanjuang  RT 08, 09, 11, 14 RW 09</t>
  </si>
  <si>
    <t>AJC/2025/10/Q800/500</t>
  </si>
  <si>
    <t>AJCPOV-2511044</t>
  </si>
  <si>
    <t>PR/BPM/BRN3HLR/2512/605</t>
  </si>
  <si>
    <t>BPMPO-2508453</t>
  </si>
  <si>
    <t>PR/BPM/BRN3HLR/2512/604</t>
  </si>
  <si>
    <t>BPMPO-2600605</t>
  </si>
  <si>
    <t>25ABJ.NINBUR162.9JP</t>
  </si>
  <si>
    <t>PC 162 Jl. Centex Gg. Jengki</t>
  </si>
  <si>
    <t>Jl. Centex Gg. Jengki</t>
  </si>
  <si>
    <t>AJC/2025/10/Q800/490</t>
  </si>
  <si>
    <t>AJCPOV-2511043</t>
  </si>
  <si>
    <t>PR/BPM/BRN3HLR/2512/607</t>
  </si>
  <si>
    <t>BPMPO-2508454</t>
  </si>
  <si>
    <t>PR/BPM/BRN3HLR/2512/606</t>
  </si>
  <si>
    <t>25ABJ.NINBUR162.5JP</t>
  </si>
  <si>
    <t>PC 162 Heavenly Residence</t>
  </si>
  <si>
    <t>Jl. Randu No.18 E/F RT. 007/RW. 011, Kelurahan Kelapa Dua Wetan, Kecamatan Ciracas, Jakarta Timur</t>
  </si>
  <si>
    <t>AJC/2026/01/Q800/11</t>
  </si>
  <si>
    <t>AJCPOV-2601026</t>
  </si>
  <si>
    <t>PR/BPM/BRN3HLR/2602/652</t>
  </si>
  <si>
    <t>PR/BPM/BRN3HLR/2602/651</t>
  </si>
  <si>
    <t>25ABJ.NINBUR162.8JP</t>
  </si>
  <si>
    <t>PC 162 Bapak Sukarno</t>
  </si>
  <si>
    <t>Jl. Darussalam RT 004 RW 012 Kel. Kelapa Dua Wetan, Kec. Ciracas, Jakarta Timur</t>
  </si>
  <si>
    <t>p7</t>
  </si>
  <si>
    <t>AJC/2026/01/Q800/19</t>
  </si>
  <si>
    <t>AJCPOV-2601021</t>
  </si>
  <si>
    <t>PR/BPM/BRN3HLR/2602/650</t>
  </si>
  <si>
    <t>PR/BPM/BRN3HLR/2602/649</t>
  </si>
  <si>
    <t>BPMPO-2600846</t>
  </si>
  <si>
    <t>25ABJ.NINBUR162.10JP</t>
  </si>
  <si>
    <t>PC 162 Jl. Tanah Merdeka RT 007/RW 004</t>
  </si>
  <si>
    <t>Jl. Tanah Merdeka RT 007/RW 004</t>
  </si>
  <si>
    <t>AJC/2026/01/Q800/20</t>
  </si>
  <si>
    <t>AJCPOV-2601022</t>
  </si>
  <si>
    <t>PR/BPM/BRN3HLR/2602/654</t>
  </si>
  <si>
    <t>PR/BPM/BRN3HLR/2602/653</t>
  </si>
  <si>
    <t>BPMPO-2605712</t>
  </si>
  <si>
    <t>24ABJ.NINBUR156.1</t>
  </si>
  <si>
    <t>PC 156 RT 05 RW 12</t>
  </si>
  <si>
    <t>PC 156 RT 05 RW 12 KELURAHAN CAWANG, KECAMATAN KERAMAT JATI</t>
  </si>
  <si>
    <t>AJC/2026/03/Q800/135</t>
  </si>
  <si>
    <t>AJCPOV-2604025</t>
  </si>
  <si>
    <t>PR/BPM/BRN3HLR/0605/713</t>
  </si>
  <si>
    <t>BPMPO-2605451</t>
  </si>
  <si>
    <t>PR/BPM/BRN3HLR/0605/714</t>
  </si>
  <si>
    <t>24ABJ.NINJTS001CLW.01JR</t>
  </si>
  <si>
    <t>PA S001.01</t>
  </si>
  <si>
    <t>24ABJ.NINJTS001CLW.02JR</t>
  </si>
  <si>
    <t>PA S001.02</t>
  </si>
  <si>
    <t>24ABJ.NINJTS001CLW.03JR</t>
  </si>
  <si>
    <t>PA S001.03</t>
  </si>
  <si>
    <t>24ABJ.NPPJTCLW012JR</t>
  </si>
  <si>
    <t>Trunk Main Ciliwung - Tahap 2</t>
  </si>
  <si>
    <t>25ABJ.NINJTP008.7JR</t>
  </si>
  <si>
    <t>P008 Kampung Muka</t>
  </si>
  <si>
    <t>NIN23KABB020</t>
  </si>
  <si>
    <t>B020 Tahap Kedua</t>
  </si>
  <si>
    <t>NIN23KABB014</t>
  </si>
  <si>
    <t>B014</t>
  </si>
  <si>
    <t>25ABJ.NINKARP009.3JE</t>
  </si>
  <si>
    <t>P009 Pantai Mutiara</t>
  </si>
  <si>
    <t>25ABJ.NINKARS006PSG.13.2JE</t>
  </si>
  <si>
    <t xml:space="preserve">S006 Jl. Bintaro Permai IV </t>
  </si>
  <si>
    <t>25ABJ.NINKARS006.3JE</t>
  </si>
  <si>
    <t>S006 Permata Regency Tahap IIIB</t>
  </si>
  <si>
    <t>26ABJ.NPPKARP34JE</t>
  </si>
  <si>
    <t>Hulu DC Semanan (Meruya - Kresek) DN600</t>
  </si>
  <si>
    <t xml:space="preserve">24ABJ.NPPKARPSG07JE.1 </t>
  </si>
  <si>
    <t>TMPS-7 Tahap 1</t>
  </si>
  <si>
    <t>25ABJ.NINKARP009.2JE</t>
  </si>
  <si>
    <t>P009 Permukiman Kampung Warga RW 22 (Dermaga Ujung)</t>
  </si>
  <si>
    <t>26ABJ.NINKARP009.1JE</t>
  </si>
  <si>
    <t>P009 Warga Kepanduan II</t>
  </si>
  <si>
    <t>NPP23BURP07</t>
  </si>
  <si>
    <t>P7 - Jl Binamarga DN1000</t>
  </si>
  <si>
    <t>NPP23BURP08</t>
  </si>
  <si>
    <t>P8 - Crossing Toll Jagorawi DN1000</t>
  </si>
  <si>
    <t>NPP23BURS05</t>
  </si>
  <si>
    <t>S5 - Jl Cipayung DN800</t>
  </si>
  <si>
    <t>NPP23BURS06</t>
  </si>
  <si>
    <t>S6 - Jl Cilangkap DN600</t>
  </si>
  <si>
    <t>PNA12BUR005-C01</t>
  </si>
  <si>
    <t>IBP TNI AU</t>
  </si>
  <si>
    <t>24ABJ.NINBUR161JPEZ9</t>
  </si>
  <si>
    <t>PC 161 - EZ 9</t>
  </si>
  <si>
    <t>24ABJ.NINBUR161JPEZ10</t>
  </si>
  <si>
    <t>PC 161 - EZ 10</t>
  </si>
  <si>
    <t>24ABJ.NINBUR160EZ1</t>
  </si>
  <si>
    <t>PC 160 - EZ 1</t>
  </si>
  <si>
    <t>24ABJ.NINBUR160EZ2</t>
  </si>
  <si>
    <t>PC 160 - EZ 2</t>
  </si>
  <si>
    <t>24ABJ.NINBUR160EZ3</t>
  </si>
  <si>
    <t>PC 160 - EZ 3</t>
  </si>
  <si>
    <t>24ABJ.NINBUR160EZ4</t>
  </si>
  <si>
    <t>PC 160 - EZ 4</t>
  </si>
  <si>
    <t>24ABJ.NINBUR160EZ5</t>
  </si>
  <si>
    <t>PC 160 - EZ 5</t>
  </si>
  <si>
    <t>24ABJ.NINBUR163EZ3</t>
  </si>
  <si>
    <t>PC 163 - EZ 3</t>
  </si>
  <si>
    <t>24ABJ.NINBUR163EZ4</t>
  </si>
  <si>
    <t>PC 163 - EZ 4</t>
  </si>
  <si>
    <t>Selisih</t>
  </si>
  <si>
    <t>PR ABJ</t>
  </si>
  <si>
    <t>PO ABJ</t>
  </si>
  <si>
    <t>PR Jasa</t>
  </si>
  <si>
    <t>PO Jasa</t>
  </si>
  <si>
    <t>PR Material</t>
  </si>
  <si>
    <t>PO Material</t>
  </si>
  <si>
    <t>MOS</t>
  </si>
  <si>
    <t>DPPK</t>
  </si>
  <si>
    <t>PCM</t>
  </si>
  <si>
    <t>Kick Off</t>
  </si>
  <si>
    <t>MC-0</t>
  </si>
  <si>
    <t>TC</t>
  </si>
  <si>
    <t>PR ABJ
(Day)</t>
  </si>
  <si>
    <t>PO ABJ
(Day)</t>
  </si>
  <si>
    <t>PR Jasa
(Day)</t>
  </si>
  <si>
    <t>PO Jasa
(Day)</t>
  </si>
  <si>
    <t>PR Material
(Day)</t>
  </si>
  <si>
    <t>PO Material
(Day)</t>
  </si>
  <si>
    <t>MOS
(Day)</t>
  </si>
  <si>
    <t>DPPK
(Day)</t>
  </si>
  <si>
    <t>PCM
(Day)</t>
  </si>
  <si>
    <t>Kick Off
(Day)</t>
  </si>
  <si>
    <t>MC-0
(Day)</t>
  </si>
  <si>
    <t>TC
(Day)</t>
  </si>
  <si>
    <t>MC-100
(Day)</t>
  </si>
  <si>
    <t>DPPP
(Day)</t>
  </si>
  <si>
    <t>Keterangan</t>
  </si>
  <si>
    <t>: Terlambat 1 - 30 hari</t>
  </si>
  <si>
    <t>: Terlambat 31 - 100 hari</t>
  </si>
  <si>
    <t>: Terlambat 101 - 200 hari</t>
  </si>
  <si>
    <t>: Terlambat 201 - 300 hari</t>
  </si>
  <si>
    <t>: Terlambat 301 - 1.000 hari</t>
  </si>
  <si>
    <t>: Belum selesai tahap tersebut</t>
  </si>
  <si>
    <t>TOK April 2026</t>
  </si>
  <si>
    <t>PR Jasa BPM</t>
  </si>
  <si>
    <t>PO Jasa BPM</t>
  </si>
  <si>
    <t>PR Material BPM</t>
  </si>
  <si>
    <t>PO Material BPM</t>
  </si>
  <si>
    <t>SPAM</t>
  </si>
  <si>
    <t>Jumlah Program</t>
  </si>
  <si>
    <t>Progam Batal / Cancel</t>
  </si>
  <si>
    <t>On Schedule</t>
  </si>
  <si>
    <t>Delay</t>
  </si>
  <si>
    <t>Belum</t>
  </si>
  <si>
    <t>Selesai PO = 100%</t>
  </si>
  <si>
    <t>Proses PO &gt; 100%</t>
  </si>
  <si>
    <t>Proses PO &gt; 50%</t>
  </si>
  <si>
    <t>Belum PO = 0%</t>
  </si>
  <si>
    <t>Min</t>
  </si>
  <si>
    <t>Max</t>
  </si>
  <si>
    <t>Selesai MOS = 100%</t>
  </si>
  <si>
    <t>Proses MOS &gt; 100%</t>
  </si>
  <si>
    <t>Proses MOS &gt; 50%</t>
  </si>
  <si>
    <t>Belum MOS = 0%</t>
  </si>
  <si>
    <t>Jumlah Line</t>
  </si>
  <si>
    <t>Line PR Material</t>
  </si>
  <si>
    <t>Line PO Material BPM</t>
  </si>
  <si>
    <t>% Line PO Material BPM</t>
  </si>
  <si>
    <t>% Line MOS</t>
  </si>
  <si>
    <t>(Prog)</t>
  </si>
  <si>
    <t>(%)</t>
  </si>
  <si>
    <t>Jatiluhur - MS</t>
  </si>
  <si>
    <t>Jatiluhur - Non MS</t>
  </si>
  <si>
    <t>Karian - MS</t>
  </si>
  <si>
    <t>Karian - Non MS</t>
  </si>
  <si>
    <t>Buaran 3 - MS</t>
  </si>
  <si>
    <t>Buaran 3 - Non MS</t>
  </si>
  <si>
    <t>TOTAL</t>
  </si>
  <si>
    <t>TOK Oktober 2026</t>
  </si>
  <si>
    <t>TOK</t>
  </si>
  <si>
    <t>Ahead</t>
  </si>
  <si>
    <t>Total</t>
  </si>
  <si>
    <t>2.Sudah Upload JAKEVO</t>
  </si>
  <si>
    <t>5.Menunggu Jadwal Survey/ Expose</t>
  </si>
  <si>
    <t>6.Revisi Gambar Rekomtek DBM</t>
  </si>
  <si>
    <t>Tidak diperlukan Izin IPPJU</t>
  </si>
  <si>
    <t>Izin Private area</t>
  </si>
  <si>
    <t>2.Sudah Upload Jakevo</t>
  </si>
  <si>
    <t>5.Menunggu Jadwal Survey/expose</t>
  </si>
  <si>
    <t>Crossing Kereta Api</t>
  </si>
  <si>
    <t>Status Minggu Ini</t>
  </si>
  <si>
    <t>Cut Off 1 Februari 2026</t>
  </si>
  <si>
    <t>Total Program</t>
  </si>
  <si>
    <t>Potensi Delay</t>
  </si>
  <si>
    <t>Program Berjalan</t>
  </si>
  <si>
    <t>Kick Off Meeting</t>
  </si>
  <si>
    <t>Proses MOS</t>
  </si>
  <si>
    <t>Tes Com</t>
  </si>
  <si>
    <t>Persiapan</t>
  </si>
  <si>
    <t>Flushing</t>
  </si>
  <si>
    <t>Jatiluhur Hilir</t>
  </si>
  <si>
    <t>Summary Project TOK Oktober 2026</t>
  </si>
  <si>
    <t>Karian Serpong Hilir</t>
  </si>
  <si>
    <t>Buaran 3 Hilir</t>
  </si>
  <si>
    <t>PCM &amp; KOM</t>
  </si>
  <si>
    <t>Tes Comm</t>
  </si>
  <si>
    <t>Program Batal</t>
  </si>
  <si>
    <t>Belum Konstruksi</t>
  </si>
  <si>
    <t>Selesai Konstruksi</t>
  </si>
  <si>
    <t>Milestone</t>
  </si>
  <si>
    <t>Proses</t>
  </si>
  <si>
    <t>Selesai</t>
  </si>
  <si>
    <t>PO</t>
  </si>
  <si>
    <t>Perizinan</t>
  </si>
  <si>
    <t>Konstruksi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</si>
</sst>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quot;Rp&quot;* #,##0_-;\-&quot;Rp&quot;* #,##0_-;_-&quot;Rp&quot;* &quot;-&quot;_-;_-@_-"/>
    <numFmt numFmtId="165" formatCode="_-&quot;Rp&quot;* #,##0.00_-;\-&quot;Rp&quot;* #,##0.00_-;_-&quot;Rp&quot;* &quot;-&quot;??_-;_-@_-"/>
    <numFmt numFmtId="166" formatCode="_-* #,##0.00_-;\-* #,##0.00_-;_-* &quot;-&quot;??_-;_-@_-"/>
    <numFmt numFmtId="167" formatCode="_(* #,##0_);_(* \(#,##0\);_(* &quot;-&quot;??_);_(@_)"/>
    <numFmt numFmtId="168" formatCode="_(* #,##0.0_);_(* \(#,##0.0\);_(* &quot;-&quot;??_);_(@_)"/>
    <numFmt numFmtId="169" formatCode="[$-13809]d\ mmm\ yyyy;@"/>
    <numFmt numFmtId="170" formatCode="_-* #,##0_-;\-* #,##0_-;_-* &quot;-&quot;??_-;_-@_-"/>
    <numFmt numFmtId="171" formatCode="[$-409]d\-mmm\-yy;@"/>
    <numFmt numFmtId="172" formatCode="_-[$Rp-421]* #,##0.00_-;\-[$Rp-421]* #,##0.00_-;_-[$Rp-421]* &quot;-&quot;??_-;_-@_-"/>
    <numFmt numFmtId="173" formatCode="_-&quot;Rp&quot;* #,##0_-;\-&quot;Rp&quot;* #,##0_-;_-&quot;Rp&quot;* &quot;-&quot;??_-;_-@_-"/>
    <numFmt numFmtId="174" formatCode="0.0%"/>
    <numFmt numFmtId="175" formatCode="[$-13809]dd\ mmmm\ yyyy;@"/>
    <numFmt numFmtId="176" formatCode="0.000%"/>
  </numFmts>
  <fonts count="3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8"/>
      <color theme="1"/>
      <name val="Calibri"/>
      <family val="2"/>
      <scheme val="minor"/>
    </font>
    <font>
      <b/>
      <sz val="11"/>
      <color rgb="FFFFFF00"/>
      <name val="Calibri"/>
      <family val="2"/>
      <scheme val="minor"/>
    </font>
    <font>
      <b/>
      <sz val="9"/>
      <color indexed="81"/>
      <name val="Tahoma"/>
      <family val="2"/>
    </font>
    <font>
      <sz val="9"/>
      <color indexed="81"/>
      <name val="Tahoma"/>
      <family val="2"/>
    </font>
    <font>
      <sz val="11"/>
      <color theme="0"/>
      <name val="Calibri"/>
      <family val="2"/>
      <scheme val="minor"/>
    </font>
    <font>
      <sz val="8"/>
      <name val="Calibri"/>
      <family val="2"/>
      <scheme val="minor"/>
    </font>
    <font>
      <sz val="11"/>
      <color rgb="FF000000"/>
      <name val="Calibri"/>
      <family val="2"/>
    </font>
    <font>
      <sz val="11"/>
      <color rgb="FF000000"/>
      <name val="Calibri"/>
      <family val="2"/>
      <scheme val="minor"/>
    </font>
    <font>
      <sz val="11"/>
      <color rgb="FF000000"/>
      <name val="Arial"/>
      <family val="2"/>
    </font>
    <font>
      <sz val="11"/>
      <color rgb="FFFF0000"/>
      <name val="Calibri"/>
      <family val="2"/>
      <scheme val="minor"/>
    </font>
    <font>
      <sz val="11"/>
      <name val="Calibri"/>
      <family val="2"/>
      <scheme val="minor"/>
    </font>
    <font>
      <sz val="11"/>
      <color theme="0"/>
      <name val="Calibri"/>
      <family val="2"/>
    </font>
    <font>
      <b/>
      <sz val="11"/>
      <color rgb="FFFF0000"/>
      <name val="Calibri"/>
      <family val="2"/>
      <scheme val="minor"/>
    </font>
    <font>
      <sz val="9"/>
      <color theme="0"/>
      <name val="Calibri"/>
      <family val="2"/>
    </font>
    <font>
      <sz val="9"/>
      <color theme="1"/>
      <name val="Calibri"/>
      <family val="2"/>
      <scheme val="minor"/>
    </font>
    <font>
      <sz val="9"/>
      <name val="Calibri"/>
      <family val="2"/>
      <scheme val="minor"/>
    </font>
    <font>
      <b/>
      <sz val="11"/>
      <name val="Calibri"/>
      <family val="2"/>
      <scheme val="minor"/>
    </font>
    <font>
      <sz val="9"/>
      <color theme="0"/>
      <name val="Calibri"/>
      <family val="2"/>
      <scheme val="minor"/>
    </font>
    <font>
      <sz val="10"/>
      <color theme="1"/>
      <name val="Calibri"/>
      <family val="2"/>
      <scheme val="minor"/>
    </font>
    <font>
      <sz val="11"/>
      <color rgb="FF333333"/>
      <name val="Calibri"/>
      <family val="2"/>
      <scheme val="minor"/>
    </font>
    <font>
      <b/>
      <sz val="10"/>
      <color theme="0"/>
      <name val="Calibri"/>
      <family val="2"/>
      <scheme val="minor"/>
    </font>
    <font>
      <sz val="11"/>
      <color theme="1"/>
      <name val="Arial"/>
      <family val="2"/>
    </font>
    <font>
      <b/>
      <sz val="12"/>
      <color theme="0"/>
      <name val="Calibri"/>
      <family val="2"/>
      <scheme val="minor"/>
    </font>
    <font>
      <b/>
      <sz val="12"/>
      <color theme="1"/>
      <name val="Calibri"/>
      <family val="2"/>
      <scheme val="minor"/>
    </font>
    <font>
      <sz val="12"/>
      <color theme="1"/>
      <name val="Calibri"/>
      <family val="2"/>
      <scheme val="minor"/>
    </font>
    <font>
      <sz val="11"/>
      <name val="Calibri"/>
      <family val="2"/>
    </font>
    <font>
      <b/>
      <sz val="14"/>
      <color theme="0"/>
      <name val="Calibri"/>
      <family val="2"/>
      <scheme val="minor"/>
    </font>
  </fonts>
  <fills count="25">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002060"/>
        <bgColor indexed="64"/>
      </patternFill>
    </fill>
    <fill>
      <patternFill patternType="solid">
        <fgColor rgb="FF00B0F0"/>
        <bgColor indexed="64"/>
      </patternFill>
    </fill>
    <fill>
      <patternFill patternType="solid">
        <fgColor rgb="FFFF0000"/>
        <bgColor indexed="64"/>
      </patternFill>
    </fill>
    <fill>
      <patternFill patternType="solid">
        <fgColor theme="7"/>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4"/>
        <bgColor indexed="64"/>
      </patternFill>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theme="4" tint="0.59999389629810485"/>
        <bgColor theme="4" tint="0.59999389629810485"/>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style="thin">
        <color indexed="64"/>
      </left>
      <right style="thin">
        <color indexed="64"/>
      </right>
      <top/>
      <bottom/>
      <diagonal/>
    </border>
    <border>
      <left/>
      <right/>
      <top style="thin">
        <color indexed="64"/>
      </top>
      <bottom style="thin">
        <color indexed="64"/>
      </bottom>
      <diagonal/>
    </border>
    <border>
      <left style="thin">
        <color rgb="FF002060"/>
      </left>
      <right style="thin">
        <color rgb="FF002060"/>
      </right>
      <top style="thin">
        <color rgb="FF002060"/>
      </top>
      <bottom style="thin">
        <color rgb="FF002060"/>
      </bottom>
      <diagonal/>
    </border>
    <border>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top/>
      <bottom style="thin">
        <color rgb="FF002060"/>
      </bottom>
      <diagonal/>
    </border>
    <border>
      <left/>
      <right style="thin">
        <color rgb="FF002060"/>
      </right>
      <top style="thin">
        <color rgb="FF002060"/>
      </top>
      <bottom style="thin">
        <color rgb="FF002060"/>
      </bottom>
      <diagonal/>
    </border>
    <border>
      <left style="thin">
        <color rgb="FF002060"/>
      </left>
      <right/>
      <top style="thin">
        <color rgb="FF002060"/>
      </top>
      <bottom style="thin">
        <color rgb="FF002060"/>
      </bottom>
      <diagonal/>
    </border>
    <border>
      <left/>
      <right style="thin">
        <color rgb="FF002060"/>
      </right>
      <top style="thin">
        <color rgb="FF002060"/>
      </top>
      <bottom/>
      <diagonal/>
    </border>
    <border>
      <left style="thin">
        <color rgb="FF002060"/>
      </left>
      <right style="thin">
        <color rgb="FF002060"/>
      </right>
      <top style="thin">
        <color rgb="FF002060"/>
      </top>
      <bottom/>
      <diagonal/>
    </border>
    <border>
      <left style="thin">
        <color rgb="FF002060"/>
      </left>
      <right/>
      <top style="thin">
        <color rgb="FF002060"/>
      </top>
      <bottom/>
      <diagonal/>
    </border>
    <border>
      <left style="thin">
        <color indexed="64"/>
      </left>
      <right style="thin">
        <color indexed="64"/>
      </right>
      <top style="thin">
        <color theme="4" tint="0.39997558519241921"/>
      </top>
      <bottom style="thin">
        <color indexed="64"/>
      </bottom>
      <diagonal/>
    </border>
    <border>
      <left/>
      <right/>
      <top style="thin">
        <color rgb="FF4472C4"/>
      </top>
      <bottom/>
      <diagonal/>
    </border>
    <border>
      <left style="thin">
        <color rgb="FF4472C4"/>
      </left>
      <right/>
      <top style="thin">
        <color rgb="FF4472C4"/>
      </top>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thin">
        <color theme="0"/>
      </left>
      <right style="thin">
        <color indexed="64"/>
      </right>
      <top/>
      <bottom/>
      <diagonal/>
    </border>
    <border>
      <left style="thin">
        <color theme="0"/>
      </left>
      <right style="thin">
        <color theme="0"/>
      </right>
      <top style="thin">
        <color theme="0"/>
      </top>
      <bottom/>
      <diagonal/>
    </border>
  </borders>
  <cellStyleXfs count="10">
    <xf numFmtId="0" fontId="0" fillId="0" borderId="0"/>
    <xf numFmtId="166"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cellStyleXfs>
  <cellXfs count="699">
    <xf numFmtId="0" fontId="0" fillId="0" borderId="0" xfId="0"/>
    <xf numFmtId="0" fontId="0" fillId="0" borderId="0" xfId="0" applyAlignment="1">
      <alignment vertical="top"/>
    </xf>
    <xf numFmtId="0" fontId="2" fillId="3" borderId="5" xfId="0" applyFont="1" applyFill="1" applyBorder="1" applyAlignment="1">
      <alignment horizontal="center" vertical="top"/>
    </xf>
    <xf numFmtId="0" fontId="2" fillId="3" borderId="5" xfId="0" applyFont="1" applyFill="1" applyBorder="1" applyAlignment="1">
      <alignment horizontal="center" vertical="top" wrapText="1"/>
    </xf>
    <xf numFmtId="0" fontId="0" fillId="0" borderId="0" xfId="0" applyAlignment="1">
      <alignment vertical="center"/>
    </xf>
    <xf numFmtId="3" fontId="0" fillId="0" borderId="0" xfId="0" applyNumberForma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2" fillId="3" borderId="8" xfId="0" applyFont="1" applyFill="1" applyBorder="1" applyAlignment="1">
      <alignment horizontal="center" vertical="top"/>
    </xf>
    <xf numFmtId="0" fontId="2" fillId="3" borderId="8" xfId="0" applyFont="1" applyFill="1" applyBorder="1" applyAlignment="1">
      <alignment horizontal="center" vertical="top" wrapText="1"/>
    </xf>
    <xf numFmtId="0" fontId="2" fillId="3" borderId="1" xfId="0" applyFont="1" applyFill="1" applyBorder="1" applyAlignment="1">
      <alignment horizontal="center" vertical="top"/>
    </xf>
    <xf numFmtId="0" fontId="2" fillId="3"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8" borderId="1" xfId="0" applyFont="1" applyFill="1" applyBorder="1" applyAlignment="1">
      <alignment horizontal="center" vertical="top" wrapText="1"/>
    </xf>
    <xf numFmtId="169" fontId="2" fillId="5" borderId="1" xfId="0" applyNumberFormat="1" applyFont="1" applyFill="1" applyBorder="1" applyAlignment="1">
      <alignment horizontal="center" vertical="top" wrapText="1"/>
    </xf>
    <xf numFmtId="0" fontId="2" fillId="6" borderId="1" xfId="0" applyFont="1" applyFill="1" applyBorder="1" applyAlignment="1">
      <alignment horizontal="center" vertical="top" wrapText="1"/>
    </xf>
    <xf numFmtId="169" fontId="2" fillId="3" borderId="1" xfId="0" applyNumberFormat="1" applyFont="1" applyFill="1" applyBorder="1" applyAlignment="1">
      <alignment horizontal="center" vertical="top" wrapText="1"/>
    </xf>
    <xf numFmtId="9" fontId="2" fillId="3" borderId="1" xfId="2" applyFont="1" applyFill="1" applyBorder="1" applyAlignment="1">
      <alignment horizontal="center" vertical="top" wrapText="1"/>
    </xf>
    <xf numFmtId="10" fontId="2" fillId="3" borderId="8" xfId="2" applyNumberFormat="1" applyFont="1" applyFill="1" applyBorder="1" applyAlignment="1">
      <alignment horizontal="center" vertical="top" wrapText="1"/>
    </xf>
    <xf numFmtId="10" fontId="0" fillId="0" borderId="0" xfId="2" applyNumberFormat="1" applyFont="1" applyAlignment="1">
      <alignment horizontal="center" vertical="center"/>
    </xf>
    <xf numFmtId="10" fontId="0" fillId="0" borderId="0" xfId="2" applyNumberFormat="1" applyFont="1" applyAlignment="1">
      <alignment horizontal="center" vertical="center" wrapText="1"/>
    </xf>
    <xf numFmtId="10" fontId="2" fillId="6" borderId="8" xfId="2" applyNumberFormat="1" applyFont="1" applyFill="1" applyBorder="1" applyAlignment="1">
      <alignment horizontal="center" vertical="top" wrapText="1"/>
    </xf>
    <xf numFmtId="10" fontId="0" fillId="0" borderId="0" xfId="0" applyNumberFormat="1" applyAlignment="1">
      <alignment horizontal="center" vertical="center"/>
    </xf>
    <xf numFmtId="0" fontId="3" fillId="0" borderId="0" xfId="0" applyFont="1" applyAlignment="1">
      <alignment horizontal="center" vertical="center"/>
    </xf>
    <xf numFmtId="10" fontId="0" fillId="0" borderId="0" xfId="3" applyNumberFormat="1" applyFont="1" applyFill="1" applyAlignment="1">
      <alignment horizontal="center" vertical="center"/>
    </xf>
    <xf numFmtId="10" fontId="0" fillId="0" borderId="0" xfId="2" applyNumberFormat="1" applyFont="1" applyFill="1" applyAlignment="1">
      <alignment horizontal="center" vertical="center"/>
    </xf>
    <xf numFmtId="171" fontId="3" fillId="0" borderId="0" xfId="0" applyNumberFormat="1" applyFont="1" applyAlignment="1">
      <alignment horizontal="center" vertical="center"/>
    </xf>
    <xf numFmtId="169" fontId="0" fillId="0" borderId="0" xfId="0" applyNumberFormat="1" applyAlignment="1">
      <alignment horizontal="center" vertical="center"/>
    </xf>
    <xf numFmtId="0" fontId="8" fillId="7" borderId="0" xfId="0" applyFont="1" applyFill="1" applyAlignment="1">
      <alignment vertical="center"/>
    </xf>
    <xf numFmtId="43" fontId="0" fillId="0" borderId="1" xfId="3" applyFont="1" applyFill="1" applyBorder="1" applyAlignment="1">
      <alignment horizontal="center" vertical="center"/>
    </xf>
    <xf numFmtId="167" fontId="0" fillId="0" borderId="1" xfId="3" applyNumberFormat="1" applyFont="1" applyFill="1" applyBorder="1" applyAlignment="1">
      <alignment vertical="center"/>
    </xf>
    <xf numFmtId="10" fontId="0" fillId="0" borderId="2" xfId="2" applyNumberFormat="1" applyFont="1" applyFill="1" applyBorder="1" applyAlignment="1">
      <alignment horizontal="center" vertical="center"/>
    </xf>
    <xf numFmtId="10" fontId="10" fillId="0" borderId="1" xfId="2" applyNumberFormat="1" applyFont="1" applyFill="1" applyBorder="1" applyAlignment="1">
      <alignment horizontal="center" vertical="center"/>
    </xf>
    <xf numFmtId="10" fontId="0" fillId="0" borderId="1" xfId="2" applyNumberFormat="1" applyFont="1" applyFill="1" applyBorder="1" applyAlignment="1">
      <alignment horizontal="center" vertical="center"/>
    </xf>
    <xf numFmtId="43" fontId="0" fillId="0" borderId="1" xfId="3" applyFont="1" applyFill="1" applyBorder="1" applyAlignment="1">
      <alignment vertical="center"/>
    </xf>
    <xf numFmtId="0" fontId="2" fillId="5" borderId="1" xfId="0" applyFont="1" applyFill="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10" borderId="1" xfId="0" applyFont="1" applyFill="1" applyBorder="1" applyAlignment="1">
      <alignment horizontal="center" vertical="center"/>
    </xf>
    <xf numFmtId="15" fontId="2" fillId="6" borderId="1" xfId="0" applyNumberFormat="1" applyFont="1" applyFill="1" applyBorder="1" applyAlignment="1">
      <alignment horizontal="center" vertical="top" wrapText="1"/>
    </xf>
    <xf numFmtId="0" fontId="14" fillId="0" borderId="1" xfId="0" applyFont="1" applyBorder="1" applyAlignment="1">
      <alignment horizontal="right" vertical="center"/>
    </xf>
    <xf numFmtId="0" fontId="14" fillId="10" borderId="1" xfId="0" applyFont="1" applyFill="1" applyBorder="1" applyAlignment="1">
      <alignment horizontal="center" vertical="center"/>
    </xf>
    <xf numFmtId="0" fontId="8" fillId="12" borderId="1" xfId="0" applyFont="1" applyFill="1" applyBorder="1" applyAlignment="1">
      <alignment horizontal="center" vertical="center"/>
    </xf>
    <xf numFmtId="3" fontId="10" fillId="0" borderId="1" xfId="1" applyNumberFormat="1" applyFont="1" applyFill="1" applyBorder="1" applyAlignment="1">
      <alignment horizontal="center" vertical="center"/>
    </xf>
    <xf numFmtId="0" fontId="2" fillId="6" borderId="1" xfId="0" applyFont="1" applyFill="1" applyBorder="1" applyAlignment="1">
      <alignment horizontal="center" vertical="center" wrapText="1"/>
    </xf>
    <xf numFmtId="165" fontId="0" fillId="0" borderId="0" xfId="0" applyNumberFormat="1" applyAlignment="1">
      <alignment vertical="center"/>
    </xf>
    <xf numFmtId="166" fontId="0" fillId="0" borderId="0" xfId="0" applyNumberFormat="1" applyAlignment="1">
      <alignment horizontal="center" vertical="center" wrapText="1"/>
    </xf>
    <xf numFmtId="167"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15" fontId="0" fillId="0" borderId="0" xfId="0" applyNumberFormat="1" applyAlignment="1">
      <alignment horizontal="center" vertical="center"/>
    </xf>
    <xf numFmtId="169" fontId="0" fillId="0" borderId="0" xfId="0" applyNumberFormat="1" applyAlignment="1">
      <alignment vertical="center"/>
    </xf>
    <xf numFmtId="0" fontId="3" fillId="0" borderId="0" xfId="0" applyFont="1" applyAlignment="1">
      <alignment horizontal="centerContinuous" vertical="center"/>
    </xf>
    <xf numFmtId="0" fontId="4" fillId="0" borderId="0" xfId="0" applyFont="1" applyAlignment="1">
      <alignment horizontal="left" vertical="center"/>
    </xf>
    <xf numFmtId="0" fontId="0" fillId="0" borderId="0" xfId="0" applyAlignment="1">
      <alignment horizontal="centerContinuous" vertical="center"/>
    </xf>
    <xf numFmtId="0" fontId="0" fillId="0" borderId="0" xfId="0" applyAlignment="1">
      <alignment horizontal="centerContinuous" vertical="center" wrapText="1"/>
    </xf>
    <xf numFmtId="10" fontId="3" fillId="0" borderId="0" xfId="2" applyNumberFormat="1" applyFont="1" applyAlignment="1">
      <alignment horizontal="center" vertical="center"/>
    </xf>
    <xf numFmtId="9" fontId="3" fillId="0" borderId="0" xfId="2" applyFont="1" applyAlignment="1">
      <alignment horizontal="center" vertical="center"/>
    </xf>
    <xf numFmtId="166" fontId="0" fillId="0" borderId="0" xfId="1" applyFont="1" applyAlignment="1">
      <alignment horizontal="center" vertical="center"/>
    </xf>
    <xf numFmtId="0" fontId="0" fillId="2" borderId="0" xfId="0" applyFill="1" applyAlignment="1">
      <alignment horizontal="center" vertical="center"/>
    </xf>
    <xf numFmtId="3" fontId="0" fillId="2" borderId="0" xfId="3" applyNumberFormat="1" applyFont="1" applyFill="1" applyAlignment="1">
      <alignment horizontal="center" vertical="center"/>
    </xf>
    <xf numFmtId="167" fontId="0" fillId="2" borderId="0" xfId="3" applyNumberFormat="1" applyFont="1" applyFill="1" applyAlignment="1">
      <alignment vertical="center"/>
    </xf>
    <xf numFmtId="167" fontId="0" fillId="0" borderId="5" xfId="3" applyNumberFormat="1" applyFont="1" applyFill="1" applyBorder="1" applyAlignment="1">
      <alignment vertical="center"/>
    </xf>
    <xf numFmtId="165" fontId="0" fillId="0" borderId="1" xfId="2" applyNumberFormat="1" applyFont="1" applyFill="1" applyBorder="1" applyAlignment="1">
      <alignment vertical="center"/>
    </xf>
    <xf numFmtId="170" fontId="0" fillId="0" borderId="1" xfId="1" applyNumberFormat="1" applyFont="1" applyFill="1" applyBorder="1" applyAlignment="1">
      <alignment vertical="center"/>
    </xf>
    <xf numFmtId="1" fontId="0" fillId="0" borderId="0" xfId="1" applyNumberFormat="1" applyFont="1" applyAlignment="1">
      <alignment horizontal="center" vertical="center" wrapText="1"/>
    </xf>
    <xf numFmtId="9" fontId="0" fillId="0" borderId="0" xfId="2" applyFont="1" applyAlignment="1">
      <alignment horizontal="center" vertical="center" wrapText="1"/>
    </xf>
    <xf numFmtId="165" fontId="0" fillId="0" borderId="0" xfId="0" applyNumberFormat="1" applyAlignment="1">
      <alignment vertical="center" wrapText="1"/>
    </xf>
    <xf numFmtId="10" fontId="0" fillId="0" borderId="0" xfId="0" applyNumberFormat="1" applyAlignment="1">
      <alignment horizontal="center" vertical="center" wrapText="1"/>
    </xf>
    <xf numFmtId="169" fontId="0" fillId="0" borderId="0" xfId="0" applyNumberFormat="1" applyAlignment="1">
      <alignment vertical="center" wrapText="1"/>
    </xf>
    <xf numFmtId="170" fontId="0" fillId="0" borderId="0" xfId="1" applyNumberFormat="1" applyFont="1" applyAlignment="1">
      <alignment vertical="center" wrapText="1"/>
    </xf>
    <xf numFmtId="15" fontId="0" fillId="0" borderId="0" xfId="0" applyNumberFormat="1" applyAlignment="1">
      <alignment horizontal="center" vertical="center" wrapText="1"/>
    </xf>
    <xf numFmtId="169" fontId="0" fillId="0" borderId="0" xfId="0" applyNumberFormat="1" applyAlignment="1">
      <alignment horizontal="center" vertical="center" wrapText="1"/>
    </xf>
    <xf numFmtId="10" fontId="2" fillId="8" borderId="1" xfId="0" applyNumberFormat="1" applyFont="1" applyFill="1" applyBorder="1" applyAlignment="1">
      <alignment horizontal="center" vertical="top" wrapText="1"/>
    </xf>
    <xf numFmtId="0" fontId="8" fillId="0" borderId="0" xfId="0" applyFont="1" applyAlignment="1">
      <alignment vertical="center"/>
    </xf>
    <xf numFmtId="3" fontId="3" fillId="0" borderId="0" xfId="2" applyNumberFormat="1" applyFont="1" applyAlignment="1">
      <alignment horizontal="center" vertical="center"/>
    </xf>
    <xf numFmtId="3" fontId="2" fillId="3" borderId="1" xfId="0" applyNumberFormat="1" applyFont="1" applyFill="1" applyBorder="1" applyAlignment="1">
      <alignment horizontal="center" vertical="top" wrapText="1"/>
    </xf>
    <xf numFmtId="3" fontId="10" fillId="0" borderId="1" xfId="2" applyNumberFormat="1" applyFont="1" applyFill="1" applyBorder="1" applyAlignment="1">
      <alignment horizontal="center" vertical="center"/>
    </xf>
    <xf numFmtId="3" fontId="0" fillId="0" borderId="0" xfId="2" applyNumberFormat="1" applyFont="1" applyAlignment="1">
      <alignment horizontal="center" vertical="center" wrapText="1"/>
    </xf>
    <xf numFmtId="0" fontId="0" fillId="9" borderId="1" xfId="0" applyFill="1" applyBorder="1" applyAlignment="1">
      <alignment horizontal="center" vertical="center"/>
    </xf>
    <xf numFmtId="174" fontId="8" fillId="12" borderId="1" xfId="2" applyNumberFormat="1" applyFont="1" applyFill="1" applyBorder="1" applyAlignment="1">
      <alignment horizontal="center" vertical="center"/>
    </xf>
    <xf numFmtId="10" fontId="2" fillId="6" borderId="1" xfId="0" applyNumberFormat="1" applyFont="1" applyFill="1" applyBorder="1" applyAlignment="1">
      <alignment horizontal="center" vertical="top" wrapText="1"/>
    </xf>
    <xf numFmtId="10" fontId="0" fillId="0" borderId="0" xfId="0" applyNumberFormat="1" applyAlignment="1">
      <alignment vertical="center" wrapText="1"/>
    </xf>
    <xf numFmtId="10" fontId="2" fillId="3" borderId="1" xfId="2" applyNumberFormat="1" applyFont="1" applyFill="1" applyBorder="1" applyAlignment="1">
      <alignment horizontal="center" vertical="top" wrapText="1"/>
    </xf>
    <xf numFmtId="10" fontId="0" fillId="0" borderId="5" xfId="2" applyNumberFormat="1" applyFont="1" applyFill="1" applyBorder="1" applyAlignment="1">
      <alignment horizontal="center" vertical="center"/>
    </xf>
    <xf numFmtId="10" fontId="8" fillId="0" borderId="5" xfId="2" applyNumberFormat="1" applyFont="1" applyFill="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4" fillId="0" borderId="13" xfId="0" applyFont="1" applyBorder="1" applyAlignment="1">
      <alignment horizontal="center" vertical="center"/>
    </xf>
    <xf numFmtId="0" fontId="14" fillId="0" borderId="18" xfId="0" applyFont="1" applyBorder="1" applyAlignment="1">
      <alignment horizontal="center" vertical="center"/>
    </xf>
    <xf numFmtId="0" fontId="8" fillId="13" borderId="19" xfId="0" applyFont="1" applyFill="1" applyBorder="1" applyAlignment="1">
      <alignment horizontal="center" vertical="center"/>
    </xf>
    <xf numFmtId="0" fontId="8" fillId="13" borderId="20" xfId="0" applyFont="1" applyFill="1" applyBorder="1" applyAlignment="1">
      <alignment horizontal="center" vertical="center"/>
    </xf>
    <xf numFmtId="0" fontId="8" fillId="13" borderId="21" xfId="0" applyFont="1" applyFill="1" applyBorder="1" applyAlignment="1">
      <alignment horizontal="center" vertical="center"/>
    </xf>
    <xf numFmtId="9" fontId="2" fillId="8" borderId="1" xfId="2" applyFont="1" applyFill="1" applyBorder="1" applyAlignment="1">
      <alignment horizontal="center" vertical="top" wrapText="1"/>
    </xf>
    <xf numFmtId="9" fontId="10" fillId="0" borderId="1" xfId="2" applyFont="1" applyFill="1" applyBorder="1" applyAlignment="1">
      <alignment horizontal="center" vertical="center"/>
    </xf>
    <xf numFmtId="165" fontId="0" fillId="0" borderId="0" xfId="5" applyFont="1" applyAlignment="1">
      <alignment horizontal="center" vertical="center"/>
    </xf>
    <xf numFmtId="173" fontId="0" fillId="0" borderId="0" xfId="5" applyNumberFormat="1" applyFont="1" applyAlignment="1">
      <alignment horizontal="center" vertical="center"/>
    </xf>
    <xf numFmtId="176" fontId="0" fillId="0" borderId="0" xfId="2" applyNumberFormat="1" applyFont="1" applyAlignment="1">
      <alignment vertical="center"/>
    </xf>
    <xf numFmtId="0" fontId="2" fillId="6" borderId="1" xfId="0" applyFont="1" applyFill="1" applyBorder="1" applyAlignment="1">
      <alignment horizontal="center" vertical="top"/>
    </xf>
    <xf numFmtId="0" fontId="18" fillId="0" borderId="0" xfId="0" applyFont="1" applyAlignment="1">
      <alignment vertical="center"/>
    </xf>
    <xf numFmtId="37" fontId="0" fillId="0" borderId="0" xfId="1" applyNumberFormat="1" applyFont="1" applyAlignment="1">
      <alignment horizontal="center" vertical="center"/>
    </xf>
    <xf numFmtId="37" fontId="0" fillId="2" borderId="0" xfId="1" applyNumberFormat="1" applyFont="1" applyFill="1" applyAlignment="1">
      <alignment horizontal="center" vertical="center"/>
    </xf>
    <xf numFmtId="37" fontId="2" fillId="3" borderId="1" xfId="1" applyNumberFormat="1" applyFont="1" applyFill="1" applyBorder="1" applyAlignment="1">
      <alignment horizontal="center" vertical="top" wrapText="1"/>
    </xf>
    <xf numFmtId="37" fontId="0" fillId="0" borderId="1" xfId="1" applyNumberFormat="1" applyFont="1" applyFill="1" applyBorder="1" applyAlignment="1">
      <alignment horizontal="center" vertical="center"/>
    </xf>
    <xf numFmtId="37" fontId="0" fillId="0" borderId="0" xfId="0" applyNumberFormat="1" applyAlignment="1">
      <alignment vertical="center" wrapText="1"/>
    </xf>
    <xf numFmtId="43" fontId="0" fillId="0" borderId="0" xfId="0" applyNumberFormat="1" applyAlignment="1">
      <alignment horizontal="center" vertical="center" wrapText="1"/>
    </xf>
    <xf numFmtId="0" fontId="2" fillId="0" borderId="8" xfId="0" applyFont="1" applyBorder="1" applyAlignment="1">
      <alignment horizontal="center" vertical="top"/>
    </xf>
    <xf numFmtId="0" fontId="22" fillId="0" borderId="0" xfId="0" applyFont="1"/>
    <xf numFmtId="0" fontId="22" fillId="0" borderId="0" xfId="0" applyFont="1" applyAlignment="1">
      <alignment horizontal="center" vertical="center"/>
    </xf>
    <xf numFmtId="0" fontId="0" fillId="0" borderId="0" xfId="0" applyAlignment="1">
      <alignment wrapText="1"/>
    </xf>
    <xf numFmtId="0" fontId="22" fillId="0" borderId="0" xfId="0" applyFont="1" applyAlignment="1">
      <alignment wrapText="1"/>
    </xf>
    <xf numFmtId="0" fontId="0" fillId="0" borderId="17" xfId="0" applyBorder="1" applyAlignment="1">
      <alignment horizontal="left" vertical="center"/>
    </xf>
    <xf numFmtId="170" fontId="0" fillId="0" borderId="0" xfId="1" applyNumberFormat="1" applyFont="1" applyAlignment="1">
      <alignment horizontal="center" vertical="center"/>
    </xf>
    <xf numFmtId="43" fontId="0" fillId="6" borderId="1" xfId="3" applyFont="1" applyFill="1" applyBorder="1" applyAlignment="1">
      <alignment horizontal="center" vertical="center"/>
    </xf>
    <xf numFmtId="169" fontId="0" fillId="0" borderId="5" xfId="0" applyNumberFormat="1" applyBorder="1" applyAlignment="1">
      <alignment horizontal="center" vertical="center" wrapText="1"/>
    </xf>
    <xf numFmtId="3" fontId="10" fillId="0" borderId="6" xfId="2" applyNumberFormat="1" applyFont="1" applyFill="1" applyBorder="1" applyAlignment="1">
      <alignment horizontal="center" vertical="center"/>
    </xf>
    <xf numFmtId="43" fontId="0" fillId="6" borderId="6" xfId="3" applyFont="1" applyFill="1" applyBorder="1" applyAlignment="1">
      <alignment horizontal="center" vertical="center"/>
    </xf>
    <xf numFmtId="9" fontId="10" fillId="0" borderId="1" xfId="2" applyFont="1" applyFill="1" applyBorder="1" applyAlignment="1">
      <alignment horizontal="center" vertical="center" wrapText="1"/>
    </xf>
    <xf numFmtId="9" fontId="10" fillId="0" borderId="6" xfId="2" applyFont="1" applyFill="1" applyBorder="1" applyAlignment="1">
      <alignment horizontal="center" vertical="center" wrapText="1"/>
    </xf>
    <xf numFmtId="9" fontId="0" fillId="0" borderId="5" xfId="2" applyFont="1" applyFill="1" applyBorder="1" applyAlignment="1">
      <alignment horizontal="center" vertical="center"/>
    </xf>
    <xf numFmtId="9" fontId="0" fillId="0" borderId="1" xfId="2" applyFont="1" applyFill="1" applyBorder="1" applyAlignment="1">
      <alignment horizontal="center" vertical="center"/>
    </xf>
    <xf numFmtId="9" fontId="0" fillId="0" borderId="6" xfId="2" applyFont="1" applyFill="1" applyBorder="1" applyAlignment="1">
      <alignment horizontal="center" vertical="center"/>
    </xf>
    <xf numFmtId="166" fontId="0" fillId="0" borderId="0" xfId="1" applyFont="1" applyAlignment="1">
      <alignment vertical="center"/>
    </xf>
    <xf numFmtId="166" fontId="0" fillId="2" borderId="0" xfId="3" applyNumberFormat="1" applyFont="1" applyFill="1" applyAlignment="1">
      <alignment horizontal="center" vertical="center"/>
    </xf>
    <xf numFmtId="166" fontId="2" fillId="6" borderId="1" xfId="1" applyFont="1" applyFill="1" applyBorder="1" applyAlignment="1">
      <alignment horizontal="center" vertical="top" wrapText="1"/>
    </xf>
    <xf numFmtId="10" fontId="0" fillId="0" borderId="2" xfId="2" applyNumberFormat="1" applyFont="1" applyFill="1" applyBorder="1" applyAlignment="1">
      <alignment horizontal="center" vertical="center" wrapText="1"/>
    </xf>
    <xf numFmtId="10" fontId="0" fillId="0" borderId="1" xfId="2" applyNumberFormat="1" applyFont="1" applyFill="1" applyBorder="1" applyAlignment="1">
      <alignment horizontal="center" vertical="center" wrapText="1"/>
    </xf>
    <xf numFmtId="167" fontId="0" fillId="0" borderId="1" xfId="3" applyNumberFormat="1" applyFont="1" applyFill="1" applyBorder="1" applyAlignment="1">
      <alignment horizontal="center" vertical="center"/>
    </xf>
    <xf numFmtId="0" fontId="0" fillId="0" borderId="19" xfId="0" applyBorder="1" applyAlignment="1">
      <alignment horizontal="left" vertical="center"/>
    </xf>
    <xf numFmtId="0" fontId="14" fillId="0" borderId="20" xfId="0" applyFont="1" applyBorder="1" applyAlignment="1">
      <alignment horizontal="center" vertical="center"/>
    </xf>
    <xf numFmtId="0" fontId="14" fillId="0" borderId="21" xfId="0" applyFont="1" applyBorder="1" applyAlignment="1">
      <alignment horizontal="center" vertical="center"/>
    </xf>
    <xf numFmtId="17" fontId="22" fillId="14" borderId="25" xfId="0" applyNumberFormat="1" applyFont="1" applyFill="1" applyBorder="1" applyAlignment="1">
      <alignment horizontal="center" vertical="center"/>
    </xf>
    <xf numFmtId="0" fontId="22" fillId="14" borderId="25" xfId="0" applyFont="1" applyFill="1" applyBorder="1" applyAlignment="1">
      <alignment horizontal="center" vertical="center" wrapText="1"/>
    </xf>
    <xf numFmtId="0" fontId="8" fillId="11" borderId="1" xfId="0" applyFont="1" applyFill="1" applyBorder="1" applyAlignment="1">
      <alignment horizontal="center" vertical="center"/>
    </xf>
    <xf numFmtId="174" fontId="8" fillId="11" borderId="1" xfId="2" applyNumberFormat="1" applyFont="1" applyFill="1" applyBorder="1" applyAlignment="1">
      <alignment horizontal="center" vertical="center"/>
    </xf>
    <xf numFmtId="0" fontId="24" fillId="3" borderId="25" xfId="0" applyFont="1" applyFill="1" applyBorder="1" applyAlignment="1">
      <alignment horizontal="center" vertical="center" wrapText="1"/>
    </xf>
    <xf numFmtId="171" fontId="0" fillId="0" borderId="0" xfId="0" applyNumberFormat="1" applyAlignment="1">
      <alignment vertical="center"/>
    </xf>
    <xf numFmtId="0" fontId="0" fillId="0" borderId="0" xfId="0" applyAlignment="1">
      <alignment horizontal="center"/>
    </xf>
    <xf numFmtId="0" fontId="14" fillId="0" borderId="5" xfId="0" applyFont="1" applyBorder="1" applyAlignment="1">
      <alignment horizontal="right" vertical="center"/>
    </xf>
    <xf numFmtId="0" fontId="14" fillId="0" borderId="5" xfId="0" applyFont="1" applyBorder="1" applyAlignment="1">
      <alignment horizontal="center" vertical="center"/>
    </xf>
    <xf numFmtId="43" fontId="0" fillId="0" borderId="0" xfId="0" applyNumberFormat="1" applyAlignment="1">
      <alignment horizontal="center" vertical="center"/>
    </xf>
    <xf numFmtId="169" fontId="0" fillId="0" borderId="0" xfId="0" applyNumberFormat="1" applyAlignment="1">
      <alignment horizontal="left" vertical="center"/>
    </xf>
    <xf numFmtId="169" fontId="0" fillId="15" borderId="22" xfId="0" applyNumberFormat="1" applyFill="1" applyBorder="1" applyAlignment="1">
      <alignment horizontal="center" vertical="center"/>
    </xf>
    <xf numFmtId="3" fontId="25" fillId="0" borderId="0" xfId="0" applyNumberFormat="1" applyFont="1" applyAlignment="1">
      <alignment horizontal="right" wrapText="1"/>
    </xf>
    <xf numFmtId="0" fontId="0" fillId="0" borderId="0" xfId="0" applyAlignment="1">
      <alignment horizontal="left" vertical="center" wrapText="1"/>
    </xf>
    <xf numFmtId="10" fontId="0" fillId="0" borderId="0" xfId="0" applyNumberFormat="1" applyAlignment="1">
      <alignment vertical="center"/>
    </xf>
    <xf numFmtId="10" fontId="2" fillId="8" borderId="1" xfId="2" applyNumberFormat="1" applyFont="1" applyFill="1" applyBorder="1" applyAlignment="1">
      <alignment horizontal="center" vertical="top" wrapText="1"/>
    </xf>
    <xf numFmtId="10" fontId="0" fillId="0" borderId="6" xfId="2" applyNumberFormat="1" applyFont="1" applyFill="1" applyBorder="1" applyAlignment="1">
      <alignment horizontal="center" vertical="center"/>
    </xf>
    <xf numFmtId="10" fontId="10" fillId="0" borderId="1" xfId="2" applyNumberFormat="1" applyFont="1" applyFill="1" applyBorder="1" applyAlignment="1">
      <alignment horizontal="center" vertical="center" wrapText="1"/>
    </xf>
    <xf numFmtId="10" fontId="10" fillId="0" borderId="6" xfId="2" applyNumberFormat="1" applyFont="1" applyFill="1" applyBorder="1" applyAlignment="1">
      <alignment horizontal="center" vertical="center" wrapText="1"/>
    </xf>
    <xf numFmtId="0" fontId="14" fillId="10" borderId="31" xfId="0" applyFont="1" applyFill="1" applyBorder="1" applyAlignment="1">
      <alignment horizontal="center" vertical="center"/>
    </xf>
    <xf numFmtId="0" fontId="14" fillId="10" borderId="32" xfId="0" applyFont="1" applyFill="1" applyBorder="1" applyAlignment="1">
      <alignment horizontal="center" vertical="center"/>
    </xf>
    <xf numFmtId="0" fontId="14" fillId="10" borderId="33" xfId="0" applyFont="1" applyFill="1" applyBorder="1" applyAlignment="1">
      <alignment horizontal="center" vertical="center"/>
    </xf>
    <xf numFmtId="0" fontId="14" fillId="10" borderId="34" xfId="0" applyFont="1" applyFill="1" applyBorder="1" applyAlignment="1">
      <alignment horizontal="center" vertical="center"/>
    </xf>
    <xf numFmtId="0" fontId="14" fillId="10" borderId="35" xfId="0" applyFont="1" applyFill="1" applyBorder="1" applyAlignment="1">
      <alignment horizontal="center" vertical="center"/>
    </xf>
    <xf numFmtId="0" fontId="14" fillId="0" borderId="31" xfId="0" applyFont="1" applyBorder="1" applyAlignment="1">
      <alignment horizontal="right" vertical="center"/>
    </xf>
    <xf numFmtId="0" fontId="0" fillId="9" borderId="31" xfId="0" applyFill="1" applyBorder="1" applyAlignment="1">
      <alignment horizontal="center" vertical="center"/>
    </xf>
    <xf numFmtId="0" fontId="0" fillId="9" borderId="32" xfId="0" applyFill="1" applyBorder="1" applyAlignment="1">
      <alignment horizontal="center" vertical="center"/>
    </xf>
    <xf numFmtId="0" fontId="0" fillId="9" borderId="33" xfId="0" applyFill="1" applyBorder="1" applyAlignment="1">
      <alignment horizontal="center" vertical="center"/>
    </xf>
    <xf numFmtId="0" fontId="0" fillId="9" borderId="34" xfId="0" applyFill="1" applyBorder="1" applyAlignment="1">
      <alignment horizontal="center" vertical="center"/>
    </xf>
    <xf numFmtId="0" fontId="0" fillId="9" borderId="35" xfId="0" applyFill="1" applyBorder="1" applyAlignment="1">
      <alignment horizontal="center" vertical="center"/>
    </xf>
    <xf numFmtId="0" fontId="8" fillId="11" borderId="31" xfId="0" applyFont="1" applyFill="1" applyBorder="1" applyAlignment="1">
      <alignment horizontal="center" vertical="center"/>
    </xf>
    <xf numFmtId="0" fontId="8" fillId="11" borderId="32" xfId="0" applyFont="1" applyFill="1" applyBorder="1" applyAlignment="1">
      <alignment horizontal="center" vertical="center"/>
    </xf>
    <xf numFmtId="0" fontId="8" fillId="11" borderId="33" xfId="0" applyFont="1" applyFill="1" applyBorder="1" applyAlignment="1">
      <alignment horizontal="center" vertical="center"/>
    </xf>
    <xf numFmtId="0" fontId="8" fillId="11" borderId="34" xfId="0" applyFont="1" applyFill="1" applyBorder="1" applyAlignment="1">
      <alignment horizontal="center" vertical="center"/>
    </xf>
    <xf numFmtId="0" fontId="8" fillId="11" borderId="35" xfId="0" applyFont="1" applyFill="1" applyBorder="1" applyAlignment="1">
      <alignment horizontal="center" vertical="center"/>
    </xf>
    <xf numFmtId="0" fontId="0" fillId="0" borderId="0" xfId="0" applyAlignment="1">
      <alignment vertical="center" textRotation="90" wrapText="1"/>
    </xf>
    <xf numFmtId="0" fontId="14" fillId="0" borderId="30" xfId="0" applyFont="1" applyBorder="1" applyAlignment="1">
      <alignment horizontal="right" vertical="center"/>
    </xf>
    <xf numFmtId="174" fontId="8" fillId="11" borderId="32" xfId="2" applyNumberFormat="1" applyFont="1" applyFill="1" applyBorder="1" applyAlignment="1">
      <alignment horizontal="center" vertical="center"/>
    </xf>
    <xf numFmtId="174" fontId="8" fillId="11" borderId="34" xfId="2" applyNumberFormat="1" applyFont="1" applyFill="1" applyBorder="1" applyAlignment="1">
      <alignment horizontal="center" vertical="center"/>
    </xf>
    <xf numFmtId="174" fontId="8" fillId="11" borderId="35" xfId="2" applyNumberFormat="1" applyFont="1" applyFill="1" applyBorder="1" applyAlignment="1">
      <alignment horizontal="center" vertical="center"/>
    </xf>
    <xf numFmtId="0" fontId="8" fillId="12" borderId="31" xfId="0" applyFont="1" applyFill="1" applyBorder="1" applyAlignment="1">
      <alignment horizontal="center" vertical="center"/>
    </xf>
    <xf numFmtId="174" fontId="8" fillId="12" borderId="32" xfId="2" applyNumberFormat="1" applyFont="1" applyFill="1" applyBorder="1" applyAlignment="1">
      <alignment horizontal="center" vertical="center"/>
    </xf>
    <xf numFmtId="0" fontId="8" fillId="12" borderId="33" xfId="0" applyFont="1" applyFill="1" applyBorder="1" applyAlignment="1">
      <alignment horizontal="center" vertical="center"/>
    </xf>
    <xf numFmtId="0" fontId="8" fillId="12" borderId="34" xfId="0" applyFont="1" applyFill="1" applyBorder="1" applyAlignment="1">
      <alignment horizontal="center" vertical="center"/>
    </xf>
    <xf numFmtId="174" fontId="8" fillId="12" borderId="34" xfId="2" applyNumberFormat="1" applyFont="1" applyFill="1" applyBorder="1" applyAlignment="1">
      <alignment horizontal="center" vertical="center"/>
    </xf>
    <xf numFmtId="174" fontId="8" fillId="12" borderId="35" xfId="2" applyNumberFormat="1" applyFont="1" applyFill="1" applyBorder="1" applyAlignment="1">
      <alignment horizontal="center" vertical="center"/>
    </xf>
    <xf numFmtId="0" fontId="16" fillId="0" borderId="2" xfId="0" applyFont="1" applyBorder="1" applyAlignment="1">
      <alignment horizontal="center" vertical="center"/>
    </xf>
    <xf numFmtId="0" fontId="16" fillId="0" borderId="36" xfId="0" applyFont="1" applyBorder="1" applyAlignment="1">
      <alignment horizontal="center" vertical="center"/>
    </xf>
    <xf numFmtId="0" fontId="20" fillId="10" borderId="1" xfId="0" applyFont="1" applyFill="1" applyBorder="1" applyAlignment="1">
      <alignment horizontal="center" vertical="center" textRotation="90" wrapText="1"/>
    </xf>
    <xf numFmtId="0" fontId="19" fillId="10" borderId="1" xfId="0" applyFont="1" applyFill="1" applyBorder="1" applyAlignment="1">
      <alignment horizontal="center" vertical="center"/>
    </xf>
    <xf numFmtId="0" fontId="20" fillId="10" borderId="32" xfId="0" applyFont="1" applyFill="1" applyBorder="1" applyAlignment="1">
      <alignment horizontal="center" vertical="center" textRotation="90" wrapText="1"/>
    </xf>
    <xf numFmtId="0" fontId="19" fillId="10" borderId="31" xfId="0" applyFont="1" applyFill="1" applyBorder="1" applyAlignment="1">
      <alignment horizontal="center" vertical="center"/>
    </xf>
    <xf numFmtId="0" fontId="19" fillId="10" borderId="32" xfId="0" applyFont="1" applyFill="1" applyBorder="1" applyAlignment="1">
      <alignment horizontal="center" vertical="center"/>
    </xf>
    <xf numFmtId="0" fontId="20" fillId="10" borderId="31" xfId="0" applyFont="1" applyFill="1" applyBorder="1" applyAlignment="1">
      <alignment horizontal="center" vertical="center" textRotation="90" wrapText="1"/>
    </xf>
    <xf numFmtId="0" fontId="20" fillId="10" borderId="2" xfId="0" applyFont="1" applyFill="1" applyBorder="1" applyAlignment="1">
      <alignment horizontal="center" vertical="center" textRotation="90" wrapText="1"/>
    </xf>
    <xf numFmtId="0" fontId="19" fillId="10" borderId="2" xfId="0" applyFont="1" applyFill="1" applyBorder="1" applyAlignment="1">
      <alignment horizontal="center" vertical="center"/>
    </xf>
    <xf numFmtId="0" fontId="14" fillId="10" borderId="2" xfId="0" applyFont="1" applyFill="1" applyBorder="1" applyAlignment="1">
      <alignment horizontal="center" vertical="center"/>
    </xf>
    <xf numFmtId="0" fontId="14" fillId="10" borderId="36" xfId="0" applyFont="1" applyFill="1" applyBorder="1" applyAlignment="1">
      <alignment horizontal="center" vertical="center"/>
    </xf>
    <xf numFmtId="0" fontId="20" fillId="9" borderId="1" xfId="0" applyFont="1" applyFill="1" applyBorder="1" applyAlignment="1">
      <alignment horizontal="center" vertical="center" textRotation="90" wrapText="1"/>
    </xf>
    <xf numFmtId="0" fontId="18" fillId="9" borderId="1" xfId="0" applyFont="1" applyFill="1" applyBorder="1" applyAlignment="1">
      <alignment horizontal="center" vertical="center"/>
    </xf>
    <xf numFmtId="0" fontId="20" fillId="9" borderId="31" xfId="0" applyFont="1" applyFill="1" applyBorder="1" applyAlignment="1">
      <alignment horizontal="center" vertical="center" textRotation="90" wrapText="1"/>
    </xf>
    <xf numFmtId="0" fontId="20" fillId="9" borderId="32" xfId="0" applyFont="1" applyFill="1" applyBorder="1" applyAlignment="1">
      <alignment horizontal="center" vertical="center" textRotation="90" wrapText="1"/>
    </xf>
    <xf numFmtId="0" fontId="18" fillId="9" borderId="31" xfId="0" applyFont="1" applyFill="1" applyBorder="1" applyAlignment="1">
      <alignment horizontal="center" vertical="center"/>
    </xf>
    <xf numFmtId="0" fontId="18" fillId="9" borderId="32" xfId="0" applyFont="1" applyFill="1" applyBorder="1" applyAlignment="1">
      <alignment horizontal="center" vertical="center"/>
    </xf>
    <xf numFmtId="0" fontId="2" fillId="11" borderId="1" xfId="0" applyFont="1" applyFill="1" applyBorder="1" applyAlignment="1">
      <alignment horizontal="center" vertical="center" textRotation="90" wrapText="1"/>
    </xf>
    <xf numFmtId="0" fontId="21" fillId="11" borderId="1" xfId="0" applyFont="1" applyFill="1" applyBorder="1" applyAlignment="1">
      <alignment horizontal="center" vertical="center"/>
    </xf>
    <xf numFmtId="0" fontId="2" fillId="11" borderId="31" xfId="0" applyFont="1" applyFill="1" applyBorder="1" applyAlignment="1">
      <alignment horizontal="center" vertical="center" textRotation="90" wrapText="1"/>
    </xf>
    <xf numFmtId="0" fontId="2" fillId="11" borderId="32" xfId="0" applyFont="1" applyFill="1" applyBorder="1" applyAlignment="1">
      <alignment horizontal="center" vertical="center" textRotation="90" wrapText="1"/>
    </xf>
    <xf numFmtId="0" fontId="21" fillId="11" borderId="31" xfId="0" applyFont="1" applyFill="1" applyBorder="1" applyAlignment="1">
      <alignment horizontal="center" vertical="center"/>
    </xf>
    <xf numFmtId="0" fontId="21" fillId="11" borderId="32" xfId="0" applyFont="1" applyFill="1" applyBorder="1" applyAlignment="1">
      <alignment horizontal="center" vertical="center"/>
    </xf>
    <xf numFmtId="0" fontId="2" fillId="11" borderId="2" xfId="0" applyFont="1" applyFill="1" applyBorder="1" applyAlignment="1">
      <alignment horizontal="center" vertical="center" textRotation="90" wrapText="1"/>
    </xf>
    <xf numFmtId="0" fontId="21" fillId="11" borderId="2" xfId="0" applyFont="1" applyFill="1" applyBorder="1" applyAlignment="1">
      <alignment horizontal="center" vertical="center"/>
    </xf>
    <xf numFmtId="174" fontId="8" fillId="11" borderId="2" xfId="2" applyNumberFormat="1" applyFont="1" applyFill="1" applyBorder="1" applyAlignment="1">
      <alignment horizontal="center" vertical="center"/>
    </xf>
    <xf numFmtId="174" fontId="8" fillId="11" borderId="36" xfId="2" applyNumberFormat="1" applyFont="1" applyFill="1" applyBorder="1" applyAlignment="1">
      <alignment horizontal="center" vertical="center"/>
    </xf>
    <xf numFmtId="0" fontId="2" fillId="12" borderId="1" xfId="0" applyFont="1" applyFill="1" applyBorder="1" applyAlignment="1">
      <alignment horizontal="center" vertical="center" textRotation="90" wrapText="1"/>
    </xf>
    <xf numFmtId="0" fontId="21" fillId="12" borderId="1" xfId="0" applyFont="1" applyFill="1" applyBorder="1" applyAlignment="1">
      <alignment horizontal="center" vertical="center"/>
    </xf>
    <xf numFmtId="0" fontId="2" fillId="12" borderId="31" xfId="0" applyFont="1" applyFill="1" applyBorder="1" applyAlignment="1">
      <alignment horizontal="center" vertical="center" textRotation="90" wrapText="1"/>
    </xf>
    <xf numFmtId="0" fontId="2" fillId="12" borderId="32" xfId="0" applyFont="1" applyFill="1" applyBorder="1" applyAlignment="1">
      <alignment horizontal="center" vertical="center" textRotation="90" wrapText="1"/>
    </xf>
    <xf numFmtId="0" fontId="21" fillId="12" borderId="32" xfId="0" applyFont="1" applyFill="1" applyBorder="1" applyAlignment="1">
      <alignment horizontal="center" vertical="center"/>
    </xf>
    <xf numFmtId="0" fontId="16" fillId="0" borderId="8" xfId="0" applyFont="1" applyBorder="1" applyAlignment="1">
      <alignment horizontal="center" vertical="center"/>
    </xf>
    <xf numFmtId="0" fontId="21" fillId="12" borderId="31" xfId="0" applyFont="1" applyFill="1" applyBorder="1" applyAlignment="1">
      <alignment horizontal="center" vertical="center"/>
    </xf>
    <xf numFmtId="0" fontId="0" fillId="0" borderId="0" xfId="1" applyNumberFormat="1" applyFont="1" applyAlignment="1">
      <alignment horizontal="center" vertical="center"/>
    </xf>
    <xf numFmtId="0" fontId="2" fillId="3" borderId="1" xfId="2" applyNumberFormat="1" applyFont="1" applyFill="1" applyBorder="1" applyAlignment="1">
      <alignment horizontal="center" vertical="top" wrapText="1"/>
    </xf>
    <xf numFmtId="10" fontId="8" fillId="11" borderId="1" xfId="2" applyNumberFormat="1" applyFont="1" applyFill="1" applyBorder="1" applyAlignment="1">
      <alignment horizontal="center" vertical="center"/>
    </xf>
    <xf numFmtId="10" fontId="8" fillId="12" borderId="1" xfId="2" applyNumberFormat="1" applyFont="1" applyFill="1" applyBorder="1" applyAlignment="1">
      <alignment horizontal="center" vertical="center"/>
    </xf>
    <xf numFmtId="173" fontId="0" fillId="0" borderId="0" xfId="0" applyNumberFormat="1" applyAlignment="1">
      <alignment vertical="center"/>
    </xf>
    <xf numFmtId="170" fontId="0" fillId="2" borderId="0" xfId="1" applyNumberFormat="1" applyFont="1" applyFill="1" applyAlignment="1">
      <alignment vertical="center"/>
    </xf>
    <xf numFmtId="170" fontId="2" fillId="3" borderId="1" xfId="1" applyNumberFormat="1" applyFont="1" applyFill="1" applyBorder="1" applyAlignment="1">
      <alignment horizontal="center" vertical="top" wrapText="1"/>
    </xf>
    <xf numFmtId="170" fontId="0" fillId="0" borderId="0" xfId="1" applyNumberFormat="1" applyFont="1"/>
    <xf numFmtId="170" fontId="0" fillId="0" borderId="0" xfId="1" applyNumberFormat="1" applyFont="1" applyAlignment="1">
      <alignment horizontal="center" vertical="center" wrapText="1"/>
    </xf>
    <xf numFmtId="170" fontId="0" fillId="0" borderId="0" xfId="1" applyNumberFormat="1" applyFont="1" applyAlignment="1">
      <alignment vertical="center"/>
    </xf>
    <xf numFmtId="0" fontId="14" fillId="10" borderId="1" xfId="0" applyFont="1" applyFill="1" applyBorder="1" applyAlignment="1">
      <alignment horizontal="center" vertical="center" textRotation="90" wrapText="1"/>
    </xf>
    <xf numFmtId="0" fontId="14" fillId="10" borderId="2" xfId="0" applyFont="1" applyFill="1" applyBorder="1" applyAlignment="1">
      <alignment horizontal="center" vertical="center" textRotation="90" wrapText="1"/>
    </xf>
    <xf numFmtId="0" fontId="14" fillId="9" borderId="1" xfId="0" applyFont="1" applyFill="1" applyBorder="1" applyAlignment="1">
      <alignment horizontal="center" vertical="center" textRotation="90" wrapText="1"/>
    </xf>
    <xf numFmtId="10" fontId="2" fillId="0" borderId="8" xfId="2" applyNumberFormat="1" applyFont="1" applyFill="1" applyBorder="1" applyAlignment="1">
      <alignment horizontal="center" vertical="top" wrapText="1"/>
    </xf>
    <xf numFmtId="0" fontId="3" fillId="0" borderId="8" xfId="0" applyFont="1" applyBorder="1" applyAlignment="1">
      <alignment horizontal="center" vertical="center"/>
    </xf>
    <xf numFmtId="0" fontId="3" fillId="0" borderId="7" xfId="0" applyFont="1" applyBorder="1" applyAlignment="1">
      <alignment horizontal="center" vertical="center"/>
    </xf>
    <xf numFmtId="0" fontId="3" fillId="0" borderId="38" xfId="0" applyFont="1" applyBorder="1" applyAlignment="1">
      <alignment horizontal="center" vertical="center"/>
    </xf>
    <xf numFmtId="0" fontId="3" fillId="0" borderId="6" xfId="0" applyFont="1" applyBorder="1" applyAlignment="1">
      <alignment horizontal="center" vertical="center"/>
    </xf>
    <xf numFmtId="0" fontId="3" fillId="0" borderId="39" xfId="0" applyFont="1" applyBorder="1" applyAlignment="1">
      <alignment horizontal="center" vertical="center"/>
    </xf>
    <xf numFmtId="0" fontId="27" fillId="0" borderId="0" xfId="0" applyFont="1" applyAlignment="1">
      <alignment horizontal="center" vertical="center"/>
    </xf>
    <xf numFmtId="0" fontId="27" fillId="0" borderId="0" xfId="0" applyFont="1" applyAlignment="1">
      <alignment horizontal="center" vertical="center" wrapText="1"/>
    </xf>
    <xf numFmtId="0" fontId="27" fillId="0" borderId="51" xfId="0" applyFont="1" applyBorder="1" applyAlignment="1">
      <alignment horizontal="center" vertical="center"/>
    </xf>
    <xf numFmtId="0" fontId="27" fillId="0" borderId="53" xfId="0" applyFont="1" applyBorder="1" applyAlignment="1">
      <alignment horizontal="center" vertical="center"/>
    </xf>
    <xf numFmtId="0" fontId="27" fillId="0" borderId="49" xfId="0" applyFont="1" applyBorder="1" applyAlignment="1">
      <alignment horizontal="center" vertical="center"/>
    </xf>
    <xf numFmtId="0" fontId="27" fillId="0" borderId="52" xfId="0" applyFont="1" applyBorder="1" applyAlignment="1">
      <alignment horizontal="center" vertical="center"/>
    </xf>
    <xf numFmtId="0" fontId="27" fillId="0" borderId="48" xfId="0" applyFont="1" applyBorder="1" applyAlignment="1">
      <alignment horizontal="center" vertical="center"/>
    </xf>
    <xf numFmtId="0" fontId="27" fillId="0" borderId="50" xfId="0" applyFont="1" applyBorder="1" applyAlignment="1">
      <alignment horizontal="center" vertical="center"/>
    </xf>
    <xf numFmtId="0" fontId="28" fillId="0" borderId="0" xfId="0" applyFont="1" applyAlignment="1">
      <alignment horizontal="center" vertical="center"/>
    </xf>
    <xf numFmtId="0" fontId="28" fillId="0" borderId="42" xfId="0" applyFont="1" applyBorder="1" applyAlignment="1">
      <alignment horizontal="center" vertical="center"/>
    </xf>
    <xf numFmtId="0" fontId="28" fillId="0" borderId="40" xfId="0" applyFont="1" applyBorder="1" applyAlignment="1">
      <alignment horizontal="center" vertical="center"/>
    </xf>
    <xf numFmtId="0" fontId="28" fillId="0" borderId="43" xfId="0" applyFont="1" applyBorder="1" applyAlignment="1">
      <alignment horizontal="center" vertical="center"/>
    </xf>
    <xf numFmtId="0" fontId="28" fillId="0" borderId="56" xfId="0" applyFont="1" applyBorder="1" applyAlignment="1">
      <alignment horizontal="center" vertical="center"/>
    </xf>
    <xf numFmtId="0" fontId="28" fillId="0" borderId="57" xfId="0" applyFont="1" applyBorder="1" applyAlignment="1">
      <alignment horizontal="center" vertical="center"/>
    </xf>
    <xf numFmtId="0" fontId="28" fillId="17" borderId="42" xfId="0" applyFont="1" applyFill="1" applyBorder="1" applyAlignment="1">
      <alignment horizontal="center" vertical="center"/>
    </xf>
    <xf numFmtId="0" fontId="28" fillId="17" borderId="40" xfId="0" applyFont="1" applyFill="1" applyBorder="1" applyAlignment="1">
      <alignment horizontal="center" vertical="center"/>
    </xf>
    <xf numFmtId="0" fontId="28" fillId="17" borderId="43" xfId="0" applyFont="1" applyFill="1" applyBorder="1" applyAlignment="1">
      <alignment horizontal="center" vertical="center"/>
    </xf>
    <xf numFmtId="0" fontId="14" fillId="0" borderId="0" xfId="0" applyFont="1" applyAlignment="1">
      <alignment vertical="center"/>
    </xf>
    <xf numFmtId="37" fontId="14" fillId="0" borderId="1" xfId="1" applyNumberFormat="1" applyFont="1" applyFill="1" applyBorder="1" applyAlignment="1">
      <alignment horizontal="center" vertical="center"/>
    </xf>
    <xf numFmtId="43" fontId="14" fillId="0" borderId="1" xfId="3" applyFont="1" applyFill="1" applyBorder="1" applyAlignment="1">
      <alignment horizontal="center" vertical="center"/>
    </xf>
    <xf numFmtId="10" fontId="14" fillId="0" borderId="5" xfId="2" applyNumberFormat="1" applyFont="1" applyFill="1" applyBorder="1" applyAlignment="1">
      <alignment horizontal="center" vertical="center"/>
    </xf>
    <xf numFmtId="10" fontId="14" fillId="0" borderId="1" xfId="2" applyNumberFormat="1" applyFont="1" applyFill="1" applyBorder="1" applyAlignment="1">
      <alignment horizontal="center" vertical="center"/>
    </xf>
    <xf numFmtId="9" fontId="14" fillId="0" borderId="1" xfId="2" applyFont="1" applyFill="1" applyBorder="1" applyAlignment="1">
      <alignment horizontal="center" vertical="center"/>
    </xf>
    <xf numFmtId="3" fontId="14" fillId="0" borderId="1" xfId="2" applyNumberFormat="1" applyFont="1" applyFill="1" applyBorder="1" applyAlignment="1">
      <alignment horizontal="center" vertical="center"/>
    </xf>
    <xf numFmtId="3" fontId="14" fillId="0" borderId="1" xfId="1" applyNumberFormat="1" applyFont="1" applyFill="1" applyBorder="1" applyAlignment="1">
      <alignment horizontal="center" vertical="center"/>
    </xf>
    <xf numFmtId="170" fontId="14" fillId="0" borderId="1" xfId="1" applyNumberFormat="1" applyFont="1" applyFill="1" applyBorder="1" applyAlignment="1">
      <alignment vertical="center"/>
    </xf>
    <xf numFmtId="167" fontId="14" fillId="0" borderId="1" xfId="3" applyNumberFormat="1" applyFont="1" applyFill="1" applyBorder="1" applyAlignment="1">
      <alignment vertical="center"/>
    </xf>
    <xf numFmtId="43" fontId="14" fillId="0" borderId="1" xfId="3" applyFont="1" applyFill="1" applyBorder="1" applyAlignment="1">
      <alignment vertical="center"/>
    </xf>
    <xf numFmtId="168" fontId="14" fillId="0" borderId="1" xfId="3" applyNumberFormat="1" applyFont="1" applyFill="1" applyBorder="1" applyAlignment="1">
      <alignment vertical="center"/>
    </xf>
    <xf numFmtId="167" fontId="14" fillId="0" borderId="5" xfId="3" applyNumberFormat="1" applyFont="1" applyFill="1" applyBorder="1" applyAlignment="1">
      <alignment vertical="center"/>
    </xf>
    <xf numFmtId="167" fontId="14" fillId="0" borderId="1" xfId="3" applyNumberFormat="1" applyFont="1" applyFill="1" applyBorder="1" applyAlignment="1">
      <alignment horizontal="center" vertical="center"/>
    </xf>
    <xf numFmtId="165" fontId="14" fillId="0" borderId="1" xfId="2" applyNumberFormat="1" applyFont="1" applyFill="1" applyBorder="1" applyAlignment="1">
      <alignment vertical="center"/>
    </xf>
    <xf numFmtId="0" fontId="20" fillId="6" borderId="1" xfId="0" applyFont="1" applyFill="1" applyBorder="1" applyAlignment="1">
      <alignment horizontal="center" vertical="center" wrapText="1"/>
    </xf>
    <xf numFmtId="0" fontId="20" fillId="9" borderId="3" xfId="0" applyFont="1" applyFill="1" applyBorder="1" applyAlignment="1">
      <alignment horizontal="center" vertical="center" textRotation="90" wrapText="1"/>
    </xf>
    <xf numFmtId="0" fontId="18" fillId="9" borderId="3" xfId="0" applyFont="1" applyFill="1" applyBorder="1" applyAlignment="1">
      <alignment horizontal="center" vertical="center"/>
    </xf>
    <xf numFmtId="0" fontId="0" fillId="9" borderId="3" xfId="0" applyFill="1" applyBorder="1" applyAlignment="1">
      <alignment horizontal="center" vertical="center"/>
    </xf>
    <xf numFmtId="0" fontId="0" fillId="9" borderId="59" xfId="0" applyFill="1" applyBorder="1" applyAlignment="1">
      <alignment horizontal="center" vertical="center"/>
    </xf>
    <xf numFmtId="0" fontId="14" fillId="10" borderId="32" xfId="0" applyFont="1" applyFill="1" applyBorder="1" applyAlignment="1">
      <alignment horizontal="center" vertical="center" textRotation="90" wrapText="1"/>
    </xf>
    <xf numFmtId="0" fontId="20" fillId="10" borderId="3" xfId="0" applyFont="1" applyFill="1" applyBorder="1" applyAlignment="1">
      <alignment horizontal="center" vertical="center" textRotation="90" wrapText="1"/>
    </xf>
    <xf numFmtId="0" fontId="19" fillId="10" borderId="3" xfId="0" applyFont="1" applyFill="1" applyBorder="1" applyAlignment="1">
      <alignment horizontal="center" vertical="center"/>
    </xf>
    <xf numFmtId="0" fontId="14" fillId="10" borderId="3" xfId="0" applyFont="1" applyFill="1" applyBorder="1" applyAlignment="1">
      <alignment horizontal="center" vertical="center"/>
    </xf>
    <xf numFmtId="0" fontId="14" fillId="10" borderId="59" xfId="0" applyFont="1" applyFill="1" applyBorder="1" applyAlignment="1">
      <alignment horizontal="center" vertical="center"/>
    </xf>
    <xf numFmtId="0" fontId="8" fillId="11" borderId="59" xfId="0" applyFont="1" applyFill="1" applyBorder="1" applyAlignment="1">
      <alignment horizontal="center" vertical="center"/>
    </xf>
    <xf numFmtId="0" fontId="14" fillId="9" borderId="32" xfId="0" applyFont="1" applyFill="1" applyBorder="1" applyAlignment="1">
      <alignment horizontal="center" vertical="center" textRotation="90" wrapText="1"/>
    </xf>
    <xf numFmtId="0" fontId="8" fillId="11" borderId="60" xfId="0" applyFont="1" applyFill="1" applyBorder="1" applyAlignment="1">
      <alignment horizontal="center" vertical="center"/>
    </xf>
    <xf numFmtId="9" fontId="0" fillId="0" borderId="0" xfId="2" applyFont="1" applyAlignment="1">
      <alignment horizontal="center" vertical="center"/>
    </xf>
    <xf numFmtId="0" fontId="5" fillId="3" borderId="1" xfId="0" applyFont="1" applyFill="1" applyBorder="1" applyAlignment="1">
      <alignment horizontal="center" vertical="top" wrapText="1"/>
    </xf>
    <xf numFmtId="0" fontId="5" fillId="3" borderId="8" xfId="0" applyFont="1" applyFill="1" applyBorder="1" applyAlignment="1">
      <alignment horizontal="center" vertical="top" wrapText="1"/>
    </xf>
    <xf numFmtId="166" fontId="0" fillId="2" borderId="0" xfId="1" applyFont="1" applyFill="1" applyAlignment="1">
      <alignment horizontal="center" vertical="center"/>
    </xf>
    <xf numFmtId="166" fontId="14" fillId="0" borderId="1" xfId="1" applyFont="1" applyFill="1" applyBorder="1" applyAlignment="1">
      <alignment vertical="center"/>
    </xf>
    <xf numFmtId="166" fontId="0" fillId="0" borderId="1" xfId="1" applyFont="1" applyFill="1" applyBorder="1" applyAlignment="1">
      <alignment vertical="center"/>
    </xf>
    <xf numFmtId="166" fontId="0" fillId="0" borderId="0" xfId="1" applyFont="1" applyAlignment="1">
      <alignment horizontal="center" vertical="center" wrapText="1"/>
    </xf>
    <xf numFmtId="166" fontId="2" fillId="3" borderId="1" xfId="1" quotePrefix="1" applyFont="1" applyFill="1" applyBorder="1" applyAlignment="1">
      <alignment horizontal="center" vertical="top" wrapText="1"/>
    </xf>
    <xf numFmtId="4" fontId="0" fillId="2" borderId="0" xfId="3" applyNumberFormat="1" applyFont="1" applyFill="1" applyAlignment="1">
      <alignment horizontal="center" vertical="center"/>
    </xf>
    <xf numFmtId="3" fontId="0" fillId="0" borderId="0" xfId="3" applyNumberFormat="1" applyFont="1" applyFill="1" applyAlignment="1">
      <alignment horizontal="center" vertical="center"/>
    </xf>
    <xf numFmtId="0" fontId="2" fillId="3" borderId="34" xfId="0" applyFont="1" applyFill="1" applyBorder="1" applyAlignment="1">
      <alignment horizontal="center" vertical="center" wrapText="1"/>
    </xf>
    <xf numFmtId="169" fontId="2" fillId="3" borderId="34" xfId="0" applyNumberFormat="1" applyFont="1" applyFill="1" applyBorder="1" applyAlignment="1">
      <alignment horizontal="center" vertical="center" wrapText="1"/>
    </xf>
    <xf numFmtId="0" fontId="2" fillId="3" borderId="6" xfId="0" applyFont="1" applyFill="1" applyBorder="1" applyAlignment="1">
      <alignment horizontal="center" vertical="top" wrapText="1"/>
    </xf>
    <xf numFmtId="17" fontId="22" fillId="14" borderId="0" xfId="0" applyNumberFormat="1" applyFont="1" applyFill="1" applyAlignment="1">
      <alignment horizontal="center" vertical="center"/>
    </xf>
    <xf numFmtId="170" fontId="0" fillId="0" borderId="6" xfId="3" applyNumberFormat="1" applyFont="1" applyFill="1" applyBorder="1" applyAlignment="1">
      <alignment vertical="center"/>
    </xf>
    <xf numFmtId="170" fontId="0" fillId="0" borderId="1" xfId="3" applyNumberFormat="1" applyFont="1" applyFill="1" applyBorder="1" applyAlignment="1">
      <alignment vertical="center"/>
    </xf>
    <xf numFmtId="0" fontId="2" fillId="0" borderId="0" xfId="0" applyFont="1" applyAlignment="1">
      <alignment horizontal="center" vertical="top"/>
    </xf>
    <xf numFmtId="0" fontId="2" fillId="0" borderId="0" xfId="0" applyFont="1" applyAlignment="1">
      <alignment horizontal="center" vertical="top" wrapText="1"/>
    </xf>
    <xf numFmtId="0" fontId="2" fillId="0" borderId="11" xfId="0" applyFont="1" applyBorder="1" applyAlignment="1">
      <alignment horizontal="center" vertical="top"/>
    </xf>
    <xf numFmtId="0" fontId="0" fillId="0" borderId="0" xfId="0" applyAlignment="1">
      <alignment horizontal="left" vertical="center"/>
    </xf>
    <xf numFmtId="17" fontId="0" fillId="0" borderId="0" xfId="0" applyNumberFormat="1" applyAlignment="1">
      <alignment horizontal="center" vertical="center"/>
    </xf>
    <xf numFmtId="0" fontId="8" fillId="0" borderId="0" xfId="0" applyFont="1" applyAlignment="1">
      <alignment horizontal="left" vertical="center"/>
    </xf>
    <xf numFmtId="17" fontId="8" fillId="0" borderId="0" xfId="0" applyNumberFormat="1" applyFont="1" applyAlignment="1">
      <alignment horizontal="center" vertical="center"/>
    </xf>
    <xf numFmtId="0" fontId="14" fillId="0" borderId="0" xfId="0" applyFont="1" applyAlignment="1">
      <alignment horizontal="left" vertical="center"/>
    </xf>
    <xf numFmtId="17" fontId="14" fillId="0" borderId="0" xfId="0" applyNumberFormat="1" applyFont="1" applyAlignment="1">
      <alignment horizontal="center" vertical="center"/>
    </xf>
    <xf numFmtId="0" fontId="2" fillId="0" borderId="38" xfId="0" applyFont="1" applyBorder="1" applyAlignment="1">
      <alignment horizontal="center" vertical="top" wrapText="1"/>
    </xf>
    <xf numFmtId="0" fontId="2" fillId="0" borderId="11" xfId="0" applyFont="1" applyBorder="1" applyAlignment="1">
      <alignment horizontal="center" vertical="top" wrapText="1"/>
    </xf>
    <xf numFmtId="0" fontId="8" fillId="0" borderId="0" xfId="0" applyFont="1" applyAlignment="1">
      <alignment horizontal="center" vertical="center"/>
    </xf>
    <xf numFmtId="1" fontId="2" fillId="0" borderId="11" xfId="0" applyNumberFormat="1" applyFont="1" applyBorder="1" applyAlignment="1">
      <alignment horizontal="center" vertical="top" wrapText="1"/>
    </xf>
    <xf numFmtId="1" fontId="0" fillId="0" borderId="0" xfId="0" applyNumberFormat="1" applyAlignment="1">
      <alignment horizontal="center" vertical="center"/>
    </xf>
    <xf numFmtId="1" fontId="8" fillId="0" borderId="0" xfId="0" applyNumberFormat="1" applyFont="1" applyAlignment="1">
      <alignment horizontal="center" vertical="center"/>
    </xf>
    <xf numFmtId="0" fontId="0" fillId="0" borderId="4" xfId="0" applyBorder="1" applyAlignment="1">
      <alignment horizontal="center" vertical="center"/>
    </xf>
    <xf numFmtId="0" fontId="0" fillId="0" borderId="5" xfId="0" applyBorder="1" applyAlignment="1">
      <alignment horizontal="left" vertical="center"/>
    </xf>
    <xf numFmtId="17" fontId="0" fillId="0" borderId="5" xfId="0" applyNumberFormat="1" applyBorder="1" applyAlignment="1">
      <alignment horizontal="center" vertical="center"/>
    </xf>
    <xf numFmtId="0" fontId="0" fillId="0" borderId="5" xfId="0"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37" fontId="0" fillId="0" borderId="5" xfId="1" applyNumberFormat="1" applyFont="1" applyFill="1" applyBorder="1" applyAlignment="1">
      <alignment horizontal="center" vertical="center"/>
    </xf>
    <xf numFmtId="43" fontId="0" fillId="0" borderId="5" xfId="3" applyFont="1" applyFill="1" applyBorder="1" applyAlignment="1">
      <alignment horizontal="center" vertical="center"/>
    </xf>
    <xf numFmtId="43" fontId="0" fillId="0" borderId="5" xfId="0" applyNumberFormat="1" applyBorder="1" applyAlignment="1">
      <alignment vertical="center"/>
    </xf>
    <xf numFmtId="43" fontId="0" fillId="0" borderId="1" xfId="0" applyNumberFormat="1" applyBorder="1" applyAlignment="1">
      <alignment vertical="center"/>
    </xf>
    <xf numFmtId="3" fontId="0" fillId="0" borderId="5" xfId="2" applyNumberFormat="1" applyFont="1" applyFill="1" applyBorder="1" applyAlignment="1">
      <alignment horizontal="center" vertical="center"/>
    </xf>
    <xf numFmtId="3" fontId="0" fillId="0" borderId="5" xfId="1" applyNumberFormat="1" applyFont="1" applyFill="1" applyBorder="1" applyAlignment="1">
      <alignment horizontal="center" vertical="center"/>
    </xf>
    <xf numFmtId="170" fontId="0" fillId="0" borderId="5" xfId="1" applyNumberFormat="1" applyFont="1" applyFill="1" applyBorder="1" applyAlignment="1">
      <alignment vertical="center"/>
    </xf>
    <xf numFmtId="166" fontId="0" fillId="0" borderId="5" xfId="1" applyFont="1" applyFill="1" applyBorder="1" applyAlignment="1">
      <alignment vertical="center"/>
    </xf>
    <xf numFmtId="43" fontId="0" fillId="0" borderId="5" xfId="3" applyFont="1" applyFill="1" applyBorder="1" applyAlignment="1">
      <alignment vertical="center"/>
    </xf>
    <xf numFmtId="167" fontId="0" fillId="0" borderId="5" xfId="3" applyNumberFormat="1" applyFont="1" applyFill="1" applyBorder="1" applyAlignment="1">
      <alignment horizontal="center" vertical="center"/>
    </xf>
    <xf numFmtId="10" fontId="10" fillId="0" borderId="1" xfId="0" applyNumberFormat="1" applyFont="1" applyBorder="1" applyAlignment="1">
      <alignment horizontal="center" vertical="center"/>
    </xf>
    <xf numFmtId="165" fontId="0" fillId="0" borderId="5" xfId="2" applyNumberFormat="1" applyFont="1" applyFill="1" applyBorder="1" applyAlignment="1">
      <alignment vertical="center"/>
    </xf>
    <xf numFmtId="173" fontId="0" fillId="0" borderId="5" xfId="5" applyNumberFormat="1" applyFont="1" applyFill="1" applyBorder="1" applyAlignment="1">
      <alignment vertical="center"/>
    </xf>
    <xf numFmtId="169" fontId="0" fillId="0" borderId="5" xfId="0" applyNumberFormat="1" applyBorder="1" applyAlignment="1">
      <alignment horizontal="center" vertical="center"/>
    </xf>
    <xf numFmtId="169" fontId="0" fillId="0" borderId="1" xfId="0" applyNumberForma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11" xfId="0" applyBorder="1" applyAlignment="1">
      <alignment horizontal="center" vertical="center"/>
    </xf>
    <xf numFmtId="169" fontId="0" fillId="0" borderId="5" xfId="0" applyNumberFormat="1" applyBorder="1" applyAlignment="1">
      <alignment vertical="center"/>
    </xf>
    <xf numFmtId="10" fontId="0" fillId="0" borderId="1" xfId="0" applyNumberFormat="1" applyBorder="1" applyAlignment="1">
      <alignment horizontal="center" vertical="center"/>
    </xf>
    <xf numFmtId="0" fontId="0" fillId="0" borderId="1" xfId="0" applyBorder="1" applyAlignment="1">
      <alignment vertical="center"/>
    </xf>
    <xf numFmtId="1" fontId="0" fillId="0" borderId="5" xfId="0" applyNumberFormat="1" applyBorder="1" applyAlignment="1">
      <alignment horizontal="center" vertical="center"/>
    </xf>
    <xf numFmtId="0" fontId="14" fillId="0" borderId="5" xfId="0" applyFont="1" applyBorder="1" applyAlignment="1">
      <alignment horizontal="center" vertical="center" wrapText="1"/>
    </xf>
    <xf numFmtId="169" fontId="14" fillId="0" borderId="5" xfId="0" applyNumberFormat="1" applyFont="1" applyBorder="1" applyAlignment="1">
      <alignment horizontal="center" vertical="center" wrapText="1"/>
    </xf>
    <xf numFmtId="15" fontId="10" fillId="0" borderId="1" xfId="0" applyNumberFormat="1" applyFont="1" applyBorder="1" applyAlignment="1">
      <alignment horizontal="center" vertical="center"/>
    </xf>
    <xf numFmtId="169" fontId="0" fillId="0" borderId="5" xfId="0" applyNumberFormat="1" applyBorder="1" applyAlignment="1">
      <alignment horizontal="left" vertical="center"/>
    </xf>
    <xf numFmtId="1" fontId="0" fillId="0" borderId="1" xfId="0" applyNumberFormat="1" applyBorder="1" applyAlignment="1">
      <alignment horizontal="center" vertical="center"/>
    </xf>
    <xf numFmtId="169" fontId="10" fillId="0" borderId="1" xfId="0" applyNumberFormat="1" applyFont="1" applyBorder="1" applyAlignment="1">
      <alignment horizontal="center" vertical="center"/>
    </xf>
    <xf numFmtId="169" fontId="10" fillId="0" borderId="5" xfId="0" applyNumberFormat="1" applyFont="1" applyBorder="1" applyAlignment="1">
      <alignment horizontal="center" vertical="center"/>
    </xf>
    <xf numFmtId="169" fontId="0" fillId="0" borderId="6" xfId="0" applyNumberFormat="1" applyBorder="1" applyAlignment="1">
      <alignment horizontal="center" vertical="center" wrapText="1"/>
    </xf>
    <xf numFmtId="0" fontId="0" fillId="0" borderId="3" xfId="0" applyBorder="1" applyAlignment="1">
      <alignment horizontal="center" vertical="center"/>
    </xf>
    <xf numFmtId="17" fontId="0" fillId="0" borderId="1" xfId="0" applyNumberFormat="1" applyBorder="1" applyAlignment="1">
      <alignment horizontal="center" vertical="center"/>
    </xf>
    <xf numFmtId="3" fontId="0" fillId="0" borderId="1" xfId="2" applyNumberFormat="1" applyFont="1" applyFill="1" applyBorder="1" applyAlignment="1">
      <alignment horizontal="center" vertical="center"/>
    </xf>
    <xf numFmtId="3" fontId="0" fillId="0" borderId="1" xfId="1" applyNumberFormat="1" applyFont="1" applyFill="1" applyBorder="1" applyAlignment="1">
      <alignment horizontal="center" vertical="center"/>
    </xf>
    <xf numFmtId="169" fontId="0" fillId="0" borderId="1" xfId="0" applyNumberFormat="1" applyBorder="1" applyAlignment="1">
      <alignment vertical="center"/>
    </xf>
    <xf numFmtId="15" fontId="10" fillId="0" borderId="5" xfId="0" applyNumberFormat="1" applyFont="1" applyBorder="1" applyAlignment="1">
      <alignment horizontal="center" vertical="center"/>
    </xf>
    <xf numFmtId="169" fontId="0" fillId="0" borderId="1" xfId="0" applyNumberFormat="1" applyBorder="1" applyAlignment="1">
      <alignment horizontal="left" vertical="center"/>
    </xf>
    <xf numFmtId="0" fontId="0" fillId="0" borderId="2" xfId="0" applyBorder="1" applyAlignment="1">
      <alignment horizontal="center" vertical="center"/>
    </xf>
    <xf numFmtId="168" fontId="0" fillId="0" borderId="1" xfId="3" applyNumberFormat="1" applyFont="1" applyFill="1" applyBorder="1" applyAlignment="1">
      <alignment vertical="center"/>
    </xf>
    <xf numFmtId="0" fontId="0" fillId="0" borderId="1" xfId="0" applyBorder="1" applyAlignment="1">
      <alignment horizontal="center" vertical="center" wrapText="1"/>
    </xf>
    <xf numFmtId="167" fontId="0" fillId="0" borderId="1" xfId="3" applyNumberFormat="1" applyFont="1" applyFill="1" applyBorder="1" applyAlignment="1">
      <alignment vertical="center" wrapText="1"/>
    </xf>
    <xf numFmtId="171" fontId="0" fillId="0" borderId="1" xfId="0" applyNumberFormat="1" applyBorder="1" applyAlignment="1">
      <alignment horizontal="left" vertical="center"/>
    </xf>
    <xf numFmtId="165" fontId="0" fillId="0" borderId="1" xfId="0" applyNumberFormat="1" applyBorder="1" applyAlignment="1">
      <alignment horizontal="right" vertical="center"/>
    </xf>
    <xf numFmtId="165" fontId="0" fillId="0" borderId="1" xfId="2" applyNumberFormat="1" applyFont="1" applyFill="1" applyBorder="1" applyAlignment="1">
      <alignment horizontal="right" vertical="center"/>
    </xf>
    <xf numFmtId="0" fontId="8" fillId="0" borderId="3" xfId="0" applyFont="1" applyBorder="1" applyAlignment="1">
      <alignment horizontal="center" vertical="center"/>
    </xf>
    <xf numFmtId="0" fontId="8" fillId="0" borderId="1" xfId="0" applyFont="1" applyBorder="1" applyAlignment="1">
      <alignment horizontal="left" vertical="center"/>
    </xf>
    <xf numFmtId="17" fontId="8" fillId="0" borderId="1" xfId="0" applyNumberFormat="1" applyFont="1" applyBorder="1" applyAlignment="1">
      <alignment horizontal="center" vertical="center"/>
    </xf>
    <xf numFmtId="0" fontId="8" fillId="0" borderId="5" xfId="0" applyFont="1" applyBorder="1" applyAlignment="1">
      <alignment vertical="center"/>
    </xf>
    <xf numFmtId="0" fontId="8" fillId="0" borderId="1" xfId="0" applyFont="1" applyBorder="1" applyAlignment="1">
      <alignment vertical="center"/>
    </xf>
    <xf numFmtId="0" fontId="8" fillId="0" borderId="1" xfId="0" applyFont="1" applyBorder="1" applyAlignment="1">
      <alignment horizontal="center" vertical="center"/>
    </xf>
    <xf numFmtId="37" fontId="8" fillId="0" borderId="1" xfId="1" applyNumberFormat="1" applyFont="1" applyFill="1" applyBorder="1" applyAlignment="1">
      <alignment horizontal="center" vertical="center"/>
    </xf>
    <xf numFmtId="43" fontId="8" fillId="0" borderId="1" xfId="3" applyFont="1" applyFill="1" applyBorder="1" applyAlignment="1">
      <alignment horizontal="center" vertical="center"/>
    </xf>
    <xf numFmtId="43" fontId="8" fillId="0" borderId="1" xfId="0" applyNumberFormat="1" applyFont="1" applyBorder="1" applyAlignment="1">
      <alignment vertical="center"/>
    </xf>
    <xf numFmtId="10" fontId="8" fillId="0" borderId="1" xfId="2" applyNumberFormat="1" applyFont="1" applyFill="1" applyBorder="1" applyAlignment="1">
      <alignment horizontal="center" vertical="center"/>
    </xf>
    <xf numFmtId="9" fontId="8" fillId="0" borderId="1" xfId="2" applyFont="1" applyFill="1" applyBorder="1" applyAlignment="1">
      <alignment horizontal="center" vertical="center"/>
    </xf>
    <xf numFmtId="3" fontId="8" fillId="0" borderId="1" xfId="2" applyNumberFormat="1" applyFont="1" applyFill="1" applyBorder="1" applyAlignment="1">
      <alignment horizontal="center" vertical="center"/>
    </xf>
    <xf numFmtId="3" fontId="8" fillId="0" borderId="1" xfId="1" applyNumberFormat="1" applyFont="1" applyFill="1" applyBorder="1" applyAlignment="1">
      <alignment horizontal="center" vertical="center"/>
    </xf>
    <xf numFmtId="170" fontId="8" fillId="0" borderId="1" xfId="1" applyNumberFormat="1" applyFont="1" applyFill="1" applyBorder="1" applyAlignment="1">
      <alignment vertical="center"/>
    </xf>
    <xf numFmtId="166" fontId="8" fillId="0" borderId="1" xfId="1" applyFont="1" applyFill="1" applyBorder="1" applyAlignment="1">
      <alignment vertical="center"/>
    </xf>
    <xf numFmtId="43" fontId="8" fillId="0" borderId="1" xfId="3" applyFont="1" applyFill="1" applyBorder="1" applyAlignment="1">
      <alignment vertical="center"/>
    </xf>
    <xf numFmtId="167" fontId="8" fillId="0" borderId="1" xfId="3" applyNumberFormat="1" applyFont="1" applyFill="1" applyBorder="1" applyAlignment="1">
      <alignment vertical="center"/>
    </xf>
    <xf numFmtId="167" fontId="8" fillId="0" borderId="1" xfId="3" applyNumberFormat="1" applyFont="1" applyFill="1" applyBorder="1" applyAlignment="1">
      <alignment horizontal="center" vertical="center"/>
    </xf>
    <xf numFmtId="165" fontId="8" fillId="0" borderId="1" xfId="2" applyNumberFormat="1" applyFont="1" applyFill="1" applyBorder="1" applyAlignment="1">
      <alignment vertical="center"/>
    </xf>
    <xf numFmtId="0" fontId="8" fillId="0" borderId="1" xfId="0" applyFont="1" applyBorder="1" applyAlignment="1">
      <alignment horizontal="center" vertical="center" wrapText="1"/>
    </xf>
    <xf numFmtId="0" fontId="8" fillId="0" borderId="6" xfId="0" applyFont="1" applyBorder="1" applyAlignment="1">
      <alignment horizontal="center" vertical="center"/>
    </xf>
    <xf numFmtId="10" fontId="8" fillId="0" borderId="1" xfId="0" applyNumberFormat="1" applyFont="1" applyBorder="1" applyAlignment="1">
      <alignment horizontal="center" vertical="center"/>
    </xf>
    <xf numFmtId="169" fontId="8" fillId="0" borderId="1" xfId="0" applyNumberFormat="1" applyFont="1" applyBorder="1" applyAlignment="1">
      <alignment vertical="center"/>
    </xf>
    <xf numFmtId="43" fontId="8" fillId="0" borderId="1" xfId="0" applyNumberFormat="1" applyFont="1" applyBorder="1" applyAlignment="1">
      <alignment horizontal="left" vertical="center"/>
    </xf>
    <xf numFmtId="169" fontId="8" fillId="0" borderId="5" xfId="0" applyNumberFormat="1" applyFont="1" applyBorder="1" applyAlignment="1">
      <alignment horizontal="center" vertical="center"/>
    </xf>
    <xf numFmtId="1" fontId="8" fillId="0" borderId="1" xfId="0" applyNumberFormat="1" applyFont="1" applyBorder="1" applyAlignment="1">
      <alignment horizontal="center" vertical="center"/>
    </xf>
    <xf numFmtId="169" fontId="8" fillId="0" borderId="1" xfId="0" applyNumberFormat="1" applyFont="1" applyBorder="1" applyAlignment="1">
      <alignment horizontal="center" vertical="center"/>
    </xf>
    <xf numFmtId="15" fontId="15" fillId="0" borderId="5" xfId="0" applyNumberFormat="1" applyFont="1" applyBorder="1" applyAlignment="1">
      <alignment horizontal="center" vertical="center"/>
    </xf>
    <xf numFmtId="169" fontId="8" fillId="0" borderId="1" xfId="0" applyNumberFormat="1" applyFont="1" applyBorder="1" applyAlignment="1">
      <alignment horizontal="left" vertical="center"/>
    </xf>
    <xf numFmtId="169" fontId="15" fillId="0" borderId="5" xfId="0" applyNumberFormat="1" applyFont="1" applyBorder="1" applyAlignment="1">
      <alignment horizontal="center" vertical="center"/>
    </xf>
    <xf numFmtId="0" fontId="8" fillId="0" borderId="2" xfId="0" applyFont="1" applyBorder="1" applyAlignment="1">
      <alignment horizontal="center" vertical="center"/>
    </xf>
    <xf numFmtId="0" fontId="15" fillId="0" borderId="5" xfId="0" applyFont="1" applyBorder="1" applyAlignment="1">
      <alignment horizontal="center" vertical="center"/>
    </xf>
    <xf numFmtId="0" fontId="10" fillId="0" borderId="0" xfId="0" applyFont="1" applyAlignment="1">
      <alignment horizontal="center" vertical="center" wrapText="1"/>
    </xf>
    <xf numFmtId="169" fontId="0" fillId="0" borderId="1" xfId="0" applyNumberFormat="1" applyBorder="1" applyAlignment="1">
      <alignment horizontal="center" vertical="center" wrapText="1"/>
    </xf>
    <xf numFmtId="0" fontId="14" fillId="0" borderId="3" xfId="0" applyFont="1" applyBorder="1" applyAlignment="1">
      <alignment horizontal="center" vertical="center"/>
    </xf>
    <xf numFmtId="0" fontId="14" fillId="0" borderId="1" xfId="0" applyFont="1" applyBorder="1" applyAlignment="1">
      <alignment horizontal="left" vertical="center"/>
    </xf>
    <xf numFmtId="17" fontId="14" fillId="0" borderId="1" xfId="0" applyNumberFormat="1" applyFont="1" applyBorder="1" applyAlignment="1">
      <alignment horizontal="center" vertical="center"/>
    </xf>
    <xf numFmtId="0" fontId="14" fillId="0" borderId="5" xfId="0" applyFont="1" applyBorder="1" applyAlignment="1">
      <alignment vertical="center"/>
    </xf>
    <xf numFmtId="0" fontId="14" fillId="0" borderId="1" xfId="0" applyFont="1" applyBorder="1" applyAlignment="1">
      <alignment vertical="center"/>
    </xf>
    <xf numFmtId="43" fontId="14" fillId="0" borderId="1" xfId="0" applyNumberFormat="1" applyFont="1" applyBorder="1" applyAlignment="1">
      <alignment vertical="center"/>
    </xf>
    <xf numFmtId="10" fontId="29" fillId="0" borderId="1" xfId="0" applyNumberFormat="1" applyFont="1" applyBorder="1" applyAlignment="1">
      <alignment horizontal="center" vertical="center"/>
    </xf>
    <xf numFmtId="169" fontId="14" fillId="0" borderId="5" xfId="0" applyNumberFormat="1" applyFont="1" applyBorder="1" applyAlignment="1">
      <alignment horizontal="center" vertical="center"/>
    </xf>
    <xf numFmtId="169" fontId="14" fillId="0" borderId="1" xfId="0" applyNumberFormat="1" applyFont="1" applyBorder="1" applyAlignment="1">
      <alignment horizontal="center" vertical="center"/>
    </xf>
    <xf numFmtId="0" fontId="14" fillId="0" borderId="1" xfId="0" applyFont="1" applyBorder="1" applyAlignment="1">
      <alignment horizontal="center" vertical="center" wrapText="1"/>
    </xf>
    <xf numFmtId="0" fontId="14" fillId="0" borderId="6" xfId="0" applyFont="1" applyBorder="1" applyAlignment="1">
      <alignment horizontal="center" vertical="center"/>
    </xf>
    <xf numFmtId="169" fontId="14" fillId="0" borderId="5" xfId="0" applyNumberFormat="1" applyFont="1" applyBorder="1" applyAlignment="1">
      <alignment vertical="center"/>
    </xf>
    <xf numFmtId="10" fontId="14" fillId="0" borderId="1" xfId="0" applyNumberFormat="1" applyFont="1" applyBorder="1" applyAlignment="1">
      <alignment horizontal="center" vertical="center"/>
    </xf>
    <xf numFmtId="169" fontId="14" fillId="0" borderId="1" xfId="0" applyNumberFormat="1" applyFont="1" applyBorder="1" applyAlignment="1">
      <alignment vertical="center"/>
    </xf>
    <xf numFmtId="1" fontId="14" fillId="0" borderId="1" xfId="0" applyNumberFormat="1" applyFont="1" applyBorder="1" applyAlignment="1">
      <alignment horizontal="center" vertical="center"/>
    </xf>
    <xf numFmtId="15" fontId="29" fillId="0" borderId="5" xfId="0" applyNumberFormat="1" applyFont="1" applyBorder="1" applyAlignment="1">
      <alignment horizontal="center" vertical="center"/>
    </xf>
    <xf numFmtId="169" fontId="14" fillId="0" borderId="1" xfId="0" applyNumberFormat="1" applyFont="1" applyBorder="1" applyAlignment="1">
      <alignment horizontal="left" vertical="center"/>
    </xf>
    <xf numFmtId="169" fontId="29" fillId="0" borderId="5" xfId="0" applyNumberFormat="1" applyFont="1" applyBorder="1" applyAlignment="1">
      <alignment horizontal="center" vertical="center"/>
    </xf>
    <xf numFmtId="0" fontId="14" fillId="0" borderId="2" xfId="0" applyFont="1" applyBorder="1" applyAlignment="1">
      <alignment horizontal="center" vertical="center"/>
    </xf>
    <xf numFmtId="0" fontId="17" fillId="0" borderId="5" xfId="0" applyFont="1" applyBorder="1" applyAlignment="1">
      <alignment vertical="center"/>
    </xf>
    <xf numFmtId="169" fontId="17" fillId="0" borderId="5" xfId="0" applyNumberFormat="1" applyFont="1" applyBorder="1" applyAlignment="1">
      <alignment vertical="center"/>
    </xf>
    <xf numFmtId="169" fontId="17" fillId="0" borderId="5" xfId="0" applyNumberFormat="1" applyFont="1" applyBorder="1" applyAlignment="1">
      <alignment horizontal="center" vertical="center"/>
    </xf>
    <xf numFmtId="17" fontId="0" fillId="0" borderId="1" xfId="0" applyNumberFormat="1" applyBorder="1" applyAlignment="1">
      <alignment horizontal="left" vertical="center"/>
    </xf>
    <xf numFmtId="169" fontId="0" fillId="0" borderId="6" xfId="0" applyNumberFormat="1" applyBorder="1" applyAlignment="1">
      <alignment horizontal="left" vertical="center"/>
    </xf>
    <xf numFmtId="169" fontId="0" fillId="0" borderId="6" xfId="0" applyNumberFormat="1" applyBorder="1" applyAlignment="1">
      <alignment horizontal="center" vertical="center"/>
    </xf>
    <xf numFmtId="169" fontId="0" fillId="0" borderId="8" xfId="0" applyNumberFormat="1" applyBorder="1" applyAlignment="1">
      <alignment horizontal="center" vertical="center"/>
    </xf>
    <xf numFmtId="14" fontId="18" fillId="0" borderId="1" xfId="0" quotePrefix="1" applyNumberFormat="1" applyFont="1" applyBorder="1" applyAlignment="1">
      <alignment horizontal="left" vertical="center"/>
    </xf>
    <xf numFmtId="1" fontId="0" fillId="0" borderId="3" xfId="0" applyNumberFormat="1" applyBorder="1" applyAlignment="1">
      <alignment horizontal="center" vertical="center"/>
    </xf>
    <xf numFmtId="14" fontId="18" fillId="0" borderId="1" xfId="0" applyNumberFormat="1" applyFont="1" applyBorder="1" applyAlignment="1">
      <alignment horizontal="center" vertical="center"/>
    </xf>
    <xf numFmtId="0" fontId="10" fillId="0" borderId="0" xfId="0" applyFont="1" applyAlignment="1">
      <alignment horizontal="center"/>
    </xf>
    <xf numFmtId="0" fontId="10" fillId="0" borderId="0" xfId="0" applyFont="1"/>
    <xf numFmtId="14" fontId="18" fillId="0" borderId="1" xfId="0" applyNumberFormat="1" applyFont="1" applyBorder="1" applyAlignment="1">
      <alignment horizontal="left" vertical="center"/>
    </xf>
    <xf numFmtId="14" fontId="18" fillId="0" borderId="1" xfId="0" applyNumberFormat="1" applyFont="1" applyBorder="1" applyAlignment="1">
      <alignment horizontal="center" vertical="center" wrapText="1"/>
    </xf>
    <xf numFmtId="14" fontId="18" fillId="0" borderId="6" xfId="0" applyNumberFormat="1" applyFont="1" applyBorder="1" applyAlignment="1">
      <alignment horizontal="left" vertical="center"/>
    </xf>
    <xf numFmtId="169" fontId="0" fillId="0" borderId="1" xfId="0" applyNumberFormat="1" applyBorder="1" applyAlignment="1">
      <alignment vertical="center" wrapText="1"/>
    </xf>
    <xf numFmtId="14" fontId="19" fillId="0" borderId="1" xfId="0" applyNumberFormat="1" applyFont="1" applyBorder="1" applyAlignment="1">
      <alignment horizontal="left" vertical="center"/>
    </xf>
    <xf numFmtId="14" fontId="19" fillId="0" borderId="1" xfId="0" applyNumberFormat="1" applyFont="1" applyBorder="1" applyAlignment="1">
      <alignment horizontal="center" vertical="center"/>
    </xf>
    <xf numFmtId="169" fontId="19" fillId="0" borderId="1" xfId="0" applyNumberFormat="1" applyFont="1" applyBorder="1" applyAlignment="1">
      <alignment horizontal="left" vertical="center"/>
    </xf>
    <xf numFmtId="169" fontId="8" fillId="0" borderId="8" xfId="0" applyNumberFormat="1" applyFont="1" applyBorder="1" applyAlignment="1">
      <alignment horizontal="center" vertical="center"/>
    </xf>
    <xf numFmtId="1" fontId="8" fillId="0" borderId="3" xfId="0" applyNumberFormat="1" applyFont="1" applyBorder="1" applyAlignment="1">
      <alignment horizontal="center" vertical="center"/>
    </xf>
    <xf numFmtId="165" fontId="0" fillId="0" borderId="1" xfId="0" applyNumberFormat="1" applyBorder="1" applyAlignment="1">
      <alignment vertical="center"/>
    </xf>
    <xf numFmtId="175" fontId="0" fillId="0" borderId="1" xfId="0" applyNumberFormat="1" applyBorder="1" applyAlignment="1">
      <alignment vertical="center"/>
    </xf>
    <xf numFmtId="169" fontId="0" fillId="0" borderId="1" xfId="0" applyNumberFormat="1" applyBorder="1" applyAlignment="1">
      <alignment horizontal="right" vertical="center"/>
    </xf>
    <xf numFmtId="165" fontId="8" fillId="0" borderId="1" xfId="0" applyNumberFormat="1" applyFont="1" applyBorder="1" applyAlignment="1">
      <alignment vertical="center"/>
    </xf>
    <xf numFmtId="167" fontId="8" fillId="0" borderId="5" xfId="3" applyNumberFormat="1" applyFont="1" applyFill="1" applyBorder="1" applyAlignment="1">
      <alignment vertical="center"/>
    </xf>
    <xf numFmtId="10" fontId="15" fillId="0" borderId="1" xfId="0" applyNumberFormat="1" applyFont="1" applyBorder="1" applyAlignment="1">
      <alignment horizontal="center" vertical="center"/>
    </xf>
    <xf numFmtId="0" fontId="8" fillId="0" borderId="5" xfId="0" applyFont="1" applyBorder="1" applyAlignment="1">
      <alignment horizontal="center" vertical="center"/>
    </xf>
    <xf numFmtId="169" fontId="8" fillId="0" borderId="5" xfId="0" applyNumberFormat="1" applyFont="1" applyBorder="1" applyAlignment="1">
      <alignment vertical="center"/>
    </xf>
    <xf numFmtId="175" fontId="8" fillId="0" borderId="1" xfId="0" applyNumberFormat="1" applyFont="1" applyBorder="1" applyAlignment="1">
      <alignment vertical="center"/>
    </xf>
    <xf numFmtId="171" fontId="0" fillId="0" borderId="1" xfId="0" applyNumberFormat="1" applyBorder="1" applyAlignment="1">
      <alignment vertical="center"/>
    </xf>
    <xf numFmtId="43" fontId="0" fillId="0" borderId="1" xfId="3" applyFont="1" applyFill="1" applyBorder="1" applyAlignment="1">
      <alignment horizontal="right" vertical="center"/>
    </xf>
    <xf numFmtId="168" fontId="0" fillId="0" borderId="1" xfId="3" applyNumberFormat="1" applyFont="1" applyFill="1" applyBorder="1" applyAlignment="1">
      <alignment horizontal="right" vertical="center"/>
    </xf>
    <xf numFmtId="0" fontId="0" fillId="0" borderId="1" xfId="0" applyBorder="1" applyAlignment="1">
      <alignment vertical="center" wrapText="1"/>
    </xf>
    <xf numFmtId="169" fontId="18" fillId="0" borderId="1" xfId="0" quotePrefix="1" applyNumberFormat="1" applyFont="1" applyBorder="1" applyAlignment="1">
      <alignment horizontal="left" vertical="center"/>
    </xf>
    <xf numFmtId="14" fontId="18" fillId="0" borderId="1" xfId="0" quotePrefix="1" applyNumberFormat="1" applyFont="1" applyBorder="1" applyAlignment="1">
      <alignment horizontal="left" vertical="center" wrapText="1"/>
    </xf>
    <xf numFmtId="43" fontId="8" fillId="0" borderId="1" xfId="3" applyFont="1" applyFill="1" applyBorder="1" applyAlignment="1">
      <alignment horizontal="right" vertical="center"/>
    </xf>
    <xf numFmtId="14" fontId="19" fillId="0" borderId="1" xfId="0" quotePrefix="1" applyNumberFormat="1" applyFont="1" applyBorder="1" applyAlignment="1">
      <alignment horizontal="left" vertical="center"/>
    </xf>
    <xf numFmtId="169" fontId="8" fillId="0" borderId="6" xfId="0" applyNumberFormat="1" applyFont="1" applyBorder="1" applyAlignment="1">
      <alignment horizontal="center" vertical="center"/>
    </xf>
    <xf numFmtId="167" fontId="0" fillId="0" borderId="1" xfId="0" applyNumberFormat="1" applyBorder="1" applyAlignment="1">
      <alignment vertical="center"/>
    </xf>
    <xf numFmtId="169" fontId="0" fillId="0" borderId="1" xfId="0" quotePrefix="1" applyNumberFormat="1" applyBorder="1" applyAlignment="1">
      <alignment horizontal="center" vertical="center" wrapText="1"/>
    </xf>
    <xf numFmtId="165" fontId="0" fillId="0" borderId="1" xfId="5" applyFont="1" applyFill="1" applyBorder="1"/>
    <xf numFmtId="14" fontId="19" fillId="0" borderId="1" xfId="0" quotePrefix="1" applyNumberFormat="1" applyFont="1" applyBorder="1" applyAlignment="1">
      <alignment horizontal="left" vertical="center" wrapText="1"/>
    </xf>
    <xf numFmtId="170" fontId="0" fillId="0" borderId="1" xfId="1" applyNumberFormat="1" applyFont="1" applyFill="1" applyBorder="1" applyAlignment="1">
      <alignment vertical="center" wrapText="1"/>
    </xf>
    <xf numFmtId="0" fontId="0" fillId="0" borderId="9" xfId="0" applyBorder="1" applyAlignment="1">
      <alignment horizontal="center" vertical="center"/>
    </xf>
    <xf numFmtId="0" fontId="0" fillId="0" borderId="6" xfId="0" applyBorder="1" applyAlignment="1">
      <alignment horizontal="left" vertical="center"/>
    </xf>
    <xf numFmtId="0" fontId="0" fillId="0" borderId="6" xfId="0" applyBorder="1" applyAlignment="1">
      <alignment vertical="center"/>
    </xf>
    <xf numFmtId="17" fontId="0" fillId="0" borderId="6" xfId="0" applyNumberFormat="1" applyBorder="1" applyAlignment="1">
      <alignment horizontal="center" vertical="center"/>
    </xf>
    <xf numFmtId="37" fontId="0" fillId="0" borderId="6" xfId="1" applyNumberFormat="1" applyFont="1" applyFill="1" applyBorder="1" applyAlignment="1">
      <alignment horizontal="center" vertical="center"/>
    </xf>
    <xf numFmtId="43" fontId="0" fillId="0" borderId="6" xfId="3" applyFont="1" applyFill="1" applyBorder="1" applyAlignment="1">
      <alignment horizontal="center" vertical="center"/>
    </xf>
    <xf numFmtId="165" fontId="0" fillId="0" borderId="6" xfId="0" applyNumberFormat="1" applyBorder="1" applyAlignment="1">
      <alignment vertical="center"/>
    </xf>
    <xf numFmtId="3" fontId="0" fillId="0" borderId="6" xfId="2" applyNumberFormat="1" applyFont="1" applyFill="1" applyBorder="1" applyAlignment="1">
      <alignment horizontal="center" vertical="center"/>
    </xf>
    <xf numFmtId="3" fontId="0" fillId="0" borderId="6" xfId="1" applyNumberFormat="1" applyFont="1" applyFill="1" applyBorder="1" applyAlignment="1">
      <alignment horizontal="center" vertical="center"/>
    </xf>
    <xf numFmtId="170" fontId="0" fillId="0" borderId="6" xfId="1" applyNumberFormat="1" applyFont="1" applyFill="1" applyBorder="1" applyAlignment="1">
      <alignment vertical="center"/>
    </xf>
    <xf numFmtId="43" fontId="0" fillId="0" borderId="6" xfId="0" applyNumberFormat="1" applyBorder="1" applyAlignment="1">
      <alignment vertical="center"/>
    </xf>
    <xf numFmtId="166" fontId="0" fillId="0" borderId="6" xfId="1" applyFont="1" applyFill="1" applyBorder="1" applyAlignment="1">
      <alignment vertical="center"/>
    </xf>
    <xf numFmtId="167" fontId="0" fillId="0" borderId="6" xfId="3" applyNumberFormat="1" applyFont="1" applyFill="1" applyBorder="1" applyAlignment="1">
      <alignment vertical="center"/>
    </xf>
    <xf numFmtId="167" fontId="0" fillId="0" borderId="6" xfId="3" applyNumberFormat="1" applyFont="1" applyFill="1" applyBorder="1" applyAlignment="1">
      <alignment horizontal="center" vertical="center"/>
    </xf>
    <xf numFmtId="165" fontId="0" fillId="0" borderId="6" xfId="2" applyNumberFormat="1" applyFont="1" applyFill="1" applyBorder="1" applyAlignment="1">
      <alignment vertical="center"/>
    </xf>
    <xf numFmtId="169" fontId="0" fillId="0" borderId="11" xfId="0" applyNumberFormat="1" applyBorder="1" applyAlignment="1">
      <alignment vertical="center"/>
    </xf>
    <xf numFmtId="10" fontId="0" fillId="0" borderId="6" xfId="0" applyNumberFormat="1" applyBorder="1" applyAlignment="1">
      <alignment horizontal="center" vertical="center"/>
    </xf>
    <xf numFmtId="1" fontId="0" fillId="0" borderId="6" xfId="0" applyNumberFormat="1" applyBorder="1" applyAlignment="1">
      <alignment horizontal="center" vertical="center"/>
    </xf>
    <xf numFmtId="169" fontId="0" fillId="0" borderId="6" xfId="0" applyNumberFormat="1" applyBorder="1" applyAlignment="1">
      <alignment vertical="center"/>
    </xf>
    <xf numFmtId="1" fontId="0" fillId="0" borderId="9" xfId="0" applyNumberFormat="1"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left" vertical="center"/>
    </xf>
    <xf numFmtId="4" fontId="12" fillId="0" borderId="1" xfId="0" applyNumberFormat="1" applyFont="1" applyBorder="1" applyAlignment="1">
      <alignment vertical="center"/>
    </xf>
    <xf numFmtId="4" fontId="0" fillId="0" borderId="1" xfId="0" applyNumberFormat="1" applyBorder="1" applyAlignment="1">
      <alignment vertical="center"/>
    </xf>
    <xf numFmtId="165" fontId="0" fillId="0" borderId="2" xfId="0" applyNumberFormat="1" applyBorder="1" applyAlignment="1">
      <alignment vertical="center"/>
    </xf>
    <xf numFmtId="0" fontId="10" fillId="0" borderId="1" xfId="0" applyFont="1" applyBorder="1" applyAlignment="1">
      <alignment horizontal="center" vertical="center"/>
    </xf>
    <xf numFmtId="0" fontId="10" fillId="0" borderId="1" xfId="0" applyFont="1" applyBorder="1" applyAlignment="1">
      <alignment vertical="center"/>
    </xf>
    <xf numFmtId="165" fontId="0" fillId="0" borderId="1" xfId="0" applyNumberFormat="1" applyBorder="1" applyAlignment="1">
      <alignment vertical="center" wrapText="1"/>
    </xf>
    <xf numFmtId="166" fontId="10" fillId="0" borderId="1" xfId="1" applyFont="1" applyFill="1" applyBorder="1" applyAlignment="1">
      <alignment horizontal="center" vertical="center"/>
    </xf>
    <xf numFmtId="169" fontId="0" fillId="0" borderId="1" xfId="0" applyNumberFormat="1" applyBorder="1" applyAlignment="1">
      <alignment horizontal="left" vertical="center" wrapText="1"/>
    </xf>
    <xf numFmtId="10" fontId="15" fillId="0" borderId="1" xfId="2" applyNumberFormat="1" applyFont="1" applyFill="1" applyBorder="1" applyAlignment="1">
      <alignment horizontal="center" vertical="center"/>
    </xf>
    <xf numFmtId="9" fontId="15" fillId="0" borderId="1" xfId="2" applyFont="1" applyFill="1" applyBorder="1" applyAlignment="1">
      <alignment horizontal="center" vertical="center"/>
    </xf>
    <xf numFmtId="3" fontId="15" fillId="0" borderId="1" xfId="2" applyNumberFormat="1" applyFont="1" applyFill="1" applyBorder="1" applyAlignment="1">
      <alignment horizontal="center" vertical="center"/>
    </xf>
    <xf numFmtId="3" fontId="15" fillId="0" borderId="1" xfId="1" applyNumberFormat="1" applyFont="1" applyFill="1" applyBorder="1" applyAlignment="1">
      <alignment horizontal="center" vertical="center"/>
    </xf>
    <xf numFmtId="165" fontId="8" fillId="0" borderId="1" xfId="0" applyNumberFormat="1" applyFont="1" applyBorder="1" applyAlignment="1">
      <alignment vertical="center" wrapText="1"/>
    </xf>
    <xf numFmtId="165" fontId="8" fillId="0" borderId="2" xfId="0" applyNumberFormat="1" applyFont="1" applyBorder="1" applyAlignment="1">
      <alignment vertical="center"/>
    </xf>
    <xf numFmtId="10" fontId="8" fillId="0" borderId="2" xfId="2" applyNumberFormat="1" applyFont="1" applyFill="1" applyBorder="1" applyAlignment="1">
      <alignment horizontal="center" vertical="center"/>
    </xf>
    <xf numFmtId="0" fontId="15" fillId="0" borderId="1" xfId="0" applyFont="1" applyBorder="1" applyAlignment="1">
      <alignment horizontal="center" vertical="center"/>
    </xf>
    <xf numFmtId="169" fontId="8" fillId="0" borderId="1" xfId="0" applyNumberFormat="1" applyFont="1" applyBorder="1" applyAlignment="1">
      <alignment horizontal="right" vertical="center"/>
    </xf>
    <xf numFmtId="170" fontId="8" fillId="0" borderId="1" xfId="1" applyNumberFormat="1" applyFont="1" applyFill="1" applyBorder="1" applyAlignment="1">
      <alignment horizontal="center" vertical="center"/>
    </xf>
    <xf numFmtId="170" fontId="0" fillId="0" borderId="1" xfId="1" applyNumberFormat="1" applyFont="1" applyFill="1" applyBorder="1" applyAlignment="1">
      <alignment horizontal="center" vertical="center"/>
    </xf>
    <xf numFmtId="169" fontId="0" fillId="0" borderId="1" xfId="0" quotePrefix="1" applyNumberFormat="1" applyBorder="1" applyAlignment="1">
      <alignment vertical="center" wrapText="1"/>
    </xf>
    <xf numFmtId="170" fontId="13" fillId="0" borderId="1" xfId="1" applyNumberFormat="1" applyFont="1" applyFill="1" applyBorder="1" applyAlignment="1">
      <alignment vertical="center"/>
    </xf>
    <xf numFmtId="164" fontId="0" fillId="0" borderId="1" xfId="4" applyFont="1" applyFill="1" applyBorder="1" applyAlignment="1">
      <alignment vertical="center"/>
    </xf>
    <xf numFmtId="4" fontId="18" fillId="0" borderId="1" xfId="0" applyNumberFormat="1" applyFont="1" applyBorder="1" applyAlignment="1">
      <alignment vertical="center"/>
    </xf>
    <xf numFmtId="172" fontId="12" fillId="0" borderId="10" xfId="0" applyNumberFormat="1" applyFont="1" applyBorder="1" applyAlignment="1">
      <alignment vertical="center"/>
    </xf>
    <xf numFmtId="165" fontId="0" fillId="0" borderId="7" xfId="0" applyNumberFormat="1" applyBorder="1" applyAlignment="1">
      <alignment vertical="center"/>
    </xf>
    <xf numFmtId="10" fontId="0" fillId="0" borderId="7" xfId="2" applyNumberFormat="1" applyFont="1" applyFill="1" applyBorder="1" applyAlignment="1">
      <alignment horizontal="center" vertical="center"/>
    </xf>
    <xf numFmtId="37" fontId="0" fillId="0" borderId="1" xfId="0" applyNumberFormat="1" applyBorder="1" applyAlignment="1">
      <alignment horizontal="center" vertical="center"/>
    </xf>
    <xf numFmtId="170" fontId="0" fillId="0" borderId="1" xfId="0" applyNumberFormat="1" applyBorder="1" applyAlignment="1">
      <alignment vertical="center"/>
    </xf>
    <xf numFmtId="170" fontId="0" fillId="0" borderId="1" xfId="1" applyNumberFormat="1" applyFont="1" applyFill="1" applyBorder="1" applyAlignment="1">
      <alignment horizontal="center" vertical="center" wrapText="1"/>
    </xf>
    <xf numFmtId="10" fontId="0" fillId="0" borderId="2" xfId="0" applyNumberFormat="1" applyBorder="1" applyAlignment="1">
      <alignment horizontal="center" vertical="center" wrapText="1"/>
    </xf>
    <xf numFmtId="173" fontId="0" fillId="0" borderId="1" xfId="0" applyNumberFormat="1" applyBorder="1" applyAlignment="1">
      <alignment vertical="center"/>
    </xf>
    <xf numFmtId="0" fontId="0" fillId="0" borderId="6" xfId="0" applyBorder="1" applyAlignment="1">
      <alignment horizontal="center" vertical="center" wrapText="1"/>
    </xf>
    <xf numFmtId="169" fontId="14" fillId="0" borderId="1" xfId="0" applyNumberFormat="1" applyFont="1" applyBorder="1" applyAlignment="1">
      <alignment horizontal="center" vertical="center" wrapText="1"/>
    </xf>
    <xf numFmtId="166" fontId="0" fillId="0" borderId="1" xfId="0" applyNumberFormat="1" applyBorder="1" applyAlignment="1">
      <alignment vertical="center"/>
    </xf>
    <xf numFmtId="0" fontId="11" fillId="0" borderId="24" xfId="0" applyFont="1" applyBorder="1"/>
    <xf numFmtId="0" fontId="11" fillId="0" borderId="23" xfId="0" applyFont="1" applyBorder="1"/>
    <xf numFmtId="170" fontId="0" fillId="0" borderId="1" xfId="0" applyNumberFormat="1" applyBorder="1" applyAlignment="1">
      <alignment horizontal="left" vertical="center"/>
    </xf>
    <xf numFmtId="0" fontId="0" fillId="0" borderId="7" xfId="0" applyBorder="1" applyAlignment="1">
      <alignment horizontal="left" vertical="center"/>
    </xf>
    <xf numFmtId="170" fontId="0" fillId="0" borderId="6" xfId="1" applyNumberFormat="1" applyFont="1" applyFill="1" applyBorder="1" applyAlignment="1">
      <alignment horizontal="center" vertical="center" wrapText="1"/>
    </xf>
    <xf numFmtId="10" fontId="0" fillId="0" borderId="7" xfId="0" applyNumberFormat="1" applyBorder="1" applyAlignment="1">
      <alignment horizontal="center" vertical="center" wrapText="1"/>
    </xf>
    <xf numFmtId="10" fontId="0" fillId="0" borderId="7" xfId="2" applyNumberFormat="1" applyFont="1" applyFill="1" applyBorder="1" applyAlignment="1">
      <alignment horizontal="center" vertical="center" wrapText="1"/>
    </xf>
    <xf numFmtId="10" fontId="0" fillId="0" borderId="6" xfId="2" applyNumberFormat="1" applyFont="1" applyFill="1" applyBorder="1" applyAlignment="1">
      <alignment horizontal="center" vertical="center" wrapText="1"/>
    </xf>
    <xf numFmtId="43" fontId="0" fillId="0" borderId="6" xfId="3" applyFont="1" applyFill="1" applyBorder="1" applyAlignment="1">
      <alignment vertical="center"/>
    </xf>
    <xf numFmtId="173" fontId="0" fillId="0" borderId="6" xfId="0" applyNumberFormat="1" applyBorder="1" applyAlignment="1">
      <alignment vertical="center"/>
    </xf>
    <xf numFmtId="170" fontId="0" fillId="0" borderId="6" xfId="0" applyNumberFormat="1" applyBorder="1" applyAlignment="1">
      <alignment vertical="center"/>
    </xf>
    <xf numFmtId="169" fontId="0" fillId="0" borderId="11" xfId="0" applyNumberFormat="1" applyBorder="1" applyAlignment="1">
      <alignment horizontal="center" vertical="center" wrapText="1"/>
    </xf>
    <xf numFmtId="169" fontId="0" fillId="0" borderId="11" xfId="0" applyNumberFormat="1" applyBorder="1" applyAlignment="1">
      <alignment horizontal="center" vertical="center"/>
    </xf>
    <xf numFmtId="0" fontId="10" fillId="0" borderId="6" xfId="0" applyFont="1" applyBorder="1"/>
    <xf numFmtId="170" fontId="0" fillId="0" borderId="1" xfId="1" applyNumberFormat="1" applyFont="1" applyFill="1" applyBorder="1" applyAlignment="1">
      <alignment horizontal="right" vertical="center"/>
    </xf>
    <xf numFmtId="0" fontId="11" fillId="0" borderId="0" xfId="0" applyFont="1"/>
    <xf numFmtId="0" fontId="10" fillId="0" borderId="11" xfId="0" applyFont="1" applyBorder="1"/>
    <xf numFmtId="165" fontId="0" fillId="0" borderId="6" xfId="0" applyNumberFormat="1" applyBorder="1" applyAlignment="1">
      <alignment vertical="center" wrapText="1"/>
    </xf>
    <xf numFmtId="170" fontId="10" fillId="0" borderId="26" xfId="1" applyNumberFormat="1" applyFont="1" applyFill="1" applyBorder="1" applyAlignment="1">
      <alignment horizontal="right"/>
    </xf>
    <xf numFmtId="165" fontId="0" fillId="0" borderId="3" xfId="0" applyNumberFormat="1" applyBorder="1" applyAlignment="1">
      <alignment vertical="center"/>
    </xf>
    <xf numFmtId="0" fontId="23" fillId="0" borderId="0" xfId="0" applyFont="1"/>
    <xf numFmtId="170" fontId="0" fillId="0" borderId="1" xfId="0" applyNumberFormat="1" applyBorder="1" applyAlignment="1">
      <alignment vertical="center" wrapText="1"/>
    </xf>
    <xf numFmtId="165" fontId="11" fillId="0" borderId="1" xfId="0" applyNumberFormat="1" applyFont="1" applyBorder="1"/>
    <xf numFmtId="165" fontId="0" fillId="0" borderId="9" xfId="0" applyNumberFormat="1" applyBorder="1" applyAlignment="1">
      <alignment vertical="center"/>
    </xf>
    <xf numFmtId="0" fontId="8" fillId="0" borderId="2" xfId="0" applyFont="1" applyBorder="1" applyAlignment="1">
      <alignment horizontal="left" vertical="center"/>
    </xf>
    <xf numFmtId="0" fontId="8" fillId="0" borderId="7" xfId="0" applyFont="1" applyBorder="1" applyAlignment="1">
      <alignment horizontal="center" vertical="center"/>
    </xf>
    <xf numFmtId="37" fontId="8" fillId="0" borderId="1" xfId="0" applyNumberFormat="1" applyFont="1" applyBorder="1" applyAlignment="1">
      <alignment horizontal="center" vertical="center"/>
    </xf>
    <xf numFmtId="10" fontId="15" fillId="0" borderId="1" xfId="2" applyNumberFormat="1" applyFont="1" applyFill="1" applyBorder="1" applyAlignment="1">
      <alignment horizontal="center" vertical="center" wrapText="1"/>
    </xf>
    <xf numFmtId="9" fontId="15" fillId="0" borderId="1" xfId="2" applyFont="1" applyFill="1" applyBorder="1" applyAlignment="1">
      <alignment horizontal="center" vertical="center" wrapText="1"/>
    </xf>
    <xf numFmtId="170" fontId="8" fillId="0" borderId="1" xfId="1" applyNumberFormat="1" applyFont="1" applyFill="1" applyBorder="1" applyAlignment="1">
      <alignment horizontal="center" vertical="center" wrapText="1"/>
    </xf>
    <xf numFmtId="165" fontId="8" fillId="0" borderId="1" xfId="0" applyNumberFormat="1" applyFont="1" applyBorder="1"/>
    <xf numFmtId="165" fontId="8" fillId="0" borderId="3" xfId="0" applyNumberFormat="1" applyFont="1" applyBorder="1" applyAlignment="1">
      <alignment vertical="center"/>
    </xf>
    <xf numFmtId="10" fontId="8" fillId="0" borderId="2" xfId="0" applyNumberFormat="1" applyFont="1" applyBorder="1" applyAlignment="1">
      <alignment horizontal="center" vertical="center" wrapText="1"/>
    </xf>
    <xf numFmtId="10" fontId="8" fillId="0" borderId="2" xfId="2" applyNumberFormat="1" applyFont="1" applyFill="1" applyBorder="1" applyAlignment="1">
      <alignment horizontal="center" vertical="center" wrapText="1"/>
    </xf>
    <xf numFmtId="10" fontId="8" fillId="0" borderId="1" xfId="2" applyNumberFormat="1" applyFont="1" applyFill="1" applyBorder="1" applyAlignment="1">
      <alignment horizontal="center" vertical="center" wrapText="1"/>
    </xf>
    <xf numFmtId="173" fontId="8" fillId="0" borderId="1" xfId="0" applyNumberFormat="1" applyFont="1" applyBorder="1" applyAlignment="1">
      <alignment vertical="center"/>
    </xf>
    <xf numFmtId="170" fontId="8" fillId="0" borderId="1" xfId="0" applyNumberFormat="1" applyFont="1" applyBorder="1" applyAlignment="1">
      <alignment vertical="center"/>
    </xf>
    <xf numFmtId="166" fontId="8" fillId="0" borderId="0" xfId="1" applyFont="1" applyFill="1" applyAlignment="1">
      <alignment horizontal="left" wrapText="1"/>
    </xf>
    <xf numFmtId="0" fontId="8" fillId="0" borderId="6" xfId="0" applyFont="1" applyBorder="1" applyAlignment="1">
      <alignment vertical="center"/>
    </xf>
    <xf numFmtId="169" fontId="8" fillId="0" borderId="5" xfId="0" applyNumberFormat="1" applyFont="1" applyBorder="1" applyAlignment="1">
      <alignment horizontal="center" vertical="center" wrapText="1"/>
    </xf>
    <xf numFmtId="169" fontId="8" fillId="0" borderId="1" xfId="0" applyNumberFormat="1" applyFont="1" applyBorder="1" applyAlignment="1">
      <alignment horizontal="center" vertical="center" wrapText="1"/>
    </xf>
    <xf numFmtId="165" fontId="11" fillId="0" borderId="5" xfId="0" applyNumberFormat="1" applyFont="1" applyBorder="1"/>
    <xf numFmtId="165" fontId="0" fillId="0" borderId="5" xfId="0" applyNumberFormat="1" applyBorder="1" applyAlignment="1">
      <alignment vertical="center" wrapText="1"/>
    </xf>
    <xf numFmtId="165" fontId="0" fillId="0" borderId="5" xfId="0" applyNumberFormat="1" applyBorder="1" applyAlignment="1">
      <alignment vertical="center"/>
    </xf>
    <xf numFmtId="37" fontId="0" fillId="0" borderId="6" xfId="0" applyNumberFormat="1" applyBorder="1" applyAlignment="1">
      <alignment horizontal="center" vertical="center"/>
    </xf>
    <xf numFmtId="10" fontId="10" fillId="0" borderId="6" xfId="0" applyNumberFormat="1" applyFont="1" applyBorder="1" applyAlignment="1">
      <alignment horizontal="center" vertical="center"/>
    </xf>
    <xf numFmtId="9" fontId="10" fillId="0" borderId="6" xfId="0" applyNumberFormat="1" applyFont="1" applyBorder="1" applyAlignment="1">
      <alignment horizontal="center" vertical="center"/>
    </xf>
    <xf numFmtId="3" fontId="10" fillId="0" borderId="6" xfId="0" applyNumberFormat="1" applyFont="1" applyBorder="1" applyAlignment="1">
      <alignment horizontal="center" vertical="center"/>
    </xf>
    <xf numFmtId="10" fontId="0" fillId="0" borderId="7" xfId="0" applyNumberFormat="1" applyBorder="1" applyAlignment="1">
      <alignment horizontal="center" vertical="center"/>
    </xf>
    <xf numFmtId="1" fontId="14" fillId="0" borderId="7" xfId="0" applyNumberFormat="1" applyFont="1" applyBorder="1" applyAlignment="1">
      <alignment horizontal="center" vertical="center" wrapText="1"/>
    </xf>
    <xf numFmtId="169" fontId="14" fillId="0" borderId="61" xfId="0" applyNumberFormat="1" applyFont="1" applyBorder="1" applyAlignment="1">
      <alignment horizontal="center" vertical="center" wrapText="1"/>
    </xf>
    <xf numFmtId="0" fontId="14" fillId="0" borderId="9" xfId="0" applyFont="1" applyBorder="1" applyAlignment="1">
      <alignment horizontal="center" vertical="center" wrapText="1"/>
    </xf>
    <xf numFmtId="165" fontId="0" fillId="0" borderId="11" xfId="0" applyNumberFormat="1" applyBorder="1" applyAlignment="1">
      <alignment vertical="center"/>
    </xf>
    <xf numFmtId="9" fontId="10" fillId="0" borderId="1" xfId="0" applyNumberFormat="1" applyFont="1" applyBorder="1" applyAlignment="1">
      <alignment horizontal="center" vertical="center"/>
    </xf>
    <xf numFmtId="3" fontId="10" fillId="0" borderId="1" xfId="0" applyNumberFormat="1" applyFont="1" applyBorder="1" applyAlignment="1">
      <alignment horizontal="center" vertical="center"/>
    </xf>
    <xf numFmtId="10" fontId="0" fillId="0" borderId="2" xfId="0" applyNumberFormat="1" applyBorder="1" applyAlignment="1">
      <alignment horizontal="center" vertical="center"/>
    </xf>
    <xf numFmtId="1" fontId="14" fillId="0" borderId="2" xfId="0" applyNumberFormat="1" applyFont="1" applyBorder="1" applyAlignment="1">
      <alignment horizontal="center" vertical="center" wrapText="1"/>
    </xf>
    <xf numFmtId="169" fontId="14" fillId="0" borderId="12" xfId="0" applyNumberFormat="1" applyFont="1" applyBorder="1" applyAlignment="1">
      <alignment horizontal="center" vertical="center" wrapText="1"/>
    </xf>
    <xf numFmtId="0" fontId="14" fillId="0" borderId="3" xfId="0" applyFont="1" applyBorder="1" applyAlignment="1">
      <alignment horizontal="center" vertical="center" wrapText="1"/>
    </xf>
    <xf numFmtId="166" fontId="0" fillId="0" borderId="6" xfId="0" applyNumberFormat="1" applyBorder="1" applyAlignment="1">
      <alignment vertical="center"/>
    </xf>
    <xf numFmtId="0" fontId="2" fillId="0" borderId="1" xfId="0" applyFont="1" applyBorder="1" applyAlignment="1">
      <alignment horizontal="center" vertical="center" wrapText="1"/>
    </xf>
    <xf numFmtId="169" fontId="8" fillId="0" borderId="0" xfId="0" applyNumberFormat="1"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10" fillId="0" borderId="0" xfId="0" applyFont="1" applyAlignment="1">
      <alignment wrapText="1"/>
    </xf>
    <xf numFmtId="173" fontId="0" fillId="0" borderId="6" xfId="5" applyNumberFormat="1" applyFont="1" applyBorder="1" applyAlignment="1">
      <alignment vertical="center"/>
    </xf>
    <xf numFmtId="167" fontId="14" fillId="0" borderId="0" xfId="3" applyNumberFormat="1" applyFont="1" applyAlignment="1">
      <alignment vertical="center"/>
    </xf>
    <xf numFmtId="173" fontId="8" fillId="0" borderId="1" xfId="5" applyNumberFormat="1" applyFont="1" applyBorder="1" applyAlignment="1">
      <alignment vertical="center"/>
    </xf>
    <xf numFmtId="173" fontId="0" fillId="0" borderId="1" xfId="5" applyNumberFormat="1" applyFont="1" applyBorder="1" applyAlignment="1">
      <alignment vertical="center"/>
    </xf>
    <xf numFmtId="0" fontId="0" fillId="18" borderId="1" xfId="0" applyFill="1" applyBorder="1" applyAlignment="1">
      <alignment horizontal="left" vertical="center"/>
    </xf>
    <xf numFmtId="0" fontId="0" fillId="18" borderId="1" xfId="0" applyFill="1" applyBorder="1" applyAlignment="1">
      <alignment vertical="center"/>
    </xf>
    <xf numFmtId="17" fontId="0" fillId="18" borderId="1" xfId="0" applyNumberFormat="1" applyFill="1" applyBorder="1" applyAlignment="1">
      <alignment horizontal="center" vertical="center"/>
    </xf>
    <xf numFmtId="0" fontId="0" fillId="18" borderId="2" xfId="0" applyFill="1" applyBorder="1" applyAlignment="1">
      <alignment horizontal="left" vertical="center"/>
    </xf>
    <xf numFmtId="37" fontId="0" fillId="18" borderId="1" xfId="0" applyNumberFormat="1" applyFill="1" applyBorder="1" applyAlignment="1">
      <alignment horizontal="center" vertical="center"/>
    </xf>
    <xf numFmtId="43" fontId="0" fillId="18" borderId="1" xfId="0" applyNumberFormat="1" applyFill="1" applyBorder="1" applyAlignment="1">
      <alignment vertical="center"/>
    </xf>
    <xf numFmtId="0" fontId="0" fillId="18" borderId="4" xfId="0" applyFill="1" applyBorder="1" applyAlignment="1">
      <alignment horizontal="center" vertical="center"/>
    </xf>
    <xf numFmtId="4" fontId="2" fillId="3" borderId="1" xfId="0" applyNumberFormat="1" applyFont="1" applyFill="1" applyBorder="1" applyAlignment="1">
      <alignment horizontal="center" vertical="top" wrapText="1"/>
    </xf>
    <xf numFmtId="4" fontId="2" fillId="4" borderId="1" xfId="0" applyNumberFormat="1" applyFont="1" applyFill="1" applyBorder="1" applyAlignment="1">
      <alignment horizontal="center" vertical="top" wrapText="1"/>
    </xf>
    <xf numFmtId="4" fontId="0" fillId="0" borderId="0" xfId="0" applyNumberFormat="1" applyAlignment="1">
      <alignment horizontal="center" vertical="center"/>
    </xf>
    <xf numFmtId="4" fontId="8" fillId="0" borderId="0" xfId="0" applyNumberFormat="1" applyFont="1" applyAlignment="1">
      <alignment horizontal="center" vertical="center"/>
    </xf>
    <xf numFmtId="4" fontId="14" fillId="0" borderId="0" xfId="0" applyNumberFormat="1" applyFont="1" applyAlignment="1">
      <alignment horizontal="center" vertical="center"/>
    </xf>
    <xf numFmtId="0" fontId="0" fillId="19" borderId="0" xfId="0" applyFill="1" applyAlignment="1">
      <alignment vertical="center"/>
    </xf>
    <xf numFmtId="0" fontId="0" fillId="22" borderId="0" xfId="0" applyFill="1" applyAlignment="1">
      <alignment vertical="center"/>
    </xf>
    <xf numFmtId="0" fontId="0" fillId="23" borderId="0" xfId="0" applyFill="1" applyAlignment="1">
      <alignment vertical="center"/>
    </xf>
    <xf numFmtId="0" fontId="0" fillId="24" borderId="0" xfId="0" applyFill="1" applyAlignment="1">
      <alignment vertical="center"/>
    </xf>
    <xf numFmtId="0" fontId="0" fillId="20" borderId="0" xfId="0" applyFill="1" applyAlignment="1">
      <alignment vertical="center"/>
    </xf>
    <xf numFmtId="0" fontId="0" fillId="0" borderId="0" xfId="0" quotePrefix="1" applyAlignment="1">
      <alignment vertical="center"/>
    </xf>
    <xf numFmtId="0" fontId="0" fillId="21" borderId="63" xfId="0" applyFill="1" applyBorder="1" applyAlignment="1">
      <alignment horizontal="center" vertical="center"/>
    </xf>
    <xf numFmtId="9" fontId="0" fillId="0" borderId="0" xfId="0" applyNumberFormat="1" applyAlignment="1">
      <alignment horizontal="center" vertical="center"/>
    </xf>
    <xf numFmtId="10" fontId="8" fillId="0" borderId="0" xfId="0" applyNumberFormat="1" applyFont="1" applyAlignment="1">
      <alignment horizontal="center" vertical="center"/>
    </xf>
    <xf numFmtId="9" fontId="8" fillId="0" borderId="0" xfId="0" applyNumberFormat="1" applyFont="1" applyAlignment="1">
      <alignment horizontal="center" vertical="center"/>
    </xf>
    <xf numFmtId="10" fontId="14" fillId="0" borderId="0" xfId="0" applyNumberFormat="1" applyFont="1" applyAlignment="1">
      <alignment horizontal="center" vertical="center"/>
    </xf>
    <xf numFmtId="9" fontId="14" fillId="0" borderId="0" xfId="0" applyNumberFormat="1" applyFont="1" applyAlignment="1">
      <alignment horizontal="center" vertical="center"/>
    </xf>
    <xf numFmtId="174" fontId="0" fillId="0" borderId="0" xfId="2" applyNumberFormat="1" applyFont="1" applyAlignment="1">
      <alignment horizontal="center" vertical="center"/>
    </xf>
    <xf numFmtId="166" fontId="0" fillId="0" borderId="0" xfId="0" applyNumberFormat="1" applyAlignment="1">
      <alignment horizontal="center" vertical="center"/>
    </xf>
    <xf numFmtId="4" fontId="2" fillId="4" borderId="0" xfId="0" applyNumberFormat="1" applyFont="1" applyFill="1" applyAlignment="1">
      <alignment horizontal="center" vertical="top" wrapText="1"/>
    </xf>
    <xf numFmtId="169" fontId="14" fillId="0" borderId="8" xfId="0" applyNumberFormat="1" applyFont="1" applyBorder="1" applyAlignment="1">
      <alignment horizontal="center" vertical="center"/>
    </xf>
    <xf numFmtId="169" fontId="14" fillId="0" borderId="11" xfId="0" applyNumberFormat="1" applyFont="1" applyBorder="1" applyAlignment="1">
      <alignment horizontal="center" vertical="center"/>
    </xf>
    <xf numFmtId="169" fontId="8" fillId="0" borderId="11" xfId="0" applyNumberFormat="1" applyFont="1" applyBorder="1" applyAlignment="1">
      <alignment horizontal="center" vertic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left" vertical="center"/>
    </xf>
    <xf numFmtId="170" fontId="0" fillId="0" borderId="0" xfId="1" applyNumberFormat="1" applyFont="1" applyAlignment="1">
      <alignment horizontal="left" vertical="center"/>
    </xf>
    <xf numFmtId="2" fontId="0" fillId="0" borderId="0" xfId="0" applyNumberFormat="1" applyAlignment="1">
      <alignment horizontal="center" vertical="center" wrapText="1"/>
    </xf>
    <xf numFmtId="0" fontId="8" fillId="3" borderId="0" xfId="0" applyFont="1" applyFill="1" applyAlignment="1">
      <alignment horizontal="center" vertical="top" wrapText="1"/>
    </xf>
    <xf numFmtId="0" fontId="0" fillId="2" borderId="1" xfId="0" applyFill="1" applyBorder="1" applyAlignment="1">
      <alignment vertical="center"/>
    </xf>
    <xf numFmtId="167" fontId="3" fillId="0" borderId="1" xfId="3" applyNumberFormat="1" applyFont="1" applyFill="1" applyBorder="1" applyAlignment="1">
      <alignment vertical="center"/>
    </xf>
    <xf numFmtId="169" fontId="0" fillId="0" borderId="1" xfId="0" quotePrefix="1" applyNumberFormat="1" applyBorder="1" applyAlignment="1">
      <alignment horizontal="left" vertical="center" wrapText="1"/>
    </xf>
    <xf numFmtId="0" fontId="14" fillId="0" borderId="1" xfId="0" applyFont="1" applyBorder="1" applyAlignment="1">
      <alignment horizontal="center" vertical="center"/>
    </xf>
    <xf numFmtId="0" fontId="14" fillId="0" borderId="34" xfId="0" applyFont="1" applyBorder="1" applyAlignment="1">
      <alignment horizontal="center" vertical="center"/>
    </xf>
    <xf numFmtId="0" fontId="16" fillId="0" borderId="2" xfId="0" applyFont="1" applyBorder="1" applyAlignment="1">
      <alignment horizontal="center" vertical="center" wrapText="1"/>
    </xf>
    <xf numFmtId="0" fontId="24" fillId="3" borderId="25" xfId="0" applyFont="1" applyFill="1" applyBorder="1" applyAlignment="1">
      <alignment horizontal="center" vertical="center"/>
    </xf>
    <xf numFmtId="0" fontId="24" fillId="6" borderId="25"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17" fontId="2" fillId="5" borderId="0" xfId="0" applyNumberFormat="1" applyFont="1" applyFill="1" applyAlignment="1">
      <alignment horizontal="center" vertical="center"/>
    </xf>
    <xf numFmtId="0" fontId="2" fillId="5" borderId="0" xfId="0" applyFont="1" applyFill="1" applyAlignment="1">
      <alignment horizontal="center" vertical="center"/>
    </xf>
    <xf numFmtId="0" fontId="2" fillId="12" borderId="6"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11" borderId="9" xfId="0" applyFont="1" applyFill="1" applyBorder="1" applyAlignment="1">
      <alignment horizontal="center" vertical="center" wrapText="1"/>
    </xf>
    <xf numFmtId="0" fontId="2" fillId="11" borderId="4" xfId="0" applyFont="1" applyFill="1" applyBorder="1" applyAlignment="1">
      <alignment horizontal="center" vertical="center" wrapText="1"/>
    </xf>
    <xf numFmtId="0" fontId="14" fillId="0" borderId="1" xfId="0" applyFont="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xf>
    <xf numFmtId="0" fontId="20" fillId="0" borderId="12" xfId="0" applyFont="1" applyBorder="1" applyAlignment="1">
      <alignment horizontal="center" vertical="center"/>
    </xf>
    <xf numFmtId="0" fontId="20" fillId="0" borderId="3"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37" xfId="0" applyFont="1" applyBorder="1" applyAlignment="1">
      <alignment horizontal="center" vertical="center"/>
    </xf>
    <xf numFmtId="0" fontId="20" fillId="0" borderId="31" xfId="0" applyFont="1" applyBorder="1" applyAlignment="1">
      <alignment horizontal="center" vertical="center"/>
    </xf>
    <xf numFmtId="0" fontId="16" fillId="0" borderId="2" xfId="0" applyFont="1" applyBorder="1" applyAlignment="1">
      <alignment horizontal="center" vertical="center" wrapText="1"/>
    </xf>
    <xf numFmtId="0" fontId="2" fillId="12" borderId="27" xfId="0" applyFont="1" applyFill="1" applyBorder="1" applyAlignment="1">
      <alignment horizontal="center" vertical="center" wrapText="1"/>
    </xf>
    <xf numFmtId="0" fontId="2" fillId="12" borderId="28" xfId="0" applyFont="1" applyFill="1" applyBorder="1" applyAlignment="1">
      <alignment horizontal="center" vertical="center" wrapText="1"/>
    </xf>
    <xf numFmtId="0" fontId="2" fillId="12" borderId="29" xfId="0" applyFont="1" applyFill="1" applyBorder="1" applyAlignment="1">
      <alignment horizontal="center" vertical="center" wrapText="1"/>
    </xf>
    <xf numFmtId="0" fontId="2" fillId="11" borderId="27" xfId="0" applyFont="1" applyFill="1" applyBorder="1" applyAlignment="1">
      <alignment horizontal="center" vertical="center" wrapText="1"/>
    </xf>
    <xf numFmtId="0" fontId="2" fillId="11" borderId="28" xfId="0" applyFont="1" applyFill="1" applyBorder="1" applyAlignment="1">
      <alignment horizontal="center" vertical="center" wrapText="1"/>
    </xf>
    <xf numFmtId="0" fontId="2" fillId="11" borderId="37" xfId="0" applyFont="1" applyFill="1" applyBorder="1" applyAlignment="1">
      <alignment horizontal="center" vertical="center" wrapText="1"/>
    </xf>
    <xf numFmtId="0" fontId="20" fillId="10" borderId="27" xfId="0" applyFont="1" applyFill="1" applyBorder="1" applyAlignment="1">
      <alignment horizontal="center" vertical="center" wrapText="1"/>
    </xf>
    <xf numFmtId="0" fontId="20" fillId="10" borderId="28" xfId="0" applyFont="1" applyFill="1" applyBorder="1" applyAlignment="1">
      <alignment horizontal="center" vertical="center" wrapText="1"/>
    </xf>
    <xf numFmtId="0" fontId="20" fillId="10" borderId="29" xfId="0" applyFont="1" applyFill="1" applyBorder="1" applyAlignment="1">
      <alignment horizontal="center" vertical="center" wrapText="1"/>
    </xf>
    <xf numFmtId="0" fontId="20" fillId="10" borderId="37" xfId="0" applyFont="1" applyFill="1" applyBorder="1" applyAlignment="1">
      <alignment horizontal="center" vertical="center" wrapText="1"/>
    </xf>
    <xf numFmtId="0" fontId="3" fillId="9" borderId="27" xfId="0" applyFont="1" applyFill="1" applyBorder="1" applyAlignment="1">
      <alignment horizontal="center" vertical="center" wrapText="1"/>
    </xf>
    <xf numFmtId="0" fontId="3" fillId="9" borderId="28" xfId="0" applyFont="1" applyFill="1" applyBorder="1" applyAlignment="1">
      <alignment horizontal="center" vertical="center" wrapText="1"/>
    </xf>
    <xf numFmtId="0" fontId="3" fillId="9" borderId="29" xfId="0" applyFont="1" applyFill="1" applyBorder="1" applyAlignment="1">
      <alignment horizontal="center" vertical="center" wrapText="1"/>
    </xf>
    <xf numFmtId="0" fontId="20" fillId="10" borderId="58" xfId="0" applyFont="1" applyFill="1" applyBorder="1" applyAlignment="1">
      <alignment horizontal="center" vertical="center" wrapText="1"/>
    </xf>
    <xf numFmtId="0" fontId="3" fillId="9" borderId="58" xfId="0" applyFont="1" applyFill="1" applyBorder="1" applyAlignment="1">
      <alignment horizontal="center" vertical="center" wrapText="1"/>
    </xf>
    <xf numFmtId="0" fontId="2" fillId="11" borderId="29" xfId="0" applyFont="1" applyFill="1" applyBorder="1" applyAlignment="1">
      <alignment horizontal="center" vertical="center" wrapText="1"/>
    </xf>
    <xf numFmtId="169" fontId="2" fillId="3" borderId="38" xfId="0" applyNumberFormat="1" applyFont="1" applyFill="1" applyBorder="1" applyAlignment="1">
      <alignment horizontal="center" vertical="center" wrapText="1"/>
    </xf>
    <xf numFmtId="169" fontId="2" fillId="3" borderId="0" xfId="0" applyNumberFormat="1" applyFont="1" applyFill="1" applyAlignment="1">
      <alignment horizontal="center" vertical="center" wrapText="1"/>
    </xf>
    <xf numFmtId="0" fontId="24" fillId="3" borderId="25" xfId="0" applyFont="1" applyFill="1" applyBorder="1" applyAlignment="1">
      <alignment horizontal="center" vertical="center"/>
    </xf>
    <xf numFmtId="0" fontId="24" fillId="3" borderId="62" xfId="0" applyFont="1" applyFill="1" applyBorder="1" applyAlignment="1">
      <alignment horizontal="center" vertical="center" wrapText="1"/>
    </xf>
    <xf numFmtId="0" fontId="24" fillId="6" borderId="25" xfId="0" applyFont="1" applyFill="1" applyBorder="1" applyAlignment="1">
      <alignment horizontal="center" vertical="center"/>
    </xf>
    <xf numFmtId="0" fontId="24" fillId="6" borderId="25" xfId="0" applyFont="1" applyFill="1" applyBorder="1" applyAlignment="1">
      <alignment horizontal="center" vertical="center" wrapText="1"/>
    </xf>
    <xf numFmtId="0" fontId="3" fillId="9" borderId="2" xfId="0" applyFont="1" applyFill="1" applyBorder="1" applyAlignment="1">
      <alignment horizontal="center" vertical="center"/>
    </xf>
    <xf numFmtId="0" fontId="3" fillId="9" borderId="3"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7" fontId="2" fillId="5" borderId="0" xfId="0" applyNumberFormat="1" applyFont="1" applyFill="1" applyAlignment="1">
      <alignment horizontal="center" vertical="center"/>
    </xf>
    <xf numFmtId="0" fontId="2" fillId="5" borderId="0" xfId="0" applyFont="1" applyFill="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12" xfId="0" applyFont="1" applyFill="1" applyBorder="1" applyAlignment="1">
      <alignment horizontal="center" vertical="center"/>
    </xf>
    <xf numFmtId="0" fontId="26" fillId="7" borderId="40"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8" fillId="0" borderId="50" xfId="0" applyFont="1" applyBorder="1" applyAlignment="1">
      <alignment horizontal="center" vertical="center"/>
    </xf>
    <xf numFmtId="0" fontId="28" fillId="0" borderId="41" xfId="0" applyFont="1" applyBorder="1" applyAlignment="1">
      <alignment horizontal="center" vertical="center"/>
    </xf>
    <xf numFmtId="0" fontId="30" fillId="16" borderId="0" xfId="0" applyFont="1" applyFill="1" applyAlignment="1">
      <alignment horizontal="center" vertical="center"/>
    </xf>
    <xf numFmtId="0" fontId="26" fillId="16" borderId="44" xfId="0" applyFont="1" applyFill="1" applyBorder="1" applyAlignment="1">
      <alignment horizontal="center" vertical="center" wrapText="1"/>
    </xf>
    <xf numFmtId="0" fontId="26" fillId="16" borderId="45" xfId="0" applyFont="1" applyFill="1" applyBorder="1" applyAlignment="1">
      <alignment horizontal="center" vertical="center" wrapText="1"/>
    </xf>
    <xf numFmtId="0" fontId="26" fillId="16" borderId="46" xfId="0" applyFont="1" applyFill="1" applyBorder="1" applyAlignment="1">
      <alignment horizontal="center" vertical="center" wrapText="1"/>
    </xf>
    <xf numFmtId="0" fontId="26" fillId="16" borderId="47" xfId="0" applyFont="1" applyFill="1" applyBorder="1" applyAlignment="1">
      <alignment horizontal="center" vertical="center" wrapText="1"/>
    </xf>
    <xf numFmtId="0" fontId="26" fillId="16" borderId="40" xfId="0" applyFont="1" applyFill="1" applyBorder="1" applyAlignment="1">
      <alignment horizontal="center" vertical="center"/>
    </xf>
    <xf numFmtId="0" fontId="26" fillId="16" borderId="49" xfId="0" applyFont="1" applyFill="1" applyBorder="1" applyAlignment="1">
      <alignment horizontal="center" vertical="center"/>
    </xf>
    <xf numFmtId="0" fontId="26" fillId="16" borderId="27" xfId="0" applyFont="1" applyFill="1" applyBorder="1" applyAlignment="1">
      <alignment horizontal="center" vertical="center" wrapText="1"/>
    </xf>
    <xf numFmtId="0" fontId="26" fillId="16" borderId="29" xfId="0" applyFont="1" applyFill="1" applyBorder="1" applyAlignment="1">
      <alignment horizontal="center" vertical="center" wrapText="1"/>
    </xf>
    <xf numFmtId="0" fontId="26" fillId="16" borderId="55" xfId="0" applyFont="1" applyFill="1" applyBorder="1" applyAlignment="1">
      <alignment horizontal="center" vertical="center" wrapText="1"/>
    </xf>
    <xf numFmtId="0" fontId="26" fillId="16" borderId="54" xfId="0" applyFont="1" applyFill="1" applyBorder="1" applyAlignment="1">
      <alignment horizontal="center" vertical="center" wrapText="1"/>
    </xf>
    <xf numFmtId="0" fontId="26" fillId="16" borderId="40" xfId="0" applyFont="1" applyFill="1" applyBorder="1" applyAlignment="1">
      <alignment horizontal="center" vertical="center" wrapText="1"/>
    </xf>
    <xf numFmtId="0" fontId="26" fillId="16" borderId="49" xfId="0" applyFont="1" applyFill="1" applyBorder="1" applyAlignment="1">
      <alignment horizontal="center" vertical="center" wrapText="1"/>
    </xf>
  </cellXfs>
  <cellStyles count="10">
    <cellStyle name="Comma" xfId="1" builtinId="3"/>
    <cellStyle name="Comma 2" xfId="3" xr:uid="{5E99B840-E06E-4E9F-BC24-E21092A83C92}"/>
    <cellStyle name="Comma 2 2" xfId="7" xr:uid="{21F20D99-9D55-408B-ABBA-5FF21E80199B}"/>
    <cellStyle name="Comma 3" xfId="6" xr:uid="{71ABF209-D635-4A35-B4FC-D6B5706C437E}"/>
    <cellStyle name="Currency" xfId="5" builtinId="4"/>
    <cellStyle name="Currency [0]" xfId="4" builtinId="7"/>
    <cellStyle name="Currency [0] 2" xfId="8" xr:uid="{98F1B023-A8A5-40FA-8AB6-3422E15A01F1}"/>
    <cellStyle name="Currency 2" xfId="9" xr:uid="{B6B9A618-D5F2-4F3A-AC22-8E5FC399FE21}"/>
    <cellStyle name="Normal" xfId="0" builtinId="0"/>
    <cellStyle name="Percent" xfId="2" builtinId="5"/>
  </cellStyles>
  <dxfs count="324">
    <dxf>
      <font>
        <color rgb="FF006100"/>
      </font>
      <fill>
        <patternFill>
          <bgColor rgb="FFC6EFCE"/>
        </patternFill>
      </fill>
    </dxf>
    <dxf>
      <font>
        <color rgb="FF9C0006"/>
      </font>
      <fill>
        <patternFill>
          <bgColor rgb="FFFFC7CE"/>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499984740745262"/>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499984740745262"/>
        </patternFill>
      </fill>
    </dxf>
    <dxf>
      <font>
        <color rgb="FF9C0006"/>
      </font>
      <fill>
        <patternFill>
          <bgColor rgb="FFFFC7CE"/>
        </patternFill>
      </fill>
    </dxf>
    <dxf>
      <font>
        <color theme="0"/>
      </font>
      <fill>
        <patternFill>
          <bgColor rgb="FFFF0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b val="0"/>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outline="0">
        <left style="thin">
          <color rgb="FF002060"/>
        </left>
        <right/>
        <top style="thin">
          <color rgb="FF002060"/>
        </top>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rgb="FF002060"/>
        </left>
        <right/>
        <top style="thin">
          <color rgb="FF002060"/>
        </top>
        <bottom style="thin">
          <color rgb="FF002060"/>
        </bottom>
        <vertical style="thin">
          <color rgb="FF002060"/>
        </vertical>
        <horizontal style="thin">
          <color rgb="FF002060"/>
        </horizontal>
      </border>
    </dxf>
    <dxf>
      <font>
        <b val="0"/>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outline="0">
        <left style="thin">
          <color rgb="FF002060"/>
        </left>
        <right style="thin">
          <color rgb="FF002060"/>
        </right>
        <top style="thin">
          <color rgb="FF002060"/>
        </top>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rgb="FF002060"/>
        </left>
        <right style="thin">
          <color rgb="FF002060"/>
        </right>
        <top style="thin">
          <color rgb="FF002060"/>
        </top>
        <bottom style="thin">
          <color rgb="FF002060"/>
        </bottom>
        <vertical style="thin">
          <color rgb="FF002060"/>
        </vertical>
        <horizontal style="thin">
          <color rgb="FF002060"/>
        </horizontal>
      </border>
    </dxf>
    <dxf>
      <font>
        <b val="0"/>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outline="0">
        <left style="thin">
          <color rgb="FF002060"/>
        </left>
        <right style="thin">
          <color rgb="FF002060"/>
        </right>
        <top style="thin">
          <color rgb="FF002060"/>
        </top>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rgb="FF002060"/>
        </left>
        <right style="thin">
          <color rgb="FF002060"/>
        </right>
        <top style="thin">
          <color rgb="FF002060"/>
        </top>
        <bottom style="thin">
          <color rgb="FF002060"/>
        </bottom>
        <vertical style="thin">
          <color rgb="FF002060"/>
        </vertical>
        <horizontal style="thin">
          <color rgb="FF002060"/>
        </horizontal>
      </border>
    </dxf>
    <dxf>
      <font>
        <b val="0"/>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outline="0">
        <left style="thin">
          <color rgb="FF002060"/>
        </left>
        <right style="thin">
          <color rgb="FF002060"/>
        </right>
        <top style="thin">
          <color rgb="FF002060"/>
        </top>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rgb="FF002060"/>
        </left>
        <right style="thin">
          <color rgb="FF002060"/>
        </right>
        <top style="thin">
          <color rgb="FF002060"/>
        </top>
        <bottom style="thin">
          <color rgb="FF002060"/>
        </bottom>
        <vertical style="thin">
          <color rgb="FF002060"/>
        </vertical>
        <horizontal style="thin">
          <color rgb="FF002060"/>
        </horizontal>
      </border>
    </dxf>
    <dxf>
      <font>
        <b val="0"/>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outline="0">
        <left/>
        <right style="thin">
          <color rgb="FF002060"/>
        </right>
        <top style="thin">
          <color rgb="FF002060"/>
        </top>
        <bottom/>
      </border>
    </dxf>
    <dxf>
      <alignment horizontal="left" vertical="center" textRotation="0" wrapText="0" indent="0" justifyLastLine="0" shrinkToFit="0" readingOrder="0"/>
      <border diagonalUp="0" diagonalDown="0">
        <left/>
        <right style="thin">
          <color rgb="FF002060"/>
        </right>
        <top style="thin">
          <color rgb="FF002060"/>
        </top>
        <bottom style="thin">
          <color rgb="FF002060"/>
        </bottom>
        <vertical style="thin">
          <color rgb="FF002060"/>
        </vertical>
        <horizontal style="thin">
          <color rgb="FF002060"/>
        </horizontal>
      </border>
    </dxf>
    <dxf>
      <border>
        <top style="thin">
          <color rgb="FF002060"/>
        </top>
      </border>
    </dxf>
    <dxf>
      <font>
        <strike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left style="thin">
          <color rgb="FF002060"/>
        </left>
        <right style="thin">
          <color rgb="FF002060"/>
        </right>
        <top/>
        <bottom/>
        <vertical style="thin">
          <color rgb="FF002060"/>
        </vertical>
        <horizontal style="thin">
          <color rgb="FF002060"/>
        </horizontal>
      </border>
    </dxf>
    <dxf>
      <border diagonalUp="0" diagonalDown="0">
        <left style="thin">
          <color rgb="FF002060"/>
        </left>
        <right style="thin">
          <color rgb="FF002060"/>
        </right>
        <top style="thin">
          <color rgb="FF002060"/>
        </top>
        <bottom style="thin">
          <color rgb="FF002060"/>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border>
        <bottom style="thin">
          <color rgb="FF002060"/>
        </bottom>
      </border>
    </dxf>
    <dxf>
      <alignment horizontal="center" vertical="center" textRotation="0" wrapText="0" indent="0" justifyLastLine="0" shrinkToFit="0" readingOrder="0"/>
      <border diagonalUp="0" diagonalDown="0">
        <left style="thin">
          <color rgb="FF002060"/>
        </left>
        <right style="thin">
          <color rgb="FF002060"/>
        </right>
        <top/>
        <bottom/>
        <vertical style="thin">
          <color rgb="FF002060"/>
        </vertical>
        <horizontal style="thin">
          <color rgb="FF002060"/>
        </horizontal>
      </border>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1" formatCode="0"/>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numFmt numFmtId="22" formatCode="mmm\-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numFmt numFmtId="169" formatCode="[$-13809]d\ mmm\ yyyy;@"/>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general"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69" formatCode="[$-13809]d\ mmm\ 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9" formatCode="[$-13809]d\ mmm\ yyyy;@"/>
      <fill>
        <patternFill patternType="none">
          <fgColor indexed="64"/>
          <bgColor auto="1"/>
        </patternFill>
      </fill>
      <alignment horizontal="center"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color theme="0"/>
      </font>
      <numFmt numFmtId="1" formatCode="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vertical="center" textRotation="0" wrapText="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vertical="center" textRotation="0" wrapText="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numFmt numFmtId="1" formatCode="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3" formatCode="_-&quot;Rp&quot;* #,##0_-;\-&quot;Rp&quot;* #,##0_-;_-&quot;Rp&quot;* &quot;-&quot;??_-;_-@_-"/>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73" formatCode="_-&quot;Rp&quot;* #,##0_-;\-&quot;Rp&quot;* #,##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73" formatCode="_-&quot;Rp&quot;* #,##0_-;\-&quot;Rp&quot;* #,##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5" formatCode="_(* #,##0.00_);_(* \(#,##0.0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 #,##0.00_-;\-* #,##0.0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numFmt numFmtId="14" formatCode="0.0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0" formatCode="_-* #,##0_-;\-* #,##0_-;_-* &quot;-&quot;??_-;_-@_-"/>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3" formatCode="0%"/>
      <fill>
        <patternFill patternType="none">
          <fgColor rgb="FFD9E1F2"/>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4" formatCode="0.00%"/>
      <fill>
        <patternFill patternType="none">
          <fgColor rgb="FFD9E1F2"/>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4" formatCode="0.00%"/>
      <fill>
        <patternFill patternType="none">
          <fgColor rgb="FFD9E1F2"/>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Rp&quot;* #,##0.00_-;\-&quot;Rp&quot;* #,##0.00_-;_-&quot;Rp&quot;*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0.00_);_(* \(#,##0.0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7" formatCode="#,##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2" formatCode="mmm\-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0D1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557-44DA-B38A-7E9E72683BD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557-44DA-B38A-7E9E72683BD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557-44DA-B38A-7E9E72683BD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557-44DA-B38A-7E9E72683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'Tree Okt 26'!$C$13:$F$13</c:f>
              <c:strCache>
                <c:ptCount val="4"/>
                <c:pt idx="0">
                  <c:v>BATAL / CANCEL</c:v>
                </c:pt>
                <c:pt idx="1">
                  <c:v>Belum Konstruksi</c:v>
                </c:pt>
                <c:pt idx="2">
                  <c:v>Proses Konstruksi</c:v>
                </c:pt>
                <c:pt idx="3">
                  <c:v>Selesai Konstruksi</c:v>
                </c:pt>
              </c:strCache>
            </c:strRef>
          </c:cat>
          <c:val>
            <c:numRef>
              <c:f>'Tree Okt 26'!$C$17:$F$17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2BCC-4C3D-AC58-7778A9C03800}"/>
            </c:ext>
          </c:extLst>
        </c:ser>
        <c:dLbls>
          <c:showLegendKey val="0"/>
          <c:showVal val="1"/>
          <c:showCatName val="0"/>
          <c:showSerName val="0"/>
          <c:showPercent val="0"/>
          <c:showBubbleSize val="0"/>
          <c:showLeaderLines val="1"/>
        </c:dLbls>
        <c:firstSliceAng val="54"/>
        <c:holeSize val="3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'Tree Okt 26'!$C$22</c:f>
              <c:strCache>
                <c:ptCount val="1"/>
                <c:pt idx="0">
                  <c:v>Belum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26'!$C$23:$C$28</c:f>
              <c:numCache>
                <c:formatCode>General</c:formatCode>
                <c:ptCount val="6"/>
                <c:pt idx="0">
                  <c:v>3</c:v>
                </c:pt>
                <c:pt idx="1">
                  <c:v>5</c:v>
                </c:pt>
                <c:pt idx="2">
                  <c:v>0</c:v>
                </c:pt>
                <c:pt idx="3">
                  <c:v>83</c:v>
                </c:pt>
                <c:pt idx="4">
                  <c:v>90</c:v>
                </c:pt>
                <c:pt idx="5">
                  <c:v>93</c:v>
                </c:pt>
              </c:numCache>
            </c:numRef>
          </c:val>
          <c:extLst>
            <c:ext xmlns:c16="http://schemas.microsoft.com/office/drawing/2014/chart" uri="{C3380CC4-5D6E-409C-BE32-E72D297353CC}">
              <c16:uniqueId val="{00000000-8BE4-4CB3-9222-8AAEBA1A2BC4}"/>
            </c:ext>
          </c:extLst>
        </c:ser>
        <c:ser>
          <c:idx val="1"/>
          <c:order val="1"/>
          <c:tx>
            <c:strRef>
              <c:f>'Tree Okt 26'!$D$22</c:f>
              <c:strCache>
                <c:ptCount val="1"/>
                <c:pt idx="0">
                  <c:v>Proses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26'!$D$23:$D$28</c:f>
              <c:numCache>
                <c:formatCode>General</c:formatCode>
                <c:ptCount val="6"/>
                <c:pt idx="0">
                  <c:v>80</c:v>
                </c:pt>
                <c:pt idx="1">
                  <c:v>91</c:v>
                </c:pt>
                <c:pt idx="2">
                  <c:v>84</c:v>
                </c:pt>
                <c:pt idx="3">
                  <c:v>7</c:v>
                </c:pt>
                <c:pt idx="4">
                  <c:v>3</c:v>
                </c:pt>
                <c:pt idx="5">
                  <c:v>0</c:v>
                </c:pt>
              </c:numCache>
            </c:numRef>
          </c:val>
          <c:extLst>
            <c:ext xmlns:c16="http://schemas.microsoft.com/office/drawing/2014/chart" uri="{C3380CC4-5D6E-409C-BE32-E72D297353CC}">
              <c16:uniqueId val="{00000001-8BE4-4CB3-9222-8AAEBA1A2BC4}"/>
            </c:ext>
          </c:extLst>
        </c:ser>
        <c:ser>
          <c:idx val="2"/>
          <c:order val="2"/>
          <c:tx>
            <c:strRef>
              <c:f>'Tree Okt 26'!$E$22</c:f>
              <c:strCache>
                <c:ptCount val="1"/>
                <c:pt idx="0">
                  <c:v>Selesai</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26'!$E$23:$E$28</c:f>
              <c:numCache>
                <c:formatCode>General</c:formatCode>
                <c:ptCount val="6"/>
                <c:pt idx="0">
                  <c:v>13</c:v>
                </c:pt>
                <c:pt idx="1">
                  <c:v>0</c:v>
                </c:pt>
                <c:pt idx="2">
                  <c:v>12</c:v>
                </c:pt>
                <c:pt idx="3">
                  <c:v>6</c:v>
                </c:pt>
                <c:pt idx="4">
                  <c:v>3</c:v>
                </c:pt>
                <c:pt idx="5">
                  <c:v>3</c:v>
                </c:pt>
              </c:numCache>
            </c:numRef>
          </c:val>
          <c:extLst>
            <c:ext xmlns:c16="http://schemas.microsoft.com/office/drawing/2014/chart" uri="{C3380CC4-5D6E-409C-BE32-E72D297353CC}">
              <c16:uniqueId val="{00000002-8BE4-4CB3-9222-8AAEBA1A2BC4}"/>
            </c:ext>
          </c:extLst>
        </c:ser>
        <c:dLbls>
          <c:dLblPos val="ctr"/>
          <c:showLegendKey val="0"/>
          <c:showVal val="1"/>
          <c:showCatName val="0"/>
          <c:showSerName val="0"/>
          <c:showPercent val="0"/>
          <c:showBubbleSize val="0"/>
        </c:dLbls>
        <c:gapWidth val="150"/>
        <c:overlap val="100"/>
        <c:axId val="2130035040"/>
        <c:axId val="2130033600"/>
      </c:barChart>
      <c:catAx>
        <c:axId val="2130035040"/>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0033600"/>
        <c:crosses val="autoZero"/>
        <c:auto val="1"/>
        <c:lblAlgn val="ctr"/>
        <c:lblOffset val="100"/>
        <c:noMultiLvlLbl val="0"/>
      </c:catAx>
      <c:valAx>
        <c:axId val="2130033600"/>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003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809625</xdr:colOff>
      <xdr:row>0</xdr:row>
      <xdr:rowOff>0</xdr:rowOff>
    </xdr:from>
    <xdr:to>
      <xdr:col>5</xdr:col>
      <xdr:colOff>654844</xdr:colOff>
      <xdr:row>0</xdr:row>
      <xdr:rowOff>1074964</xdr:rowOff>
    </xdr:to>
    <mc:AlternateContent xmlns:mc="http://schemas.openxmlformats.org/markup-compatibility/2006" xmlns:sle15="http://schemas.microsoft.com/office/drawing/2012/slicer">
      <mc:Choice Requires="sle15">
        <xdr:graphicFrame macro="">
          <xdr:nvGraphicFramePr>
            <xdr:cNvPr id="9" name="Proyek">
              <a:extLst>
                <a:ext uri="{FF2B5EF4-FFF2-40B4-BE49-F238E27FC236}">
                  <a16:creationId xmlns:a16="http://schemas.microsoft.com/office/drawing/2014/main" id="{9B03A88D-FE4A-F6A4-9604-766E713ED43C}"/>
                </a:ext>
              </a:extLst>
            </xdr:cNvPr>
            <xdr:cNvGraphicFramePr/>
          </xdr:nvGraphicFramePr>
          <xdr:xfrm>
            <a:off x="0" y="0"/>
            <a:ext cx="0" cy="0"/>
          </xdr:xfrm>
          <a:graphic>
            <a:graphicData uri="http://schemas.microsoft.com/office/drawing/2010/slicer">
              <sle:slicer xmlns:sle="http://schemas.microsoft.com/office/drawing/2010/slicer" name="Proyek"/>
            </a:graphicData>
          </a:graphic>
        </xdr:graphicFrame>
      </mc:Choice>
      <mc:Fallback xmlns="">
        <xdr:sp macro="" textlink="">
          <xdr:nvSpPr>
            <xdr:cNvPr id="0" name=""/>
            <xdr:cNvSpPr>
              <a:spLocks noTextEdit="1"/>
            </xdr:cNvSpPr>
          </xdr:nvSpPr>
          <xdr:spPr>
            <a:xfrm>
              <a:off x="1410891" y="0"/>
              <a:ext cx="1643063" cy="107496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23849</xdr:colOff>
      <xdr:row>0</xdr:row>
      <xdr:rowOff>21431</xdr:rowOff>
    </xdr:from>
    <xdr:to>
      <xdr:col>3</xdr:col>
      <xdr:colOff>785812</xdr:colOff>
      <xdr:row>1</xdr:row>
      <xdr:rowOff>12927</xdr:rowOff>
    </xdr:to>
    <mc:AlternateContent xmlns:mc="http://schemas.openxmlformats.org/markup-compatibility/2006" xmlns:sle15="http://schemas.microsoft.com/office/drawing/2012/slicer">
      <mc:Choice Requires="sle15">
        <xdr:graphicFrame macro="">
          <xdr:nvGraphicFramePr>
            <xdr:cNvPr id="6" name="Jadwal TOK">
              <a:extLst>
                <a:ext uri="{FF2B5EF4-FFF2-40B4-BE49-F238E27FC236}">
                  <a16:creationId xmlns:a16="http://schemas.microsoft.com/office/drawing/2014/main" id="{601584CF-B461-D783-A286-F8CB532605BB}"/>
                </a:ext>
                <a:ext uri="{147F2762-F138-4A5C-976F-8EAC2B608ADB}">
                  <a16:predDERef xmlns:a16="http://schemas.microsoft.com/office/drawing/2014/main" pred="{9B03A88D-FE4A-F6A4-9604-766E713ED43C}"/>
                </a:ext>
              </a:extLst>
            </xdr:cNvPr>
            <xdr:cNvGraphicFramePr/>
          </xdr:nvGraphicFramePr>
          <xdr:xfrm>
            <a:off x="0" y="0"/>
            <a:ext cx="0" cy="0"/>
          </xdr:xfrm>
          <a:graphic>
            <a:graphicData uri="http://schemas.microsoft.com/office/drawing/2010/slicer">
              <sle:slicer xmlns:sle="http://schemas.microsoft.com/office/drawing/2010/slicer" name="Jadwal TOK"/>
            </a:graphicData>
          </a:graphic>
        </xdr:graphicFrame>
      </mc:Choice>
      <mc:Fallback xmlns="">
        <xdr:sp macro="" textlink="">
          <xdr:nvSpPr>
            <xdr:cNvPr id="0" name=""/>
            <xdr:cNvSpPr>
              <a:spLocks noTextEdit="1"/>
            </xdr:cNvSpPr>
          </xdr:nvSpPr>
          <xdr:spPr>
            <a:xfrm>
              <a:off x="226255" y="21431"/>
              <a:ext cx="1083432" cy="107496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708423</xdr:colOff>
      <xdr:row>0</xdr:row>
      <xdr:rowOff>0</xdr:rowOff>
    </xdr:from>
    <xdr:to>
      <xdr:col>5</xdr:col>
      <xdr:colOff>1529953</xdr:colOff>
      <xdr:row>0</xdr:row>
      <xdr:rowOff>1045029</xdr:rowOff>
    </xdr:to>
    <mc:AlternateContent xmlns:mc="http://schemas.openxmlformats.org/markup-compatibility/2006" xmlns:sle15="http://schemas.microsoft.com/office/drawing/2012/slicer">
      <mc:Choice Requires="sle15">
        <xdr:graphicFrame macro="">
          <xdr:nvGraphicFramePr>
            <xdr:cNvPr id="8" name="Kategori Jadwal">
              <a:extLst>
                <a:ext uri="{FF2B5EF4-FFF2-40B4-BE49-F238E27FC236}">
                  <a16:creationId xmlns:a16="http://schemas.microsoft.com/office/drawing/2014/main" id="{55BE0618-B24B-C538-5229-9A939C882F07}"/>
                </a:ext>
                <a:ext uri="{147F2762-F138-4A5C-976F-8EAC2B608ADB}">
                  <a16:predDERef xmlns:a16="http://schemas.microsoft.com/office/drawing/2014/main" pred="{601584CF-B461-D783-A286-F8CB532605BB}"/>
                </a:ext>
              </a:extLst>
            </xdr:cNvPr>
            <xdr:cNvGraphicFramePr/>
          </xdr:nvGraphicFramePr>
          <xdr:xfrm>
            <a:off x="0" y="0"/>
            <a:ext cx="0" cy="0"/>
          </xdr:xfrm>
          <a:graphic>
            <a:graphicData uri="http://schemas.microsoft.com/office/drawing/2010/slicer">
              <sle:slicer xmlns:sle="http://schemas.microsoft.com/office/drawing/2010/slicer" name="Kategori Jadwal"/>
            </a:graphicData>
          </a:graphic>
        </xdr:graphicFrame>
      </mc:Choice>
      <mc:Fallback xmlns="">
        <xdr:sp macro="" textlink="">
          <xdr:nvSpPr>
            <xdr:cNvPr id="0" name=""/>
            <xdr:cNvSpPr>
              <a:spLocks noTextEdit="1"/>
            </xdr:cNvSpPr>
          </xdr:nvSpPr>
          <xdr:spPr>
            <a:xfrm>
              <a:off x="3107533" y="0"/>
              <a:ext cx="821530" cy="1045029"/>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298676</xdr:colOff>
      <xdr:row>0</xdr:row>
      <xdr:rowOff>0</xdr:rowOff>
    </xdr:from>
    <xdr:to>
      <xdr:col>16</xdr:col>
      <xdr:colOff>1053702</xdr:colOff>
      <xdr:row>1</xdr:row>
      <xdr:rowOff>250031</xdr:rowOff>
    </xdr:to>
    <mc:AlternateContent xmlns:mc="http://schemas.openxmlformats.org/markup-compatibility/2006" xmlns:sle15="http://schemas.microsoft.com/office/drawing/2012/slicer">
      <mc:Choice Requires="sle15">
        <xdr:graphicFrame macro="">
          <xdr:nvGraphicFramePr>
            <xdr:cNvPr id="11" name="Kategori">
              <a:extLst>
                <a:ext uri="{FF2B5EF4-FFF2-40B4-BE49-F238E27FC236}">
                  <a16:creationId xmlns:a16="http://schemas.microsoft.com/office/drawing/2014/main" id="{27B9EB9A-770A-1A41-F85C-7AA7E68688F0}"/>
                </a:ext>
                <a:ext uri="{147F2762-F138-4A5C-976F-8EAC2B608ADB}">
                  <a16:predDERef xmlns:a16="http://schemas.microsoft.com/office/drawing/2014/main" pred="{55BE0618-B24B-C538-5229-9A939C882F07}"/>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5067130" y="0"/>
              <a:ext cx="1409870" cy="13335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1559719</xdr:colOff>
      <xdr:row>0</xdr:row>
      <xdr:rowOff>0</xdr:rowOff>
    </xdr:from>
    <xdr:to>
      <xdr:col>7</xdr:col>
      <xdr:colOff>263132</xdr:colOff>
      <xdr:row>1</xdr:row>
      <xdr:rowOff>1924</xdr:rowOff>
    </xdr:to>
    <mc:AlternateContent xmlns:mc="http://schemas.openxmlformats.org/markup-compatibility/2006" xmlns:sle15="http://schemas.microsoft.com/office/drawing/2012/slicer">
      <mc:Choice Requires="sle15">
        <xdr:graphicFrame macro="">
          <xdr:nvGraphicFramePr>
            <xdr:cNvPr id="7" name="Directorat">
              <a:extLst>
                <a:ext uri="{FF2B5EF4-FFF2-40B4-BE49-F238E27FC236}">
                  <a16:creationId xmlns:a16="http://schemas.microsoft.com/office/drawing/2014/main" id="{CCA87A8C-4B41-7DDA-1133-06D8FBFDCEA2}"/>
                </a:ext>
                <a:ext uri="{147F2762-F138-4A5C-976F-8EAC2B608ADB}">
                  <a16:predDERef xmlns:a16="http://schemas.microsoft.com/office/drawing/2014/main" pred="{27B9EB9A-770A-1A41-F85C-7AA7E68688F0}"/>
                </a:ext>
              </a:extLst>
            </xdr:cNvPr>
            <xdr:cNvGraphicFramePr/>
          </xdr:nvGraphicFramePr>
          <xdr:xfrm>
            <a:off x="0" y="0"/>
            <a:ext cx="0" cy="0"/>
          </xdr:xfrm>
          <a:graphic>
            <a:graphicData uri="http://schemas.microsoft.com/office/drawing/2010/slicer">
              <sle:slicer xmlns:sle="http://schemas.microsoft.com/office/drawing/2010/slicer" name="Directorat"/>
            </a:graphicData>
          </a:graphic>
        </xdr:graphicFrame>
      </mc:Choice>
      <mc:Fallback xmlns="">
        <xdr:sp macro="" textlink="">
          <xdr:nvSpPr>
            <xdr:cNvPr id="0" name=""/>
            <xdr:cNvSpPr>
              <a:spLocks noTextEdit="1"/>
            </xdr:cNvSpPr>
          </xdr:nvSpPr>
          <xdr:spPr>
            <a:xfrm>
              <a:off x="3958829" y="0"/>
              <a:ext cx="1072757" cy="1085393"/>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64634</xdr:colOff>
      <xdr:row>11</xdr:row>
      <xdr:rowOff>234046</xdr:rowOff>
    </xdr:from>
    <xdr:to>
      <xdr:col>9</xdr:col>
      <xdr:colOff>449035</xdr:colOff>
      <xdr:row>21</xdr:row>
      <xdr:rowOff>47626</xdr:rowOff>
    </xdr:to>
    <xdr:graphicFrame macro="">
      <xdr:nvGraphicFramePr>
        <xdr:cNvPr id="3" name="Chart 1">
          <a:extLst>
            <a:ext uri="{FF2B5EF4-FFF2-40B4-BE49-F238E27FC236}">
              <a16:creationId xmlns:a16="http://schemas.microsoft.com/office/drawing/2014/main" id="{46F2BDA0-70FF-1EF7-0A32-47A523CEF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85043</xdr:colOff>
      <xdr:row>21</xdr:row>
      <xdr:rowOff>9525</xdr:rowOff>
    </xdr:from>
    <xdr:to>
      <xdr:col>10</xdr:col>
      <xdr:colOff>574900</xdr:colOff>
      <xdr:row>36</xdr:row>
      <xdr:rowOff>38100</xdr:rowOff>
    </xdr:to>
    <xdr:graphicFrame macro="">
      <xdr:nvGraphicFramePr>
        <xdr:cNvPr id="4" name="Chart 3">
          <a:extLst>
            <a:ext uri="{FF2B5EF4-FFF2-40B4-BE49-F238E27FC236}">
              <a16:creationId xmlns:a16="http://schemas.microsoft.com/office/drawing/2014/main" id="{C47366C8-96E9-57E8-C92B-92D85616C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B7492E6-984E-4B66-BB71-085F0D8DC7A5}">
    <nsvFilter filterId="{6D3CBD8D-2958-4287-A54D-6C05489AB3A0}" ref="B4:HZ468" tableId="1">
      <columnFilter colId="2" id="{D103CC81-8554-46DB-B39F-C258099AB029}">
        <filter colId="2">
          <x:filters>
            <x:filter val="SPAM Buaran 3 Hilir"/>
          </x:filters>
        </filter>
      </columnFilter>
      <columnFilter colId="5" id="{DC745902-4155-43F6-A574-C93C39979622}">
        <filter colId="5">
          <x:filters>
            <x:dateGroupItem year="2025" month="10" day="1" dateTimeGrouping="day"/>
          </x:filters>
        </filter>
      </columnFilter>
    </nsvFilter>
  </namedSheetView>
</namedSheetView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k" xr10:uid="{FA4125BF-68AB-4465-95CB-81B90B38EAA7}" sourceName="Proye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adwal_TOK" xr10:uid="{CCDDC8E2-D1D6-43E0-AF55-E4D8068A74A8}" sourceName="Jadwal TOK">
  <extLst>
    <x:ext xmlns:x15="http://schemas.microsoft.com/office/spreadsheetml/2010/11/main" uri="{2F2917AC-EB37-4324-AD4E-5DD8C200BD13}">
      <x15:tableSlicerCache tableId="1"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Jadwal" xr10:uid="{A262F71A-F251-4433-BBEB-CC197048688C}" sourceName="Schedule">
  <extLst>
    <x:ext xmlns:x15="http://schemas.microsoft.com/office/spreadsheetml/2010/11/main" uri="{2F2917AC-EB37-4324-AD4E-5DD8C200BD13}">
      <x15:tableSlicerCache tableId="1" column="9"/>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50B8B754-BCCB-4AF2-9C06-C6CE87A7208D}" sourceName="Status TOK">
  <extLst>
    <x:ext xmlns:x15="http://schemas.microsoft.com/office/spreadsheetml/2010/11/main" uri="{2F2917AC-EB37-4324-AD4E-5DD8C200BD13}">
      <x15:tableSlicerCache tableId="1" column="16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at" xr10:uid="{F8EFE781-D78B-416C-8F6A-75469B708C69}" sourceName="Directorat">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yek" xr10:uid="{B4969B8F-B3A1-4054-8DD5-C278F69B879D}" cache="Slicer_Proyek" caption="Proyek" rowHeight="241300"/>
  <slicer name="Jadwal TOK" xr10:uid="{16D70D30-FC22-40DE-8BFD-163A4DD22FFF}" cache="Slicer_Jadwal_TOK" caption="TOK" rowHeight="241300"/>
  <slicer name="Kategori Jadwal" xr10:uid="{490159C9-24C7-410A-96AF-DEEC8D375CF5}" cache="Slicer_Kategori_Jadwal" caption="Schedule" rowHeight="241300"/>
  <slicer name="Kategori" xr10:uid="{21B616AF-2FFE-427E-9FFF-B2BCE93DF9FA}" cache="Slicer_Kategori" caption="Status TOK" rowHeight="241300"/>
  <slicer name="Directorat" xr10:uid="{591B7B04-D251-4B76-A5BC-0D66FE54464B}" cache="Slicer_Directorat" caption="Directora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3CBD8D-2958-4287-A54D-6C05489AB3A0}" name="Table1" displayName="Table1" ref="B4:HZ468" totalsRowShown="0" headerRowDxfId="323" dataDxfId="321" headerRowBorderDxfId="322" tableBorderDxfId="320" totalsRowBorderDxfId="319">
  <autoFilter ref="B4:HZ468" xr:uid="{6D3CBD8D-2958-4287-A54D-6C05489AB3A0}">
    <filterColumn colId="5">
      <filters>
        <dateGroupItem year="2025" month="4" day="5" dateTimeGrouping="day"/>
      </filters>
    </filterColumn>
    <filterColumn colId="15">
      <filters>
        <filter val="DPPP"/>
        <filter val="Kick Off Meeting"/>
        <filter val="MC-0"/>
      </filters>
    </filterColumn>
    <filterColumn colId="228">
      <filters blank="1" calendarType="gregorian">
        <dateGroupItem year="2025" month="3" dateTimeGrouping="month"/>
        <dateGroupItem year="2025" month="4" day="1" dateTimeGrouping="day"/>
        <dateGroupItem year="2024" dateTimeGrouping="year"/>
      </filters>
    </filterColumn>
  </autoFilter>
  <tableColumns count="233">
    <tableColumn id="1" xr3:uid="{F9093188-2917-4142-BD3A-7120CDE0F8C7}" name="No" dataDxfId="318">
      <calculatedColumnFormula>SUBTOTAL(3,$D$5:D5)</calculatedColumnFormula>
    </tableColumn>
    <tableColumn id="208" xr3:uid="{77937FBA-F486-47DD-8EF3-1D8951E5A278}" name="No urut" dataDxfId="317"/>
    <tableColumn id="2" xr3:uid="{D103CC81-8554-46DB-B39F-C258099AB029}" name="Proyek" dataDxfId="316"/>
    <tableColumn id="6" xr3:uid="{02DCB39F-E65C-446C-9802-D3AD29A0F80B}" name="Kode Program" dataDxfId="315"/>
    <tableColumn id="7" xr3:uid="{EDD9FA89-2269-4536-B171-6A8BEC1BA33A}" name="Nama Program" dataDxfId="314"/>
    <tableColumn id="8" xr3:uid="{DC745902-4155-43F6-A574-C93C39979622}" name="Jadwal TOK" dataDxfId="313"/>
    <tableColumn id="9" xr3:uid="{25F47495-4CBA-4587-B568-04D611755B25}" name="Schedule" dataDxfId="312"/>
    <tableColumn id="3" xr3:uid="{D800DAB3-70E7-4FDA-996A-B00625494C79}" name="Sub-Proyek" dataDxfId="311"/>
    <tableColumn id="162" xr3:uid="{50D71239-4F65-4ABF-A7B1-856D20D35EC9}" name="Status TOK" dataDxfId="310"/>
    <tableColumn id="10" xr3:uid="{E0DB0581-3B28-481A-A0D3-1095CA46072B}" name="Nama PM" dataDxfId="309"/>
    <tableColumn id="4" xr3:uid="{F41AE7B8-EDDC-4A24-BA0E-9F261F56D62E}" name="Kategori Pekerjaan" dataDxfId="308"/>
    <tableColumn id="5" xr3:uid="{58461B3E-E044-4587-9B71-06D4EDD381AE}" name="Directorat" dataDxfId="307"/>
    <tableColumn id="11" xr3:uid="{9CB1C192-1161-40C7-932B-3A238EE41328}" name="Volume_x000a_(m)" dataDxfId="306"/>
    <tableColumn id="12" xr3:uid="{892F31FC-13C2-4930-820C-10391EB884D5}" name="Satuan" dataDxfId="305" dataCellStyle="Comma 2"/>
    <tableColumn id="103" xr3:uid="{0817DA7F-F940-44D4-8F47-C30635ED36A9}" name="Status Target" dataDxfId="304" dataCellStyle="Comma 2">
      <calculatedColumnFormula>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calculatedColumnFormula>
    </tableColumn>
    <tableColumn id="102" xr3:uid="{0D6A4CB2-B564-4FF4-8623-1C2533686223}" name="Status Aktual" dataDxfId="303" dataCellStyle="Comma 2">
      <calculatedColumnFormula>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calculatedColumnFormula>
    </tableColumn>
    <tableColumn id="214" xr3:uid="{F657A6F3-C96A-48C8-8F55-B7FD0B23D9DA}" name="Column5" dataDxfId="302"/>
    <tableColumn id="99" xr3:uid="{2E44F21F-CA7D-4783-9552-73A4BC44AFFA}" name="Target Progres_x000a_(%)" dataDxfId="301"/>
    <tableColumn id="155" xr3:uid="{92ABBDE7-A223-487E-989C-EBA1401EE149}" name="Progres Aktual_x000a_(%)" dataDxfId="300">
      <calculatedColumnFormula>Table1[[#This Row],[Progres Total Aktual
(%)]]</calculatedColumnFormula>
    </tableColumn>
    <tableColumn id="153" xr3:uid="{12A645A6-8287-44F4-90B6-1538EFEF66C8}" name="Deviasi_x000a_(%)" dataDxfId="299">
      <calculatedColumnFormula>Table1[[#This Row],[Progres Aktual
(%)]]-Table1[[#This Row],[Target Progres
(%)]]</calculatedColumnFormula>
    </tableColumn>
    <tableColumn id="194" xr3:uid="{68FACF0B-1ED7-4BDD-A255-2FC0FAE72C2A}" name="Volume_x000a_BA MC-0" dataDxfId="298">
      <calculatedColumnFormula>Table1[[#This Row],["Volume
BA MC-0"]]</calculatedColumnFormula>
    </tableColumn>
    <tableColumn id="193" xr3:uid="{12ED2921-A523-4EBC-989E-4FFBB42768A8}" name="Total Panjang Pipa Aktual" dataDxfId="297">
      <calculatedColumnFormula>Table1[[#This Row],[Total Panjang Pipa Aktual
(Sum-&gt;)3]]</calculatedColumnFormula>
    </tableColumn>
    <tableColumn id="124" xr3:uid="{CF22D2DB-D85A-4244-A7DB-88D39E2CD0BE}" name="Lokasi, RAB dan Bobot" dataDxfId="296" dataCellStyle="Comma 2"/>
    <tableColumn id="224" xr3:uid="{A338B50B-D9FF-4E7D-8D10-ED60AB4CE1D8}" name="Lokasi" dataDxfId="295" dataCellStyle="Comma 2"/>
    <tableColumn id="13" xr3:uid="{7F262255-0FBF-47AB-B8E9-31656FF7A39A}" name="Nilai RAB Jaringan_x000a_(file pa aji)" dataDxfId="294"/>
    <tableColumn id="111" xr3:uid="{38BAD119-1FDD-474A-B770-1A3D4891C882}" name="Kontrol Nilai RAB Jaringan_x000a_(Include Ppn)" dataDxfId="293">
      <calculatedColumnFormula>ROUND((Table1[[#This Row],[Nilai RAB Jaringan
(Exclude Ppn)]]-Table1[[#This Row],[RAB Perizinan]])*1.11+Table1[[#This Row],[RAB Perizinan]],0)</calculatedColumnFormula>
    </tableColumn>
    <tableColumn id="110" xr3:uid="{E7D014A8-5F58-4443-9018-4BA24BA82430}" name="Nilai RAB Jaringan_x000a_(Exclude Ppn)" dataDxfId="292">
      <calculatedColumnFormula>SUM(Table1[[#This Row],[RAB Kegiatan Umum]:[RAB Perizinan]])</calculatedColumnFormula>
    </tableColumn>
    <tableColumn id="108" xr3:uid="{7BEA92C4-A5AB-42F9-AABE-DA6A3727D915}" name="RAB Kegiatan Umum" dataDxfId="291"/>
    <tableColumn id="107" xr3:uid="{FBE699ED-98FE-43EC-B6EE-B10ACF512BA1}" name="RAB Pemasangan" dataDxfId="290"/>
    <tableColumn id="106" xr3:uid="{3D327020-C91F-45A2-A646-7C674B191949}" name="RAB Pengadaan" dataDxfId="289"/>
    <tableColumn id="105" xr3:uid="{B35C881E-D61B-4BEF-8328-22D8B1199177}" name="RAB Perizinan" dataDxfId="288"/>
    <tableColumn id="14" xr3:uid="{9BA6CB82-8810-4651-A847-19842C2F785B}" name="Nilai RAB IOT" dataDxfId="287"/>
    <tableColumn id="130" xr3:uid="{0CDDCBFB-4A46-4766-9D18-4725D19F062A}" name="Total Bobot" dataDxfId="286">
      <calculatedColumnFormula>SUM(Table1[[#This Row],[Bobot Keg Umum]:[Bobot Perizinan]])</calculatedColumnFormula>
    </tableColumn>
    <tableColumn id="128" xr3:uid="{2DA2EE3B-6F97-493A-8145-024A1AF2A234}" name="Bobot Keg Umum" dataDxfId="285">
      <calculatedColumnFormula>Table1[[#This Row],[RAB Kegiatan Umum]]/Table1[[#This Row],[Nilai RAB Jaringan
(Exclude Ppn)]]</calculatedColumnFormula>
    </tableColumn>
    <tableColumn id="127" xr3:uid="{28D9AE7B-288E-4EBD-BDBC-7C65276B9814}" name="Bobot Pemasangan" dataDxfId="284">
      <calculatedColumnFormula>Table1[[#This Row],[RAB Pemasangan]]/Table1[[#This Row],[Nilai RAB Jaringan
(Exclude Ppn)]]</calculatedColumnFormula>
    </tableColumn>
    <tableColumn id="126" xr3:uid="{1D3540BA-22CB-4D75-9670-661666DB4A89}" name="Bobot Pengadaan" dataDxfId="283">
      <calculatedColumnFormula>Table1[[#This Row],[RAB Pengadaan]]/Table1[[#This Row],[Nilai RAB Jaringan
(Exclude Ppn)]]</calculatedColumnFormula>
    </tableColumn>
    <tableColumn id="125" xr3:uid="{4F0ECA07-2551-438F-BCE3-A947420DA744}" name="Bobot Perizinan" dataDxfId="282">
      <calculatedColumnFormula>Table1[[#This Row],[RAB Perizinan]]/Table1[[#This Row],[Nilai RAB Jaringan
(Exclude Ppn)]]</calculatedColumnFormula>
    </tableColumn>
    <tableColumn id="131" xr3:uid="{96AFB212-547F-4832-AB32-8F93ACE5E37F}" name="Aktual Pipa Terpasang" dataDxfId="281"/>
    <tableColumn id="15" xr3:uid="{4EDC4791-CB9A-47AF-AA49-5F26920CD62C}" name="&quot;Volume_x000a_BA MC-0&quot;" dataDxfId="280"/>
    <tableColumn id="229" xr3:uid="{FAB539A2-34D7-4E24-8427-2D2F73162B4F}" name="Volume_x000a_BA MC-0_x000a_SUM -&gt;" dataDxfId="279">
      <calculatedColumnFormula>SUM(Table1[[#This Row],[Pipa 63 mm]:[Pipa 1,800 mm]])</calculatedColumnFormula>
    </tableColumn>
    <tableColumn id="228" xr3:uid="{C1C2C3B4-C9C6-4AEC-9DC6-9F886BD7B6A9}" name="Pipa 63 mm" dataDxfId="278"/>
    <tableColumn id="227" xr3:uid="{0BDB9FAE-ADAC-4922-890C-A0CF1815A051}" name="Pipa 90 mm" dataDxfId="277"/>
    <tableColumn id="226" xr3:uid="{1913D600-26A9-45F8-B8CA-4324EF8E09E9}" name="Pipa 110 mm" dataDxfId="276"/>
    <tableColumn id="225" xr3:uid="{5E603F52-403F-4465-9B7F-420BB54911BB}" name="Pipa 160 mm" dataDxfId="275"/>
    <tableColumn id="206" xr3:uid="{E567D787-03A1-43A5-8BAB-3BA093345BF7}" name="Pipa 200 mm" dataDxfId="274"/>
    <tableColumn id="205" xr3:uid="{4902574F-8807-4F19-B338-6ACE89EC1E05}" name="Pipa 250 mm" dataDxfId="273"/>
    <tableColumn id="204" xr3:uid="{1479CC29-E7A7-4689-9F7E-5E00232DDA39}" name="Pipa 315 mm" dataDxfId="272"/>
    <tableColumn id="202" xr3:uid="{F6BF05C2-DA64-4C73-990E-70B329C0B292}" name="Pipa 350 mm" dataDxfId="271"/>
    <tableColumn id="201" xr3:uid="{BE9DFCCB-D9A6-4747-9758-ECCCEA6F3893}" name="Pipa 400 mm" dataDxfId="270"/>
    <tableColumn id="200" xr3:uid="{3D70C738-8D38-4DA8-9B96-A40A4FE21823}" name="Pipa 500 mm" dataDxfId="269"/>
    <tableColumn id="198" xr3:uid="{068B874C-3FCF-4019-A3C2-90A050B0CB39}" name="Pipa 630 mm" dataDxfId="268"/>
    <tableColumn id="197" xr3:uid="{BBD270CB-0F06-4341-B5D3-AEF261C0E615}" name="Pipa 700 mm" dataDxfId="267"/>
    <tableColumn id="196" xr3:uid="{33440E0D-B9C1-468F-9CBE-1E75A6F6437C}" name="Pipa 800 mm" dataDxfId="266"/>
    <tableColumn id="195" xr3:uid="{A4F96282-A41A-4599-8632-89512835EF9C}" name="Pipa 900 mm" dataDxfId="265"/>
    <tableColumn id="192" xr3:uid="{29FEF76E-DB3A-46A4-8541-C4FB8F0AFE99}" name="Pipa 1,000 mm" dataDxfId="264"/>
    <tableColumn id="190" xr3:uid="{A3A838CC-166C-49FC-BDA3-F9E05DAD1EB3}" name="Pipa 1,200 mm" dataDxfId="263"/>
    <tableColumn id="189" xr3:uid="{5FC4F62D-7D19-45D5-8AFC-1984CF5FD90B}" name="Pipa 1,400 mm" dataDxfId="262"/>
    <tableColumn id="183" xr3:uid="{51F57D76-1F4C-4DA5-A414-69042A5AC0D1}" name="Pipa 1,500 mm" dataDxfId="261"/>
    <tableColumn id="73" xr3:uid="{79E5AAAB-7E8D-4777-BDA9-3A23F5F6B82E}" name="Pipa 1,600 mm" dataDxfId="260"/>
    <tableColumn id="69" xr3:uid="{55CFCB5F-9516-439C-A94F-AB531A212849}" name="Pipa 1,800 mm" dataDxfId="259"/>
    <tableColumn id="132" xr3:uid="{19A11791-669A-4E41-A6EA-64C4E05CFFB5}" name="Total Panjang Pipa Aktual_x000a_(Sum-&gt;)3" dataDxfId="258" dataCellStyle="Comma 2">
      <calculatedColumnFormula>SUM(Table1[[#This Row],[Pipa 63 mm2]:[Pipa 1,800 mm21]])</calculatedColumnFormula>
    </tableColumn>
    <tableColumn id="152" xr3:uid="{A76E757C-A69A-4DCA-A171-FD509E7EEC4A}" name="Pipa 63 mm2" dataDxfId="257" dataCellStyle="Comma 2"/>
    <tableColumn id="151" xr3:uid="{D51C1C9B-E3D7-48DD-88D9-E2AE2B707B48}" name="Pipa 90 mm3" dataDxfId="256" dataCellStyle="Comma 2"/>
    <tableColumn id="150" xr3:uid="{A09A470B-E22F-4808-B67D-FC6F08EEF704}" name="Pipa 110 mm4" dataDxfId="255" dataCellStyle="Comma 2"/>
    <tableColumn id="149" xr3:uid="{CF1CBD3F-EEF3-4E3D-AD33-E8398AD7C692}" name="Pipa 160 mm5" dataDxfId="254" dataCellStyle="Comma 2"/>
    <tableColumn id="148" xr3:uid="{2606D995-3333-4E9D-A64F-89D6128927AC}" name="Pipa 200 mm6" dataDxfId="253" dataCellStyle="Comma 2"/>
    <tableColumn id="147" xr3:uid="{E6EB56DF-B6CF-490C-93D9-F66BDCFEFF2E}" name="Pipa 250 mm7" dataDxfId="252" dataCellStyle="Comma 2"/>
    <tableColumn id="146" xr3:uid="{4294AAE3-511D-4D7D-85C9-0FF8BF845091}" name="Pipa 315 mm8" dataDxfId="251" dataCellStyle="Comma 2"/>
    <tableColumn id="145" xr3:uid="{60877877-3EC6-49D4-BF89-45F900FBE2E1}" name="Pipa 350 mm9" dataDxfId="250" dataCellStyle="Comma 2"/>
    <tableColumn id="144" xr3:uid="{09D5DA2B-CB49-49F7-85D7-304B7E7E2874}" name="Pipa 400 mm10" dataDxfId="249" dataCellStyle="Comma 2"/>
    <tableColumn id="143" xr3:uid="{D127B2C4-7053-49AB-A816-38FC12C62EA8}" name="Pipa 500 mm11" dataDxfId="248" dataCellStyle="Comma 2"/>
    <tableColumn id="142" xr3:uid="{3DFE2375-F64C-485C-B01A-EEFCC002AB77}" name="Pipa 630 mm12" dataDxfId="247" dataCellStyle="Comma 2"/>
    <tableColumn id="141" xr3:uid="{6C3967A1-B111-4EA2-BB6E-A928FDD7F307}" name="Pipa 700 mm13" dataDxfId="246" dataCellStyle="Comma 2"/>
    <tableColumn id="140" xr3:uid="{46B3E7A2-2F24-4487-9F3B-F4A46ED666FB}" name="Pipa 800 mm14" dataDxfId="245" dataCellStyle="Comma 2"/>
    <tableColumn id="139" xr3:uid="{679217C2-193E-4ED9-BD2F-875966EC1706}" name="Pipa 900 mm15" dataDxfId="244" dataCellStyle="Comma 2"/>
    <tableColumn id="138" xr3:uid="{37398AFF-B6C8-4518-B828-59C5240EA454}" name="Pipa 1,000 mm16" dataDxfId="243" dataCellStyle="Comma 2">
      <calculatedColumnFormula>380.8+644.7</calculatedColumnFormula>
    </tableColumn>
    <tableColumn id="137" xr3:uid="{9A80DA60-26A0-4435-ADA6-5A82D60553E3}" name="Pipa 1,200 mm17" dataDxfId="242" dataCellStyle="Comma 2">
      <calculatedColumnFormula>2464+595+31.6</calculatedColumnFormula>
    </tableColumn>
    <tableColumn id="136" xr3:uid="{4B673011-6667-4D9A-A94B-F1C5B0380753}" name="Pipa 1,400 mm18" dataDxfId="241" dataCellStyle="Comma 2">
      <calculatedColumnFormula>6+4.1</calculatedColumnFormula>
    </tableColumn>
    <tableColumn id="135" xr3:uid="{A40D01D6-8ECF-4C99-848D-CCBA721768EE}" name="Pipa 1,500 mm19" dataDxfId="240" dataCellStyle="Comma 2"/>
    <tableColumn id="134" xr3:uid="{87300A18-0F78-401C-8E97-FB915C74D245}" name="Pipa 1,600 mm20" dataDxfId="239" dataCellStyle="Comma 2"/>
    <tableColumn id="133" xr3:uid="{6D0E80EB-407C-49E7-9CC1-DBBAEA8730C1}" name="Pipa 1,800 mm21" dataDxfId="238" dataCellStyle="Comma 2"/>
    <tableColumn id="17" xr3:uid="{A15525D5-07B7-4945-BE42-794037FD8A8A}" name="Volume_x000a_Penolakan Warga" dataDxfId="237" dataCellStyle="Comma 2"/>
    <tableColumn id="18" xr3:uid="{44D1D36C-E0DF-46CE-BC47-8423AC17B73C}" name="Volume_x000a_Private Area" dataDxfId="236" dataCellStyle="Comma 2"/>
    <tableColumn id="19" xr3:uid="{26CA29CB-A586-417C-91E9-0C2CE292A0F9}" name="Volume_x000a_Sudah ada eksisting" dataDxfId="235" dataCellStyle="Comma 2"/>
    <tableColumn id="20" xr3:uid="{9AA2E592-E57E-43F7-8A99-A49C2FF5A288}" name="Volume_x000a_Tidak sesuai DED" dataDxfId="234" dataCellStyle="Comma 2"/>
    <tableColumn id="21" xr3:uid="{7313238B-B3C0-4EA5-B89C-26CAD69F856E}" name="Total Volume_x000a_tidak dapat dipasang" dataDxfId="233" dataCellStyle="Comma 2"/>
    <tableColumn id="22" xr3:uid="{B2BDD4D7-D3FB-4918-ACC9-B4BE458B344D}" name="Volume_x000a_Sisa Pekerjaan" dataDxfId="232" dataCellStyle="Comma 2">
      <calculatedColumnFormula>IF((Table1[[#This Row],["Volume
BA MC-0"]]-Table1[[#This Row],[Total Panjang Pipa Aktual
(Sum-&gt;)3]]-Table1[[#This Row],[Total Volume
tidak dapat dipasang]])&gt;=0,Table1[[#This Row],["Volume
BA MC-0"]]-Table1[[#This Row],[Total Panjang Pipa Aktual
(Sum-&gt;)3]]-Table1[[#This Row],[Total Volume
tidak dapat dipasang]],0)</calculatedColumnFormula>
    </tableColumn>
    <tableColumn id="156" xr3:uid="{D9D3348E-3144-478E-827F-49EA087867CE}" name="Progres dan VOWD - RNA" dataDxfId="231" dataCellStyle="Comma 2"/>
    <tableColumn id="23" xr3:uid="{39870E4C-2EDB-40A6-BD18-3F6B19A3A360}" name="Progres Keg. Umum_x000a_(%)" dataDxfId="230" dataCellStyle="Comma 2"/>
    <tableColumn id="24" xr3:uid="{9B14FBF3-BF4A-4D72-B2DB-E93E0B00A09A}" name="Progres MOS_x000a_(%)" dataDxfId="229"/>
    <tableColumn id="25" xr3:uid="{5576C888-6A1B-4E0B-BD6C-B242969BABCA}" name="Progres Pemasangan_x000a_(%)" dataDxfId="228" dataCellStyle="Comma 2"/>
    <tableColumn id="26" xr3:uid="{CA4EB8AA-B6E3-4E2C-9FBD-2057A9183360}" name="Progres Perizinan_x000a_(%)" dataDxfId="227" dataCellStyle="Comma 2"/>
    <tableColumn id="27" xr3:uid="{A5F69054-A78F-4C7F-93BF-5EA82331061F}" name="Progres Total Aktual_x000a_(%)" dataDxfId="226"/>
    <tableColumn id="28" xr3:uid="{C8D5435D-8A96-4B6C-9025-662941C49ADF}" name="VOWD Keg. Umum_x000a_(Rp)" dataDxfId="225">
      <calculatedColumnFormula>IFERROR(Table1[[#This Row],[Progres Keg. Umum
(%)]]*Table1[[#This Row],[Nilai RAB Jaringan
(file pa aji)]],0)</calculatedColumnFormula>
    </tableColumn>
    <tableColumn id="29" xr3:uid="{41DFFA88-F5FE-48B7-A751-4DAAC32E03BC}" name="VOWD Pengadaan_x000a_(Rp)" dataDxfId="224">
      <calculatedColumnFormula>IFERROR(Table1[[#This Row],[Progres MOS
(%)]]*Table1[[#This Row],[Nilai RAB Jaringan
(file pa aji)]],0)</calculatedColumnFormula>
    </tableColumn>
    <tableColumn id="30" xr3:uid="{E43F4CED-90C3-439E-803D-E769DAB91DF1}" name="VOWD Pemasangan_x000a_(Rp)" dataDxfId="223">
      <calculatedColumnFormula>IFERROR(Table1[[#This Row],[Progres Pemasangan
(%)]]*Table1[[#This Row],[Nilai RAB Jaringan
(file pa aji)]],0)</calculatedColumnFormula>
    </tableColumn>
    <tableColumn id="31" xr3:uid="{7EEDFB32-5435-48C1-931B-601269A24AC3}" name="VOWD Perizinan_x000a_(Rp)" dataDxfId="222">
      <calculatedColumnFormula>IFERROR(Table1[[#This Row],[Progres Perizinan
(%)]]*Table1[[#This Row],[Nilai RAB Jaringan
(file pa aji)]],0)</calculatedColumnFormula>
    </tableColumn>
    <tableColumn id="207" xr3:uid="{05BBFA14-4EAB-4ECC-ABFB-93C0B0B0F817}" name="VOWD (kolom bantu)" dataDxfId="221"/>
    <tableColumn id="32" xr3:uid="{A9CE00F9-A43C-4F4E-AE5F-D21F715739AD}" name="VOWD Total_x000a_(Rp)" dataDxfId="220"/>
    <tableColumn id="33" xr3:uid="{0EF99C04-74CE-46D9-BCC1-1826F99955A1}" name="Nilai RNA Update" dataDxfId="219"/>
    <tableColumn id="16" xr3:uid="{6BE37EAC-F536-4CAE-8CD0-6745B1C6BE28}" name="Kolom Bantu RNA Update" dataDxfId="218"/>
    <tableColumn id="157" xr3:uid="{FCD53542-A102-4CF1-99EA-DFF5DDF4AF7B}" name="PR-PO-MOS" dataDxfId="217"/>
    <tableColumn id="34" xr3:uid="{2AB0548F-151E-4786-AD4F-51945A024373}" name="PLAN PR-PO ABJ_x000a_start" dataDxfId="216"/>
    <tableColumn id="35" xr3:uid="{86ABF18C-F9BF-48E7-B89D-03E3264DE54D}" name="PLAN PR-PO ABJ_x000a_finish" dataDxfId="215"/>
    <tableColumn id="36" xr3:uid="{C7AEF55B-B1CD-430F-B251-48DBB0AB5D85}" name="PR Aktual_x000a_(tanggal)" dataDxfId="214"/>
    <tableColumn id="37" xr3:uid="{BF9E294D-01D2-4080-8861-77BE20B34868}" name="No PR" dataDxfId="213"/>
    <tableColumn id="38" xr3:uid="{406C0C7C-49A7-4008-8745-DFA6EA59217C}" name="Nilai PR + Perizinan_x000a_(Rp)" dataDxfId="212"/>
    <tableColumn id="39" xr3:uid="{06C0C50D-6440-44E7-B5D7-D1408BB4048E}" name="Review PR ABJ" dataDxfId="211">
      <calculatedColumnFormula>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calculatedColumnFormula>
    </tableColumn>
    <tableColumn id="40" xr3:uid="{FD1BB96C-C5C7-4A28-899F-E57931D362AF}" name="PO Aktual_x000a_(tanggal)" dataDxfId="210"/>
    <tableColumn id="41" xr3:uid="{F197F8AE-A58F-41D2-9E81-D0CFFC2ED33C}" name="No PO" dataDxfId="209"/>
    <tableColumn id="42" xr3:uid="{E108D618-C971-45C8-9B0D-E770D486DE1D}" name="Nilai PO ABJ_x000a_(Rp)" dataDxfId="208"/>
    <tableColumn id="43" xr3:uid="{1CE3AE4D-01DD-467E-94E5-F8E4579F8C26}" name="Review PO ABJ" dataDxfId="207">
      <calculatedColumnFormula>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calculatedColumnFormula>
    </tableColumn>
    <tableColumn id="54" xr3:uid="{E485FF9E-F5DD-4D6B-A2B9-45AC44F6129F}" name="PLAN PR-PO BPM Jasa_x000a_start" dataDxfId="206"/>
    <tableColumn id="55" xr3:uid="{C0BF4A3A-BC9F-4AE0-B085-58C28990BC0B}" name="PLAN PR-PO BPM Jasa_x000a_finish" dataDxfId="205"/>
    <tableColumn id="56" xr3:uid="{8C0436E0-5D45-4C0F-BF80-768DB2CA9319}" name="PR Jasa Aktual _x000a_(tanggal)" dataDxfId="204"/>
    <tableColumn id="57" xr3:uid="{B511E031-3E17-4E8F-A89E-D4D8A62AF06B}" name="No PR Jasa" dataDxfId="203"/>
    <tableColumn id="59" xr3:uid="{C23F0CAB-F4C9-4713-B793-997EA5E4B7B6}" name="Review PR Jasa BPM" dataDxfId="202">
      <calculatedColumnFormula>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calculatedColumnFormula>
    </tableColumn>
    <tableColumn id="60" xr3:uid="{D768C8D2-5DE9-4F9C-B83A-4CDAB7DD49CC}" name="PO Jasa Aktual _x000a_(tanggal)" dataDxfId="201"/>
    <tableColumn id="61" xr3:uid="{98EC3DD3-F765-45C4-9146-6E13FF5A193B}" name="No PO Jasa" dataDxfId="200"/>
    <tableColumn id="63" xr3:uid="{CF7213B5-998D-4C14-9393-9A482FB42402}" name="Nama Vendor" dataDxfId="199"/>
    <tableColumn id="64" xr3:uid="{5D4F5C08-96D4-43C7-9F66-3DC5FD76FFBF}" name="Review PO Jasa BPM" dataDxfId="198">
      <calculatedColumnFormula>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calculatedColumnFormula>
    </tableColumn>
    <tableColumn id="44" xr3:uid="{F3DC4398-77D0-41C8-91AA-9D029271FE2C}" name="PLAN PR-PO BPM Material_x000a_start" dataDxfId="197"/>
    <tableColumn id="230" xr3:uid="{B16C1BAE-8215-4514-A9B4-303872C3A77F}" name="Forecast PO_x000a_Start" dataDxfId="196"/>
    <tableColumn id="45" xr3:uid="{11F63701-895F-4202-BF25-EE79A0B34EA9}" name="PLAN PR-PO BPM Material_x000a_finish" dataDxfId="195"/>
    <tableColumn id="231" xr3:uid="{668BC4DF-A1D3-49F5-90D7-2377D8C8BB26}" name="Forecast PO_x000a_Finish" dataDxfId="194"/>
    <tableColumn id="46" xr3:uid="{76A0F83C-EEBE-4FB0-9BDF-2B95AF15D6DA}" name="PR Material Aktual _x000a_(tanggal)" dataDxfId="193"/>
    <tableColumn id="47" xr3:uid="{F7A09100-C853-41A9-8F0C-0D3A594B5A4D}" name="No PR Material" dataDxfId="192"/>
    <tableColumn id="112" xr3:uid="{57C1BC60-248C-4582-955F-EFFBD4692C34}" name="Line PR" dataDxfId="191"/>
    <tableColumn id="115" xr3:uid="{89DB27E3-3CB1-40C4-85C0-78C2883E45B2}" name="Line PR (kolom bantu)" dataDxfId="190"/>
    <tableColumn id="49" xr3:uid="{69C6E07F-6DA1-4D68-BF4E-EEEC1C072913}" name="Review PR Material BPM" dataDxfId="189">
      <calculatedColumnFormula>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calculatedColumnFormula>
    </tableColumn>
    <tableColumn id="199" xr3:uid="{77E019B8-9F22-4A89-A5A3-75E27D65F84D}" name="Tanggal Selesai PO Material" dataDxfId="188"/>
    <tableColumn id="114" xr3:uid="{A6009DFF-40AE-49EC-81A3-8978C72EF1F6}" name="Line PO" dataDxfId="187"/>
    <tableColumn id="109" xr3:uid="{FB3630CC-A548-46F3-B064-71B4FF80501E}" name="Line PO (kolom  bantu)2" dataDxfId="186"/>
    <tableColumn id="191" xr3:uid="{2CA364D5-F98F-4600-921D-94C3D3DCF4B4}" name="NO PO Material" dataDxfId="185"/>
    <tableColumn id="154" xr3:uid="{F0DAEE83-8F80-45E9-BB0C-4DB4C0A5EBA9}" name="PO Material Aktual _x000a_(%)" dataDxfId="184"/>
    <tableColumn id="51" xr3:uid="{7E9327A0-64D5-4958-B869-8D2B05AD158A}" name="UPDATE PO_x000a_(kolom bantu)" dataDxfId="183"/>
    <tableColumn id="53" xr3:uid="{3E8AC7D1-40C6-473B-A635-6DFB144D264A}" name="Review PO Material BPM" dataDxfId="182">
      <calculatedColumnFormula>IF(Table1[[#This Row],[PO Material Aktual 
(%)]]&gt;=100%,"Selesai PO = 100%",IF(Table1[[#This Row],[PO Material Aktual 
(%)]]&gt;=50%,"Proses PO &gt; 100%",IF(Table1[[#This Row],[PO Material Aktual 
(%)]]&gt;0%,"Proses PO &gt; 50%",IF(Table1[[#This Row],[PO Material Aktual 
(%)]]=0,"Belum PO = 0%"))))</calculatedColumnFormula>
    </tableColumn>
    <tableColumn id="100" xr3:uid="{55872181-4BFC-47AC-91C8-73AC78B34D87}" name="Review PO Material" dataDxfId="181">
      <calculatedColumnFormula>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calculatedColumnFormula>
    </tableColumn>
    <tableColumn id="81" xr3:uid="{36D3B902-94C9-49D2-BED9-65CA485502B9}" name="PLAN MOS_x000a_start" dataDxfId="180"/>
    <tableColumn id="232" xr3:uid="{61D2CA91-145C-4F94-ADAC-6E05856F9E95}" name="Forecast MOS_x000a_Start" dataDxfId="179"/>
    <tableColumn id="82" xr3:uid="{EBC5B0DC-8ECB-4D8A-816E-7D0EB7FE044B}" name="PLAN MOS_x000a_finish" dataDxfId="178"/>
    <tableColumn id="233" xr3:uid="{F87343C4-DC93-4C5B-A12D-665E512A7885}" name="Forecast MOS_x000a_Finish" dataDxfId="177"/>
    <tableColumn id="203" xr3:uid="{FCFB0F89-C781-481E-BD74-51574189659D}" name="Tanggal Selesai MOS" dataDxfId="176"/>
    <tableColumn id="113" xr3:uid="{F3F3AC32-9EB5-4DDD-AF32-1353BA69DD08}" name="Line MOS" dataDxfId="175"/>
    <tableColumn id="95" xr3:uid="{97DBA890-2BF8-4ABD-B5D4-DDFFE88687A1}" name="Line MOS (kolom bantu)" dataDxfId="174"/>
    <tableColumn id="83" xr3:uid="{E91106D0-7E8F-4330-A0B9-6F8F6D434CB1}" name="Progres MOS" dataDxfId="173"/>
    <tableColumn id="50" xr3:uid="{F4F6640A-EE63-4E81-B497-A40C8053024A}" name="UPDATE MOS_x000a_(kolom bantu)" dataDxfId="172"/>
    <tableColumn id="84" xr3:uid="{905B79D5-CAA1-4262-A829-4C9C32D582A9}" name="Status MOS" dataDxfId="171">
      <calculatedColumnFormula>IF(Table1[[#This Row],[Progres MOS]]&gt;=100%,"Selesai MOS = 100%",IF(Table1[[#This Row],[Progres MOS]]&gt;=50%,"Proses MOS &gt; 100%",IF(Table1[[#This Row],[Progres MOS]]&gt;0%,"Proses MOS &gt; 50%",IF(Table1[[#This Row],[Progres MOS]]=0,"Belum MOS = 0%"))))</calculatedColumnFormula>
    </tableColumn>
    <tableColumn id="94" xr3:uid="{D6A484BB-3C11-4AF4-9F22-9F5607C342D1}" name="Review MOS" dataDxfId="170">
      <calculatedColumnFormula>IF(Table1[[#This Row],[Tanggal Selesai MOS]]="",IF(Table1[[#This Row],[PLAN MOS
finish]]&lt;NOW(),"Delay",IF(Table1[[#This Row],[PLAN MOS
finish]]&gt;NOW(),"OnSchedule",IF(Table1[[#This Row],[PLAN MOS
finish]]&gt;Table1[[#This Row],[Tanggal Selesai MOS]],"On Schedule",IF(Table1[[#This Row],[PLAN MOS
finish]]&lt;Table1[[#This Row],[Tanggal Selesai MOS]],"Delay")))))</calculatedColumnFormula>
    </tableColumn>
    <tableColumn id="160" xr3:uid="{57986173-1622-43D9-A9C7-4C0D3F18A7C7}" name="PERMIT" dataDxfId="169"/>
    <tableColumn id="65" xr3:uid="{0FFECED0-BA18-4D56-8633-0572ECCBEE81}" name="PLAN PERMIT_x000a_start" dataDxfId="168"/>
    <tableColumn id="234" xr3:uid="{B0CFBAFF-A630-4336-85FD-109BCE206BDB}" name="Forecast Perizinan_x000a_Start" dataDxfId="167"/>
    <tableColumn id="66" xr3:uid="{3810B415-EA7B-4195-8CE2-3936386B390C}" name="PLAN PERMIT_x000a_finish" dataDxfId="166"/>
    <tableColumn id="235" xr3:uid="{53008A8C-B7CD-4AAE-A45D-DD41E36BCA19}" name="Forecast Perizinan_x000a_Finish" dataDxfId="165"/>
    <tableColumn id="93" xr3:uid="{74AE1650-9F8B-45E5-BAF8-88C72C616594}" name="IPPJU" dataDxfId="164"/>
    <tableColumn id="184" xr3:uid="{15B9AF1E-1D72-4E07-9414-35C0CA7D3C5D}" name="IPPJU2" dataDxfId="163"/>
    <tableColumn id="120" xr3:uid="{468CA414-C721-40B6-BF70-2B2EDF239D24}" name="Persiapan Dokumen" dataDxfId="162"/>
    <tableColumn id="121" xr3:uid="{960D95AC-2605-4122-822A-CF0F190052AD}" name="Upload Jakevo" dataDxfId="161"/>
    <tableColumn id="122" xr3:uid="{75742EDB-5298-4774-B6A6-EC669EF7587E}" name="Gambar Rekomtek" dataDxfId="160"/>
    <tableColumn id="123" xr3:uid="{1FA3F87B-6C02-4B89-BDD5-37A256F2BAA8}" name="Upload DBM" dataDxfId="159"/>
    <tableColumn id="129" xr3:uid="{47E88941-8402-4455-AD36-31345DBEBD82}" name="Survey IPPJU" dataDxfId="158"/>
    <tableColumn id="159" xr3:uid="{DE2E94CB-4FB6-4C48-A77D-765195360C45}" name="Revisi Gambar Rekomtek" dataDxfId="157"/>
    <tableColumn id="163" xr3:uid="{2426763A-E96F-46F0-BA14-D2534DBB65AB}" name="Proses Rekomtek" dataDxfId="156"/>
    <tableColumn id="167" xr3:uid="{933A28D4-5FF0-4B49-A660-09144D6634CA}" name="Rekomtek Terbit" dataDxfId="155"/>
    <tableColumn id="168" xr3:uid="{2F5B4719-A932-487F-9092-24EBE412576E}" name="Proses Penerbitan Izin" dataDxfId="154"/>
    <tableColumn id="172" xr3:uid="{6CE58E1F-ACB4-4846-9E0D-80A4862A1712}" name="Izin Terbit" dataDxfId="153"/>
    <tableColumn id="211" xr3:uid="{CBFF50A0-F330-4AFC-9089-55649FFE5F33}" name="Column2" dataDxfId="152"/>
    <tableColumn id="212" xr3:uid="{92C7D1AA-3F9E-477E-8832-A8EF026F3FB3}" name="Tanggal Pengajuan Dokumen" dataDxfId="151"/>
    <tableColumn id="213" xr3:uid="{BC59562B-F2EB-4FE9-AD4F-301C48B57E30}" name="Column4" dataDxfId="150">
      <calculatedColumnFormula>IF(Table1[[#This Row],[Tanggal Pengajuan Dokumen]]="","",Table1[[#This Row],[PLAN PERMIT
start]]-Table1[[#This Row],[Tanggal Pengajuan Dokumen]])</calculatedColumnFormula>
    </tableColumn>
    <tableColumn id="210" xr3:uid="{EDAE0639-3B93-4C3C-84DC-9974669095DE}" name="Tanggal Terbit/ Target Izin Terbit" dataDxfId="149"/>
    <tableColumn id="98" xr3:uid="{35CB604B-DF89-43A4-80E0-A17962377D71}" name="Crossing Sungai" dataDxfId="148"/>
    <tableColumn id="97" xr3:uid="{800BDCF5-5817-4944-8072-16EA81A201F5}" name="Crossing Kereta" dataDxfId="147"/>
    <tableColumn id="96" xr3:uid="{17217761-2453-4393-922D-E2DC1D76B146}" name="Crossing Toll" dataDxfId="146"/>
    <tableColumn id="67" xr3:uid="{8469BFDA-0941-4EF2-A9A9-A96E38C5A7A0}" name="Status Perizinan" dataDxfId="145"/>
    <tableColumn id="68" xr3:uid="{AAB9E019-3CB1-478C-A5AD-CD6A62DEB8D8}" name="Status Izin" dataDxfId="144">
      <calculatedColumnFormula>IF(ISNUMBER(SEARCH("On Going",Table1[[#This Row],[Status Perizinan]])),"On Going",IF(ISNUMBER(SEARCH("Sudah Terbit",Table1[[#This Row],[Status Perizinan]])),"Selesai",IF(NOW()&lt;Table1[[#This Row],[PLAN PERMIT
start]],"Belum",IF(AND(NOW()&gt;=Table1[[#This Row],[PLAN PERMIT
start]],NOW()&lt;=Table1[[#This Row],[PLAN PERMIT
finish]]),"On Going","Terlambat"))))</calculatedColumnFormula>
    </tableColumn>
    <tableColumn id="118" xr3:uid="{4007979D-AD4C-40C4-949B-06065397E515}" name="Remaining7" dataDxfId="143">
      <calculatedColumnFormula>IF(Table1[[#This Row],[Status Izin]]="Selesai",Table1[[#This Row],[PLAN PERMIT
finish]]-Table1[[#This Row],[Tanggal Terbit/ Target Izin Terbit]],ROUNDUP(Table1[[#This Row],[PLAN PERMIT
finish]]-NOW(),0))</calculatedColumnFormula>
    </tableColumn>
    <tableColumn id="209" xr3:uid="{022E7CAB-D7AC-4BB5-92D4-0B03E2CE8A6D}" name="Review14" dataDxfId="142">
      <calculatedColumnFormula>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calculatedColumnFormula>
    </tableColumn>
    <tableColumn id="217" xr3:uid="{A404D508-61D2-4E83-8EA3-8BE198F0061F}" name="Remain7" dataDxfId="141"/>
    <tableColumn id="161" xr3:uid="{CDB6B087-2EDB-444B-969F-E13C0DF28A62}" name="PLAN vs ACT" dataDxfId="140"/>
    <tableColumn id="117" xr3:uid="{20EE4F46-1F0B-4F17-9F00-53CFA7F10B3C}" name="PLAN Penyerahan DPPK" dataDxfId="139"/>
    <tableColumn id="116" xr3:uid="{FFB894FD-AF02-4126-A981-AFE31C0899BF}" name="Aktual DPPK" dataDxfId="138"/>
    <tableColumn id="119" xr3:uid="{3177FEDA-A0DA-4148-AECA-5AA863D17112}" name="Review" dataDxfId="137">
      <calculatedColumnFormula>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calculatedColumnFormula>
    </tableColumn>
    <tableColumn id="70" xr3:uid="{F81CEABC-9BB9-4A32-8D9B-E6F4AB6E7745}" name="PLAN PCM" dataDxfId="136"/>
    <tableColumn id="71" xr3:uid="{B9AC1394-4BCB-4848-8C45-D49BBA7BC906}" name="Tanggal Aktual PCM" dataDxfId="135"/>
    <tableColumn id="72" xr3:uid="{2F1AE22A-A46D-47F0-9254-9E9E2795743D}" name="Review PCM" dataDxfId="134">
      <calculatedColumnFormula>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calculatedColumnFormula>
    </tableColumn>
    <tableColumn id="74" xr3:uid="{C4CD36EF-DDE7-4601-ADEE-DF8997EAF286}" name="PLAN Kick Off" dataDxfId="133"/>
    <tableColumn id="75" xr3:uid="{9C97F8CA-E524-458D-808F-1C4FA063EBAB}" name="Tanggal Aktual Kick Off" dataDxfId="132"/>
    <tableColumn id="76" xr3:uid="{234DC022-7D76-413A-A107-FDFF3A01BC40}" name="Review Kick Off" dataDxfId="131">
      <calculatedColumnFormula>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calculatedColumnFormula>
    </tableColumn>
    <tableColumn id="77" xr3:uid="{9C33A1EE-F5D5-4E8E-A0C7-DD446BC0675E}" name="PLAN MC-0_x000a_start" dataDxfId="130"/>
    <tableColumn id="78" xr3:uid="{1430368B-8F97-4CBE-8A57-E2E6805C4035}" name="PLAN MC-0_x000a_finish" dataDxfId="129"/>
    <tableColumn id="79" xr3:uid="{6E01826C-C114-4D2F-A58D-A27D37F8F017}" name="Tanggal Aktual MC-0" dataDxfId="128"/>
    <tableColumn id="80" xr3:uid="{8EEE9549-B7C4-4908-BC51-5D8477F00D75}" name="Review MC-0" dataDxfId="127">
      <calculatedColumnFormula>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calculatedColumnFormula>
    </tableColumn>
    <tableColumn id="62" xr3:uid="{67B4A539-5C77-4B7D-AEB6-3B116E87F1AC}" name="PLAN KONSTRUKSI_x000a_start" dataDxfId="126"/>
    <tableColumn id="236" xr3:uid="{83298381-7BF4-41A7-8A37-6FD33B8F4BF1}" name="Forecast Konstruksi_x000a_Start" dataDxfId="125"/>
    <tableColumn id="58" xr3:uid="{213A0E1C-B054-4657-B589-C33E1FEE7444}" name="PLAN KONSTRUKSI_x000a_finish" dataDxfId="124"/>
    <tableColumn id="237" xr3:uid="{C29F2D82-15EB-4F47-B4C9-E404BFB38208}" name="Forecast Konstruksi_x000a_Finish_x000a_(s.d. Flushing)" dataDxfId="123"/>
    <tableColumn id="52" xr3:uid="{10EE1F16-F044-4A2F-91E0-CF8FC1258644}" name="Aktual Selesai Konstruksi*_x000a_(tanggal)" dataDxfId="122"/>
    <tableColumn id="48" xr3:uid="{23A134AC-BE93-4B32-B251-1284BCCD2D68}" name="Review Konstruksi" dataDxfId="121">
      <calculatedColumnFormula>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calculatedColumnFormula>
    </tableColumn>
    <tableColumn id="165" xr3:uid="{711F6392-0A3F-45BE-94D9-30120B2E5AEB}" name="PLAN Hydro Tes_x000a_start" dataDxfId="120"/>
    <tableColumn id="164" xr3:uid="{649138FB-5DF3-4EE9-BA92-501E65794317}" name="PLAN Hydro Tes_x000a_finish" dataDxfId="119"/>
    <tableColumn id="166" xr3:uid="{75DDFE1D-6BB3-4DA8-9C5D-8902A76F32FD}" name="Hydro Tes Actual_x000a_(tanggal)" dataDxfId="118"/>
    <tableColumn id="180" xr3:uid="{AFEE09A3-1782-43B1-AF58-FBB399938DB1}" name="Status Hydro" dataDxfId="117">
      <calculatedColumnFormula>IF(Table1[[#This Row],[Hydro Tes Actual
(tanggal)]]&lt;&gt;"","Sudah","Belum")</calculatedColumnFormula>
    </tableColumn>
    <tableColumn id="171" xr3:uid="{F60A442E-6179-4842-AD9C-48ADE4AB3AEB}" name="PLAN Interkoneksi_x000a_start" dataDxfId="116"/>
    <tableColumn id="170" xr3:uid="{F6EDA08A-4318-4EDD-8FCD-C4FEC10DF9BC}" name="PLAN Interkoneksi_x000a_finish" dataDxfId="115"/>
    <tableColumn id="169" xr3:uid="{2013DD1A-CE71-428C-A3E5-2D50ABE50336}" name="Interkoneksi Actual_x000a_(tanggal)" dataDxfId="114"/>
    <tableColumn id="181" xr3:uid="{2EFD4764-05C6-40C2-99B2-231AE3A1CADB}" name="Status Interkoneksi" dataDxfId="113">
      <calculatedColumnFormula>IF(Table1[[#This Row],[Interkoneksi Actual
(tanggal)]]&lt;&gt;"","Sudah","Belum")</calculatedColumnFormula>
    </tableColumn>
    <tableColumn id="175" xr3:uid="{68340165-8D0B-490A-A02D-44D1296896EB}" name="PLAN Flushing_x000a_start" dataDxfId="112"/>
    <tableColumn id="174" xr3:uid="{F39103D1-1E55-4AEB-A081-E5C8F55D7F40}" name="PLAN Flushing_x000a_finish" dataDxfId="111"/>
    <tableColumn id="173" xr3:uid="{59CF9935-20FF-4B1B-A168-82B9747CF3DE}" name="Flushing Actual_x000a_(tanggal)" dataDxfId="110"/>
    <tableColumn id="182" xr3:uid="{C3F86F73-8F56-4584-BD72-E3C317194863}" name="Status Flushing" dataDxfId="109">
      <calculatedColumnFormula>IF(Table1[[#This Row],[Flushing Actual
(tanggal)]]&lt;&gt;"","Sudah","Belum")</calculatedColumnFormula>
    </tableColumn>
    <tableColumn id="85" xr3:uid="{1F50C6DC-C552-4EB3-A01E-42F3C649197F}" name="PLAN TC_x000a_start" dataDxfId="108"/>
    <tableColumn id="238" xr3:uid="{2A34B123-36E4-4D13-9435-80E3CD3F41EE}" name="Forecast TC dan MC-100_x000a_Start" dataDxfId="107"/>
    <tableColumn id="86" xr3:uid="{4139FC01-60B7-46A0-AEDA-A8975388AFB8}" name="PLAN TC_x000a_finish" dataDxfId="106"/>
    <tableColumn id="87" xr3:uid="{636F445F-1286-4D09-BEEC-B529F26A8F70}" name="TC Aktual_x000a_(tanggal)" dataDxfId="105"/>
    <tableColumn id="88" xr3:uid="{F8C24857-15E7-4AB7-B54E-568E83EBB9E0}" name="Status TC" dataDxfId="104">
      <calculatedColumnFormula>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calculatedColumnFormula>
    </tableColumn>
    <tableColumn id="179" xr3:uid="{DC5E5B22-F465-4E65-AA27-D2593EBCC674}" name="PLAN Reinstatement_x000a_start" dataDxfId="103"/>
    <tableColumn id="178" xr3:uid="{FFEBBB89-5722-4F2F-9833-965F88D92490}" name="PLAN Reinstatement_x000a_finish" dataDxfId="102"/>
    <tableColumn id="177" xr3:uid="{1AC5809C-D532-49DF-989B-E51AB13A0536}" name="Reinstatement Aktual_x000a_(tanggal)" dataDxfId="101"/>
    <tableColumn id="176" xr3:uid="{BAF8FDB8-210A-4502-AEC6-03251902A423}" name="Status Reinstatement" dataDxfId="100"/>
    <tableColumn id="89" xr3:uid="{100AD1D4-FB65-4590-8DF9-FC51449BD16C}" name="PLAN MC-100_x000a_start" dataDxfId="99"/>
    <tableColumn id="90" xr3:uid="{20D30781-F37D-45D6-912F-C5A0051B7F32}" name="PLAN MC-100_x000a_finish" dataDxfId="98"/>
    <tableColumn id="239" xr3:uid="{BCAA4D8D-4D88-4DD0-82C8-528331D19316}" name="Forecast MC-100_x000a_Finish" dataDxfId="97"/>
    <tableColumn id="91" xr3:uid="{2DFFC34D-45DB-4A58-919B-9AFAD0D8B80E}" name="MC-100 Aktual_x000a_(tanggal)" dataDxfId="96"/>
    <tableColumn id="92" xr3:uid="{51DA950B-C3C1-4067-A684-00DBDF4C5D1C}" name="Review MC-100" dataDxfId="95">
      <calculatedColumnFormula>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calculatedColumnFormula>
    </tableColumn>
    <tableColumn id="188" xr3:uid="{4E66D513-DAA1-4609-8188-91B638FE6873}" name="PLAN DPPP_x000a_start" dataDxfId="94"/>
    <tableColumn id="240" xr3:uid="{CF60CFE0-B914-499C-BC0F-0BD4ABD044DB}" name="Forecast DPPP_x000a_Start" dataDxfId="93"/>
    <tableColumn id="187" xr3:uid="{8957B115-6D47-4368-89E3-7F410E102558}" name="PLAN DPPP_x000a_finish" dataDxfId="92"/>
    <tableColumn id="241" xr3:uid="{8260272E-1714-4DC1-9C44-4E74B7B727A0}" name="Forecast DPPP_x000a_Finish" dataDxfId="91"/>
    <tableColumn id="186" xr3:uid="{BBFE57EA-8137-4BA3-8972-E8B3141AB031}" name="Aktual Submit DPPP_x000a_(tanggal)" dataDxfId="90"/>
    <tableColumn id="185" xr3:uid="{30EBE966-B906-4BE0-A530-49FB97AAD8BB}" name="Review DPPP" dataDxfId="89">
      <calculatedColumnFormula>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calculatedColumnFormula>
    </tableColumn>
    <tableColumn id="158" xr3:uid="{3B2B58CD-3C72-4E35-A53C-F39AF2149D32}" name="Issue dan Forecast" dataDxfId="88"/>
    <tableColumn id="101" xr3:uid="{E9D1ADAF-6A5B-4341-9FD9-5D2BF490D66A}" name="Isu" dataDxfId="87"/>
    <tableColumn id="104" xr3:uid="{55A44C83-BEDF-48E2-95D2-58C4A1E36E2C}" name="Column1" dataDxfId="8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6CFF75-B045-45A0-A79A-E9F1E08F5ABE}" name="Table3" displayName="Table3" ref="B3:AP467" totalsRowShown="0" headerRowDxfId="85" dataDxfId="84">
  <autoFilter ref="B3:AP467" xr:uid="{F36CFF75-B045-45A0-A79A-E9F1E08F5ABE}">
    <filterColumn colId="1">
      <filters>
        <filter val="SPAM Jatiluhur Hilir"/>
      </filters>
    </filterColumn>
    <filterColumn colId="4">
      <filters>
        <dateGroupItem year="2025" month="4" dateTimeGrouping="month"/>
      </filters>
    </filterColumn>
  </autoFilter>
  <tableColumns count="41">
    <tableColumn id="1" xr3:uid="{A4473C0F-7AB7-4178-BBAD-D67ADD2261E6}" name="No" dataDxfId="83">
      <calculatedColumnFormula>SUBTOTAL(3,$C$4:C4)</calculatedColumnFormula>
    </tableColumn>
    <tableColumn id="2" xr3:uid="{9A8E1769-C3FB-4D10-909E-826EAA4EFB49}" name="Proyek" dataDxfId="82"/>
    <tableColumn id="3" xr3:uid="{C5D0F2F5-DC91-4F6E-9D48-F04697F5BDDB}" name="Kode Program" dataDxfId="81"/>
    <tableColumn id="4" xr3:uid="{32A0241A-F396-4FC8-89DD-78D14C76304F}" name="Nama Program" dataDxfId="80"/>
    <tableColumn id="5" xr3:uid="{9270F435-04F4-4B96-9315-6257060F7484}" name="Jadwal TOK" dataDxfId="79"/>
    <tableColumn id="6" xr3:uid="{0C4F9EB1-BAB1-468F-91D2-37286515C243}" name="Schedule" dataDxfId="78"/>
    <tableColumn id="21" xr3:uid="{E0740F08-F5D9-48F7-827A-4F8BB39E19D1}" name="Status Aktual" dataDxfId="77">
      <calculatedColumnFormula>'Database MK'!Q5</calculatedColumnFormula>
    </tableColumn>
    <tableColumn id="38" xr3:uid="{CD159BDF-0D7A-4419-9049-29619A993753}" name="Target Progres_x000a_(%)" dataDxfId="76">
      <calculatedColumnFormula>'Database MK'!S5</calculatedColumnFormula>
    </tableColumn>
    <tableColumn id="37" xr3:uid="{7AA0F671-B32E-4F13-8DC8-F7E3EB96A1E7}" name="Progres Aktual_x000a_(%)" dataDxfId="75">
      <calculatedColumnFormula>'Database MK'!T5</calculatedColumnFormula>
    </tableColumn>
    <tableColumn id="36" xr3:uid="{0B09F476-2BB4-4574-B815-934524579CD7}" name="Deviasi_x000a_(%)" dataDxfId="74">
      <calculatedColumnFormula>'Database MK'!U5</calculatedColumnFormula>
    </tableColumn>
    <tableColumn id="40" xr3:uid="{0EBF9B90-153C-4629-93A0-180CE1EF82BC}" name="Volume_x000a_BA MC-0" dataDxfId="73">
      <calculatedColumnFormula>'Database MK'!V5</calculatedColumnFormula>
    </tableColumn>
    <tableColumn id="39" xr3:uid="{5F6C9AD5-EEB7-4B16-A6E9-ECFF5B9966E6}" name="Total Panjang Pipa Aktual" dataDxfId="72">
      <calculatedColumnFormula>'Database MK'!W5</calculatedColumnFormula>
    </tableColumn>
    <tableColumn id="41" xr3:uid="{E3C9F29F-7761-474E-A6E6-A173643BE695}" name="Selisih" dataDxfId="71">
      <calculatedColumnFormula>Table3[[#This Row],[Total Panjang Pipa Aktual]]-Table3[[#This Row],[Volume
BA MC-0]]</calculatedColumnFormula>
    </tableColumn>
    <tableColumn id="7" xr3:uid="{C716FF0D-189C-4F05-8F40-BF169539366B}" name="PR ABJ" dataDxfId="70">
      <calculatedColumnFormula>'Database MK'!DE5</calculatedColumnFormula>
    </tableColumn>
    <tableColumn id="8" xr3:uid="{13CFF06D-FBED-4429-9D42-392C8CBAE71C}" name="PO ABJ" dataDxfId="69">
      <calculatedColumnFormula>'Database MK'!DI5</calculatedColumnFormula>
    </tableColumn>
    <tableColumn id="9" xr3:uid="{034775A4-DB02-40E3-B913-51F850025BF6}" name="PR Jasa" dataDxfId="68">
      <calculatedColumnFormula>'Database MK'!DN5</calculatedColumnFormula>
    </tableColumn>
    <tableColumn id="10" xr3:uid="{931FF7B6-D798-427A-80BC-203E6E7B8CAD}" name="PO Jasa" dataDxfId="67">
      <calculatedColumnFormula>'Database MK'!DR5</calculatedColumnFormula>
    </tableColumn>
    <tableColumn id="11" xr3:uid="{1B3F7328-DE1C-4A0D-A07B-481DFFFAE90B}" name="PR Material" dataDxfId="66">
      <calculatedColumnFormula>'Database MK'!EA5</calculatedColumnFormula>
    </tableColumn>
    <tableColumn id="12" xr3:uid="{DA60F53E-92C2-4FBE-AFE0-ECF27B0D62D3}" name="PO Material" dataDxfId="65">
      <calculatedColumnFormula>'Database MK'!EI5</calculatedColumnFormula>
    </tableColumn>
    <tableColumn id="13" xr3:uid="{53CDE019-5AC8-43F1-8555-33C0394315AE}" name="MOS" dataDxfId="64">
      <calculatedColumnFormula>'Database MK'!ET5</calculatedColumnFormula>
    </tableColumn>
    <tableColumn id="14" xr3:uid="{E30C220D-AF23-4995-911C-AA983EEB8DF1}" name="DPPK" dataDxfId="63">
      <calculatedColumnFormula>'Database MK'!GA5</calculatedColumnFormula>
    </tableColumn>
    <tableColumn id="15" xr3:uid="{20445DDC-6453-4F75-92D4-2775B4AD9A17}" name="PCM" dataDxfId="62">
      <calculatedColumnFormula>'Database MK'!GD5</calculatedColumnFormula>
    </tableColumn>
    <tableColumn id="16" xr3:uid="{3EDF6F68-5256-4987-9AC8-A1A188D48003}" name="Kick Off" dataDxfId="61">
      <calculatedColumnFormula>'Database MK'!GG5</calculatedColumnFormula>
    </tableColumn>
    <tableColumn id="17" xr3:uid="{984AC1F2-F625-4780-84D8-A97A16A4CDA0}" name="MC-0" dataDxfId="60">
      <calculatedColumnFormula>'Database MK'!GK5</calculatedColumnFormula>
    </tableColumn>
    <tableColumn id="18" xr3:uid="{57FEACC5-4570-44A8-95BF-BD7D6E673792}" name="TC" dataDxfId="59">
      <calculatedColumnFormula>'Database MK'!HH5</calculatedColumnFormula>
    </tableColumn>
    <tableColumn id="19" xr3:uid="{C08BE1D9-35CA-40F6-BBA4-C33DE844C5AB}" name="MC-100" dataDxfId="58">
      <calculatedColumnFormula>'Database MK'!HQ5</calculatedColumnFormula>
    </tableColumn>
    <tableColumn id="20" xr3:uid="{C11AE700-2795-454D-A816-8A65484A5A05}" name="DPPP" dataDxfId="57">
      <calculatedColumnFormula>'Database MK'!HW5</calculatedColumnFormula>
    </tableColumn>
    <tableColumn id="22" xr3:uid="{2ED373D4-11A2-4CBE-9E17-DACE4C963836}" name="PR ABJ_x000a_(Day)" dataDxfId="56">
      <calculatedColumnFormula>'Database MK'!DA5-'Database MK'!DB5</calculatedColumnFormula>
    </tableColumn>
    <tableColumn id="23" xr3:uid="{FCDBC17B-BFC1-4366-849B-FDB4A07653B3}" name="PO ABJ_x000a_(Day)" dataDxfId="55">
      <calculatedColumnFormula>'Database MK'!DA5-'Database MK'!DF5</calculatedColumnFormula>
    </tableColumn>
    <tableColumn id="24" xr3:uid="{0E8CF7FE-4CF1-4196-8E05-D21AA0F07848}" name="PR Jasa_x000a_(Day)" dataDxfId="54">
      <calculatedColumnFormula>'Database MK'!DK5-'Database MK'!DL5</calculatedColumnFormula>
    </tableColumn>
    <tableColumn id="25" xr3:uid="{CA30A0C3-68A5-4FFC-A199-EB083244A410}" name="PO Jasa_x000a_(Day)" dataDxfId="53">
      <calculatedColumnFormula>'Database MK'!DK5-'Database MK'!DO5</calculatedColumnFormula>
    </tableColumn>
    <tableColumn id="26" xr3:uid="{566BE2A3-7C4E-4D7D-9EC9-16E57C40D914}" name="PR Material_x000a_(Day)" dataDxfId="52">
      <calculatedColumnFormula>'Database MK'!DU5-'Database MK'!DW5</calculatedColumnFormula>
    </tableColumn>
    <tableColumn id="27" xr3:uid="{F2BEEFF9-8BCD-4C5C-97A7-218E791A5D40}" name="PO Material_x000a_(Day)" dataDxfId="51">
      <calculatedColumnFormula>IF('Database MK'!EB5="","Belum",'Database MK'!DU5-'Database MK'!EB5)</calculatedColumnFormula>
    </tableColumn>
    <tableColumn id="28" xr3:uid="{E1E9BB25-A231-45FA-B343-3DC9527B07FB}" name="MOS_x000a_(Day)" dataDxfId="50">
      <calculatedColumnFormula>IF('Database MK'!EN5="","Belum",'Database MK'!EL5-'Database MK'!EN5)</calculatedColumnFormula>
    </tableColumn>
    <tableColumn id="29" xr3:uid="{0E9AACA7-2358-406E-910A-9D0C1BA34125}" name="DPPK_x000a_(Day)" dataDxfId="49">
      <calculatedColumnFormula>'Database MK'!FY5-'Database MK'!FZ5</calculatedColumnFormula>
    </tableColumn>
    <tableColumn id="30" xr3:uid="{37FD6982-EB19-4D38-B361-11FA8C2B4BF9}" name="PCM_x000a_(Day)" dataDxfId="48">
      <calculatedColumnFormula>IF('Database MK'!GC5="","Belum",'Database MK'!GB5-'Database MK'!GC5)</calculatedColumnFormula>
    </tableColumn>
    <tableColumn id="31" xr3:uid="{477E4EC4-DC6F-4EDB-8EFD-7B8A139B3B51}" name="Kick Off_x000a_(Day)" dataDxfId="47">
      <calculatedColumnFormula>IF('Database MK'!GF5="","Belum",'Database MK'!GE5-'Database MK'!GF5)</calculatedColumnFormula>
    </tableColumn>
    <tableColumn id="32" xr3:uid="{20C34D95-E475-4E8F-836A-852EB1CF5A03}" name="MC-0_x000a_(Day)" dataDxfId="46">
      <calculatedColumnFormula>IF('Database MK'!GJ5="","Belum",'Database MK'!GI5-'Database MK'!GJ5)</calculatedColumnFormula>
    </tableColumn>
    <tableColumn id="33" xr3:uid="{B7C1B800-56B5-4CD8-AA9B-D504CFB0CB0E}" name="TC_x000a_(Day)" dataDxfId="45">
      <calculatedColumnFormula>IF('Database MK'!HG5="","Belum",'Database MK'!HF5-'Database MK'!HG5)</calculatedColumnFormula>
    </tableColumn>
    <tableColumn id="34" xr3:uid="{441F8D6B-A4E9-44FC-9C8A-66FAA94DCCDD}" name="MC-100_x000a_(Day)" dataDxfId="44">
      <calculatedColumnFormula>IF('Database MK'!HP5="","Belum",'Database MK'!HN5-'Database MK'!HP5)</calculatedColumnFormula>
    </tableColumn>
    <tableColumn id="35" xr3:uid="{4ECFA1F9-BD05-44D6-ADEB-8A034E580D36}" name="DPPP_x000a_(Day)" dataDxfId="43">
      <calculatedColumnFormula>IF('Database MK'!HV5="","Belum",'Database MK'!HT5-'Database MK'!HV5)</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32703D-7AF9-4508-9772-F03995CD1E9F}" name="Table2" displayName="Table2" ref="T2:X15" totalsRowCount="1" headerRowDxfId="42" dataDxfId="40" totalsRowDxfId="38" headerRowBorderDxfId="41" tableBorderDxfId="39" totalsRowBorderDxfId="37">
  <autoFilter ref="T2:X14" xr:uid="{2832703D-7AF9-4508-9772-F03995CD1E9F}"/>
  <tableColumns count="5">
    <tableColumn id="1" xr3:uid="{FE2FF0D1-8D25-4B9D-8693-DABE02E9157B}" name="IPPJU" totalsRowLabel="Total" dataDxfId="36" totalsRowDxfId="35"/>
    <tableColumn id="2" xr3:uid="{F0E773DD-9F1B-469D-B686-E03ADBE5E13C}" name="Ahead" totalsRowFunction="sum" dataDxfId="34" totalsRowDxfId="33">
      <calculatedColumnFormula>COUNTIFS('Database MK'!$G:$G,'Database MK'!$G$237,'Database MK'!$FI:$FI,'Summary Izin'!$T3,'Database MK'!$GE:$GE,'Summary Izin'!U$2)</calculatedColumnFormula>
    </tableColumn>
    <tableColumn id="3" xr3:uid="{6C1B8A9F-6FC1-4B40-A9D2-FA70A46B9F99}" name="On Schedule" totalsRowFunction="sum" dataDxfId="32" totalsRowDxfId="31">
      <calculatedColumnFormula>COUNTIFS('Database MK'!$G:$G,'Database MK'!$G$237,'Database MK'!$FI:$FI,'Summary Izin'!$T3,'Database MK'!$GE:$GE,'Summary Izin'!V$2)</calculatedColumnFormula>
    </tableColumn>
    <tableColumn id="4" xr3:uid="{A647EE22-DE48-4A6D-8E7D-38517E2B0780}" name="Delay" totalsRowFunction="sum" dataDxfId="30" totalsRowDxfId="29">
      <calculatedColumnFormula>COUNTIFS('Database MK'!$G:$G,'Database MK'!$G$237,'Database MK'!$FI:$FI,'Summary Izin'!$T3,'Database MK'!$GE:$GE,'Summary Izin'!W$2)</calculatedColumnFormula>
    </tableColumn>
    <tableColumn id="5" xr3:uid="{510B23A6-8EDF-47A5-8645-AC8A9250FD89}" name="Total" totalsRowFunction="sum" dataDxfId="28" totalsRowDxfId="27">
      <calculatedColumnFormula>COUNTIFS('Database MK'!$G:$G,'Database MK'!$G$237,'Database MK'!$FI:$FI,'Summary Izin'!$T3)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650C1-0536-4CAE-AEF5-050CBDEC4C30}">
  <sheetPr codeName="Sheet1">
    <pageSetUpPr fitToPage="1"/>
  </sheetPr>
  <dimension ref="A1:JA476"/>
  <sheetViews>
    <sheetView tabSelected="1" zoomScaleNormal="70" zoomScaleSheetLayoutView="50" workbookViewId="0">
      <pane xSplit="18" ySplit="4" topLeftCell="HP5" activePane="bottomRight" state="frozen"/>
      <selection pane="topRight" activeCell="S1" sqref="S1"/>
      <selection pane="bottomLeft" activeCell="A5" sqref="A5"/>
      <selection pane="bottomRight" activeCell="T4" sqref="T4"/>
    </sheetView>
  </sheetViews>
  <sheetFormatPr baseColWidth="10" defaultColWidth="9.1640625" defaultRowHeight="15" customHeight="1" outlineLevelCol="1" x14ac:dyDescent="0.2"/>
  <cols>
    <col min="1" max="1" width="3" style="6" customWidth="1"/>
    <col min="2" max="2" width="5.5" style="6" customWidth="1"/>
    <col min="3" max="3" width="9.1640625" style="6" hidden="1" customWidth="1"/>
    <col min="4" max="4" width="16" style="6" customWidth="1"/>
    <col min="5" max="5" width="9.1640625" customWidth="1"/>
    <col min="6" max="6" width="28" style="4" customWidth="1"/>
    <col min="7" max="7" width="9.1640625" style="4" customWidth="1"/>
    <col min="8" max="8" width="9.1640625" style="6" customWidth="1"/>
    <col min="9" max="9" width="16.5" style="6" hidden="1" customWidth="1"/>
    <col min="10" max="10" width="21.5" style="148" hidden="1" customWidth="1"/>
    <col min="11" max="11" width="14" style="6" hidden="1" customWidth="1"/>
    <col min="12" max="12" width="21.5" style="6" hidden="1" customWidth="1"/>
    <col min="13" max="13" width="14.5" style="6" hidden="1" customWidth="1"/>
    <col min="14" max="14" width="9" style="8" hidden="1" customWidth="1"/>
    <col min="15" max="15" width="11.6640625" style="108" hidden="1" customWidth="1"/>
    <col min="16" max="16" width="22.6640625" style="8" hidden="1" customWidth="1"/>
    <col min="17" max="17" width="17.1640625" style="68" bestFit="1" customWidth="1"/>
    <col min="18" max="18" width="12.33203125" style="22" hidden="1" customWidth="1"/>
    <col min="19" max="19" width="12.33203125" style="71" bestFit="1" customWidth="1"/>
    <col min="20" max="20" width="9.1640625" style="22" customWidth="1"/>
    <col min="21" max="21" width="9.1640625" style="69" customWidth="1"/>
    <col min="22" max="22" width="13.1640625" style="69" bestFit="1" customWidth="1" collapsed="1"/>
    <col min="23" max="23" width="9.1640625" style="81" customWidth="1"/>
    <col min="24" max="24" width="9.1640625" style="69" customWidth="1"/>
    <col min="25" max="25" width="62" style="280" hidden="1" customWidth="1" outlineLevel="1"/>
    <col min="26" max="27" width="26.83203125" style="224" hidden="1" customWidth="1" outlineLevel="1"/>
    <col min="28" max="28" width="22.5" style="8" hidden="1" customWidth="1" outlineLevel="1"/>
    <col min="29" max="30" width="23.83203125" style="6" hidden="1" customWidth="1" outlineLevel="1"/>
    <col min="31" max="31" width="25.1640625" style="6" hidden="1" customWidth="1" outlineLevel="1"/>
    <col min="32" max="33" width="23.83203125" style="6" hidden="1" customWidth="1" outlineLevel="1"/>
    <col min="34" max="35" width="11.5" style="6" hidden="1" customWidth="1" outlineLevel="1"/>
    <col min="36" max="36" width="11.5" style="70" hidden="1" customWidth="1" outlineLevel="1"/>
    <col min="37" max="38" width="11.5" style="22" hidden="1" customWidth="1" outlineLevel="1"/>
    <col min="39" max="39" width="9.1640625" style="22" customWidth="1" collapsed="1"/>
    <col min="40" max="40" width="13.6640625" style="286" customWidth="1" outlineLevel="1" collapsed="1"/>
    <col min="41" max="61" width="13.6640625" style="286" customWidth="1" outlineLevel="1"/>
    <col min="62" max="62" width="14.1640625" style="22" customWidth="1" outlineLevel="1"/>
    <col min="63" max="63" width="10" style="4" customWidth="1" outlineLevel="1"/>
    <col min="64" max="83" width="10.1640625" style="4" customWidth="1" outlineLevel="1"/>
    <col min="84" max="86" width="17.5" style="4" customWidth="1" outlineLevel="1"/>
    <col min="87" max="88" width="17.5" style="8" customWidth="1" outlineLevel="1"/>
    <col min="89" max="89" width="9.1640625" style="8" customWidth="1"/>
    <col min="90" max="90" width="12.5" style="8" hidden="1" customWidth="1" outlineLevel="1" collapsed="1"/>
    <col min="91" max="92" width="12.5" style="8" hidden="1" customWidth="1" outlineLevel="1"/>
    <col min="93" max="93" width="12.5" style="7" hidden="1" customWidth="1" outlineLevel="1"/>
    <col min="94" max="94" width="12.5" style="22" hidden="1" customWidth="1" outlineLevel="1"/>
    <col min="95" max="96" width="22.5" style="5" hidden="1" customWidth="1" outlineLevel="1"/>
    <col min="97" max="101" width="22.5" style="71" hidden="1" customWidth="1" outlineLevel="1"/>
    <col min="102" max="102" width="22.5" style="8" hidden="1" customWidth="1" outlineLevel="1"/>
    <col min="103" max="103" width="9.1640625" style="8" customWidth="1" collapsed="1"/>
    <col min="104" max="104" width="19.1640625" style="8" hidden="1" customWidth="1" outlineLevel="1" collapsed="1"/>
    <col min="105" max="105" width="19.1640625" style="8" hidden="1" customWidth="1" outlineLevel="1"/>
    <col min="106" max="106" width="13.83203125" style="8" hidden="1" customWidth="1" outlineLevel="1"/>
    <col min="107" max="107" width="20.83203125" style="8" hidden="1" customWidth="1" outlineLevel="1"/>
    <col min="108" max="108" width="17.5" style="8" hidden="1" customWidth="1" outlineLevel="1"/>
    <col min="109" max="109" width="16.83203125" style="70" hidden="1" customWidth="1" outlineLevel="1"/>
    <col min="110" max="110" width="15.5" style="6" hidden="1" customWidth="1" outlineLevel="1"/>
    <col min="111" max="111" width="17.83203125" style="8" hidden="1" customWidth="1" outlineLevel="1"/>
    <col min="112" max="112" width="21.33203125" style="49" hidden="1" customWidth="1" outlineLevel="1"/>
    <col min="113" max="113" width="17" style="6" hidden="1" customWidth="1" outlineLevel="1"/>
    <col min="114" max="115" width="16.83203125" style="8" hidden="1" customWidth="1" outlineLevel="1"/>
    <col min="116" max="116" width="17.6640625" style="8" hidden="1" customWidth="1" outlineLevel="1"/>
    <col min="117" max="117" width="27.33203125" style="8" hidden="1" customWidth="1" outlineLevel="1"/>
    <col min="118" max="118" width="18.1640625" style="8" hidden="1" customWidth="1" outlineLevel="1"/>
    <col min="119" max="119" width="15.5" style="8" hidden="1" customWidth="1" outlineLevel="1"/>
    <col min="120" max="120" width="21.33203125" style="4" hidden="1" customWidth="1" outlineLevel="1"/>
    <col min="121" max="121" width="27.1640625" style="6" hidden="1" customWidth="1" outlineLevel="1"/>
    <col min="122" max="122" width="18.6640625" style="4" hidden="1" customWidth="1" outlineLevel="1"/>
    <col min="123" max="126" width="18" style="8" hidden="1" customWidth="1" outlineLevel="1"/>
    <col min="127" max="127" width="15.6640625" style="8" hidden="1" customWidth="1" outlineLevel="1"/>
    <col min="128" max="128" width="27.1640625" style="8" hidden="1" customWidth="1" outlineLevel="1"/>
    <col min="129" max="130" width="12" style="8" hidden="1" customWidth="1" outlineLevel="1"/>
    <col min="131" max="131" width="17.33203125" style="73" hidden="1" customWidth="1" outlineLevel="1"/>
    <col min="132" max="132" width="17" style="8" hidden="1" customWidth="1" outlineLevel="1"/>
    <col min="133" max="133" width="13.5" style="8" hidden="1" customWidth="1" outlineLevel="1"/>
    <col min="134" max="134" width="10.5" style="8" hidden="1" customWidth="1" outlineLevel="1"/>
    <col min="135" max="135" width="18.5" style="74" hidden="1" customWidth="1" outlineLevel="1"/>
    <col min="136" max="136" width="12" style="74" hidden="1" customWidth="1" outlineLevel="1"/>
    <col min="137" max="137" width="12.83203125" style="85" hidden="1" customWidth="1" outlineLevel="1"/>
    <col min="138" max="138" width="22" style="85" hidden="1" customWidth="1" outlineLevel="1"/>
    <col min="139" max="139" width="13.1640625" style="85" hidden="1" customWidth="1" outlineLevel="1"/>
    <col min="140" max="143" width="12.83203125" hidden="1" customWidth="1" outlineLevel="1"/>
    <col min="144" max="144" width="18.5" hidden="1" customWidth="1" outlineLevel="1"/>
    <col min="145" max="146" width="9.83203125" hidden="1" customWidth="1" outlineLevel="1"/>
    <col min="147" max="147" width="14.5" hidden="1" customWidth="1" outlineLevel="1"/>
    <col min="148" max="148" width="15.1640625" hidden="1" customWidth="1" outlineLevel="1"/>
    <col min="149" max="149" width="19" hidden="1" customWidth="1" outlineLevel="1"/>
    <col min="150" max="150" width="14.33203125" hidden="1" customWidth="1" outlineLevel="1"/>
    <col min="151" max="151" width="9.1640625" style="8" customWidth="1" collapsed="1"/>
    <col min="152" max="153" width="16" style="8" hidden="1" customWidth="1" outlineLevel="1"/>
    <col min="154" max="155" width="17.33203125" style="8" hidden="1" customWidth="1" outlineLevel="1"/>
    <col min="156" max="157" width="30.1640625" style="8" hidden="1" customWidth="1" outlineLevel="1"/>
    <col min="158" max="158" width="15.5" style="8" hidden="1" customWidth="1" outlineLevel="1"/>
    <col min="159" max="159" width="15.5" style="85" hidden="1" customWidth="1" outlineLevel="1"/>
    <col min="160" max="160" width="17" style="85" hidden="1" customWidth="1" outlineLevel="1"/>
    <col min="161" max="161" width="16.5" style="85" hidden="1" customWidth="1" outlineLevel="1"/>
    <col min="162" max="162" width="12" style="8" hidden="1" customWidth="1" outlineLevel="1"/>
    <col min="163" max="163" width="17" style="8" hidden="1" customWidth="1" outlineLevel="1" collapsed="1"/>
    <col min="164" max="164" width="17" style="8" hidden="1" customWidth="1" outlineLevel="1"/>
    <col min="165" max="176" width="22.83203125" style="8" hidden="1" customWidth="1" outlineLevel="1"/>
    <col min="177" max="178" width="20.1640625" style="8" hidden="1" customWidth="1" outlineLevel="1"/>
    <col min="179" max="179" width="14.5" style="8" hidden="1" customWidth="1" outlineLevel="1"/>
    <col min="180" max="180" width="9.1640625" style="8" customWidth="1" collapsed="1"/>
    <col min="181" max="181" width="24.5" style="8" customWidth="1" outlineLevel="1"/>
    <col min="182" max="182" width="16.5" style="6" customWidth="1" outlineLevel="1"/>
    <col min="183" max="183" width="16.1640625" style="8" customWidth="1" outlineLevel="1"/>
    <col min="184" max="184" width="15" style="8" customWidth="1" outlineLevel="1"/>
    <col min="185" max="185" width="18.33203125" style="6" customWidth="1" outlineLevel="1"/>
    <col min="186" max="186" width="16.1640625" style="6" customWidth="1" outlineLevel="1"/>
    <col min="187" max="187" width="17.5" style="6" customWidth="1" outlineLevel="1"/>
    <col min="188" max="188" width="14.1640625" style="6" customWidth="1" outlineLevel="1"/>
    <col min="189" max="189" width="16.1640625" style="6" customWidth="1" outlineLevel="1"/>
    <col min="190" max="191" width="15.5" style="6" customWidth="1" outlineLevel="1"/>
    <col min="192" max="192" width="22.1640625" style="6" customWidth="1" outlineLevel="1"/>
    <col min="193" max="193" width="17.33203125" style="7" customWidth="1" outlineLevel="1"/>
    <col min="194" max="195" width="17" style="8" customWidth="1" outlineLevel="1"/>
    <col min="196" max="197" width="21.83203125" style="6" customWidth="1" outlineLevel="1"/>
    <col min="198" max="198" width="17.83203125" style="8" customWidth="1" outlineLevel="1"/>
    <col min="199" max="199" width="21.5" style="6" customWidth="1" outlineLevel="1"/>
    <col min="200" max="201" width="19.5" style="8" customWidth="1" outlineLevel="1"/>
    <col min="202" max="202" width="13" style="6" customWidth="1" outlineLevel="1"/>
    <col min="203" max="203" width="16.83203125" style="8" customWidth="1" outlineLevel="1"/>
    <col min="204" max="204" width="21.5" style="4" customWidth="1" outlineLevel="1"/>
    <col min="205" max="205" width="21.5" style="140" customWidth="1" outlineLevel="1"/>
    <col min="206" max="206" width="32.33203125" customWidth="1" outlineLevel="1"/>
    <col min="207" max="207" width="16.5" style="4" customWidth="1" outlineLevel="1"/>
    <col min="208" max="208" width="18" style="4" customWidth="1" outlineLevel="1"/>
    <col min="209" max="209" width="18" style="54" customWidth="1" outlineLevel="1"/>
    <col min="210" max="210" width="13.5" style="54" customWidth="1" outlineLevel="1"/>
    <col min="211" max="211" width="18.5" style="54" customWidth="1" outlineLevel="1"/>
    <col min="212" max="212" width="13.1640625" style="4" customWidth="1" outlineLevel="1"/>
    <col min="213" max="213" width="21.33203125" style="4" customWidth="1" outlineLevel="1"/>
    <col min="214" max="214" width="13.1640625" style="4" customWidth="1" outlineLevel="1"/>
    <col min="215" max="215" width="14" style="54" customWidth="1" outlineLevel="1"/>
    <col min="216" max="216" width="16.33203125" customWidth="1" outlineLevel="1"/>
    <col min="217" max="217" width="18.5" style="54" customWidth="1" outlineLevel="1"/>
    <col min="218" max="218" width="18.5" style="4" customWidth="1" outlineLevel="1"/>
    <col min="219" max="220" width="18.5" style="54" customWidth="1" outlineLevel="1"/>
    <col min="221" max="221" width="17.5" customWidth="1" outlineLevel="1"/>
    <col min="222" max="223" width="17.5" style="54" customWidth="1" outlineLevel="1"/>
    <col min="224" max="224" width="18.5" style="4" customWidth="1" outlineLevel="1"/>
    <col min="225" max="225" width="19.5" style="75" customWidth="1" outlineLevel="1"/>
    <col min="226" max="227" width="15.5" customWidth="1" outlineLevel="1"/>
    <col min="228" max="229" width="15.5" style="72" customWidth="1" outlineLevel="1"/>
    <col min="230" max="230" width="18" style="4" customWidth="1" outlineLevel="1"/>
    <col min="231" max="231" width="17.33203125" style="54" customWidth="1" outlineLevel="1"/>
    <col min="232" max="232" width="9.1640625" style="29" customWidth="1"/>
    <col min="233" max="233" width="20.1640625" style="54" hidden="1" customWidth="1" outlineLevel="1"/>
    <col min="234" max="234" width="13.1640625" style="141" hidden="1" customWidth="1" outlineLevel="1"/>
    <col min="235" max="235" width="9.1640625" style="54" customWidth="1" collapsed="1"/>
    <col min="236" max="236" width="9.1640625" style="29" customWidth="1"/>
    <col min="237" max="238" width="9.1640625" style="75" customWidth="1"/>
    <col min="239" max="239" width="9.1640625" style="141" customWidth="1"/>
    <col min="240" max="240" width="9.1640625" style="29" customWidth="1"/>
    <col min="241" max="243" width="9.1640625" style="8" customWidth="1"/>
    <col min="244" max="244" width="9.1640625" customWidth="1"/>
    <col min="245" max="248" width="9.1640625" style="8" customWidth="1"/>
    <col min="249" max="249" width="9.1640625" style="4" customWidth="1"/>
    <col min="250" max="250" width="9.1640625" style="6" customWidth="1"/>
    <col min="251" max="251" width="9.1640625" style="72" customWidth="1"/>
    <col min="252" max="252" width="9.1640625" style="72" customWidth="1" collapsed="1"/>
    <col min="253" max="254" width="9.1640625" style="8" customWidth="1"/>
    <col min="255" max="256" width="9.1640625" style="6" customWidth="1"/>
    <col min="257" max="257" width="9.1640625" style="72" customWidth="1"/>
    <col min="258" max="258" width="9.1640625" style="8" customWidth="1"/>
    <col min="259" max="259" width="9.1640625" style="6" customWidth="1"/>
    <col min="260" max="261" width="9.1640625" style="4" customWidth="1"/>
    <col min="262" max="262" width="47.1640625" style="6" customWidth="1"/>
    <col min="263" max="263" width="31.83203125" style="6" customWidth="1"/>
    <col min="264" max="16384" width="9.1640625" style="6"/>
  </cols>
  <sheetData>
    <row r="1" spans="1:237" s="4" customFormat="1" ht="85.5" customHeight="1" x14ac:dyDescent="0.2">
      <c r="A1" s="6"/>
      <c r="G1" s="6"/>
      <c r="H1" s="6"/>
      <c r="J1" s="148"/>
      <c r="L1" s="7"/>
      <c r="M1"/>
      <c r="N1" s="104" t="s">
        <v>0</v>
      </c>
      <c r="O1" s="7"/>
      <c r="P1" s="48"/>
      <c r="Q1" s="48"/>
      <c r="R1" s="21"/>
      <c r="S1" s="21"/>
      <c r="T1" s="21"/>
      <c r="U1" s="116"/>
      <c r="V1" s="116"/>
      <c r="W1" s="116"/>
      <c r="X1" s="116"/>
      <c r="Y1" s="617" t="s">
        <v>1</v>
      </c>
      <c r="Z1" s="225"/>
      <c r="AA1" s="116">
        <f>17+64</f>
        <v>81</v>
      </c>
      <c r="AG1" s="48"/>
      <c r="AH1" s="21"/>
      <c r="AI1" s="21"/>
      <c r="AJ1" s="21"/>
      <c r="AK1" s="21"/>
      <c r="AL1" s="21"/>
      <c r="AM1" s="99"/>
      <c r="AN1" s="287" t="s">
        <v>2</v>
      </c>
      <c r="AO1" s="287" t="s">
        <v>3</v>
      </c>
      <c r="AP1" s="61"/>
      <c r="AQ1" s="61"/>
      <c r="AR1" s="61"/>
      <c r="AS1" s="61"/>
      <c r="AT1" s="61"/>
      <c r="AU1" s="61"/>
      <c r="AV1" s="61"/>
      <c r="AW1" s="61"/>
      <c r="AX1" s="61"/>
      <c r="AY1" s="61"/>
      <c r="AZ1" s="61"/>
      <c r="BA1" s="61"/>
      <c r="BB1" s="61"/>
      <c r="BC1" s="61"/>
      <c r="BD1" s="61"/>
      <c r="BE1" s="61"/>
      <c r="BF1" s="61"/>
      <c r="BG1" s="61"/>
      <c r="BH1" s="286" t="s">
        <v>4</v>
      </c>
      <c r="BI1" s="61"/>
      <c r="BJ1" s="14" t="s">
        <v>5</v>
      </c>
      <c r="BK1" s="50"/>
      <c r="BL1" s="50"/>
      <c r="BM1" s="7">
        <f>678-218</f>
        <v>460</v>
      </c>
      <c r="BN1" s="144"/>
      <c r="BO1" s="7"/>
      <c r="BP1" s="7"/>
      <c r="BQ1" s="7"/>
      <c r="BR1" s="7"/>
      <c r="BS1" s="7">
        <f>18591-17446</f>
        <v>1145</v>
      </c>
      <c r="BT1" s="7"/>
      <c r="BU1" s="7"/>
      <c r="BV1" s="7"/>
      <c r="BW1" s="7"/>
      <c r="BX1" s="7"/>
      <c r="BY1" s="7"/>
      <c r="BZ1" s="7"/>
      <c r="CA1" s="7"/>
      <c r="CB1" s="7"/>
      <c r="CC1" s="7"/>
      <c r="CD1" s="7"/>
      <c r="CE1" s="7"/>
      <c r="CF1" s="7"/>
      <c r="CG1" s="7"/>
      <c r="CH1" s="7"/>
      <c r="CI1" s="7"/>
      <c r="CJ1" s="51"/>
      <c r="CK1" s="51"/>
      <c r="CL1" s="24"/>
      <c r="CM1" s="21"/>
      <c r="CN1" s="24"/>
      <c r="CO1" s="24"/>
      <c r="CP1" s="7"/>
      <c r="CQ1" s="109"/>
      <c r="CS1" s="7"/>
      <c r="CT1" s="7"/>
      <c r="CU1" s="100" t="s">
        <v>6</v>
      </c>
      <c r="CV1" s="101"/>
      <c r="CW1" s="48"/>
      <c r="CX1" s="220"/>
      <c r="CY1" s="48"/>
      <c r="CZ1" s="29"/>
      <c r="DA1" s="7"/>
      <c r="DB1" s="7"/>
      <c r="DC1" s="7"/>
      <c r="DE1" s="7"/>
      <c r="DF1" s="7"/>
      <c r="DG1" s="7"/>
      <c r="DH1" s="126"/>
      <c r="DI1" s="7"/>
      <c r="DJ1" s="7"/>
      <c r="DK1" s="7"/>
      <c r="DM1" s="7"/>
      <c r="DN1" s="7"/>
      <c r="DO1" s="4" t="s">
        <v>7</v>
      </c>
      <c r="DP1" s="7"/>
      <c r="DR1" s="7"/>
      <c r="DS1" s="7"/>
      <c r="DT1" s="7"/>
      <c r="DU1" s="7"/>
      <c r="DV1" s="7"/>
      <c r="DX1" s="7"/>
      <c r="DY1" s="7"/>
      <c r="DZ1" s="7"/>
      <c r="EA1" s="7"/>
      <c r="EB1" s="53"/>
      <c r="EC1" s="7"/>
      <c r="ED1" s="7"/>
      <c r="EE1" s="53"/>
      <c r="EF1" s="24"/>
      <c r="EG1" s="24"/>
      <c r="EH1" s="7"/>
      <c r="EI1" s="7"/>
      <c r="EJ1" s="7"/>
      <c r="EK1" s="7"/>
      <c r="EL1" s="7"/>
      <c r="EM1" s="7"/>
      <c r="EN1" s="7"/>
      <c r="EO1" s="7"/>
      <c r="EP1" s="7"/>
      <c r="EQ1" s="21"/>
      <c r="ER1" s="27"/>
      <c r="ES1" s="7"/>
      <c r="ET1" s="7"/>
      <c r="EU1" s="7"/>
      <c r="EV1" s="7"/>
      <c r="EW1" s="7"/>
      <c r="EX1" s="7"/>
      <c r="EY1" s="7"/>
      <c r="FB1" s="7"/>
      <c r="FC1" s="7"/>
      <c r="FD1" s="7"/>
      <c r="FE1" s="7"/>
      <c r="FF1" s="7"/>
      <c r="FG1" s="7"/>
      <c r="FH1" s="7"/>
      <c r="FI1" s="7"/>
      <c r="FJ1" s="7"/>
      <c r="FK1" s="7"/>
      <c r="FP1" s="7"/>
      <c r="FQ1" s="6"/>
      <c r="FR1" s="6"/>
      <c r="FT1" s="7"/>
      <c r="FU1" s="7"/>
      <c r="FV1" s="7"/>
      <c r="FW1" s="7"/>
      <c r="FX1" s="7"/>
      <c r="FY1" s="7"/>
      <c r="FZ1" s="7"/>
      <c r="GA1" s="7"/>
      <c r="GB1" s="7"/>
      <c r="GC1" s="8"/>
      <c r="GD1" s="7"/>
      <c r="GE1" s="7"/>
      <c r="GF1" s="54"/>
      <c r="GG1" s="7"/>
      <c r="GH1" s="7"/>
      <c r="GI1" s="7"/>
      <c r="GJ1" s="54"/>
      <c r="GK1" s="7"/>
      <c r="GL1" s="7"/>
      <c r="GM1" s="7"/>
      <c r="GN1" s="7"/>
      <c r="GO1" s="7"/>
      <c r="GP1" s="7"/>
      <c r="GQ1" s="7"/>
      <c r="GR1" s="29"/>
      <c r="GS1" s="29"/>
      <c r="GT1" s="145"/>
      <c r="GU1" s="7"/>
      <c r="GV1" s="29"/>
      <c r="GW1" s="29"/>
      <c r="GX1" s="29"/>
      <c r="GY1" s="7"/>
      <c r="GZ1" s="29"/>
      <c r="HA1" s="29"/>
      <c r="HB1" s="29"/>
      <c r="HC1" s="7"/>
      <c r="HD1" s="29"/>
      <c r="HE1" s="29"/>
      <c r="HF1" s="29"/>
      <c r="HG1" s="54"/>
      <c r="HH1" s="7"/>
      <c r="HI1" s="29"/>
      <c r="HJ1" s="29"/>
      <c r="HK1" s="29"/>
      <c r="HL1" s="7"/>
      <c r="HM1" s="29"/>
      <c r="HN1" s="29"/>
      <c r="HO1" s="29"/>
      <c r="HP1" s="29"/>
      <c r="HQ1" s="7"/>
      <c r="HV1" s="7"/>
      <c r="HW1" s="7"/>
      <c r="HY1" s="6"/>
    </row>
    <row r="2" spans="1:237" s="4" customFormat="1" ht="24" x14ac:dyDescent="0.2">
      <c r="B2" s="55"/>
      <c r="C2" s="55"/>
      <c r="D2" s="56" t="s">
        <v>8</v>
      </c>
      <c r="E2" s="57"/>
      <c r="F2" s="7"/>
      <c r="G2" s="57"/>
      <c r="H2" s="58"/>
      <c r="I2" s="57"/>
      <c r="J2" s="148"/>
      <c r="K2" s="57"/>
      <c r="L2" s="7"/>
      <c r="M2"/>
      <c r="N2" s="104"/>
      <c r="O2" s="57"/>
      <c r="P2" s="48"/>
      <c r="Q2" s="48"/>
      <c r="R2" s="21"/>
      <c r="S2" s="149"/>
      <c r="T2" s="149"/>
      <c r="V2" s="78"/>
      <c r="W2" s="60"/>
      <c r="X2" s="57"/>
      <c r="Y2" s="57"/>
      <c r="Z2" s="224"/>
      <c r="AA2" s="116"/>
      <c r="AB2" s="57"/>
      <c r="AC2" s="57"/>
      <c r="AD2" s="57"/>
      <c r="AE2" s="57"/>
      <c r="AF2" s="57"/>
      <c r="AG2" s="48"/>
      <c r="AH2" s="21"/>
      <c r="AI2" s="21"/>
      <c r="AJ2" s="21"/>
      <c r="AK2" s="21"/>
      <c r="AL2" s="21"/>
      <c r="AM2" s="21"/>
      <c r="AN2" s="61"/>
      <c r="AO2" s="61"/>
      <c r="AP2" s="61"/>
      <c r="AQ2" s="61"/>
      <c r="AR2" s="61"/>
      <c r="AS2" s="61"/>
      <c r="AT2" s="61"/>
      <c r="AU2" s="61"/>
      <c r="AV2" s="61"/>
      <c r="AW2" s="61"/>
      <c r="AX2" s="61"/>
      <c r="AY2" s="61"/>
      <c r="AZ2" s="61"/>
      <c r="BA2" s="61"/>
      <c r="BB2" s="61"/>
      <c r="BC2" s="61"/>
      <c r="BD2" s="61"/>
      <c r="BE2" s="61"/>
      <c r="BF2" s="61"/>
      <c r="BG2" s="61"/>
      <c r="BH2" s="61"/>
      <c r="BI2" s="61"/>
      <c r="BJ2" s="7">
        <v>60.5</v>
      </c>
      <c r="BK2" s="7"/>
      <c r="BL2" s="7"/>
      <c r="BM2" s="8"/>
      <c r="BN2" s="7"/>
      <c r="BO2" s="7"/>
      <c r="BP2" s="7"/>
      <c r="BQ2" s="7"/>
      <c r="BR2" s="7"/>
      <c r="BS2" s="7"/>
      <c r="BT2" s="7"/>
      <c r="BU2" s="7"/>
      <c r="BV2" s="7"/>
      <c r="BW2" s="7"/>
      <c r="BX2" s="7"/>
      <c r="BY2" s="7"/>
      <c r="BZ2" s="7"/>
      <c r="CA2" s="7"/>
      <c r="CB2" s="7"/>
      <c r="CC2" s="7"/>
      <c r="CD2" s="7"/>
      <c r="CE2" s="7"/>
      <c r="CF2" s="7"/>
      <c r="CG2" s="7"/>
      <c r="CH2" s="7"/>
      <c r="CI2" s="7"/>
      <c r="CJ2" s="51"/>
      <c r="CK2" s="51"/>
      <c r="CL2" s="24"/>
      <c r="CM2" s="21"/>
      <c r="CN2" s="24"/>
      <c r="CO2" s="24"/>
      <c r="CP2" s="25" t="s">
        <v>9</v>
      </c>
      <c r="CQ2" s="7"/>
      <c r="CS2" s="7"/>
      <c r="CT2" s="7"/>
      <c r="CU2" s="52" t="s">
        <v>10</v>
      </c>
      <c r="CV2" s="7"/>
      <c r="CW2" s="52"/>
      <c r="CX2" s="52" t="s">
        <v>11</v>
      </c>
      <c r="CY2" s="48"/>
      <c r="CZ2" s="29"/>
      <c r="DA2" s="7"/>
      <c r="DB2" s="7"/>
      <c r="DC2" s="7"/>
      <c r="DE2" s="7"/>
      <c r="DF2" s="7"/>
      <c r="DG2" s="7"/>
      <c r="DH2" s="126"/>
      <c r="DI2" s="7"/>
      <c r="DJ2" s="7"/>
      <c r="DK2" s="7"/>
      <c r="DM2" s="7"/>
      <c r="DN2" s="7"/>
      <c r="DP2" s="7"/>
      <c r="DR2" s="7"/>
      <c r="DS2" s="7"/>
      <c r="DT2" s="7"/>
      <c r="DU2" s="7"/>
      <c r="DV2" s="7"/>
      <c r="DX2" s="7"/>
      <c r="DY2" s="7"/>
      <c r="DZ2" s="7"/>
      <c r="EA2" s="7"/>
      <c r="EB2" s="53"/>
      <c r="EC2" s="7"/>
      <c r="ED2" s="7"/>
      <c r="EE2" s="53"/>
      <c r="EF2" s="24"/>
      <c r="EG2" s="24"/>
      <c r="EH2" s="7"/>
      <c r="EI2" s="7"/>
      <c r="EJ2" s="7"/>
      <c r="EK2" s="7"/>
      <c r="EL2" s="61"/>
      <c r="EM2" s="61"/>
      <c r="EN2" s="61"/>
      <c r="EO2" s="216"/>
      <c r="EP2" s="216"/>
      <c r="EQ2" s="21"/>
      <c r="ER2" s="27"/>
      <c r="ES2" s="7"/>
      <c r="ET2" s="7"/>
      <c r="EU2" s="7"/>
      <c r="EV2" s="7"/>
      <c r="EW2" s="7"/>
      <c r="EX2" s="7"/>
      <c r="EY2" s="7"/>
      <c r="FB2" s="7"/>
      <c r="FC2" s="7"/>
      <c r="FD2" s="7"/>
      <c r="FE2" s="7"/>
      <c r="FF2" s="7"/>
      <c r="FG2" s="7"/>
      <c r="FH2" s="7"/>
      <c r="FI2" s="7"/>
      <c r="FJ2" s="7"/>
      <c r="FK2" s="7"/>
      <c r="FP2" s="7"/>
      <c r="FQ2" s="6"/>
      <c r="FR2" s="6"/>
      <c r="FT2" s="7"/>
      <c r="FU2" s="7"/>
      <c r="FV2" s="7"/>
      <c r="FW2" s="7"/>
      <c r="FX2" s="7"/>
      <c r="FY2" s="7"/>
      <c r="FZ2" s="7"/>
      <c r="GA2" s="7"/>
      <c r="GB2" s="7"/>
      <c r="GD2" s="7"/>
      <c r="GE2" s="7"/>
      <c r="GF2" s="54"/>
      <c r="GG2" s="7"/>
      <c r="GH2" s="7"/>
      <c r="GI2" s="7"/>
      <c r="GJ2" s="54"/>
      <c r="GK2" s="7"/>
      <c r="GL2" s="7"/>
      <c r="GM2" s="7"/>
      <c r="GN2" s="7"/>
      <c r="GO2" s="7"/>
      <c r="GP2" s="7"/>
      <c r="GQ2" s="7"/>
      <c r="GR2" s="29"/>
      <c r="GS2" s="29"/>
      <c r="GT2" s="145"/>
      <c r="GU2" s="7"/>
      <c r="GV2" s="29"/>
      <c r="GW2" s="29"/>
      <c r="GX2" s="29"/>
      <c r="GY2" s="7"/>
      <c r="GZ2" s="29"/>
      <c r="HA2" s="29"/>
      <c r="HB2" s="29"/>
      <c r="HC2" s="7"/>
      <c r="HD2" s="29"/>
      <c r="HE2" s="29"/>
      <c r="HF2" s="29"/>
      <c r="HG2" s="54"/>
      <c r="HH2" s="7"/>
      <c r="HI2" s="29"/>
      <c r="HJ2" s="29"/>
      <c r="HK2" s="29"/>
      <c r="HL2" s="7"/>
      <c r="HM2" s="29"/>
      <c r="HN2" s="29"/>
      <c r="HO2" s="29"/>
      <c r="HP2" s="29"/>
      <c r="HQ2" s="7"/>
      <c r="HV2" s="7"/>
      <c r="HW2" s="7"/>
    </row>
    <row r="3" spans="1:237" s="4" customFormat="1" x14ac:dyDescent="0.2">
      <c r="D3" s="62">
        <f>SUBTOTAL(3,D5:D468)</f>
        <v>84</v>
      </c>
      <c r="H3" s="6"/>
      <c r="J3" s="148"/>
      <c r="L3" s="7"/>
      <c r="M3" s="7"/>
      <c r="N3" s="105">
        <f>SUBTOTAL(9,N5:N468)</f>
        <v>106275</v>
      </c>
      <c r="O3" s="7"/>
      <c r="P3" s="48"/>
      <c r="Q3" s="48"/>
      <c r="R3" s="59" t="e">
        <f>SUBTOTAL(101,R5:R509)</f>
        <v>#N/A</v>
      </c>
      <c r="S3" s="59">
        <f>SUBTOTAL(101,S5:S509)</f>
        <v>1</v>
      </c>
      <c r="T3" s="59">
        <f>SUBTOTAL(101,T5:T509)</f>
        <v>0.97619047619047616</v>
      </c>
      <c r="U3" s="59">
        <f>SUBTOTAL(101,U5:U509)</f>
        <v>-2.3809523809523808E-2</v>
      </c>
      <c r="V3" s="288">
        <f>SUBTOTAL(9,V5:V509)</f>
        <v>99503.4</v>
      </c>
      <c r="W3" s="288">
        <f>SUBTOTAL(101,W5:W509)</f>
        <v>1050.6264285714285</v>
      </c>
      <c r="X3" s="288">
        <f>SUBTOTAL(9,W5:W468)</f>
        <v>88252.62</v>
      </c>
      <c r="Y3" s="63"/>
      <c r="Z3" s="221">
        <f t="shared" ref="Z3:AF3" si="0">SUBTOTAL(9,Z5:Z440)</f>
        <v>271345696350.64001</v>
      </c>
      <c r="AA3" s="221">
        <f t="shared" si="0"/>
        <v>0</v>
      </c>
      <c r="AB3" s="64">
        <f t="shared" si="0"/>
        <v>0</v>
      </c>
      <c r="AC3" s="64">
        <f t="shared" si="0"/>
        <v>0</v>
      </c>
      <c r="AD3" s="64">
        <f t="shared" si="0"/>
        <v>0</v>
      </c>
      <c r="AE3" s="64">
        <f t="shared" si="0"/>
        <v>0</v>
      </c>
      <c r="AF3" s="64">
        <f t="shared" si="0"/>
        <v>0</v>
      </c>
      <c r="AG3" s="48"/>
      <c r="AH3" s="21"/>
      <c r="AI3" s="21"/>
      <c r="AJ3" s="21"/>
      <c r="AK3" s="21"/>
      <c r="AL3" s="21"/>
      <c r="AM3" s="21"/>
      <c r="AN3" s="283">
        <f>SUBTOTAL(9,AN5:AN468)</f>
        <v>99503.4</v>
      </c>
      <c r="AO3" s="283">
        <f>SUBTOTAL(9,AO5:AO468)</f>
        <v>1362</v>
      </c>
      <c r="AP3" s="283"/>
      <c r="AQ3" s="283"/>
      <c r="AR3" s="283"/>
      <c r="AS3" s="283"/>
      <c r="AT3" s="283"/>
      <c r="AU3" s="283"/>
      <c r="AV3" s="283"/>
      <c r="AW3" s="283"/>
      <c r="AX3" s="283"/>
      <c r="AY3" s="283"/>
      <c r="AZ3" s="283"/>
      <c r="BA3" s="283"/>
      <c r="BB3" s="283"/>
      <c r="BC3" s="283"/>
      <c r="BD3" s="283"/>
      <c r="BE3" s="283"/>
      <c r="BF3" s="283"/>
      <c r="BG3" s="283"/>
      <c r="BH3" s="283"/>
      <c r="BI3" s="283"/>
      <c r="BJ3" s="63">
        <f>SUBTOTAL(9,BJ5:BJ468)</f>
        <v>88252.62</v>
      </c>
      <c r="BK3" s="63">
        <f>SUBTOTAL(9,BK5:BK468)</f>
        <v>36568.5</v>
      </c>
      <c r="BL3" s="63">
        <f t="shared" ref="BL3:CD3" si="1">SUBTOTAL(9,BL5:BL344)</f>
        <v>29128.2</v>
      </c>
      <c r="BM3" s="63">
        <f t="shared" si="1"/>
        <v>9984.9</v>
      </c>
      <c r="BN3" s="63">
        <f t="shared" si="1"/>
        <v>4104.5</v>
      </c>
      <c r="BO3" s="63">
        <f t="shared" si="1"/>
        <v>870.9</v>
      </c>
      <c r="BP3" s="63">
        <f t="shared" si="1"/>
        <v>451.4</v>
      </c>
      <c r="BQ3" s="63">
        <f t="shared" si="1"/>
        <v>4612.1000000000004</v>
      </c>
      <c r="BR3" s="63">
        <f t="shared" si="1"/>
        <v>0</v>
      </c>
      <c r="BS3" s="63">
        <f t="shared" si="1"/>
        <v>16</v>
      </c>
      <c r="BT3" s="63">
        <f t="shared" si="1"/>
        <v>0</v>
      </c>
      <c r="BU3" s="63">
        <f t="shared" si="1"/>
        <v>591.9</v>
      </c>
      <c r="BV3" s="63">
        <f t="shared" si="1"/>
        <v>0</v>
      </c>
      <c r="BW3" s="63">
        <f t="shared" si="1"/>
        <v>0</v>
      </c>
      <c r="BX3" s="63">
        <f t="shared" si="1"/>
        <v>0</v>
      </c>
      <c r="BY3" s="63">
        <f t="shared" si="1"/>
        <v>1071.72</v>
      </c>
      <c r="BZ3" s="63">
        <f t="shared" si="1"/>
        <v>0</v>
      </c>
      <c r="CA3" s="63">
        <f t="shared" si="1"/>
        <v>0</v>
      </c>
      <c r="CB3" s="63">
        <f t="shared" si="1"/>
        <v>852.5</v>
      </c>
      <c r="CC3" s="63">
        <f t="shared" si="1"/>
        <v>0</v>
      </c>
      <c r="CD3" s="63">
        <f t="shared" si="1"/>
        <v>0</v>
      </c>
      <c r="CE3" s="63">
        <f t="shared" ref="CE3:CI3" si="2">SUBTOTAL(9,CE5:CE344)</f>
        <v>21032</v>
      </c>
      <c r="CF3" s="63">
        <f t="shared" si="2"/>
        <v>0</v>
      </c>
      <c r="CG3" s="63">
        <f t="shared" si="2"/>
        <v>0</v>
      </c>
      <c r="CH3" s="63">
        <f t="shared" si="2"/>
        <v>0</v>
      </c>
      <c r="CI3" s="63">
        <f t="shared" si="2"/>
        <v>21032</v>
      </c>
      <c r="CJ3" s="63">
        <f>SUBTOTAL(9,CJ5:CJ468)</f>
        <v>1241.98</v>
      </c>
      <c r="CK3" s="63"/>
      <c r="CL3" s="26"/>
      <c r="CM3" s="27"/>
      <c r="CN3" s="26"/>
      <c r="CO3" s="26"/>
      <c r="CP3" s="28">
        <v>46033</v>
      </c>
      <c r="CQ3" s="25"/>
      <c r="CR3" s="25"/>
      <c r="CS3" s="25"/>
      <c r="CT3" s="25"/>
      <c r="CU3" s="63">
        <f>SUBTOTAL(9,CU5:CU468)</f>
        <v>237908178576.48935</v>
      </c>
      <c r="CV3" s="63">
        <f>SUBTOTAL(9,CV5:CV468)</f>
        <v>237908178576.48935</v>
      </c>
      <c r="CW3" s="63">
        <f>SUBTOTAL(9,CW5:CW468)</f>
        <v>237639539189</v>
      </c>
      <c r="CX3" s="63">
        <f>SUBTOTAL(9,CX5:CX468)</f>
        <v>237639539189</v>
      </c>
      <c r="CY3" s="63"/>
      <c r="CZ3" s="29"/>
      <c r="DA3" s="7"/>
      <c r="DB3" s="7"/>
      <c r="DC3" s="289">
        <f>SUBTOTAL(3,DC5:DC468)</f>
        <v>7</v>
      </c>
      <c r="DD3" s="63">
        <f>SUBTOTAL(9,DD5:DD468)</f>
        <v>598048377192</v>
      </c>
      <c r="DE3" s="7"/>
      <c r="DF3" s="7"/>
      <c r="DG3" s="289">
        <f>SUBTOTAL(3,DG5:DG468)</f>
        <v>7</v>
      </c>
      <c r="DH3" s="127">
        <f>SUBTOTAL(9,DH5:DH468)</f>
        <v>598048377192</v>
      </c>
      <c r="DI3" s="7"/>
      <c r="DJ3" s="7"/>
      <c r="DK3" s="7"/>
      <c r="DM3" s="7">
        <f>SUBTOTAL(3,DM345:DM439)</f>
        <v>0</v>
      </c>
      <c r="DN3" s="7">
        <f>SUBTOTAL(3,DN345:DN439)</f>
        <v>0</v>
      </c>
      <c r="DO3" s="7">
        <f>SUBTOTAL(3,DO345:DO439)</f>
        <v>0</v>
      </c>
      <c r="DP3" s="7">
        <f>SUBTOTAL(3,DP345:DP439)</f>
        <v>0</v>
      </c>
      <c r="DR3" s="7">
        <f>SUBTOTAL(3,DR345:DR439)</f>
        <v>0</v>
      </c>
      <c r="DS3" s="7"/>
      <c r="DT3" s="7"/>
      <c r="DU3" s="7"/>
      <c r="DV3" s="7"/>
      <c r="DX3" s="289">
        <f>SUBTOTAL(3,DX5:DX468)</f>
        <v>0</v>
      </c>
      <c r="DY3" s="7">
        <f>SUBTOTAL(9,DY5:DY468)</f>
        <v>0</v>
      </c>
      <c r="DZ3" s="7">
        <f>SUBTOTAL(9,DZ5:DZ468)</f>
        <v>0</v>
      </c>
      <c r="EA3" s="7">
        <f>SUBTOTAL(3,EA345:EA439)</f>
        <v>0</v>
      </c>
      <c r="EB3" s="53"/>
      <c r="EC3" s="7">
        <f>SUBTOTAL(9,EC5:EC468)</f>
        <v>0</v>
      </c>
      <c r="ED3" s="7">
        <f>SUBTOTAL(9,ED5:ED468)</f>
        <v>0</v>
      </c>
      <c r="EE3" s="53"/>
      <c r="EF3" s="21">
        <f>SUBTOTAL(101,EF5:EF468)</f>
        <v>1</v>
      </c>
      <c r="EG3" s="21">
        <f>SUBTOTAL(101,EG5:EG468)</f>
        <v>1</v>
      </c>
      <c r="EH3" s="7"/>
      <c r="EI3" s="7"/>
      <c r="EJ3" s="7"/>
      <c r="EK3" s="7"/>
      <c r="EL3" s="7"/>
      <c r="EM3" s="7"/>
      <c r="EN3" s="7"/>
      <c r="EO3" s="7">
        <f>SUBTOTAL(9,EO5:EO468)</f>
        <v>0</v>
      </c>
      <c r="EP3" s="7">
        <f>SUBTOTAL(9,EP5:EP468)</f>
        <v>0</v>
      </c>
      <c r="EQ3" s="21">
        <f>SUBTOTAL(101,EQ5:EQ468)</f>
        <v>1</v>
      </c>
      <c r="ER3" s="21">
        <f>SUBTOTAL(101,ER5:ER468)</f>
        <v>1</v>
      </c>
      <c r="ES3" s="7"/>
      <c r="ET3" s="7"/>
      <c r="EU3" s="7"/>
      <c r="EV3" s="7"/>
      <c r="EW3" s="7"/>
      <c r="EX3" s="7"/>
      <c r="EY3" s="7"/>
      <c r="FB3" s="7"/>
      <c r="FC3" s="7"/>
      <c r="FD3" s="7"/>
      <c r="FE3" s="7"/>
      <c r="FF3" s="7"/>
      <c r="FG3" s="7"/>
      <c r="FH3" s="7"/>
      <c r="FI3" s="7"/>
      <c r="FJ3" s="7"/>
      <c r="FK3" s="7"/>
      <c r="FP3" s="8">
        <f>SUBTOTAL(3,FP5:FP468)</f>
        <v>1</v>
      </c>
      <c r="FQ3" s="8">
        <f>SUBTOTAL(3,FQ5:FQ468)</f>
        <v>0</v>
      </c>
      <c r="FR3" s="8">
        <f>SUBTOTAL(3,FR5:FR468)</f>
        <v>1</v>
      </c>
      <c r="FT3" s="7"/>
      <c r="FU3" s="7"/>
      <c r="FV3" s="7"/>
      <c r="FW3" s="7"/>
      <c r="FX3" s="7"/>
      <c r="FY3" s="7"/>
      <c r="FZ3" s="63">
        <f>SUBTOTAL(3,FZ5:FZ468)</f>
        <v>5</v>
      </c>
      <c r="GA3" s="7"/>
      <c r="GB3" s="7"/>
      <c r="GC3" s="63">
        <f>SUBTOTAL(3,GC5:GC468)</f>
        <v>84</v>
      </c>
      <c r="GD3" s="7"/>
      <c r="GE3" s="7"/>
      <c r="GF3" s="63">
        <f>SUBTOTAL(3,GF5:GF468)</f>
        <v>84</v>
      </c>
      <c r="GG3" s="7"/>
      <c r="GH3" s="7"/>
      <c r="GI3" s="7"/>
      <c r="GJ3" s="63">
        <f>SUBTOTAL(3,GJ5:GJ468)</f>
        <v>83</v>
      </c>
      <c r="GK3" s="7"/>
      <c r="GL3" s="7"/>
      <c r="GM3" s="7"/>
      <c r="GN3" s="7"/>
      <c r="GO3" s="7"/>
      <c r="GP3" s="146" t="s">
        <v>12</v>
      </c>
      <c r="GQ3" s="7"/>
      <c r="GR3" s="29"/>
      <c r="GS3" s="29"/>
      <c r="GT3" s="63">
        <f>SUBTOTAL(3,GT5:GT468)</f>
        <v>81</v>
      </c>
      <c r="GU3" s="7"/>
      <c r="GV3" s="29"/>
      <c r="GW3" s="29"/>
      <c r="GX3" s="63">
        <f>SUBTOTAL(3,GX5:GX468)</f>
        <v>44</v>
      </c>
      <c r="GY3" s="7"/>
      <c r="GZ3" s="29"/>
      <c r="HA3" s="29"/>
      <c r="HB3" s="63">
        <f>SUBTOTAL(3,HB5:HB468)</f>
        <v>81</v>
      </c>
      <c r="HC3" s="7"/>
      <c r="HD3" s="29"/>
      <c r="HE3" s="29"/>
      <c r="HF3" s="29"/>
      <c r="HG3" s="63">
        <f>SUBTOTAL(3,HG5:HG468)</f>
        <v>82</v>
      </c>
      <c r="HH3" s="7"/>
      <c r="HI3" s="29"/>
      <c r="HJ3" s="29"/>
      <c r="HK3" s="63">
        <f>SUBTOTAL(3,HK5:HK468)</f>
        <v>0</v>
      </c>
      <c r="HL3" s="7"/>
      <c r="HM3" s="29"/>
      <c r="HN3" s="29"/>
      <c r="HO3" s="29"/>
      <c r="HP3" s="63">
        <f>SUBTOTAL(3,HP5:HP468)</f>
        <v>82</v>
      </c>
      <c r="HQ3" s="7"/>
      <c r="HV3" s="63">
        <f>SUBTOTAL(3,HV5:HV468)</f>
        <v>82</v>
      </c>
      <c r="HW3" s="7"/>
    </row>
    <row r="4" spans="1:237" s="1" customFormat="1" ht="61.25" customHeight="1" thickBot="1" x14ac:dyDescent="0.25">
      <c r="B4" s="11" t="s">
        <v>13</v>
      </c>
      <c r="C4" s="11" t="s">
        <v>14</v>
      </c>
      <c r="D4" s="11" t="s">
        <v>15</v>
      </c>
      <c r="E4" s="11" t="s">
        <v>16</v>
      </c>
      <c r="F4" s="11" t="s">
        <v>17</v>
      </c>
      <c r="G4" s="12" t="s">
        <v>18</v>
      </c>
      <c r="H4" s="12" t="s">
        <v>19</v>
      </c>
      <c r="I4" s="2" t="s">
        <v>20</v>
      </c>
      <c r="J4" s="9" t="s">
        <v>21</v>
      </c>
      <c r="K4" s="11" t="s">
        <v>22</v>
      </c>
      <c r="L4" s="3" t="s">
        <v>23</v>
      </c>
      <c r="M4" s="110" t="s">
        <v>24</v>
      </c>
      <c r="N4" s="106" t="s">
        <v>25</v>
      </c>
      <c r="O4" s="12" t="s">
        <v>26</v>
      </c>
      <c r="P4" s="12" t="s">
        <v>27</v>
      </c>
      <c r="Q4" s="12" t="s">
        <v>28</v>
      </c>
      <c r="R4" s="86" t="s">
        <v>29</v>
      </c>
      <c r="S4" s="150" t="s">
        <v>30</v>
      </c>
      <c r="T4" s="150" t="s">
        <v>31</v>
      </c>
      <c r="U4" s="97" t="s">
        <v>32</v>
      </c>
      <c r="V4" s="79" t="s">
        <v>33</v>
      </c>
      <c r="W4" s="14" t="s">
        <v>34</v>
      </c>
      <c r="X4" s="17" t="s">
        <v>35</v>
      </c>
      <c r="Y4" s="11" t="s">
        <v>36</v>
      </c>
      <c r="Z4" s="222" t="s">
        <v>37</v>
      </c>
      <c r="AA4" s="222" t="s">
        <v>38</v>
      </c>
      <c r="AB4" s="12" t="s">
        <v>39</v>
      </c>
      <c r="AC4" s="13" t="s">
        <v>40</v>
      </c>
      <c r="AD4" s="13" t="s">
        <v>41</v>
      </c>
      <c r="AE4" s="13" t="s">
        <v>42</v>
      </c>
      <c r="AF4" s="13" t="s">
        <v>43</v>
      </c>
      <c r="AG4" s="10" t="s">
        <v>44</v>
      </c>
      <c r="AH4" s="20" t="s">
        <v>45</v>
      </c>
      <c r="AI4" s="20" t="s">
        <v>46</v>
      </c>
      <c r="AJ4" s="20" t="s">
        <v>47</v>
      </c>
      <c r="AK4" s="20" t="s">
        <v>48</v>
      </c>
      <c r="AL4" s="20" t="s">
        <v>49</v>
      </c>
      <c r="AM4" s="23" t="s">
        <v>50</v>
      </c>
      <c r="AN4" s="287" t="s">
        <v>2</v>
      </c>
      <c r="AO4" s="287" t="s">
        <v>3</v>
      </c>
      <c r="AP4" s="287" t="s">
        <v>51</v>
      </c>
      <c r="AQ4" s="287" t="s">
        <v>52</v>
      </c>
      <c r="AR4" s="287" t="s">
        <v>53</v>
      </c>
      <c r="AS4" s="287" t="s">
        <v>54</v>
      </c>
      <c r="AT4" s="287" t="s">
        <v>55</v>
      </c>
      <c r="AU4" s="287" t="s">
        <v>56</v>
      </c>
      <c r="AV4" s="287" t="s">
        <v>57</v>
      </c>
      <c r="AW4" s="287" t="s">
        <v>58</v>
      </c>
      <c r="AX4" s="287" t="s">
        <v>59</v>
      </c>
      <c r="AY4" s="287" t="s">
        <v>60</v>
      </c>
      <c r="AZ4" s="287" t="s">
        <v>61</v>
      </c>
      <c r="BA4" s="287" t="s">
        <v>62</v>
      </c>
      <c r="BB4" s="287" t="s">
        <v>63</v>
      </c>
      <c r="BC4" s="287" t="s">
        <v>64</v>
      </c>
      <c r="BD4" s="287" t="s">
        <v>65</v>
      </c>
      <c r="BE4" s="287" t="s">
        <v>66</v>
      </c>
      <c r="BF4" s="287" t="s">
        <v>67</v>
      </c>
      <c r="BG4" s="287" t="s">
        <v>68</v>
      </c>
      <c r="BH4" s="287" t="s">
        <v>69</v>
      </c>
      <c r="BI4" s="287" t="s">
        <v>70</v>
      </c>
      <c r="BJ4" s="14" t="s">
        <v>5</v>
      </c>
      <c r="BK4" s="14" t="s">
        <v>71</v>
      </c>
      <c r="BL4" s="14" t="s">
        <v>72</v>
      </c>
      <c r="BM4" s="14" t="s">
        <v>73</v>
      </c>
      <c r="BN4" s="14" t="s">
        <v>74</v>
      </c>
      <c r="BO4" s="14" t="s">
        <v>75</v>
      </c>
      <c r="BP4" s="14" t="s">
        <v>76</v>
      </c>
      <c r="BQ4" s="14" t="s">
        <v>77</v>
      </c>
      <c r="BR4" s="14" t="s">
        <v>78</v>
      </c>
      <c r="BS4" s="14" t="s">
        <v>79</v>
      </c>
      <c r="BT4" s="14" t="s">
        <v>80</v>
      </c>
      <c r="BU4" s="14" t="s">
        <v>81</v>
      </c>
      <c r="BV4" s="14" t="s">
        <v>82</v>
      </c>
      <c r="BW4" s="14" t="s">
        <v>83</v>
      </c>
      <c r="BX4" s="14" t="s">
        <v>84</v>
      </c>
      <c r="BY4" s="14" t="s">
        <v>85</v>
      </c>
      <c r="BZ4" s="14" t="s">
        <v>86</v>
      </c>
      <c r="CA4" s="14" t="s">
        <v>87</v>
      </c>
      <c r="CB4" s="14" t="s">
        <v>88</v>
      </c>
      <c r="CC4" s="14" t="s">
        <v>89</v>
      </c>
      <c r="CD4" s="14" t="s">
        <v>90</v>
      </c>
      <c r="CE4" s="12" t="s">
        <v>91</v>
      </c>
      <c r="CF4" s="12" t="s">
        <v>92</v>
      </c>
      <c r="CG4" s="12" t="s">
        <v>93</v>
      </c>
      <c r="CH4" s="12" t="s">
        <v>94</v>
      </c>
      <c r="CI4" s="12" t="s">
        <v>95</v>
      </c>
      <c r="CJ4" s="12" t="s">
        <v>96</v>
      </c>
      <c r="CK4" s="23" t="s">
        <v>97</v>
      </c>
      <c r="CL4" s="76" t="s">
        <v>98</v>
      </c>
      <c r="CM4" s="76" t="s">
        <v>99</v>
      </c>
      <c r="CN4" s="76" t="s">
        <v>100</v>
      </c>
      <c r="CO4" s="76" t="s">
        <v>101</v>
      </c>
      <c r="CP4" s="15" t="s">
        <v>102</v>
      </c>
      <c r="CQ4" s="15" t="s">
        <v>103</v>
      </c>
      <c r="CR4" s="15" t="s">
        <v>104</v>
      </c>
      <c r="CS4" s="15" t="s">
        <v>105</v>
      </c>
      <c r="CT4" s="15" t="s">
        <v>106</v>
      </c>
      <c r="CU4" s="15" t="s">
        <v>107</v>
      </c>
      <c r="CV4" s="15" t="s">
        <v>108</v>
      </c>
      <c r="CW4" s="281" t="s">
        <v>109</v>
      </c>
      <c r="CX4" s="282" t="s">
        <v>110</v>
      </c>
      <c r="CY4" s="23" t="s">
        <v>111</v>
      </c>
      <c r="CZ4" s="16" t="s">
        <v>112</v>
      </c>
      <c r="DA4" s="13" t="s">
        <v>113</v>
      </c>
      <c r="DB4" s="12" t="s">
        <v>114</v>
      </c>
      <c r="DC4" s="12" t="s">
        <v>115</v>
      </c>
      <c r="DD4" s="12" t="s">
        <v>116</v>
      </c>
      <c r="DE4" s="12" t="s">
        <v>117</v>
      </c>
      <c r="DF4" s="17" t="s">
        <v>118</v>
      </c>
      <c r="DG4" s="17" t="s">
        <v>119</v>
      </c>
      <c r="DH4" s="128" t="s">
        <v>120</v>
      </c>
      <c r="DI4" s="17" t="s">
        <v>121</v>
      </c>
      <c r="DJ4" s="13" t="s">
        <v>122</v>
      </c>
      <c r="DK4" s="13" t="s">
        <v>123</v>
      </c>
      <c r="DL4" s="12" t="s">
        <v>124</v>
      </c>
      <c r="DM4" s="12" t="s">
        <v>125</v>
      </c>
      <c r="DN4" s="12" t="s">
        <v>126</v>
      </c>
      <c r="DO4" s="17" t="s">
        <v>127</v>
      </c>
      <c r="DP4" s="102" t="s">
        <v>128</v>
      </c>
      <c r="DQ4" s="102" t="s">
        <v>129</v>
      </c>
      <c r="DR4" s="17" t="s">
        <v>130</v>
      </c>
      <c r="DS4" s="13" t="s">
        <v>131</v>
      </c>
      <c r="DT4" s="13" t="s">
        <v>132</v>
      </c>
      <c r="DU4" s="13" t="s">
        <v>133</v>
      </c>
      <c r="DV4" s="13" t="s">
        <v>134</v>
      </c>
      <c r="DW4" s="12" t="s">
        <v>135</v>
      </c>
      <c r="DX4" s="12" t="s">
        <v>136</v>
      </c>
      <c r="DY4" s="12" t="s">
        <v>137</v>
      </c>
      <c r="DZ4" s="12" t="s">
        <v>138</v>
      </c>
      <c r="EA4" s="12" t="s">
        <v>139</v>
      </c>
      <c r="EB4" s="42" t="s">
        <v>140</v>
      </c>
      <c r="EC4" s="17" t="s">
        <v>141</v>
      </c>
      <c r="ED4" s="17" t="s">
        <v>142</v>
      </c>
      <c r="EE4" s="42" t="s">
        <v>143</v>
      </c>
      <c r="EF4" s="84" t="s">
        <v>144</v>
      </c>
      <c r="EG4" s="84" t="s">
        <v>145</v>
      </c>
      <c r="EH4" s="17" t="s">
        <v>146</v>
      </c>
      <c r="EI4" s="17" t="s">
        <v>147</v>
      </c>
      <c r="EJ4" s="13" t="s">
        <v>148</v>
      </c>
      <c r="EK4" s="13" t="s">
        <v>149</v>
      </c>
      <c r="EL4" s="13" t="s">
        <v>150</v>
      </c>
      <c r="EM4" s="13" t="s">
        <v>151</v>
      </c>
      <c r="EN4" s="19" t="s">
        <v>152</v>
      </c>
      <c r="EO4" s="217" t="s">
        <v>153</v>
      </c>
      <c r="EP4" s="217" t="s">
        <v>154</v>
      </c>
      <c r="EQ4" s="86" t="s">
        <v>155</v>
      </c>
      <c r="ER4" s="86" t="s">
        <v>156</v>
      </c>
      <c r="ES4" s="12" t="s">
        <v>157</v>
      </c>
      <c r="ET4" s="10" t="s">
        <v>158</v>
      </c>
      <c r="EU4" s="23" t="s">
        <v>159</v>
      </c>
      <c r="EV4" s="13" t="s">
        <v>160</v>
      </c>
      <c r="EW4" s="13" t="s">
        <v>161</v>
      </c>
      <c r="EX4" s="13" t="s">
        <v>162</v>
      </c>
      <c r="EY4" s="13" t="s">
        <v>163</v>
      </c>
      <c r="EZ4" s="12" t="s">
        <v>164</v>
      </c>
      <c r="FA4" s="292" t="s">
        <v>165</v>
      </c>
      <c r="FB4" s="290" t="s">
        <v>166</v>
      </c>
      <c r="FC4" s="291" t="s">
        <v>167</v>
      </c>
      <c r="FD4" s="290" t="s">
        <v>168</v>
      </c>
      <c r="FE4" s="290" t="s">
        <v>169</v>
      </c>
      <c r="FF4" s="291" t="s">
        <v>170</v>
      </c>
      <c r="FG4" s="290" t="s">
        <v>171</v>
      </c>
      <c r="FH4" s="290" t="s">
        <v>172</v>
      </c>
      <c r="FI4" s="291" t="s">
        <v>173</v>
      </c>
      <c r="FJ4" s="291" t="s">
        <v>174</v>
      </c>
      <c r="FK4" s="291" t="s">
        <v>175</v>
      </c>
      <c r="FL4" s="12" t="s">
        <v>176</v>
      </c>
      <c r="FM4" s="12" t="s">
        <v>177</v>
      </c>
      <c r="FN4" s="12" t="s">
        <v>178</v>
      </c>
      <c r="FO4" s="12" t="s">
        <v>179</v>
      </c>
      <c r="FP4" s="11" t="s">
        <v>180</v>
      </c>
      <c r="FQ4" s="12" t="s">
        <v>181</v>
      </c>
      <c r="FR4" s="12" t="s">
        <v>182</v>
      </c>
      <c r="FS4" s="12" t="s">
        <v>183</v>
      </c>
      <c r="FT4" s="12" t="s">
        <v>184</v>
      </c>
      <c r="FU4" s="12" t="s">
        <v>185</v>
      </c>
      <c r="FV4" s="10" t="s">
        <v>186</v>
      </c>
      <c r="FW4" s="10" t="s">
        <v>187</v>
      </c>
      <c r="FX4" s="23" t="s">
        <v>188</v>
      </c>
      <c r="FY4" s="13" t="s">
        <v>189</v>
      </c>
      <c r="FZ4" s="229" t="s">
        <v>190</v>
      </c>
      <c r="GA4" s="229" t="s">
        <v>191</v>
      </c>
      <c r="GB4" s="13" t="s">
        <v>192</v>
      </c>
      <c r="GC4" s="12" t="s">
        <v>193</v>
      </c>
      <c r="GD4" s="12" t="s">
        <v>194</v>
      </c>
      <c r="GE4" s="13" t="s">
        <v>195</v>
      </c>
      <c r="GF4" s="18" t="s">
        <v>196</v>
      </c>
      <c r="GG4" s="12" t="s">
        <v>197</v>
      </c>
      <c r="GH4" s="13" t="s">
        <v>198</v>
      </c>
      <c r="GI4" s="13" t="s">
        <v>199</v>
      </c>
      <c r="GJ4" s="18" t="s">
        <v>200</v>
      </c>
      <c r="GK4" s="12" t="s">
        <v>201</v>
      </c>
      <c r="GL4" s="13" t="s">
        <v>202</v>
      </c>
      <c r="GM4" s="13" t="s">
        <v>203</v>
      </c>
      <c r="GN4" s="13" t="s">
        <v>204</v>
      </c>
      <c r="GO4" s="13" t="s">
        <v>205</v>
      </c>
      <c r="GP4" s="118" t="s">
        <v>206</v>
      </c>
      <c r="GQ4" s="12" t="s">
        <v>207</v>
      </c>
      <c r="GR4" s="16" t="s">
        <v>208</v>
      </c>
      <c r="GS4" s="16" t="s">
        <v>209</v>
      </c>
      <c r="GT4" s="18" t="s">
        <v>210</v>
      </c>
      <c r="GU4" s="18" t="s">
        <v>211</v>
      </c>
      <c r="GV4" s="16" t="s">
        <v>212</v>
      </c>
      <c r="GW4" s="16" t="s">
        <v>213</v>
      </c>
      <c r="GX4" s="18" t="s">
        <v>214</v>
      </c>
      <c r="GY4" s="18" t="s">
        <v>215</v>
      </c>
      <c r="GZ4" s="16" t="s">
        <v>216</v>
      </c>
      <c r="HA4" s="16" t="s">
        <v>217</v>
      </c>
      <c r="HB4" s="18" t="s">
        <v>218</v>
      </c>
      <c r="HC4" s="18" t="s">
        <v>219</v>
      </c>
      <c r="HD4" s="16" t="s">
        <v>220</v>
      </c>
      <c r="HE4" s="16" t="s">
        <v>221</v>
      </c>
      <c r="HF4" s="16" t="s">
        <v>222</v>
      </c>
      <c r="HG4" s="18" t="s">
        <v>223</v>
      </c>
      <c r="HH4" s="12" t="s">
        <v>224</v>
      </c>
      <c r="HI4" s="16" t="s">
        <v>225</v>
      </c>
      <c r="HJ4" s="16" t="s">
        <v>226</v>
      </c>
      <c r="HK4" s="18" t="s">
        <v>227</v>
      </c>
      <c r="HL4" s="12" t="s">
        <v>228</v>
      </c>
      <c r="HM4" s="16" t="s">
        <v>229</v>
      </c>
      <c r="HN4" s="16" t="s">
        <v>230</v>
      </c>
      <c r="HO4" s="16" t="s">
        <v>231</v>
      </c>
      <c r="HP4" s="18" t="s">
        <v>232</v>
      </c>
      <c r="HQ4" s="12" t="s">
        <v>233</v>
      </c>
      <c r="HR4" s="16" t="s">
        <v>234</v>
      </c>
      <c r="HS4" s="16" t="s">
        <v>235</v>
      </c>
      <c r="HT4" s="16" t="s">
        <v>236</v>
      </c>
      <c r="HU4" s="16" t="s">
        <v>237</v>
      </c>
      <c r="HV4" s="18" t="s">
        <v>238</v>
      </c>
      <c r="HW4" s="11" t="s">
        <v>239</v>
      </c>
      <c r="HX4" s="23" t="s">
        <v>240</v>
      </c>
      <c r="HY4" s="12" t="s">
        <v>241</v>
      </c>
      <c r="HZ4" s="12" t="s">
        <v>242</v>
      </c>
      <c r="IB4" s="619" t="s">
        <v>243</v>
      </c>
    </row>
    <row r="5" spans="1:237" s="4" customFormat="1" ht="15" customHeight="1" x14ac:dyDescent="0.2">
      <c r="B5" s="311">
        <f>SUBTOTAL(3,$D$5:D5)</f>
        <v>1</v>
      </c>
      <c r="C5" s="311">
        <v>1</v>
      </c>
      <c r="D5" s="312" t="s">
        <v>244</v>
      </c>
      <c r="E5" s="312" t="s">
        <v>245</v>
      </c>
      <c r="F5" s="312" t="s">
        <v>246</v>
      </c>
      <c r="G5" s="313">
        <v>45752</v>
      </c>
      <c r="H5" s="314" t="s">
        <v>247</v>
      </c>
      <c r="I5" s="315" t="s">
        <v>248</v>
      </c>
      <c r="J5" s="312"/>
      <c r="K5" s="314" t="s">
        <v>249</v>
      </c>
      <c r="L5" s="316" t="s">
        <v>250</v>
      </c>
      <c r="M5" s="316" t="s">
        <v>251</v>
      </c>
      <c r="N5" s="317">
        <v>877</v>
      </c>
      <c r="O5" s="318" t="s">
        <v>252</v>
      </c>
      <c r="P5" s="31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 s="87" t="e">
        <v>#N/A</v>
      </c>
      <c r="S5" s="87">
        <v>1</v>
      </c>
      <c r="T5" s="87">
        <f>Table1[[#This Row],[Progres Total Aktual
(%)]]</f>
        <v>1</v>
      </c>
      <c r="U5" s="123">
        <f>Table1[[#This Row],[Progres Aktual
(%)]]-Table1[[#This Row],[Target Progres
(%)]]</f>
        <v>0</v>
      </c>
      <c r="V5" s="321">
        <f>Table1[[#This Row],["Volume
BA MC-0"]]</f>
        <v>0</v>
      </c>
      <c r="W5" s="322">
        <f>Table1[[#This Row],[Total Panjang Pipa Aktual
(Sum-&gt;)3]]</f>
        <v>852.5</v>
      </c>
      <c r="X5" s="47"/>
      <c r="Y5" s="323" t="s">
        <v>253</v>
      </c>
      <c r="Z5" s="323">
        <v>55647427855</v>
      </c>
      <c r="AA5" s="323">
        <f>ROUND((Table1[[#This Row],[Nilai RAB Jaringan
(Exclude Ppn)]]-Table1[[#This Row],[RAB Perizinan]])*1.11+Table1[[#This Row],[RAB Perizinan]],0)</f>
        <v>0</v>
      </c>
      <c r="AB5" s="319">
        <f>SUM(Table1[[#This Row],[RAB Kegiatan Umum]:[RAB Perizinan]])</f>
        <v>0</v>
      </c>
      <c r="AC5" s="319"/>
      <c r="AD5" s="319"/>
      <c r="AE5" s="319"/>
      <c r="AF5" s="319"/>
      <c r="AG5" s="320">
        <v>0</v>
      </c>
      <c r="AH5" s="87" t="e">
        <f>SUM(Table1[[#This Row],[Bobot Keg Umum]:[Bobot Perizinan]])</f>
        <v>#DIV/0!</v>
      </c>
      <c r="AI5" s="87" t="e">
        <f>Table1[[#This Row],[RAB Kegiatan Umum]]/Table1[[#This Row],[Nilai RAB Jaringan
(Exclude Ppn)]]</f>
        <v>#DIV/0!</v>
      </c>
      <c r="AJ5" s="87" t="e">
        <f>Table1[[#This Row],[RAB Pemasangan]]/Table1[[#This Row],[Nilai RAB Jaringan
(Exclude Ppn)]]</f>
        <v>#DIV/0!</v>
      </c>
      <c r="AK5" s="87" t="e">
        <f>Table1[[#This Row],[RAB Pengadaan]]/Table1[[#This Row],[Nilai RAB Jaringan
(Exclude Ppn)]]</f>
        <v>#DIV/0!</v>
      </c>
      <c r="AL5" s="87" t="e">
        <f>Table1[[#This Row],[RAB Perizinan]]/Table1[[#This Row],[Nilai RAB Jaringan
(Exclude Ppn)]]</f>
        <v>#DIV/0!</v>
      </c>
      <c r="AM5" s="47"/>
      <c r="AN5" s="324"/>
      <c r="AO5" s="324">
        <f>SUM(Table1[[#This Row],[Pipa 63 mm]:[Pipa 1,800 mm]])</f>
        <v>0</v>
      </c>
      <c r="AP5" s="324"/>
      <c r="AQ5" s="324"/>
      <c r="AR5" s="324"/>
      <c r="AS5" s="324"/>
      <c r="AT5" s="324"/>
      <c r="AU5" s="324"/>
      <c r="AV5" s="324"/>
      <c r="AW5" s="324"/>
      <c r="AX5" s="324"/>
      <c r="AY5" s="324"/>
      <c r="AZ5" s="324"/>
      <c r="BA5" s="324"/>
      <c r="BB5" s="324"/>
      <c r="BC5" s="324"/>
      <c r="BD5" s="324"/>
      <c r="BE5" s="324"/>
      <c r="BF5" s="324"/>
      <c r="BG5" s="324"/>
      <c r="BH5" s="324"/>
      <c r="BI5" s="324"/>
      <c r="BJ5" s="325">
        <f>SUM(Table1[[#This Row],[Pipa 63 mm2]:[Pipa 1,800 mm21]])</f>
        <v>852.5</v>
      </c>
      <c r="BK5" s="65"/>
      <c r="BL5" s="65"/>
      <c r="BM5" s="65"/>
      <c r="BN5" s="65"/>
      <c r="BO5" s="65"/>
      <c r="BP5" s="65"/>
      <c r="BQ5" s="65"/>
      <c r="BR5" s="65"/>
      <c r="BS5" s="65"/>
      <c r="BT5" s="65"/>
      <c r="BU5" s="65"/>
      <c r="BV5" s="65"/>
      <c r="BW5" s="65"/>
      <c r="BX5" s="65"/>
      <c r="BY5" s="65"/>
      <c r="BZ5" s="65"/>
      <c r="CA5" s="65"/>
      <c r="CB5" s="65">
        <f>522.5+267.6+62.4</f>
        <v>852.5</v>
      </c>
      <c r="CC5" s="65"/>
      <c r="CD5" s="65"/>
      <c r="CE5" s="65">
        <v>0</v>
      </c>
      <c r="CF5" s="65"/>
      <c r="CG5" s="65"/>
      <c r="CH5" s="65"/>
      <c r="CI5" s="65">
        <f t="shared" ref="CI5:CI68" si="3">SUM(CE5:CH5)</f>
        <v>0</v>
      </c>
      <c r="CJ5" s="65">
        <f>IF((Table1[[#This Row],["Volume
BA MC-0"]]-Table1[[#This Row],[Total Panjang Pipa Aktual
(Sum-&gt;)3]]-Table1[[#This Row],[Total Volume
tidak dapat dipasang]])&gt;=0,Table1[[#This Row],["Volume
BA MC-0"]]-Table1[[#This Row],[Total Panjang Pipa Aktual
(Sum-&gt;)3]]-Table1[[#This Row],[Total Volume
tidak dapat dipasang]],0)</f>
        <v>0</v>
      </c>
      <c r="CK5" s="47"/>
      <c r="CL5" s="326"/>
      <c r="CM5" s="87"/>
      <c r="CN5" s="326"/>
      <c r="CO5" s="326"/>
      <c r="CP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 s="328">
        <f>IFERROR(Table1[[#This Row],[Progres Keg. Umum
(%)]]*Table1[[#This Row],[Nilai RAB Jaringan
(file pa aji)]],0)</f>
        <v>0</v>
      </c>
      <c r="CR5" s="328">
        <f>IFERROR(Table1[[#This Row],[Progres MOS
(%)]]*Table1[[#This Row],[Nilai RAB Jaringan
(file pa aji)]],0)</f>
        <v>0</v>
      </c>
      <c r="CS5" s="328">
        <f>IFERROR(Table1[[#This Row],[Progres Pemasangan
(%)]]*Table1[[#This Row],[Nilai RAB Jaringan
(file pa aji)]],0)</f>
        <v>0</v>
      </c>
      <c r="CT5" s="328">
        <f>IFERROR(Table1[[#This Row],[Progres Perizinan
(%)]]*Table1[[#This Row],[Nilai RAB Jaringan
(file pa aji)]],0)</f>
        <v>0</v>
      </c>
      <c r="CU5" s="329">
        <v>49593687220</v>
      </c>
      <c r="CV5" s="329">
        <v>49593687220</v>
      </c>
      <c r="CW5" s="329">
        <v>49593687220</v>
      </c>
      <c r="CX5" s="329">
        <v>49593687220</v>
      </c>
      <c r="CY5" s="47"/>
      <c r="CZ5" s="330">
        <v>45194</v>
      </c>
      <c r="DA5" s="330">
        <v>45228</v>
      </c>
      <c r="DB5" s="331">
        <v>45210</v>
      </c>
      <c r="DC5" s="332" t="s">
        <v>254</v>
      </c>
      <c r="DD5" s="323">
        <v>537590677279</v>
      </c>
      <c r="DE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5" s="331">
        <v>45250</v>
      </c>
      <c r="DG5" s="332" t="s">
        <v>255</v>
      </c>
      <c r="DH5" s="323">
        <v>537590677279</v>
      </c>
      <c r="DI5" s="33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5" s="330">
        <v>45229</v>
      </c>
      <c r="DK5" s="330">
        <v>45445</v>
      </c>
      <c r="DL5" s="331">
        <v>45520</v>
      </c>
      <c r="DM5" s="333" t="s">
        <v>256</v>
      </c>
      <c r="DN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5" s="331">
        <v>45657</v>
      </c>
      <c r="DP5" s="332" t="s">
        <v>257</v>
      </c>
      <c r="DQ5" s="314" t="s">
        <v>258</v>
      </c>
      <c r="DR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5" s="330">
        <v>45229</v>
      </c>
      <c r="DT5" s="330" t="e">
        <v>#N/A</v>
      </c>
      <c r="DU5" s="331">
        <v>45277</v>
      </c>
      <c r="DV5" s="331" t="e">
        <v>#N/A</v>
      </c>
      <c r="DW5" s="331"/>
      <c r="DX5" s="332"/>
      <c r="DY5" s="335"/>
      <c r="DZ5" s="335"/>
      <c r="EA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 s="331"/>
      <c r="EC5" s="332"/>
      <c r="ED5" s="332"/>
      <c r="EE5" s="330"/>
      <c r="EF5" s="87">
        <v>1</v>
      </c>
      <c r="EG5" s="337">
        <v>1</v>
      </c>
      <c r="EH5" s="316" t="str">
        <f>IF(Table1[[#This Row],[PO Material Aktual 
(%)]]&gt;=100%,"Selesai PO = 100%",IF(Table1[[#This Row],[PO Material Aktual 
(%)]]&gt;=50%,"Proses PO &gt; 100%",IF(Table1[[#This Row],[PO Material Aktual 
(%)]]&gt;0%,"Proses PO &gt; 50%",IF(Table1[[#This Row],[PO Material Aktual 
(%)]]=0,"Belum PO = 0%"))))</f>
        <v>Selesai PO = 100%</v>
      </c>
      <c r="EI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 s="330">
        <v>45278</v>
      </c>
      <c r="EK5" s="330" t="e">
        <v>#N/A</v>
      </c>
      <c r="EL5" s="330">
        <v>45564</v>
      </c>
      <c r="EM5" s="330" t="e">
        <v>#N/A</v>
      </c>
      <c r="EN5" s="331"/>
      <c r="EO5" s="332"/>
      <c r="EP5" s="332"/>
      <c r="EQ5" s="87">
        <v>1</v>
      </c>
      <c r="ER5" s="87">
        <v>1</v>
      </c>
      <c r="ES5" s="316" t="str">
        <f>IF(Table1[[#This Row],[Progres MOS]]&gt;=100%,"Selesai MOS = 100%",IF(Table1[[#This Row],[Progres MOS]]&gt;=50%,"Proses MOS &gt; 100%",IF(Table1[[#This Row],[Progres MOS]]&gt;0%,"Proses MOS &gt; 50%",IF(Table1[[#This Row],[Progres MOS]]=0,"Belum MOS = 0%"))))</f>
        <v>Selesai MOS = 100%</v>
      </c>
      <c r="ET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 s="47"/>
      <c r="EV5" s="330">
        <v>45229</v>
      </c>
      <c r="EW5" s="330" t="e">
        <v>#N/A</v>
      </c>
      <c r="EX5" s="330">
        <v>45473</v>
      </c>
      <c r="EY5" s="330" t="e">
        <v>#N/A</v>
      </c>
      <c r="EZ5" s="336" t="s">
        <v>259</v>
      </c>
      <c r="FA5" s="336" t="s">
        <v>259</v>
      </c>
      <c r="FB5" s="330" t="s">
        <v>260</v>
      </c>
      <c r="FC5" s="330">
        <v>45014</v>
      </c>
      <c r="FD5" s="330" t="s">
        <v>260</v>
      </c>
      <c r="FE5" s="330"/>
      <c r="FF5" s="330">
        <v>45097</v>
      </c>
      <c r="FG5" s="330" t="s">
        <v>260</v>
      </c>
      <c r="FH5" s="330" t="s">
        <v>260</v>
      </c>
      <c r="FI5" s="330">
        <v>45187</v>
      </c>
      <c r="FJ5" s="330" t="s">
        <v>260</v>
      </c>
      <c r="FK5" s="330">
        <v>45434</v>
      </c>
      <c r="FL5" s="336" t="s">
        <v>259</v>
      </c>
      <c r="FM5" s="336">
        <v>45014</v>
      </c>
      <c r="FN5" s="314">
        <f>IF(Table1[[#This Row],[Tanggal Pengajuan Dokumen]]="","",Table1[[#This Row],[PLAN PERMIT
start]]-Table1[[#This Row],[Tanggal Pengajuan Dokumen]])</f>
        <v>215</v>
      </c>
      <c r="FO5" s="336">
        <v>45434</v>
      </c>
      <c r="FP5" s="316" t="s">
        <v>175</v>
      </c>
      <c r="FQ5" s="316"/>
      <c r="FR5" s="316" t="s">
        <v>175</v>
      </c>
      <c r="FS5" s="338" t="str">
        <f t="shared" ref="FS5:FS36" si="4">IF(COUNTIF(EZ5:FR5,"*terbit*")&gt;=1,"Sudah Terbit","On Going")</f>
        <v>Sudah Terbit</v>
      </c>
      <c r="FT5" s="33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 s="339">
        <f ca="1">IF(Table1[[#This Row],[Status Izin]]="Selesai",Table1[[#This Row],[PLAN PERMIT
finish]]-Table1[[#This Row],[Tanggal Terbit/ Target Izin Terbit]],ROUNDUP(Table1[[#This Row],[PLAN PERMIT
finish]]-NOW(),0))</f>
        <v>39</v>
      </c>
      <c r="FV5" s="33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5" s="339"/>
      <c r="FX5" s="47"/>
      <c r="FY5" s="340"/>
      <c r="FZ5" s="341"/>
      <c r="GA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 s="330">
        <v>45447</v>
      </c>
      <c r="GC5" s="330">
        <v>45414</v>
      </c>
      <c r="GD5"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 s="330">
        <v>45454</v>
      </c>
      <c r="GF5" s="330">
        <v>45414</v>
      </c>
      <c r="GG5"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 s="330">
        <v>45460</v>
      </c>
      <c r="GI5" s="330">
        <v>45466</v>
      </c>
      <c r="GJ5" s="342">
        <v>45443</v>
      </c>
      <c r="GK5"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 s="330">
        <v>45474</v>
      </c>
      <c r="GM5" s="330" t="e">
        <v>#N/A</v>
      </c>
      <c r="GN5" s="330">
        <v>45641</v>
      </c>
      <c r="GO5" s="330" t="e">
        <v>#N/A</v>
      </c>
      <c r="GP5" s="332"/>
      <c r="GQ5"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 s="330" t="s">
        <v>261</v>
      </c>
      <c r="GS5" s="330" t="s">
        <v>261</v>
      </c>
      <c r="GT5" s="343">
        <v>45637</v>
      </c>
      <c r="GU5" s="339" t="str">
        <f>IF(Table1[[#This Row],[Hydro Tes Actual
(tanggal)]]&lt;&gt;"","Sudah","Belum")</f>
        <v>Sudah</v>
      </c>
      <c r="GV5" s="330" t="s">
        <v>261</v>
      </c>
      <c r="GW5" s="330" t="s">
        <v>261</v>
      </c>
      <c r="GX5" s="330"/>
      <c r="GY5" s="344" t="str">
        <f>IF(Table1[[#This Row],[Interkoneksi Actual
(tanggal)]]&lt;&gt;"","Sudah","Belum")</f>
        <v>Belum</v>
      </c>
      <c r="GZ5" s="330" t="s">
        <v>261</v>
      </c>
      <c r="HA5" s="330" t="s">
        <v>261</v>
      </c>
      <c r="HB5" s="330">
        <v>44965</v>
      </c>
      <c r="HC5" s="344" t="str">
        <f>IF(Table1[[#This Row],[Flushing Actual
(tanggal)]]&lt;&gt;"","Sudah","Belum")</f>
        <v>Sudah</v>
      </c>
      <c r="HD5" s="330">
        <v>45614</v>
      </c>
      <c r="HE5" s="330" t="e">
        <v>#N/A</v>
      </c>
      <c r="HF5" s="330">
        <v>45620</v>
      </c>
      <c r="HG5" s="345">
        <v>45699</v>
      </c>
      <c r="HH5"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 s="330" t="s">
        <v>261</v>
      </c>
      <c r="HJ5" s="330" t="s">
        <v>261</v>
      </c>
      <c r="HK5" s="330"/>
      <c r="HL5" s="332"/>
      <c r="HM5" s="330">
        <v>45646</v>
      </c>
      <c r="HN5" s="330">
        <v>45646</v>
      </c>
      <c r="HO5" s="330" t="e">
        <v>#N/A</v>
      </c>
      <c r="HP5" s="345">
        <v>45737</v>
      </c>
      <c r="HQ5" s="334"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5" s="330">
        <v>45653</v>
      </c>
      <c r="HS5" s="330"/>
      <c r="HT5" s="330">
        <v>45653</v>
      </c>
      <c r="HU5" s="527"/>
      <c r="HV5" s="330">
        <f>IF(Table1[[#This Row],[MC-100 Aktual
(tanggal)]]&lt;&gt;"",Table1[[#This Row],[MC-100 Aktual
(tanggal)]]+5,"")</f>
        <v>45742</v>
      </c>
      <c r="HW5" s="330"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5" s="47"/>
      <c r="HY5" s="336"/>
      <c r="HZ5" s="336"/>
      <c r="IB5" s="618">
        <f>IFERROR(ROUND((Table1[[#This Row],[PLAN TC
finish]]-Table1[[#This Row],[PLAN MC-0
start]])/30,2),"")</f>
        <v>5.33</v>
      </c>
      <c r="IC5">
        <f>DATEDIF(Table1[[#This Row],[PLAN MC-0
start]],Table1[[#This Row],[PLAN TC
finish]],"m")</f>
        <v>5</v>
      </c>
    </row>
    <row r="6" spans="1:237" s="4" customFormat="1" ht="15" customHeight="1" x14ac:dyDescent="0.2">
      <c r="B6" s="311">
        <f>SUBTOTAL(3,$D$5:D6)</f>
        <v>2</v>
      </c>
      <c r="C6" s="348">
        <v>2</v>
      </c>
      <c r="D6" s="315" t="s">
        <v>244</v>
      </c>
      <c r="E6" s="315" t="s">
        <v>262</v>
      </c>
      <c r="F6" s="315" t="s">
        <v>263</v>
      </c>
      <c r="G6" s="349">
        <v>45752</v>
      </c>
      <c r="H6" s="314" t="s">
        <v>247</v>
      </c>
      <c r="I6" s="315" t="s">
        <v>248</v>
      </c>
      <c r="J6" s="315"/>
      <c r="K6" s="338" t="s">
        <v>249</v>
      </c>
      <c r="L6" s="316" t="s">
        <v>250</v>
      </c>
      <c r="M6" s="316" t="s">
        <v>251</v>
      </c>
      <c r="N6" s="107">
        <v>1112</v>
      </c>
      <c r="O6" s="31" t="s">
        <v>252</v>
      </c>
      <c r="P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 s="87" t="e">
        <v>#N/A</v>
      </c>
      <c r="S6" s="87">
        <v>1</v>
      </c>
      <c r="T6" s="35">
        <f>Table1[[#This Row],[Progres Total Aktual
(%)]]</f>
        <v>1</v>
      </c>
      <c r="U6" s="124">
        <f>Table1[[#This Row],[Progres Aktual
(%)]]-Table1[[#This Row],[Target Progres
(%)]]</f>
        <v>0</v>
      </c>
      <c r="V6" s="350">
        <f>Table1[[#This Row],["Volume
BA MC-0"]]</f>
        <v>1083</v>
      </c>
      <c r="W6" s="351">
        <f>Table1[[#This Row],[Total Panjang Pipa Aktual
(Sum-&gt;)3]]</f>
        <v>1071.72</v>
      </c>
      <c r="X6" s="47"/>
      <c r="Y6" s="67" t="s">
        <v>264</v>
      </c>
      <c r="Z6" s="67">
        <v>50476486470</v>
      </c>
      <c r="AA6" s="67">
        <f>ROUND((Table1[[#This Row],[Nilai RAB Jaringan
(Exclude Ppn)]]-Table1[[#This Row],[RAB Perizinan]])*1.11+Table1[[#This Row],[RAB Perizinan]],0)</f>
        <v>0</v>
      </c>
      <c r="AB6" s="320">
        <f>SUM(Table1[[#This Row],[RAB Kegiatan Umum]:[RAB Perizinan]])</f>
        <v>0</v>
      </c>
      <c r="AC6" s="320"/>
      <c r="AD6" s="320"/>
      <c r="AE6" s="320"/>
      <c r="AF6" s="320"/>
      <c r="AG6" s="320">
        <v>0</v>
      </c>
      <c r="AH6" s="35" t="e">
        <f>SUM(Table1[[#This Row],[Bobot Keg Umum]:[Bobot Perizinan]])</f>
        <v>#DIV/0!</v>
      </c>
      <c r="AI6" s="35" t="e">
        <f>Table1[[#This Row],[RAB Kegiatan Umum]]/Table1[[#This Row],[Nilai RAB Jaringan
(Exclude Ppn)]]</f>
        <v>#DIV/0!</v>
      </c>
      <c r="AJ6" s="35" t="e">
        <f>Table1[[#This Row],[RAB Pemasangan]]/Table1[[#This Row],[Nilai RAB Jaringan
(Exclude Ppn)]]</f>
        <v>#DIV/0!</v>
      </c>
      <c r="AK6" s="35" t="e">
        <f>Table1[[#This Row],[RAB Pengadaan]]/Table1[[#This Row],[Nilai RAB Jaringan
(Exclude Ppn)]]</f>
        <v>#DIV/0!</v>
      </c>
      <c r="AL6" s="35" t="e">
        <f>Table1[[#This Row],[RAB Perizinan]]/Table1[[#This Row],[Nilai RAB Jaringan
(Exclude Ppn)]]</f>
        <v>#DIV/0!</v>
      </c>
      <c r="AM6" s="47"/>
      <c r="AN6" s="285">
        <v>1083</v>
      </c>
      <c r="AO6" s="285">
        <f>SUM(Table1[[#This Row],[Pipa 63 mm]:[Pipa 1,800 mm]])</f>
        <v>0</v>
      </c>
      <c r="AP6" s="285"/>
      <c r="AQ6" s="285"/>
      <c r="AR6" s="285"/>
      <c r="AS6" s="285"/>
      <c r="AT6" s="285"/>
      <c r="AU6" s="285"/>
      <c r="AV6" s="285"/>
      <c r="AW6" s="285"/>
      <c r="AX6" s="285"/>
      <c r="AY6" s="285"/>
      <c r="AZ6" s="285"/>
      <c r="BA6" s="285"/>
      <c r="BB6" s="285"/>
      <c r="BC6" s="285"/>
      <c r="BD6" s="285"/>
      <c r="BE6" s="285"/>
      <c r="BF6" s="285"/>
      <c r="BG6" s="285"/>
      <c r="BH6" s="285"/>
      <c r="BI6" s="285"/>
      <c r="BJ6" s="36">
        <f>SUM(Table1[[#This Row],[Pipa 63 mm2]:[Pipa 1,800 mm21]])</f>
        <v>1071.72</v>
      </c>
      <c r="BK6" s="32"/>
      <c r="BL6" s="32"/>
      <c r="BM6" s="32"/>
      <c r="BN6" s="32"/>
      <c r="BO6" s="32"/>
      <c r="BP6" s="32"/>
      <c r="BQ6" s="32"/>
      <c r="BR6" s="32"/>
      <c r="BS6" s="32"/>
      <c r="BT6" s="32"/>
      <c r="BU6" s="32"/>
      <c r="BV6" s="32"/>
      <c r="BW6" s="32"/>
      <c r="BX6" s="32"/>
      <c r="BY6" s="65">
        <f>380.8+644.7+46.22</f>
        <v>1071.72</v>
      </c>
      <c r="BZ6" s="32"/>
      <c r="CA6" s="32"/>
      <c r="CB6" s="32"/>
      <c r="CC6" s="32"/>
      <c r="CD6" s="32"/>
      <c r="CE6" s="32">
        <v>0</v>
      </c>
      <c r="CF6" s="32"/>
      <c r="CG6" s="32"/>
      <c r="CH6" s="32"/>
      <c r="CI6" s="32">
        <f t="shared" si="3"/>
        <v>0</v>
      </c>
      <c r="CJ6" s="65">
        <f>IF((Table1[[#This Row],["Volume
BA MC-0"]]-Table1[[#This Row],[Total Panjang Pipa Aktual
(Sum-&gt;)3]]-Table1[[#This Row],[Total Volume
tidak dapat dipasang]])&gt;=0,Table1[[#This Row],["Volume
BA MC-0"]]-Table1[[#This Row],[Total Panjang Pipa Aktual
(Sum-&gt;)3]]-Table1[[#This Row],[Total Volume
tidak dapat dipasang]],0)</f>
        <v>11.279999999999973</v>
      </c>
      <c r="CK6" s="47"/>
      <c r="CL6" s="131"/>
      <c r="CM6" s="35"/>
      <c r="CN6" s="131"/>
      <c r="CO6" s="131"/>
      <c r="CP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 s="66">
        <f>IFERROR(Table1[[#This Row],[Progres Keg. Umum
(%)]]*Table1[[#This Row],[Nilai RAB Jaringan
(file pa aji)]],0)</f>
        <v>0</v>
      </c>
      <c r="CR6" s="66">
        <f>IFERROR(Table1[[#This Row],[Progres MOS
(%)]]*Table1[[#This Row],[Nilai RAB Jaringan
(file pa aji)]],0)</f>
        <v>0</v>
      </c>
      <c r="CS6" s="66">
        <f>IFERROR(Table1[[#This Row],[Progres Pemasangan
(%)]]*Table1[[#This Row],[Nilai RAB Jaringan
(file pa aji)]],0)</f>
        <v>0</v>
      </c>
      <c r="CT6" s="66">
        <f>IFERROR(Table1[[#This Row],[Progres Perizinan
(%)]]*Table1[[#This Row],[Nilai RAB Jaringan
(file pa aji)]],0)</f>
        <v>0</v>
      </c>
      <c r="CU6" s="329">
        <v>51407089365</v>
      </c>
      <c r="CV6" s="329">
        <v>51407089365</v>
      </c>
      <c r="CW6" s="583">
        <v>51407089365</v>
      </c>
      <c r="CX6" s="329">
        <v>51407089365</v>
      </c>
      <c r="CY6" s="47"/>
      <c r="CZ6" s="330">
        <v>45194</v>
      </c>
      <c r="DA6" s="330">
        <v>45228</v>
      </c>
      <c r="DB6" s="331">
        <v>45240</v>
      </c>
      <c r="DC6" s="316" t="s">
        <v>254</v>
      </c>
      <c r="DD6" s="67">
        <v>50448936470</v>
      </c>
      <c r="DE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6" s="331">
        <v>45250</v>
      </c>
      <c r="DG6" s="316" t="s">
        <v>255</v>
      </c>
      <c r="DH6" s="67">
        <v>50448936470</v>
      </c>
      <c r="DI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6" s="330">
        <v>45229</v>
      </c>
      <c r="DK6" s="330">
        <v>45445</v>
      </c>
      <c r="DL6" s="331">
        <v>45274.711006944446</v>
      </c>
      <c r="DM6" s="316" t="s">
        <v>265</v>
      </c>
      <c r="DN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 s="331">
        <v>45456.291666666664</v>
      </c>
      <c r="DP6" s="316" t="s">
        <v>266</v>
      </c>
      <c r="DQ6" s="338" t="s">
        <v>258</v>
      </c>
      <c r="DR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6" s="330">
        <v>45229</v>
      </c>
      <c r="DT6" s="330" t="e">
        <v>#N/A</v>
      </c>
      <c r="DU6" s="330">
        <v>45277</v>
      </c>
      <c r="DV6" s="330" t="e">
        <v>#N/A</v>
      </c>
      <c r="DW6" s="331"/>
      <c r="DX6" s="316"/>
      <c r="DY6" s="334"/>
      <c r="DZ6" s="334"/>
      <c r="EA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 s="331"/>
      <c r="EC6" s="332"/>
      <c r="ED6" s="332"/>
      <c r="EE6" s="330"/>
      <c r="EF6" s="35">
        <v>1</v>
      </c>
      <c r="EG6" s="337">
        <v>1</v>
      </c>
      <c r="EH6" s="316" t="str">
        <f>IF(Table1[[#This Row],[PO Material Aktual 
(%)]]&gt;=100%,"Selesai PO = 100%",IF(Table1[[#This Row],[PO Material Aktual 
(%)]]&gt;=50%,"Proses PO &gt; 100%",IF(Table1[[#This Row],[PO Material Aktual 
(%)]]&gt;0%,"Proses PO &gt; 50%",IF(Table1[[#This Row],[PO Material Aktual 
(%)]]=0,"Belum PO = 0%"))))</f>
        <v>Selesai PO = 100%</v>
      </c>
      <c r="EI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 s="330">
        <v>45278</v>
      </c>
      <c r="EK6" s="330" t="e">
        <v>#N/A</v>
      </c>
      <c r="EL6" s="330">
        <v>45564</v>
      </c>
      <c r="EM6" s="330" t="e">
        <v>#N/A</v>
      </c>
      <c r="EN6" s="331"/>
      <c r="EO6" s="332"/>
      <c r="EP6" s="332"/>
      <c r="EQ6" s="87">
        <v>1</v>
      </c>
      <c r="ER6" s="87">
        <v>1</v>
      </c>
      <c r="ES6" s="316" t="str">
        <f>IF(Table1[[#This Row],[Progres MOS]]&gt;=100%,"Selesai MOS = 100%",IF(Table1[[#This Row],[Progres MOS]]&gt;=50%,"Proses MOS &gt; 100%",IF(Table1[[#This Row],[Progres MOS]]&gt;0%,"Proses MOS &gt; 50%",IF(Table1[[#This Row],[Progres MOS]]=0,"Belum MOS = 0%"))))</f>
        <v>Selesai MOS = 100%</v>
      </c>
      <c r="ET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 s="47"/>
      <c r="EV6" s="330">
        <v>45229</v>
      </c>
      <c r="EW6" s="330" t="e">
        <v>#N/A</v>
      </c>
      <c r="EX6" s="330">
        <v>45473</v>
      </c>
      <c r="EY6" s="330" t="e">
        <v>#N/A</v>
      </c>
      <c r="EZ6" s="352" t="s">
        <v>259</v>
      </c>
      <c r="FA6" s="336" t="s">
        <v>259</v>
      </c>
      <c r="FB6" s="330" t="s">
        <v>260</v>
      </c>
      <c r="FC6" s="330">
        <v>45013</v>
      </c>
      <c r="FD6" s="330" t="s">
        <v>260</v>
      </c>
      <c r="FE6" s="330"/>
      <c r="FF6" s="330">
        <v>45097</v>
      </c>
      <c r="FG6" s="330" t="s">
        <v>260</v>
      </c>
      <c r="FH6" s="330" t="s">
        <v>260</v>
      </c>
      <c r="FI6" s="330">
        <v>45187</v>
      </c>
      <c r="FJ6" s="330" t="s">
        <v>260</v>
      </c>
      <c r="FK6" s="330">
        <v>45434</v>
      </c>
      <c r="FL6" s="336" t="s">
        <v>259</v>
      </c>
      <c r="FM6" s="336">
        <v>45013</v>
      </c>
      <c r="FN6" s="314">
        <f>IF(Table1[[#This Row],[Tanggal Pengajuan Dokumen]]="","",Table1[[#This Row],[PLAN PERMIT
start]]-Table1[[#This Row],[Tanggal Pengajuan Dokumen]])</f>
        <v>216</v>
      </c>
      <c r="FO6" s="336">
        <v>45434</v>
      </c>
      <c r="FP6" s="316"/>
      <c r="FQ6" s="338"/>
      <c r="FR6" s="352"/>
      <c r="FS6" s="338" t="str">
        <f t="shared" si="4"/>
        <v>Sudah Terbit</v>
      </c>
      <c r="FT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 s="344">
        <f ca="1">IF(Table1[[#This Row],[Status Izin]]="Selesai",Table1[[#This Row],[PLAN PERMIT
finish]]-Table1[[#This Row],[Tanggal Terbit/ Target Izin Terbit]],ROUNDUP(Table1[[#This Row],[PLAN PERMIT
finish]]-NOW(),0))</f>
        <v>39</v>
      </c>
      <c r="FV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6" s="344"/>
      <c r="FX6" s="47"/>
      <c r="FY6" s="340"/>
      <c r="FZ6" s="341"/>
      <c r="GA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 s="330">
        <v>45447</v>
      </c>
      <c r="GC6" s="330">
        <v>45414</v>
      </c>
      <c r="GD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 s="330">
        <v>45454</v>
      </c>
      <c r="GF6" s="330">
        <v>45414</v>
      </c>
      <c r="GG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 s="330">
        <v>45460</v>
      </c>
      <c r="GI6" s="330">
        <v>45466</v>
      </c>
      <c r="GJ6" s="353">
        <v>45443</v>
      </c>
      <c r="GK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 s="330">
        <v>45474</v>
      </c>
      <c r="GM6" s="330" t="e">
        <v>#N/A</v>
      </c>
      <c r="GN6" s="330">
        <v>45641</v>
      </c>
      <c r="GO6" s="330" t="e">
        <v>#N/A</v>
      </c>
      <c r="GP6" s="316"/>
      <c r="GQ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 s="330" t="s">
        <v>261</v>
      </c>
      <c r="GS6" s="330" t="s">
        <v>261</v>
      </c>
      <c r="GT6" s="354">
        <v>45635</v>
      </c>
      <c r="GU6" s="344" t="str">
        <f>IF(Table1[[#This Row],[Hydro Tes Actual
(tanggal)]]&lt;&gt;"","Sudah","Belum")</f>
        <v>Sudah</v>
      </c>
      <c r="GV6" s="330" t="s">
        <v>261</v>
      </c>
      <c r="GW6" s="330" t="s">
        <v>261</v>
      </c>
      <c r="GX6" s="331">
        <v>45563</v>
      </c>
      <c r="GY6" s="344" t="str">
        <f>IF(Table1[[#This Row],[Interkoneksi Actual
(tanggal)]]&lt;&gt;"","Sudah","Belum")</f>
        <v>Sudah</v>
      </c>
      <c r="GZ6" s="330" t="s">
        <v>261</v>
      </c>
      <c r="HA6" s="330" t="s">
        <v>261</v>
      </c>
      <c r="HB6" s="331">
        <v>44965</v>
      </c>
      <c r="HC6" s="344" t="str">
        <f>IF(Table1[[#This Row],[Flushing Actual
(tanggal)]]&lt;&gt;"","Sudah","Belum")</f>
        <v>Sudah</v>
      </c>
      <c r="HD6" s="330">
        <v>45614</v>
      </c>
      <c r="HE6" s="330" t="e">
        <v>#N/A</v>
      </c>
      <c r="HF6" s="330">
        <v>45620</v>
      </c>
      <c r="HG6" s="346">
        <v>45699</v>
      </c>
      <c r="HH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 s="330" t="s">
        <v>261</v>
      </c>
      <c r="HJ6" s="330" t="s">
        <v>261</v>
      </c>
      <c r="HK6" s="331"/>
      <c r="HL6" s="316"/>
      <c r="HM6" s="330">
        <v>45646</v>
      </c>
      <c r="HN6" s="330">
        <v>45646</v>
      </c>
      <c r="HO6" s="330" t="e">
        <v>#N/A</v>
      </c>
      <c r="HP6" s="346">
        <v>45737</v>
      </c>
      <c r="HQ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 s="330">
        <v>45653</v>
      </c>
      <c r="HS6" s="330"/>
      <c r="HT6" s="330">
        <v>45653</v>
      </c>
      <c r="HU6" s="527"/>
      <c r="HV6" s="330">
        <f>IF(Table1[[#This Row],[MC-100 Aktual
(tanggal)]]&lt;&gt;"",Table1[[#This Row],[MC-100 Aktual
(tanggal)]]+5,"")</f>
        <v>45742</v>
      </c>
      <c r="HW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 s="47"/>
      <c r="HY6" s="352"/>
      <c r="HZ6" s="352"/>
      <c r="IB6" s="618">
        <f>IFERROR(ROUND((Table1[[#This Row],[PLAN TC
finish]]-Table1[[#This Row],[PLAN MC-0
start]])/30,2),"")</f>
        <v>5.33</v>
      </c>
      <c r="IC6">
        <f>DATEDIF(Table1[[#This Row],[PLAN MC-0
start]],Table1[[#This Row],[PLAN TC
finish]],"m")</f>
        <v>5</v>
      </c>
    </row>
    <row r="7" spans="1:237" s="4" customFormat="1" ht="15" customHeight="1" x14ac:dyDescent="0.2">
      <c r="B7" s="311">
        <f>SUBTOTAL(3,$D$5:D7)</f>
        <v>3</v>
      </c>
      <c r="C7" s="348">
        <v>3</v>
      </c>
      <c r="D7" s="315" t="s">
        <v>244</v>
      </c>
      <c r="E7" s="315" t="s">
        <v>267</v>
      </c>
      <c r="F7" s="315" t="s">
        <v>268</v>
      </c>
      <c r="G7" s="349">
        <v>45752</v>
      </c>
      <c r="H7" s="314" t="s">
        <v>247</v>
      </c>
      <c r="I7" s="315" t="s">
        <v>248</v>
      </c>
      <c r="J7" s="315"/>
      <c r="K7" s="338" t="s">
        <v>249</v>
      </c>
      <c r="L7" s="316" t="s">
        <v>250</v>
      </c>
      <c r="M7" s="316" t="s">
        <v>269</v>
      </c>
      <c r="N7" s="107">
        <v>616</v>
      </c>
      <c r="O7" s="31" t="s">
        <v>252</v>
      </c>
      <c r="P7"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 s="87" t="e">
        <v>#N/A</v>
      </c>
      <c r="S7" s="87">
        <v>1</v>
      </c>
      <c r="T7" s="35">
        <f>Table1[[#This Row],[Progres Total Aktual
(%)]]</f>
        <v>1</v>
      </c>
      <c r="U7" s="124">
        <f>Table1[[#This Row],[Progres Aktual
(%)]]-Table1[[#This Row],[Target Progres
(%)]]</f>
        <v>0</v>
      </c>
      <c r="V7" s="350">
        <f>Table1[[#This Row],["Volume
BA MC-0"]]</f>
        <v>593</v>
      </c>
      <c r="W7" s="351">
        <f>Table1[[#This Row],[Total Panjang Pipa Aktual
(Sum-&gt;)3]]</f>
        <v>606.9</v>
      </c>
      <c r="X7" s="47"/>
      <c r="Y7" s="67" t="s">
        <v>270</v>
      </c>
      <c r="Z7" s="67">
        <v>11427917081</v>
      </c>
      <c r="AA7" s="67">
        <f>ROUND((Table1[[#This Row],[Nilai RAB Jaringan
(Exclude Ppn)]]-Table1[[#This Row],[RAB Perizinan]])*1.11+Table1[[#This Row],[RAB Perizinan]],0)</f>
        <v>0</v>
      </c>
      <c r="AB7" s="320">
        <f>SUM(Table1[[#This Row],[RAB Kegiatan Umum]:[RAB Perizinan]])</f>
        <v>0</v>
      </c>
      <c r="AC7" s="320"/>
      <c r="AD7" s="320"/>
      <c r="AE7" s="320"/>
      <c r="AF7" s="320"/>
      <c r="AG7" s="320">
        <v>0</v>
      </c>
      <c r="AH7" s="35" t="e">
        <f>SUM(Table1[[#This Row],[Bobot Keg Umum]:[Bobot Perizinan]])</f>
        <v>#DIV/0!</v>
      </c>
      <c r="AI7" s="35" t="e">
        <f>Table1[[#This Row],[RAB Kegiatan Umum]]/Table1[[#This Row],[Nilai RAB Jaringan
(Exclude Ppn)]]</f>
        <v>#DIV/0!</v>
      </c>
      <c r="AJ7" s="35" t="e">
        <f>Table1[[#This Row],[RAB Pemasangan]]/Table1[[#This Row],[Nilai RAB Jaringan
(Exclude Ppn)]]</f>
        <v>#DIV/0!</v>
      </c>
      <c r="AK7" s="35" t="e">
        <f>Table1[[#This Row],[RAB Pengadaan]]/Table1[[#This Row],[Nilai RAB Jaringan
(Exclude Ppn)]]</f>
        <v>#DIV/0!</v>
      </c>
      <c r="AL7" s="35" t="e">
        <f>Table1[[#This Row],[RAB Perizinan]]/Table1[[#This Row],[Nilai RAB Jaringan
(Exclude Ppn)]]</f>
        <v>#DIV/0!</v>
      </c>
      <c r="AM7" s="47"/>
      <c r="AN7" s="285">
        <v>593</v>
      </c>
      <c r="AO7" s="285">
        <f>SUM(Table1[[#This Row],[Pipa 63 mm]:[Pipa 1,800 mm]])</f>
        <v>0</v>
      </c>
      <c r="AP7" s="285"/>
      <c r="AQ7" s="285"/>
      <c r="AR7" s="285"/>
      <c r="AS7" s="285"/>
      <c r="AT7" s="285"/>
      <c r="AU7" s="285"/>
      <c r="AV7" s="285"/>
      <c r="AW7" s="285"/>
      <c r="AX7" s="285"/>
      <c r="AY7" s="285"/>
      <c r="AZ7" s="285"/>
      <c r="BA7" s="285"/>
      <c r="BB7" s="285"/>
      <c r="BC7" s="285"/>
      <c r="BD7" s="285"/>
      <c r="BE7" s="285"/>
      <c r="BF7" s="285"/>
      <c r="BG7" s="285"/>
      <c r="BH7" s="285"/>
      <c r="BI7" s="285"/>
      <c r="BJ7" s="36">
        <f>SUM(Table1[[#This Row],[Pipa 63 mm2]:[Pipa 1,800 mm21]])</f>
        <v>606.9</v>
      </c>
      <c r="BK7" s="356"/>
      <c r="BL7" s="356"/>
      <c r="BM7" s="356"/>
      <c r="BN7" s="356"/>
      <c r="BO7" s="356"/>
      <c r="BP7" s="356">
        <v>15</v>
      </c>
      <c r="BQ7" s="356"/>
      <c r="BR7" s="356"/>
      <c r="BS7" s="356"/>
      <c r="BT7" s="356"/>
      <c r="BU7" s="356">
        <v>591.9</v>
      </c>
      <c r="BV7" s="356"/>
      <c r="BW7" s="356"/>
      <c r="BX7" s="356"/>
      <c r="BY7" s="356"/>
      <c r="BZ7" s="356"/>
      <c r="CA7" s="356"/>
      <c r="CB7" s="356"/>
      <c r="CC7" s="356"/>
      <c r="CD7" s="356"/>
      <c r="CE7" s="32">
        <v>0</v>
      </c>
      <c r="CF7" s="32"/>
      <c r="CG7" s="32"/>
      <c r="CH7" s="32"/>
      <c r="CI7" s="32">
        <f t="shared" si="3"/>
        <v>0</v>
      </c>
      <c r="CJ7" s="65">
        <f>IF((Table1[[#This Row],["Volume
BA MC-0"]]-Table1[[#This Row],[Total Panjang Pipa Aktual
(Sum-&gt;)3]]-Table1[[#This Row],[Total Volume
tidak dapat dipasang]])&gt;=0,Table1[[#This Row],["Volume
BA MC-0"]]-Table1[[#This Row],[Total Panjang Pipa Aktual
(Sum-&gt;)3]]-Table1[[#This Row],[Total Volume
tidak dapat dipasang]],0)</f>
        <v>0</v>
      </c>
      <c r="CK7" s="47"/>
      <c r="CL7" s="131"/>
      <c r="CM7" s="35"/>
      <c r="CN7" s="131"/>
      <c r="CO7" s="131"/>
      <c r="CP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 s="66">
        <f>IFERROR(Table1[[#This Row],[Progres Keg. Umum
(%)]]*Table1[[#This Row],[Nilai RAB Jaringan
(file pa aji)]],0)</f>
        <v>0</v>
      </c>
      <c r="CR7" s="66">
        <f>IFERROR(Table1[[#This Row],[Progres MOS
(%)]]*Table1[[#This Row],[Nilai RAB Jaringan
(file pa aji)]],0)</f>
        <v>0</v>
      </c>
      <c r="CS7" s="66">
        <f>IFERROR(Table1[[#This Row],[Progres Pemasangan
(%)]]*Table1[[#This Row],[Nilai RAB Jaringan
(file pa aji)]],0)</f>
        <v>0</v>
      </c>
      <c r="CT7" s="66">
        <f>IFERROR(Table1[[#This Row],[Progres Perizinan
(%)]]*Table1[[#This Row],[Nilai RAB Jaringan
(file pa aji)]],0)</f>
        <v>0</v>
      </c>
      <c r="CU7" s="329">
        <v>10843356260</v>
      </c>
      <c r="CV7" s="329">
        <v>10843356260</v>
      </c>
      <c r="CW7" s="583">
        <v>10843356260</v>
      </c>
      <c r="CX7" s="329">
        <v>10843356260</v>
      </c>
      <c r="CY7" s="47"/>
      <c r="CZ7" s="330">
        <v>45194</v>
      </c>
      <c r="DA7" s="330">
        <v>45207</v>
      </c>
      <c r="DB7" s="331">
        <v>45164</v>
      </c>
      <c r="DC7" s="316" t="s">
        <v>271</v>
      </c>
      <c r="DD7" s="67">
        <v>5358010944</v>
      </c>
      <c r="DE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7" s="331">
        <v>45222</v>
      </c>
      <c r="DG7" s="316" t="s">
        <v>272</v>
      </c>
      <c r="DH7" s="67">
        <v>5358010944</v>
      </c>
      <c r="DI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7" s="330">
        <v>45208</v>
      </c>
      <c r="DK7" s="330">
        <v>45228</v>
      </c>
      <c r="DL7" s="331">
        <v>45226</v>
      </c>
      <c r="DM7" s="316" t="s">
        <v>273</v>
      </c>
      <c r="DN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7" s="331">
        <v>45258</v>
      </c>
      <c r="DP7" s="316" t="s">
        <v>274</v>
      </c>
      <c r="DQ7" s="338" t="s">
        <v>275</v>
      </c>
      <c r="DR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 s="330">
        <v>45208</v>
      </c>
      <c r="DT7" s="330" t="e">
        <v>#N/A</v>
      </c>
      <c r="DU7" s="330">
        <v>45235</v>
      </c>
      <c r="DV7" s="330" t="e">
        <v>#N/A</v>
      </c>
      <c r="DW7" s="331"/>
      <c r="DX7" s="316"/>
      <c r="DY7" s="334"/>
      <c r="DZ7" s="334"/>
      <c r="EA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 s="331"/>
      <c r="EC7" s="332"/>
      <c r="ED7" s="332"/>
      <c r="EE7" s="330"/>
      <c r="EF7" s="35">
        <v>1</v>
      </c>
      <c r="EG7" s="337">
        <v>1</v>
      </c>
      <c r="EH7" s="316" t="str">
        <f>IF(Table1[[#This Row],[PO Material Aktual 
(%)]]&gt;=100%,"Selesai PO = 100%",IF(Table1[[#This Row],[PO Material Aktual 
(%)]]&gt;=50%,"Proses PO &gt; 100%",IF(Table1[[#This Row],[PO Material Aktual 
(%)]]&gt;0%,"Proses PO &gt; 50%",IF(Table1[[#This Row],[PO Material Aktual 
(%)]]=0,"Belum PO = 0%"))))</f>
        <v>Selesai PO = 100%</v>
      </c>
      <c r="EI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 s="330">
        <v>45236</v>
      </c>
      <c r="EK7" s="330" t="e">
        <v>#N/A</v>
      </c>
      <c r="EL7" s="330">
        <v>45291</v>
      </c>
      <c r="EM7" s="330" t="e">
        <v>#N/A</v>
      </c>
      <c r="EN7" s="331"/>
      <c r="EO7" s="332"/>
      <c r="EP7" s="332"/>
      <c r="EQ7" s="87">
        <v>1</v>
      </c>
      <c r="ER7" s="87">
        <v>1</v>
      </c>
      <c r="ES7" s="316" t="str">
        <f>IF(Table1[[#This Row],[Progres MOS]]&gt;=100%,"Selesai MOS = 100%",IF(Table1[[#This Row],[Progres MOS]]&gt;=50%,"Proses MOS &gt; 100%",IF(Table1[[#This Row],[Progres MOS]]&gt;0%,"Proses MOS &gt; 50%",IF(Table1[[#This Row],[Progres MOS]]=0,"Belum MOS = 0%"))))</f>
        <v>Selesai MOS = 100%</v>
      </c>
      <c r="ET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 s="47"/>
      <c r="EV7" s="330">
        <v>45208</v>
      </c>
      <c r="EW7" s="330" t="e">
        <v>#N/A</v>
      </c>
      <c r="EX7" s="330">
        <v>45256</v>
      </c>
      <c r="EY7" s="330" t="e">
        <v>#N/A</v>
      </c>
      <c r="EZ7" s="352" t="s">
        <v>259</v>
      </c>
      <c r="FA7" s="336" t="s">
        <v>259</v>
      </c>
      <c r="FB7" s="330" t="s">
        <v>260</v>
      </c>
      <c r="FC7" s="330"/>
      <c r="FD7" s="330" t="s">
        <v>260</v>
      </c>
      <c r="FE7" s="330"/>
      <c r="FF7" s="330"/>
      <c r="FG7" s="330" t="s">
        <v>260</v>
      </c>
      <c r="FH7" s="330" t="s">
        <v>260</v>
      </c>
      <c r="FI7" s="330"/>
      <c r="FJ7" s="330" t="s">
        <v>260</v>
      </c>
      <c r="FK7" s="330"/>
      <c r="FL7" s="336" t="s">
        <v>259</v>
      </c>
      <c r="FM7" s="336"/>
      <c r="FN7" s="314" t="str">
        <f>IF(Table1[[#This Row],[Tanggal Pengajuan Dokumen]]="","",Table1[[#This Row],[PLAN PERMIT
start]]-Table1[[#This Row],[Tanggal Pengajuan Dokumen]])</f>
        <v/>
      </c>
      <c r="FO7" s="336"/>
      <c r="FP7" s="316"/>
      <c r="FQ7" s="338"/>
      <c r="FR7" s="352"/>
      <c r="FS7" s="338" t="str">
        <f t="shared" si="4"/>
        <v>Sudah Terbit</v>
      </c>
      <c r="FT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 s="344">
        <f ca="1">IF(Table1[[#This Row],[Status Izin]]="Selesai",Table1[[#This Row],[PLAN PERMIT
finish]]-Table1[[#This Row],[Tanggal Terbit/ Target Izin Terbit]],ROUNDUP(Table1[[#This Row],[PLAN PERMIT
finish]]-NOW(),0))</f>
        <v>45256</v>
      </c>
      <c r="FV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 s="344"/>
      <c r="FX7" s="47"/>
      <c r="FY7" s="340"/>
      <c r="FZ7" s="341"/>
      <c r="GA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 s="330">
        <v>45230</v>
      </c>
      <c r="GC7" s="331">
        <v>45215</v>
      </c>
      <c r="GD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7" s="330">
        <v>45237</v>
      </c>
      <c r="GF7" s="331">
        <v>45215</v>
      </c>
      <c r="GG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7" s="330">
        <v>45243</v>
      </c>
      <c r="GI7" s="330">
        <v>45249</v>
      </c>
      <c r="GJ7" s="353">
        <v>45030</v>
      </c>
      <c r="GK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7" s="330">
        <v>45257</v>
      </c>
      <c r="GM7" s="330" t="e">
        <v>#N/A</v>
      </c>
      <c r="GN7" s="330">
        <v>45333</v>
      </c>
      <c r="GO7" s="330" t="e">
        <v>#N/A</v>
      </c>
      <c r="GP7" s="316"/>
      <c r="GQ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 s="330" t="s">
        <v>261</v>
      </c>
      <c r="GS7" s="330" t="s">
        <v>261</v>
      </c>
      <c r="GT7" s="354">
        <v>45288</v>
      </c>
      <c r="GU7" s="344" t="str">
        <f>IF(Table1[[#This Row],[Hydro Tes Actual
(tanggal)]]&lt;&gt;"","Sudah","Belum")</f>
        <v>Sudah</v>
      </c>
      <c r="GV7" s="330" t="s">
        <v>261</v>
      </c>
      <c r="GW7" s="330" t="s">
        <v>261</v>
      </c>
      <c r="GX7" s="331">
        <v>45342</v>
      </c>
      <c r="GY7" s="344" t="str">
        <f>IF(Table1[[#This Row],[Interkoneksi Actual
(tanggal)]]&lt;&gt;"","Sudah","Belum")</f>
        <v>Sudah</v>
      </c>
      <c r="GZ7" s="330" t="s">
        <v>261</v>
      </c>
      <c r="HA7" s="330" t="s">
        <v>261</v>
      </c>
      <c r="HB7" s="331">
        <v>44965</v>
      </c>
      <c r="HC7" s="344" t="str">
        <f>IF(Table1[[#This Row],[Flushing Actual
(tanggal)]]&lt;&gt;"","Sudah","Belum")</f>
        <v>Sudah</v>
      </c>
      <c r="HD7" s="330">
        <v>45320</v>
      </c>
      <c r="HE7" s="330" t="e">
        <v>#N/A</v>
      </c>
      <c r="HF7" s="330">
        <v>45326</v>
      </c>
      <c r="HG7" s="346">
        <v>45351</v>
      </c>
      <c r="HH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 s="330" t="s">
        <v>261</v>
      </c>
      <c r="HJ7" s="330" t="s">
        <v>261</v>
      </c>
      <c r="HK7" s="331"/>
      <c r="HL7" s="316"/>
      <c r="HM7" s="330">
        <v>45338</v>
      </c>
      <c r="HN7" s="330">
        <v>45338</v>
      </c>
      <c r="HO7" s="330" t="e">
        <v>#N/A</v>
      </c>
      <c r="HP7" s="346">
        <v>45358</v>
      </c>
      <c r="HQ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7" s="330">
        <v>45345</v>
      </c>
      <c r="HS7" s="330"/>
      <c r="HT7" s="330">
        <v>45345</v>
      </c>
      <c r="HU7" s="527"/>
      <c r="HV7" s="330">
        <f>IF(Table1[[#This Row],[MC-100 Aktual
(tanggal)]]&lt;&gt;"",Table1[[#This Row],[MC-100 Aktual
(tanggal)]]+5,"")</f>
        <v>45363</v>
      </c>
      <c r="HW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7" s="47"/>
      <c r="HY7" s="352"/>
      <c r="HZ7" s="352"/>
      <c r="IB7" s="618">
        <f>IFERROR(ROUND((Table1[[#This Row],[PLAN TC
finish]]-Table1[[#This Row],[PLAN MC-0
start]])/30,2),"")</f>
        <v>2.77</v>
      </c>
      <c r="IC7">
        <f>DATEDIF(Table1[[#This Row],[PLAN MC-0
start]],Table1[[#This Row],[PLAN TC
finish]],"m")</f>
        <v>2</v>
      </c>
    </row>
    <row r="8" spans="1:237" s="4" customFormat="1" ht="15" customHeight="1" x14ac:dyDescent="0.2">
      <c r="B8" s="311">
        <f>SUBTOTAL(3,$D$5:D8)</f>
        <v>4</v>
      </c>
      <c r="C8" s="348">
        <v>4</v>
      </c>
      <c r="D8" s="315" t="s">
        <v>244</v>
      </c>
      <c r="E8" s="315" t="s">
        <v>276</v>
      </c>
      <c r="F8" s="315" t="s">
        <v>277</v>
      </c>
      <c r="G8" s="349">
        <v>45752</v>
      </c>
      <c r="H8" s="314" t="s">
        <v>247</v>
      </c>
      <c r="I8" s="315" t="s">
        <v>278</v>
      </c>
      <c r="J8" s="315"/>
      <c r="K8" s="338" t="s">
        <v>249</v>
      </c>
      <c r="L8" s="316" t="s">
        <v>250</v>
      </c>
      <c r="M8" s="316" t="s">
        <v>269</v>
      </c>
      <c r="N8" s="107">
        <v>1234</v>
      </c>
      <c r="O8" s="31" t="s">
        <v>252</v>
      </c>
      <c r="P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 s="87" t="e">
        <v>#N/A</v>
      </c>
      <c r="S8" s="87">
        <v>1</v>
      </c>
      <c r="T8" s="35">
        <f>Table1[[#This Row],[Progres Total Aktual
(%)]]</f>
        <v>1</v>
      </c>
      <c r="U8" s="124">
        <f>Table1[[#This Row],[Progres Aktual
(%)]]-Table1[[#This Row],[Target Progres
(%)]]</f>
        <v>0</v>
      </c>
      <c r="V8" s="350">
        <f>Table1[[#This Row],["Volume
BA MC-0"]]</f>
        <v>1215</v>
      </c>
      <c r="W8" s="351">
        <f>Table1[[#This Row],[Total Panjang Pipa Aktual
(Sum-&gt;)3]]</f>
        <v>1215</v>
      </c>
      <c r="X8" s="47"/>
      <c r="Y8" s="67" t="s">
        <v>279</v>
      </c>
      <c r="Z8" s="67">
        <v>1511883276</v>
      </c>
      <c r="AA8" s="67">
        <f>ROUND((Table1[[#This Row],[Nilai RAB Jaringan
(Exclude Ppn)]]-Table1[[#This Row],[RAB Perizinan]])*1.11+Table1[[#This Row],[RAB Perizinan]],0)</f>
        <v>0</v>
      </c>
      <c r="AB8" s="320">
        <f>SUM(Table1[[#This Row],[RAB Kegiatan Umum]:[RAB Perizinan]])</f>
        <v>0</v>
      </c>
      <c r="AC8" s="320"/>
      <c r="AD8" s="320"/>
      <c r="AE8" s="320"/>
      <c r="AF8" s="320"/>
      <c r="AG8" s="320">
        <v>1024974000</v>
      </c>
      <c r="AH8" s="35" t="e">
        <f>SUM(Table1[[#This Row],[Bobot Keg Umum]:[Bobot Perizinan]])</f>
        <v>#DIV/0!</v>
      </c>
      <c r="AI8" s="35" t="e">
        <f>Table1[[#This Row],[RAB Kegiatan Umum]]/Table1[[#This Row],[Nilai RAB Jaringan
(Exclude Ppn)]]</f>
        <v>#DIV/0!</v>
      </c>
      <c r="AJ8" s="35" t="e">
        <f>Table1[[#This Row],[RAB Pemasangan]]/Table1[[#This Row],[Nilai RAB Jaringan
(Exclude Ppn)]]</f>
        <v>#DIV/0!</v>
      </c>
      <c r="AK8" s="35" t="e">
        <f>Table1[[#This Row],[RAB Pengadaan]]/Table1[[#This Row],[Nilai RAB Jaringan
(Exclude Ppn)]]</f>
        <v>#DIV/0!</v>
      </c>
      <c r="AL8" s="35" t="e">
        <f>Table1[[#This Row],[RAB Perizinan]]/Table1[[#This Row],[Nilai RAB Jaringan
(Exclude Ppn)]]</f>
        <v>#DIV/0!</v>
      </c>
      <c r="AM8" s="47"/>
      <c r="AN8" s="285">
        <v>1215</v>
      </c>
      <c r="AO8" s="285">
        <f>SUM(Table1[[#This Row],[Pipa 63 mm]:[Pipa 1,800 mm]])</f>
        <v>0</v>
      </c>
      <c r="AP8" s="285"/>
      <c r="AQ8" s="285"/>
      <c r="AR8" s="285"/>
      <c r="AS8" s="285"/>
      <c r="AT8" s="285"/>
      <c r="AU8" s="285"/>
      <c r="AV8" s="285"/>
      <c r="AW8" s="285"/>
      <c r="AX8" s="285"/>
      <c r="AY8" s="285"/>
      <c r="AZ8" s="285"/>
      <c r="BA8" s="285"/>
      <c r="BB8" s="285"/>
      <c r="BC8" s="285"/>
      <c r="BD8" s="285"/>
      <c r="BE8" s="285"/>
      <c r="BF8" s="285"/>
      <c r="BG8" s="285"/>
      <c r="BH8" s="285"/>
      <c r="BI8" s="285"/>
      <c r="BJ8" s="36">
        <f>SUM(Table1[[#This Row],[Pipa 63 mm2]:[Pipa 1,800 mm21]])</f>
        <v>1215</v>
      </c>
      <c r="BK8" s="32"/>
      <c r="BL8" s="32">
        <v>611</v>
      </c>
      <c r="BM8" s="32">
        <v>382</v>
      </c>
      <c r="BN8" s="32">
        <v>210</v>
      </c>
      <c r="BO8" s="32">
        <v>12</v>
      </c>
      <c r="BP8" s="32"/>
      <c r="BQ8" s="32"/>
      <c r="BR8" s="32"/>
      <c r="BS8" s="32"/>
      <c r="BT8" s="32"/>
      <c r="BU8" s="32"/>
      <c r="BV8" s="32"/>
      <c r="BW8" s="32"/>
      <c r="BX8" s="32"/>
      <c r="BY8" s="32"/>
      <c r="BZ8" s="32"/>
      <c r="CA8" s="32"/>
      <c r="CB8" s="32"/>
      <c r="CC8" s="32"/>
      <c r="CD8" s="32"/>
      <c r="CE8" s="32">
        <v>0</v>
      </c>
      <c r="CF8" s="32"/>
      <c r="CG8" s="32"/>
      <c r="CH8" s="32"/>
      <c r="CI8" s="32">
        <f t="shared" si="3"/>
        <v>0</v>
      </c>
      <c r="CJ8" s="65">
        <f>IF((Table1[[#This Row],["Volume
BA MC-0"]]-Table1[[#This Row],[Total Panjang Pipa Aktual
(Sum-&gt;)3]]-Table1[[#This Row],[Total Volume
tidak dapat dipasang]])&gt;=0,Table1[[#This Row],["Volume
BA MC-0"]]-Table1[[#This Row],[Total Panjang Pipa Aktual
(Sum-&gt;)3]]-Table1[[#This Row],[Total Volume
tidak dapat dipasang]],0)</f>
        <v>0</v>
      </c>
      <c r="CK8" s="47"/>
      <c r="CL8" s="131"/>
      <c r="CM8" s="35"/>
      <c r="CN8" s="131"/>
      <c r="CO8" s="131"/>
      <c r="CP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 s="66">
        <f>IFERROR(Table1[[#This Row],[Progres Keg. Umum
(%)]]*Table1[[#This Row],[Nilai RAB Jaringan
(file pa aji)]],0)</f>
        <v>0</v>
      </c>
      <c r="CR8" s="66">
        <f>IFERROR(Table1[[#This Row],[Progres MOS
(%)]]*Table1[[#This Row],[Nilai RAB Jaringan
(file pa aji)]],0)</f>
        <v>0</v>
      </c>
      <c r="CS8" s="66">
        <f>IFERROR(Table1[[#This Row],[Progres Pemasangan
(%)]]*Table1[[#This Row],[Nilai RAB Jaringan
(file pa aji)]],0)</f>
        <v>0</v>
      </c>
      <c r="CT8" s="66">
        <f>IFERROR(Table1[[#This Row],[Progres Perizinan
(%)]]*Table1[[#This Row],[Nilai RAB Jaringan
(file pa aji)]],0)</f>
        <v>0</v>
      </c>
      <c r="CU8" s="329">
        <v>2042804053</v>
      </c>
      <c r="CV8" s="329">
        <v>2042804053</v>
      </c>
      <c r="CW8" s="583">
        <v>2042804053</v>
      </c>
      <c r="CX8" s="329">
        <v>2042804053</v>
      </c>
      <c r="CY8" s="47"/>
      <c r="CZ8" s="330">
        <v>45102</v>
      </c>
      <c r="DA8" s="330">
        <v>45129</v>
      </c>
      <c r="DB8" s="331">
        <v>45161</v>
      </c>
      <c r="DC8" s="316" t="s">
        <v>280</v>
      </c>
      <c r="DD8" s="67">
        <v>1511883275</v>
      </c>
      <c r="DE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8" s="331">
        <v>45257</v>
      </c>
      <c r="DG8" s="316" t="s">
        <v>281</v>
      </c>
      <c r="DH8" s="67">
        <v>1511883275</v>
      </c>
      <c r="DI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8" s="330">
        <v>45130</v>
      </c>
      <c r="DK8" s="330">
        <v>45171</v>
      </c>
      <c r="DL8" s="331"/>
      <c r="DM8" s="316"/>
      <c r="DN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 s="331"/>
      <c r="DP8" s="316"/>
      <c r="DQ8" s="338"/>
      <c r="DR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 s="330">
        <v>45130</v>
      </c>
      <c r="DT8" s="330" t="e">
        <v>#N/A</v>
      </c>
      <c r="DU8" s="330">
        <v>45171</v>
      </c>
      <c r="DV8" s="330" t="e">
        <v>#N/A</v>
      </c>
      <c r="DW8" s="331"/>
      <c r="DX8" s="316"/>
      <c r="DY8" s="334"/>
      <c r="DZ8" s="334"/>
      <c r="EA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 s="331"/>
      <c r="EC8" s="332"/>
      <c r="ED8" s="332"/>
      <c r="EE8" s="330"/>
      <c r="EF8" s="35">
        <v>1</v>
      </c>
      <c r="EG8" s="337">
        <v>1</v>
      </c>
      <c r="EH8" s="316" t="str">
        <f>IF(Table1[[#This Row],[PO Material Aktual 
(%)]]&gt;=100%,"Selesai PO = 100%",IF(Table1[[#This Row],[PO Material Aktual 
(%)]]&gt;=50%,"Proses PO &gt; 100%",IF(Table1[[#This Row],[PO Material Aktual 
(%)]]&gt;0%,"Proses PO &gt; 50%",IF(Table1[[#This Row],[PO Material Aktual 
(%)]]=0,"Belum PO = 0%"))))</f>
        <v>Selesai PO = 100%</v>
      </c>
      <c r="EI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 s="330">
        <v>45137</v>
      </c>
      <c r="EK8" s="330" t="e">
        <v>#N/A</v>
      </c>
      <c r="EL8" s="330">
        <v>45227</v>
      </c>
      <c r="EM8" s="330" t="e">
        <v>#N/A</v>
      </c>
      <c r="EN8" s="331"/>
      <c r="EO8" s="332"/>
      <c r="EP8" s="332"/>
      <c r="EQ8" s="87">
        <v>1</v>
      </c>
      <c r="ER8" s="87">
        <v>1</v>
      </c>
      <c r="ES8" s="316" t="str">
        <f>IF(Table1[[#This Row],[Progres MOS]]&gt;=100%,"Selesai MOS = 100%",IF(Table1[[#This Row],[Progres MOS]]&gt;=50%,"Proses MOS &gt; 100%",IF(Table1[[#This Row],[Progres MOS]]&gt;0%,"Proses MOS &gt; 50%",IF(Table1[[#This Row],[Progres MOS]]=0,"Belum MOS = 0%"))))</f>
        <v>Selesai MOS = 100%</v>
      </c>
      <c r="ET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 s="47"/>
      <c r="EV8" s="330">
        <v>45130</v>
      </c>
      <c r="EW8" s="330" t="e">
        <v>#N/A</v>
      </c>
      <c r="EX8" s="330">
        <v>45199</v>
      </c>
      <c r="EY8" s="330" t="e">
        <v>#N/A</v>
      </c>
      <c r="EZ8" s="352" t="s">
        <v>259</v>
      </c>
      <c r="FA8" s="336" t="s">
        <v>259</v>
      </c>
      <c r="FB8" s="330" t="s">
        <v>260</v>
      </c>
      <c r="FC8" s="330" t="s">
        <v>282</v>
      </c>
      <c r="FD8" s="330" t="s">
        <v>282</v>
      </c>
      <c r="FE8" s="330" t="s">
        <v>282</v>
      </c>
      <c r="FF8" s="330" t="s">
        <v>282</v>
      </c>
      <c r="FG8" s="330" t="s">
        <v>282</v>
      </c>
      <c r="FH8" s="330" t="s">
        <v>282</v>
      </c>
      <c r="FI8" s="330" t="s">
        <v>282</v>
      </c>
      <c r="FJ8" s="330" t="s">
        <v>282</v>
      </c>
      <c r="FK8" s="330" t="s">
        <v>283</v>
      </c>
      <c r="FL8" s="336" t="s">
        <v>259</v>
      </c>
      <c r="FM8" s="336"/>
      <c r="FN8" s="314" t="str">
        <f>IF(Table1[[#This Row],[Tanggal Pengajuan Dokumen]]="","",Table1[[#This Row],[PLAN PERMIT
start]]-Table1[[#This Row],[Tanggal Pengajuan Dokumen]])</f>
        <v/>
      </c>
      <c r="FO8" s="336"/>
      <c r="FP8" s="316"/>
      <c r="FQ8" s="338"/>
      <c r="FR8" s="352"/>
      <c r="FS8" s="338" t="str">
        <f t="shared" si="4"/>
        <v>Sudah Terbit</v>
      </c>
      <c r="FT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 s="344">
        <f ca="1">IF(Table1[[#This Row],[Status Izin]]="Selesai",Table1[[#This Row],[PLAN PERMIT
finish]]-Table1[[#This Row],[Tanggal Terbit/ Target Izin Terbit]],ROUNDUP(Table1[[#This Row],[PLAN PERMIT
finish]]-NOW(),0))</f>
        <v>45199</v>
      </c>
      <c r="FV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 s="344"/>
      <c r="FX8" s="47"/>
      <c r="FY8" s="340"/>
      <c r="FZ8" s="341"/>
      <c r="GA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8" s="330">
        <v>45823</v>
      </c>
      <c r="GC8" s="331">
        <v>45914</v>
      </c>
      <c r="GD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8" s="330">
        <v>45823</v>
      </c>
      <c r="GF8" s="331">
        <v>45914</v>
      </c>
      <c r="GG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8" s="330">
        <v>45817</v>
      </c>
      <c r="GI8" s="330">
        <v>45823</v>
      </c>
      <c r="GJ8" s="353">
        <v>45090</v>
      </c>
      <c r="GK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 s="330">
        <v>45200</v>
      </c>
      <c r="GM8" s="330" t="e">
        <v>#N/A</v>
      </c>
      <c r="GN8" s="330">
        <v>45262</v>
      </c>
      <c r="GO8" s="330" t="e">
        <v>#N/A</v>
      </c>
      <c r="GP8" s="316"/>
      <c r="GQ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 s="330" t="s">
        <v>261</v>
      </c>
      <c r="GS8" s="330" t="s">
        <v>261</v>
      </c>
      <c r="GT8" s="354">
        <v>45253</v>
      </c>
      <c r="GU8" s="344" t="str">
        <f>IF(Table1[[#This Row],[Hydro Tes Actual
(tanggal)]]&lt;&gt;"","Sudah","Belum")</f>
        <v>Sudah</v>
      </c>
      <c r="GV8" s="330" t="s">
        <v>261</v>
      </c>
      <c r="GW8" s="330" t="s">
        <v>261</v>
      </c>
      <c r="GX8" s="331">
        <v>45232</v>
      </c>
      <c r="GY8" s="344" t="str">
        <f>IF(Table1[[#This Row],[Interkoneksi Actual
(tanggal)]]&lt;&gt;"","Sudah","Belum")</f>
        <v>Sudah</v>
      </c>
      <c r="GZ8" s="330" t="s">
        <v>261</v>
      </c>
      <c r="HA8" s="330" t="s">
        <v>261</v>
      </c>
      <c r="HB8" s="331">
        <v>45255</v>
      </c>
      <c r="HC8" s="344" t="str">
        <f>IF(Table1[[#This Row],[Flushing Actual
(tanggal)]]&lt;&gt;"","Sudah","Belum")</f>
        <v>Sudah</v>
      </c>
      <c r="HD8" s="330">
        <v>45263</v>
      </c>
      <c r="HE8" s="330" t="e">
        <v>#N/A</v>
      </c>
      <c r="HF8" s="330">
        <v>45269</v>
      </c>
      <c r="HG8" s="346">
        <v>45303</v>
      </c>
      <c r="HH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 s="330" t="s">
        <v>261</v>
      </c>
      <c r="HJ8" s="330" t="s">
        <v>261</v>
      </c>
      <c r="HK8" s="331"/>
      <c r="HL8" s="316"/>
      <c r="HM8" s="330">
        <v>45281</v>
      </c>
      <c r="HN8" s="330">
        <v>45281</v>
      </c>
      <c r="HO8" s="330" t="e">
        <v>#N/A</v>
      </c>
      <c r="HP8" s="346">
        <v>45335</v>
      </c>
      <c r="HQ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8" s="330">
        <v>45288</v>
      </c>
      <c r="HS8" s="330"/>
      <c r="HT8" s="330">
        <v>45288</v>
      </c>
      <c r="HU8" s="527"/>
      <c r="HV8" s="330">
        <f>IF(Table1[[#This Row],[MC-100 Aktual
(tanggal)]]&lt;&gt;"",Table1[[#This Row],[MC-100 Aktual
(tanggal)]]+5,"")</f>
        <v>45340</v>
      </c>
      <c r="HW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8" s="47"/>
      <c r="HY8" s="352"/>
      <c r="HZ8" s="352"/>
      <c r="IB8" s="618">
        <f>IFERROR(ROUND((Table1[[#This Row],[PLAN TC
finish]]-Table1[[#This Row],[PLAN MC-0
start]])/30,2),"")</f>
        <v>-18.27</v>
      </c>
      <c r="IC8" t="e">
        <f>DATEDIF(Table1[[#This Row],[PLAN MC-0
start]],Table1[[#This Row],[PLAN TC
finish]],"m")</f>
        <v>#NUM!</v>
      </c>
    </row>
    <row r="9" spans="1:237" s="4" customFormat="1" ht="15" customHeight="1" x14ac:dyDescent="0.2">
      <c r="B9" s="311">
        <f>SUBTOTAL(3,$D$5:D9)</f>
        <v>5</v>
      </c>
      <c r="C9" s="348">
        <v>5</v>
      </c>
      <c r="D9" s="315" t="s">
        <v>244</v>
      </c>
      <c r="E9" s="315" t="s">
        <v>284</v>
      </c>
      <c r="F9" s="315" t="s">
        <v>285</v>
      </c>
      <c r="G9" s="349">
        <v>45752</v>
      </c>
      <c r="H9" s="314" t="s">
        <v>247</v>
      </c>
      <c r="I9" s="315" t="s">
        <v>278</v>
      </c>
      <c r="J9" s="315"/>
      <c r="K9" s="338" t="s">
        <v>249</v>
      </c>
      <c r="L9" s="316" t="s">
        <v>250</v>
      </c>
      <c r="M9" s="316" t="s">
        <v>269</v>
      </c>
      <c r="N9" s="107">
        <v>3273</v>
      </c>
      <c r="O9" s="31" t="s">
        <v>252</v>
      </c>
      <c r="P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 s="87" t="e">
        <v>#N/A</v>
      </c>
      <c r="S9" s="87">
        <v>1</v>
      </c>
      <c r="T9" s="35">
        <f>Table1[[#This Row],[Progres Total Aktual
(%)]]</f>
        <v>1</v>
      </c>
      <c r="U9" s="124">
        <f>Table1[[#This Row],[Progres Aktual
(%)]]-Table1[[#This Row],[Target Progres
(%)]]</f>
        <v>0</v>
      </c>
      <c r="V9" s="350">
        <f>Table1[[#This Row],["Volume
BA MC-0"]]</f>
        <v>3274</v>
      </c>
      <c r="W9" s="351">
        <f>Table1[[#This Row],[Total Panjang Pipa Aktual
(Sum-&gt;)3]]</f>
        <v>3075</v>
      </c>
      <c r="X9" s="47"/>
      <c r="Y9" s="67" t="s">
        <v>286</v>
      </c>
      <c r="Z9" s="67">
        <v>2876031183</v>
      </c>
      <c r="AA9" s="67">
        <f>ROUND((Table1[[#This Row],[Nilai RAB Jaringan
(Exclude Ppn)]]-Table1[[#This Row],[RAB Perizinan]])*1.11+Table1[[#This Row],[RAB Perizinan]],0)</f>
        <v>0</v>
      </c>
      <c r="AB9" s="320">
        <f>SUM(Table1[[#This Row],[RAB Kegiatan Umum]:[RAB Perizinan]])</f>
        <v>0</v>
      </c>
      <c r="AC9" s="320"/>
      <c r="AD9" s="320"/>
      <c r="AE9" s="320"/>
      <c r="AF9" s="320"/>
      <c r="AG9" s="320">
        <v>951048000</v>
      </c>
      <c r="AH9" s="35" t="e">
        <f>SUM(Table1[[#This Row],[Bobot Keg Umum]:[Bobot Perizinan]])</f>
        <v>#DIV/0!</v>
      </c>
      <c r="AI9" s="35" t="e">
        <f>Table1[[#This Row],[RAB Kegiatan Umum]]/Table1[[#This Row],[Nilai RAB Jaringan
(Exclude Ppn)]]</f>
        <v>#DIV/0!</v>
      </c>
      <c r="AJ9" s="35" t="e">
        <f>Table1[[#This Row],[RAB Pemasangan]]/Table1[[#This Row],[Nilai RAB Jaringan
(Exclude Ppn)]]</f>
        <v>#DIV/0!</v>
      </c>
      <c r="AK9" s="35" t="e">
        <f>Table1[[#This Row],[RAB Pengadaan]]/Table1[[#This Row],[Nilai RAB Jaringan
(Exclude Ppn)]]</f>
        <v>#DIV/0!</v>
      </c>
      <c r="AL9" s="35" t="e">
        <f>Table1[[#This Row],[RAB Perizinan]]/Table1[[#This Row],[Nilai RAB Jaringan
(Exclude Ppn)]]</f>
        <v>#DIV/0!</v>
      </c>
      <c r="AM9" s="47"/>
      <c r="AN9" s="285">
        <v>3274</v>
      </c>
      <c r="AO9" s="285">
        <f>SUM(Table1[[#This Row],[Pipa 63 mm]:[Pipa 1,800 mm]])</f>
        <v>0</v>
      </c>
      <c r="AP9" s="285"/>
      <c r="AQ9" s="285"/>
      <c r="AR9" s="285"/>
      <c r="AS9" s="285"/>
      <c r="AT9" s="285"/>
      <c r="AU9" s="285"/>
      <c r="AV9" s="285"/>
      <c r="AW9" s="285"/>
      <c r="AX9" s="285"/>
      <c r="AY9" s="285"/>
      <c r="AZ9" s="285"/>
      <c r="BA9" s="285"/>
      <c r="BB9" s="285"/>
      <c r="BC9" s="285"/>
      <c r="BD9" s="285"/>
      <c r="BE9" s="285"/>
      <c r="BF9" s="285"/>
      <c r="BG9" s="285"/>
      <c r="BH9" s="285"/>
      <c r="BI9" s="285"/>
      <c r="BJ9" s="36">
        <f>SUM(Table1[[#This Row],[Pipa 63 mm2]:[Pipa 1,800 mm21]])</f>
        <v>3075</v>
      </c>
      <c r="BK9" s="32"/>
      <c r="BL9" s="32">
        <v>1463</v>
      </c>
      <c r="BM9" s="32">
        <v>827</v>
      </c>
      <c r="BN9" s="32">
        <v>716</v>
      </c>
      <c r="BO9" s="32">
        <v>54</v>
      </c>
      <c r="BP9" s="32">
        <v>15</v>
      </c>
      <c r="BQ9" s="32"/>
      <c r="BR9" s="32"/>
      <c r="BS9" s="32"/>
      <c r="BT9" s="32"/>
      <c r="BU9" s="32"/>
      <c r="BV9" s="32"/>
      <c r="BW9" s="32"/>
      <c r="BX9" s="32"/>
      <c r="BY9" s="32"/>
      <c r="BZ9" s="32"/>
      <c r="CA9" s="32"/>
      <c r="CB9" s="32"/>
      <c r="CC9" s="32"/>
      <c r="CD9" s="32"/>
      <c r="CE9" s="32">
        <v>0</v>
      </c>
      <c r="CF9" s="32"/>
      <c r="CG9" s="32"/>
      <c r="CH9" s="32"/>
      <c r="CI9" s="32">
        <f t="shared" si="3"/>
        <v>0</v>
      </c>
      <c r="CJ9" s="65">
        <f>IF((Table1[[#This Row],["Volume
BA MC-0"]]-Table1[[#This Row],[Total Panjang Pipa Aktual
(Sum-&gt;)3]]-Table1[[#This Row],[Total Volume
tidak dapat dipasang]])&gt;=0,Table1[[#This Row],["Volume
BA MC-0"]]-Table1[[#This Row],[Total Panjang Pipa Aktual
(Sum-&gt;)3]]-Table1[[#This Row],[Total Volume
tidak dapat dipasang]],0)</f>
        <v>199</v>
      </c>
      <c r="CK9" s="47"/>
      <c r="CL9" s="131"/>
      <c r="CM9" s="35"/>
      <c r="CN9" s="131"/>
      <c r="CO9" s="131"/>
      <c r="CP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 s="66">
        <f>IFERROR(Table1[[#This Row],[Progres Keg. Umum
(%)]]*Table1[[#This Row],[Nilai RAB Jaringan
(file pa aji)]],0)</f>
        <v>0</v>
      </c>
      <c r="CR9" s="66">
        <f>IFERROR(Table1[[#This Row],[Progres MOS
(%)]]*Table1[[#This Row],[Nilai RAB Jaringan
(file pa aji)]],0)</f>
        <v>0</v>
      </c>
      <c r="CS9" s="66">
        <f>IFERROR(Table1[[#This Row],[Progres Pemasangan
(%)]]*Table1[[#This Row],[Nilai RAB Jaringan
(file pa aji)]],0)</f>
        <v>0</v>
      </c>
      <c r="CT9" s="66">
        <f>IFERROR(Table1[[#This Row],[Progres Perizinan
(%)]]*Table1[[#This Row],[Nilai RAB Jaringan
(file pa aji)]],0)</f>
        <v>0</v>
      </c>
      <c r="CU9" s="329">
        <v>4221109988</v>
      </c>
      <c r="CV9" s="329">
        <v>4221109988</v>
      </c>
      <c r="CW9" s="583">
        <v>4221109988</v>
      </c>
      <c r="CX9" s="329">
        <v>4221109988</v>
      </c>
      <c r="CY9" s="47"/>
      <c r="CZ9" s="330">
        <v>45165</v>
      </c>
      <c r="DA9" s="330">
        <v>45192</v>
      </c>
      <c r="DB9" s="331">
        <v>45164</v>
      </c>
      <c r="DC9" s="316" t="s">
        <v>287</v>
      </c>
      <c r="DD9" s="67">
        <v>2876031188</v>
      </c>
      <c r="DE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9" s="331">
        <v>45257</v>
      </c>
      <c r="DG9" s="316" t="s">
        <v>288</v>
      </c>
      <c r="DH9" s="67">
        <v>2876031188</v>
      </c>
      <c r="DI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9" s="330">
        <v>45193</v>
      </c>
      <c r="DK9" s="330">
        <v>45234</v>
      </c>
      <c r="DL9" s="331"/>
      <c r="DM9" s="316"/>
      <c r="DN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9" s="331"/>
      <c r="DP9" s="316"/>
      <c r="DQ9" s="338"/>
      <c r="DR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9" s="330">
        <v>45193</v>
      </c>
      <c r="DT9" s="330" t="e">
        <v>#N/A</v>
      </c>
      <c r="DU9" s="330">
        <v>45234</v>
      </c>
      <c r="DV9" s="330" t="e">
        <v>#N/A</v>
      </c>
      <c r="DW9" s="331"/>
      <c r="DX9" s="316"/>
      <c r="DY9" s="334"/>
      <c r="DZ9" s="334"/>
      <c r="EA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 s="331"/>
      <c r="EC9" s="332"/>
      <c r="ED9" s="332"/>
      <c r="EE9" s="330"/>
      <c r="EF9" s="35">
        <v>1</v>
      </c>
      <c r="EG9" s="337">
        <v>1</v>
      </c>
      <c r="EH9" s="316" t="str">
        <f>IF(Table1[[#This Row],[PO Material Aktual 
(%)]]&gt;=100%,"Selesai PO = 100%",IF(Table1[[#This Row],[PO Material Aktual 
(%)]]&gt;=50%,"Proses PO &gt; 100%",IF(Table1[[#This Row],[PO Material Aktual 
(%)]]&gt;0%,"Proses PO &gt; 50%",IF(Table1[[#This Row],[PO Material Aktual 
(%)]]=0,"Belum PO = 0%"))))</f>
        <v>Selesai PO = 100%</v>
      </c>
      <c r="EI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 s="330">
        <v>45200</v>
      </c>
      <c r="EK9" s="330" t="e">
        <v>#N/A</v>
      </c>
      <c r="EL9" s="330">
        <v>45290</v>
      </c>
      <c r="EM9" s="330" t="e">
        <v>#N/A</v>
      </c>
      <c r="EN9" s="331"/>
      <c r="EO9" s="332"/>
      <c r="EP9" s="332"/>
      <c r="EQ9" s="87">
        <v>1</v>
      </c>
      <c r="ER9" s="87">
        <v>1</v>
      </c>
      <c r="ES9" s="316" t="str">
        <f>IF(Table1[[#This Row],[Progres MOS]]&gt;=100%,"Selesai MOS = 100%",IF(Table1[[#This Row],[Progres MOS]]&gt;=50%,"Proses MOS &gt; 100%",IF(Table1[[#This Row],[Progres MOS]]&gt;0%,"Proses MOS &gt; 50%",IF(Table1[[#This Row],[Progres MOS]]=0,"Belum MOS = 0%"))))</f>
        <v>Selesai MOS = 100%</v>
      </c>
      <c r="ET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9" s="47"/>
      <c r="EV9" s="330">
        <v>45193</v>
      </c>
      <c r="EW9" s="330" t="e">
        <v>#N/A</v>
      </c>
      <c r="EX9" s="330">
        <v>45255</v>
      </c>
      <c r="EY9" s="330" t="e">
        <v>#N/A</v>
      </c>
      <c r="EZ9" s="352" t="s">
        <v>259</v>
      </c>
      <c r="FA9" s="336" t="s">
        <v>259</v>
      </c>
      <c r="FB9" s="330" t="s">
        <v>260</v>
      </c>
      <c r="FC9" s="330" t="s">
        <v>282</v>
      </c>
      <c r="FD9" s="330" t="s">
        <v>282</v>
      </c>
      <c r="FE9" s="330" t="s">
        <v>282</v>
      </c>
      <c r="FF9" s="330" t="s">
        <v>282</v>
      </c>
      <c r="FG9" s="330" t="s">
        <v>282</v>
      </c>
      <c r="FH9" s="330" t="s">
        <v>282</v>
      </c>
      <c r="FI9" s="330" t="s">
        <v>282</v>
      </c>
      <c r="FJ9" s="330" t="s">
        <v>282</v>
      </c>
      <c r="FK9" s="330" t="s">
        <v>283</v>
      </c>
      <c r="FL9" s="336" t="s">
        <v>259</v>
      </c>
      <c r="FM9" s="336"/>
      <c r="FN9" s="314" t="str">
        <f>IF(Table1[[#This Row],[Tanggal Pengajuan Dokumen]]="","",Table1[[#This Row],[PLAN PERMIT
start]]-Table1[[#This Row],[Tanggal Pengajuan Dokumen]])</f>
        <v/>
      </c>
      <c r="FO9" s="336"/>
      <c r="FP9" s="316"/>
      <c r="FQ9" s="338"/>
      <c r="FR9" s="352"/>
      <c r="FS9" s="338" t="str">
        <f t="shared" si="4"/>
        <v>Sudah Terbit</v>
      </c>
      <c r="FT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 s="344">
        <f ca="1">IF(Table1[[#This Row],[Status Izin]]="Selesai",Table1[[#This Row],[PLAN PERMIT
finish]]-Table1[[#This Row],[Tanggal Terbit/ Target Izin Terbit]],ROUNDUP(Table1[[#This Row],[PLAN PERMIT
finish]]-NOW(),0))</f>
        <v>45255</v>
      </c>
      <c r="FV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 s="344"/>
      <c r="FX9" s="47"/>
      <c r="FY9" s="340"/>
      <c r="FZ9" s="341"/>
      <c r="GA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 s="330">
        <v>45823</v>
      </c>
      <c r="GC9" s="331">
        <v>45914</v>
      </c>
      <c r="GD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9" s="330">
        <v>45823</v>
      </c>
      <c r="GF9" s="331">
        <v>45914</v>
      </c>
      <c r="GG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9" s="330">
        <v>45817</v>
      </c>
      <c r="GI9" s="330">
        <v>45823</v>
      </c>
      <c r="GJ9" s="353">
        <v>45092</v>
      </c>
      <c r="GK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 s="330">
        <v>45256</v>
      </c>
      <c r="GM9" s="330" t="e">
        <v>#N/A</v>
      </c>
      <c r="GN9" s="330">
        <v>45318</v>
      </c>
      <c r="GO9" s="330" t="e">
        <v>#N/A</v>
      </c>
      <c r="GP9" s="316"/>
      <c r="GQ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 s="330" t="s">
        <v>261</v>
      </c>
      <c r="GS9" s="330" t="s">
        <v>261</v>
      </c>
      <c r="GT9" s="354">
        <v>45296</v>
      </c>
      <c r="GU9" s="344" t="str">
        <f>IF(Table1[[#This Row],[Hydro Tes Actual
(tanggal)]]&lt;&gt;"","Sudah","Belum")</f>
        <v>Sudah</v>
      </c>
      <c r="GV9" s="330" t="s">
        <v>261</v>
      </c>
      <c r="GW9" s="330" t="s">
        <v>261</v>
      </c>
      <c r="GX9" s="331">
        <v>45232</v>
      </c>
      <c r="GY9" s="344" t="str">
        <f>IF(Table1[[#This Row],[Interkoneksi Actual
(tanggal)]]&lt;&gt;"","Sudah","Belum")</f>
        <v>Sudah</v>
      </c>
      <c r="GZ9" s="330" t="s">
        <v>261</v>
      </c>
      <c r="HA9" s="330" t="s">
        <v>261</v>
      </c>
      <c r="HB9" s="331">
        <v>45298</v>
      </c>
      <c r="HC9" s="344" t="str">
        <f>IF(Table1[[#This Row],[Flushing Actual
(tanggal)]]&lt;&gt;"","Sudah","Belum")</f>
        <v>Sudah</v>
      </c>
      <c r="HD9" s="330">
        <v>45319</v>
      </c>
      <c r="HE9" s="330" t="e">
        <v>#N/A</v>
      </c>
      <c r="HF9" s="330">
        <v>45325</v>
      </c>
      <c r="HG9" s="346">
        <v>45304</v>
      </c>
      <c r="HH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 s="330" t="s">
        <v>261</v>
      </c>
      <c r="HJ9" s="330" t="s">
        <v>261</v>
      </c>
      <c r="HK9" s="331"/>
      <c r="HL9" s="316"/>
      <c r="HM9" s="330">
        <v>45337</v>
      </c>
      <c r="HN9" s="330">
        <v>45337</v>
      </c>
      <c r="HO9" s="330" t="e">
        <v>#N/A</v>
      </c>
      <c r="HP9" s="346">
        <v>45335</v>
      </c>
      <c r="HQ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9" s="330">
        <v>45344</v>
      </c>
      <c r="HS9" s="330"/>
      <c r="HT9" s="330">
        <v>45344</v>
      </c>
      <c r="HU9" s="527"/>
      <c r="HV9" s="330">
        <f>IF(Table1[[#This Row],[MC-100 Aktual
(tanggal)]]&lt;&gt;"",Table1[[#This Row],[MC-100 Aktual
(tanggal)]]+5,"")</f>
        <v>45340</v>
      </c>
      <c r="HW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9" s="47"/>
      <c r="HY9" s="352"/>
      <c r="HZ9" s="352"/>
      <c r="IB9" s="618">
        <f>IFERROR(ROUND((Table1[[#This Row],[PLAN TC
finish]]-Table1[[#This Row],[PLAN MC-0
start]])/30,2),"")</f>
        <v>-16.399999999999999</v>
      </c>
      <c r="IC9" t="e">
        <f>DATEDIF(Table1[[#This Row],[PLAN MC-0
start]],Table1[[#This Row],[PLAN TC
finish]],"m")</f>
        <v>#NUM!</v>
      </c>
    </row>
    <row r="10" spans="1:237" s="4" customFormat="1" ht="15" customHeight="1" x14ac:dyDescent="0.2">
      <c r="B10" s="311">
        <f>SUBTOTAL(3,$D$5:D10)</f>
        <v>6</v>
      </c>
      <c r="C10" s="348">
        <v>6</v>
      </c>
      <c r="D10" s="315" t="s">
        <v>244</v>
      </c>
      <c r="E10" s="315" t="s">
        <v>289</v>
      </c>
      <c r="F10" s="315" t="s">
        <v>290</v>
      </c>
      <c r="G10" s="349">
        <v>45752</v>
      </c>
      <c r="H10" s="314" t="s">
        <v>247</v>
      </c>
      <c r="I10" s="315" t="s">
        <v>278</v>
      </c>
      <c r="J10" s="315"/>
      <c r="K10" s="338" t="s">
        <v>249</v>
      </c>
      <c r="L10" s="316" t="s">
        <v>250</v>
      </c>
      <c r="M10" s="316" t="s">
        <v>269</v>
      </c>
      <c r="N10" s="107">
        <v>85</v>
      </c>
      <c r="O10" s="31" t="s">
        <v>252</v>
      </c>
      <c r="P1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 s="87" t="e">
        <v>#N/A</v>
      </c>
      <c r="S10" s="87">
        <v>1</v>
      </c>
      <c r="T10" s="35">
        <f>Table1[[#This Row],[Progres Total Aktual
(%)]]</f>
        <v>1</v>
      </c>
      <c r="U10" s="124">
        <f>Table1[[#This Row],[Progres Aktual
(%)]]-Table1[[#This Row],[Target Progres
(%)]]</f>
        <v>0</v>
      </c>
      <c r="V10" s="350">
        <f>Table1[[#This Row],["Volume
BA MC-0"]]</f>
        <v>85</v>
      </c>
      <c r="W10" s="351">
        <f>Table1[[#This Row],[Total Panjang Pipa Aktual
(Sum-&gt;)3]]</f>
        <v>85</v>
      </c>
      <c r="X10" s="47"/>
      <c r="Y10" s="67" t="s">
        <v>291</v>
      </c>
      <c r="Z10" s="67">
        <v>122645794</v>
      </c>
      <c r="AA10" s="67">
        <f>ROUND((Table1[[#This Row],[Nilai RAB Jaringan
(Exclude Ppn)]]-Table1[[#This Row],[RAB Perizinan]])*1.11+Table1[[#This Row],[RAB Perizinan]],0)</f>
        <v>0</v>
      </c>
      <c r="AB10" s="320">
        <f>SUM(Table1[[#This Row],[RAB Kegiatan Umum]:[RAB Perizinan]])</f>
        <v>0</v>
      </c>
      <c r="AC10" s="320"/>
      <c r="AD10" s="320"/>
      <c r="AE10" s="320"/>
      <c r="AF10" s="320"/>
      <c r="AG10" s="320">
        <v>17982000</v>
      </c>
      <c r="AH10" s="35" t="e">
        <f>SUM(Table1[[#This Row],[Bobot Keg Umum]:[Bobot Perizinan]])</f>
        <v>#DIV/0!</v>
      </c>
      <c r="AI10" s="35" t="e">
        <f>Table1[[#This Row],[RAB Kegiatan Umum]]/Table1[[#This Row],[Nilai RAB Jaringan
(Exclude Ppn)]]</f>
        <v>#DIV/0!</v>
      </c>
      <c r="AJ10" s="35" t="e">
        <f>Table1[[#This Row],[RAB Pemasangan]]/Table1[[#This Row],[Nilai RAB Jaringan
(Exclude Ppn)]]</f>
        <v>#DIV/0!</v>
      </c>
      <c r="AK10" s="35" t="e">
        <f>Table1[[#This Row],[RAB Pengadaan]]/Table1[[#This Row],[Nilai RAB Jaringan
(Exclude Ppn)]]</f>
        <v>#DIV/0!</v>
      </c>
      <c r="AL10" s="35" t="e">
        <f>Table1[[#This Row],[RAB Perizinan]]/Table1[[#This Row],[Nilai RAB Jaringan
(Exclude Ppn)]]</f>
        <v>#DIV/0!</v>
      </c>
      <c r="AM10" s="47"/>
      <c r="AN10" s="285">
        <v>85</v>
      </c>
      <c r="AO10" s="285">
        <f>SUM(Table1[[#This Row],[Pipa 63 mm]:[Pipa 1,800 mm]])</f>
        <v>0</v>
      </c>
      <c r="AP10" s="285"/>
      <c r="AQ10" s="285"/>
      <c r="AR10" s="285"/>
      <c r="AS10" s="285"/>
      <c r="AT10" s="285"/>
      <c r="AU10" s="285"/>
      <c r="AV10" s="285"/>
      <c r="AW10" s="285"/>
      <c r="AX10" s="285"/>
      <c r="AY10" s="285"/>
      <c r="AZ10" s="285"/>
      <c r="BA10" s="285"/>
      <c r="BB10" s="285"/>
      <c r="BC10" s="285"/>
      <c r="BD10" s="285"/>
      <c r="BE10" s="285"/>
      <c r="BF10" s="285"/>
      <c r="BG10" s="285"/>
      <c r="BH10" s="285"/>
      <c r="BI10" s="285"/>
      <c r="BJ10" s="36">
        <f>SUM(Table1[[#This Row],[Pipa 63 mm2]:[Pipa 1,800 mm21]])</f>
        <v>85</v>
      </c>
      <c r="BK10" s="32"/>
      <c r="BL10" s="32">
        <v>85</v>
      </c>
      <c r="BM10" s="32" t="s">
        <v>292</v>
      </c>
      <c r="BN10" s="32"/>
      <c r="BO10" s="32"/>
      <c r="BP10" s="32"/>
      <c r="BQ10" s="32"/>
      <c r="BR10" s="32"/>
      <c r="BS10" s="32"/>
      <c r="BT10" s="32"/>
      <c r="BU10" s="32"/>
      <c r="BV10" s="32"/>
      <c r="BW10" s="32"/>
      <c r="BX10" s="32"/>
      <c r="BY10" s="32"/>
      <c r="BZ10" s="32"/>
      <c r="CA10" s="32"/>
      <c r="CB10" s="32"/>
      <c r="CC10" s="32"/>
      <c r="CD10" s="32"/>
      <c r="CE10" s="32">
        <v>0</v>
      </c>
      <c r="CF10" s="32"/>
      <c r="CG10" s="32"/>
      <c r="CH10" s="32"/>
      <c r="CI10" s="32">
        <f t="shared" si="3"/>
        <v>0</v>
      </c>
      <c r="CJ10" s="65">
        <f>IF((Table1[[#This Row],["Volume
BA MC-0"]]-Table1[[#This Row],[Total Panjang Pipa Aktual
(Sum-&gt;)3]]-Table1[[#This Row],[Total Volume
tidak dapat dipasang]])&gt;=0,Table1[[#This Row],["Volume
BA MC-0"]]-Table1[[#This Row],[Total Panjang Pipa Aktual
(Sum-&gt;)3]]-Table1[[#This Row],[Total Volume
tidak dapat dipasang]],0)</f>
        <v>0</v>
      </c>
      <c r="CK10" s="47"/>
      <c r="CL10" s="131"/>
      <c r="CM10" s="35"/>
      <c r="CN10" s="131"/>
      <c r="CO10" s="131"/>
      <c r="CP1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 s="66">
        <f>IFERROR(Table1[[#This Row],[Progres Keg. Umum
(%)]]*Table1[[#This Row],[Nilai RAB Jaringan
(file pa aji)]],0)</f>
        <v>0</v>
      </c>
      <c r="CR10" s="66">
        <f>IFERROR(Table1[[#This Row],[Progres MOS
(%)]]*Table1[[#This Row],[Nilai RAB Jaringan
(file pa aji)]],0)</f>
        <v>0</v>
      </c>
      <c r="CS10" s="66">
        <f>IFERROR(Table1[[#This Row],[Progres Pemasangan
(%)]]*Table1[[#This Row],[Nilai RAB Jaringan
(file pa aji)]],0)</f>
        <v>0</v>
      </c>
      <c r="CT10" s="66">
        <f>IFERROR(Table1[[#This Row],[Progres Perizinan
(%)]]*Table1[[#This Row],[Nilai RAB Jaringan
(file pa aji)]],0)</f>
        <v>0</v>
      </c>
      <c r="CU10" s="329">
        <v>90892413</v>
      </c>
      <c r="CV10" s="329">
        <v>90892413</v>
      </c>
      <c r="CW10" s="583">
        <v>90892413</v>
      </c>
      <c r="CX10" s="329">
        <v>90892413</v>
      </c>
      <c r="CY10" s="47"/>
      <c r="CZ10" s="330">
        <v>45229</v>
      </c>
      <c r="DA10" s="330">
        <v>45242</v>
      </c>
      <c r="DB10" s="331">
        <v>45432</v>
      </c>
      <c r="DC10" s="316" t="s">
        <v>293</v>
      </c>
      <c r="DD10" s="67">
        <v>74265217</v>
      </c>
      <c r="DE1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0" s="331">
        <v>45464</v>
      </c>
      <c r="DG10" s="316" t="s">
        <v>294</v>
      </c>
      <c r="DH10" s="67">
        <v>74265217</v>
      </c>
      <c r="DI1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0" s="330">
        <v>45243</v>
      </c>
      <c r="DK10" s="330">
        <v>45291</v>
      </c>
      <c r="DL10" s="331">
        <v>45546</v>
      </c>
      <c r="DM10" s="357" t="s">
        <v>295</v>
      </c>
      <c r="DN1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0" s="331">
        <v>45700</v>
      </c>
      <c r="DP10" s="316" t="s">
        <v>296</v>
      </c>
      <c r="DQ10" s="338" t="s">
        <v>297</v>
      </c>
      <c r="DR1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 s="330">
        <v>45243</v>
      </c>
      <c r="DT10" s="330" t="e">
        <v>#N/A</v>
      </c>
      <c r="DU10" s="330">
        <v>45270</v>
      </c>
      <c r="DV10" s="330" t="e">
        <v>#N/A</v>
      </c>
      <c r="DW10" s="331"/>
      <c r="DX10" s="316"/>
      <c r="DY10" s="334"/>
      <c r="DZ10" s="334"/>
      <c r="EA1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 s="331"/>
      <c r="EC10" s="332"/>
      <c r="ED10" s="332"/>
      <c r="EE10" s="330"/>
      <c r="EF10" s="35">
        <v>1</v>
      </c>
      <c r="EG10" s="337">
        <v>1</v>
      </c>
      <c r="EH10" s="316" t="str">
        <f>IF(Table1[[#This Row],[PO Material Aktual 
(%)]]&gt;=100%,"Selesai PO = 100%",IF(Table1[[#This Row],[PO Material Aktual 
(%)]]&gt;=50%,"Proses PO &gt; 100%",IF(Table1[[#This Row],[PO Material Aktual 
(%)]]&gt;0%,"Proses PO &gt; 50%",IF(Table1[[#This Row],[PO Material Aktual 
(%)]]=0,"Belum PO = 0%"))))</f>
        <v>Selesai PO = 100%</v>
      </c>
      <c r="EI1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 s="330">
        <v>45271</v>
      </c>
      <c r="EK10" s="330" t="e">
        <v>#N/A</v>
      </c>
      <c r="EL10" s="330">
        <v>45319</v>
      </c>
      <c r="EM10" s="330" t="e">
        <v>#N/A</v>
      </c>
      <c r="EN10" s="331"/>
      <c r="EO10" s="332"/>
      <c r="EP10" s="332"/>
      <c r="EQ10" s="87">
        <v>1</v>
      </c>
      <c r="ER10" s="87">
        <v>1</v>
      </c>
      <c r="ES10" s="316" t="str">
        <f>IF(Table1[[#This Row],[Progres MOS]]&gt;=100%,"Selesai MOS = 100%",IF(Table1[[#This Row],[Progres MOS]]&gt;=50%,"Proses MOS &gt; 100%",IF(Table1[[#This Row],[Progres MOS]]&gt;0%,"Proses MOS &gt; 50%",IF(Table1[[#This Row],[Progres MOS]]=0,"Belum MOS = 0%"))))</f>
        <v>Selesai MOS = 100%</v>
      </c>
      <c r="ET1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0" s="47"/>
      <c r="EV10" s="330">
        <v>45243</v>
      </c>
      <c r="EW10" s="330" t="e">
        <v>#N/A</v>
      </c>
      <c r="EX10" s="330">
        <v>45319</v>
      </c>
      <c r="EY10" s="330" t="e">
        <v>#N/A</v>
      </c>
      <c r="EZ10" s="352" t="s">
        <v>298</v>
      </c>
      <c r="FA10" s="336" t="s">
        <v>259</v>
      </c>
      <c r="FB10" s="330" t="s">
        <v>260</v>
      </c>
      <c r="FC10" s="330">
        <v>45796</v>
      </c>
      <c r="FD10" s="330" t="s">
        <v>260</v>
      </c>
      <c r="FE10" s="330">
        <v>45895</v>
      </c>
      <c r="FF10" s="330">
        <v>45944</v>
      </c>
      <c r="FG10" s="330" t="s">
        <v>260</v>
      </c>
      <c r="FH10" s="330" t="s">
        <v>260</v>
      </c>
      <c r="FI10" s="330">
        <v>46021</v>
      </c>
      <c r="FJ10" s="330" t="s">
        <v>260</v>
      </c>
      <c r="FK10" s="330">
        <v>46087</v>
      </c>
      <c r="FL10" s="336" t="s">
        <v>298</v>
      </c>
      <c r="FM10" s="336">
        <v>45796</v>
      </c>
      <c r="FN10" s="314">
        <f>IF(Table1[[#This Row],[Tanggal Pengajuan Dokumen]]="","",Table1[[#This Row],[PLAN PERMIT
start]]-Table1[[#This Row],[Tanggal Pengajuan Dokumen]])</f>
        <v>-553</v>
      </c>
      <c r="FO10" s="336"/>
      <c r="FP10" s="316"/>
      <c r="FQ10" s="338"/>
      <c r="FR10" s="352"/>
      <c r="FS10" s="338" t="str">
        <f t="shared" si="4"/>
        <v>Sudah Terbit</v>
      </c>
      <c r="FT1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 s="344">
        <f ca="1">IF(Table1[[#This Row],[Status Izin]]="Selesai",Table1[[#This Row],[PLAN PERMIT
finish]]-Table1[[#This Row],[Tanggal Terbit/ Target Izin Terbit]],ROUNDUP(Table1[[#This Row],[PLAN PERMIT
finish]]-NOW(),0))</f>
        <v>45319</v>
      </c>
      <c r="FV1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 s="344"/>
      <c r="FX10" s="47"/>
      <c r="FY10" s="340"/>
      <c r="FZ10" s="341"/>
      <c r="GA1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 s="330">
        <v>45293</v>
      </c>
      <c r="GC10" s="331">
        <v>45280</v>
      </c>
      <c r="GD1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 s="330">
        <v>45300</v>
      </c>
      <c r="GF10" s="331">
        <v>45280</v>
      </c>
      <c r="GG1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 s="330">
        <v>45306</v>
      </c>
      <c r="GI10" s="330">
        <v>45312</v>
      </c>
      <c r="GJ10" s="353">
        <v>45299</v>
      </c>
      <c r="GK1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 s="330">
        <v>45320</v>
      </c>
      <c r="GM10" s="330" t="e">
        <v>#N/A</v>
      </c>
      <c r="GN10" s="330">
        <v>45326</v>
      </c>
      <c r="GO10" s="330" t="e">
        <v>#N/A</v>
      </c>
      <c r="GP10" s="316"/>
      <c r="GQ1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 s="330" t="s">
        <v>261</v>
      </c>
      <c r="GS10" s="330" t="s">
        <v>261</v>
      </c>
      <c r="GT10" s="354">
        <v>45348</v>
      </c>
      <c r="GU10" s="344" t="str">
        <f>IF(Table1[[#This Row],[Hydro Tes Actual
(tanggal)]]&lt;&gt;"","Sudah","Belum")</f>
        <v>Sudah</v>
      </c>
      <c r="GV10" s="330" t="s">
        <v>261</v>
      </c>
      <c r="GW10" s="330" t="s">
        <v>261</v>
      </c>
      <c r="GX10" s="331">
        <v>45344</v>
      </c>
      <c r="GY10" s="344" t="str">
        <f>IF(Table1[[#This Row],[Interkoneksi Actual
(tanggal)]]&lt;&gt;"","Sudah","Belum")</f>
        <v>Sudah</v>
      </c>
      <c r="GZ10" s="330" t="s">
        <v>261</v>
      </c>
      <c r="HA10" s="330" t="s">
        <v>261</v>
      </c>
      <c r="HB10" s="331">
        <v>45350</v>
      </c>
      <c r="HC10" s="344" t="str">
        <f>IF(Table1[[#This Row],[Flushing Actual
(tanggal)]]&lt;&gt;"","Sudah","Belum")</f>
        <v>Sudah</v>
      </c>
      <c r="HD10" s="330">
        <v>45327</v>
      </c>
      <c r="HE10" s="330" t="e">
        <v>#N/A</v>
      </c>
      <c r="HF10" s="330">
        <v>45333</v>
      </c>
      <c r="HG10" s="346">
        <v>45350</v>
      </c>
      <c r="HH1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 s="330" t="s">
        <v>261</v>
      </c>
      <c r="HJ10" s="330" t="s">
        <v>261</v>
      </c>
      <c r="HK10" s="331"/>
      <c r="HL10" s="316"/>
      <c r="HM10" s="330">
        <v>45338</v>
      </c>
      <c r="HN10" s="330">
        <v>45338</v>
      </c>
      <c r="HO10" s="330" t="e">
        <v>#N/A</v>
      </c>
      <c r="HP10" s="346">
        <v>45352</v>
      </c>
      <c r="HQ1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 s="330">
        <v>45345</v>
      </c>
      <c r="HS10" s="330"/>
      <c r="HT10" s="330">
        <v>45345</v>
      </c>
      <c r="HU10" s="527"/>
      <c r="HV10" s="330">
        <f>IF(Table1[[#This Row],[MC-100 Aktual
(tanggal)]]&lt;&gt;"",Table1[[#This Row],[MC-100 Aktual
(tanggal)]]+5,"")</f>
        <v>45357</v>
      </c>
      <c r="HW1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 s="47"/>
      <c r="HY10" s="352"/>
      <c r="HZ10" s="352"/>
      <c r="IB10" s="618">
        <f>IFERROR(ROUND((Table1[[#This Row],[PLAN TC
finish]]-Table1[[#This Row],[PLAN MC-0
start]])/30,2),"")</f>
        <v>0.9</v>
      </c>
      <c r="IC10">
        <f>DATEDIF(Table1[[#This Row],[PLAN MC-0
start]],Table1[[#This Row],[PLAN TC
finish]],"m")</f>
        <v>0</v>
      </c>
    </row>
    <row r="11" spans="1:237" s="4" customFormat="1" ht="15" customHeight="1" x14ac:dyDescent="0.2">
      <c r="B11" s="311">
        <f>SUBTOTAL(3,$D$5:D11)</f>
        <v>7</v>
      </c>
      <c r="C11" s="348">
        <v>7</v>
      </c>
      <c r="D11" s="315" t="s">
        <v>244</v>
      </c>
      <c r="E11" s="315" t="s">
        <v>299</v>
      </c>
      <c r="F11" s="315" t="s">
        <v>300</v>
      </c>
      <c r="G11" s="349">
        <v>45752</v>
      </c>
      <c r="H11" s="314" t="s">
        <v>247</v>
      </c>
      <c r="I11" s="315" t="s">
        <v>278</v>
      </c>
      <c r="J11" s="315"/>
      <c r="K11" s="338" t="s">
        <v>249</v>
      </c>
      <c r="L11" s="316" t="s">
        <v>250</v>
      </c>
      <c r="M11" s="316" t="s">
        <v>269</v>
      </c>
      <c r="N11" s="107">
        <v>80</v>
      </c>
      <c r="O11" s="31" t="s">
        <v>252</v>
      </c>
      <c r="P1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 s="87" t="e">
        <v>#N/A</v>
      </c>
      <c r="S11" s="87">
        <v>1</v>
      </c>
      <c r="T11" s="35">
        <f>Table1[[#This Row],[Progres Total Aktual
(%)]]</f>
        <v>1</v>
      </c>
      <c r="U11" s="124">
        <f>Table1[[#This Row],[Progres Aktual
(%)]]-Table1[[#This Row],[Target Progres
(%)]]</f>
        <v>0</v>
      </c>
      <c r="V11" s="350">
        <f>Table1[[#This Row],["Volume
BA MC-0"]]</f>
        <v>80</v>
      </c>
      <c r="W11" s="351">
        <f>Table1[[#This Row],[Total Panjang Pipa Aktual
(Sum-&gt;)3]]</f>
        <v>80</v>
      </c>
      <c r="X11" s="47"/>
      <c r="Y11" s="67" t="s">
        <v>301</v>
      </c>
      <c r="Z11" s="67">
        <v>188572819.63999999</v>
      </c>
      <c r="AA11" s="67">
        <f>ROUND((Table1[[#This Row],[Nilai RAB Jaringan
(Exclude Ppn)]]-Table1[[#This Row],[RAB Perizinan]])*1.11+Table1[[#This Row],[RAB Perizinan]],0)</f>
        <v>0</v>
      </c>
      <c r="AB11" s="320">
        <f>SUM(Table1[[#This Row],[RAB Kegiatan Umum]:[RAB Perizinan]])</f>
        <v>0</v>
      </c>
      <c r="AC11" s="320"/>
      <c r="AD11" s="320"/>
      <c r="AE11" s="320"/>
      <c r="AF11" s="320"/>
      <c r="AG11" s="320">
        <v>24595780</v>
      </c>
      <c r="AH11" s="35" t="e">
        <f>SUM(Table1[[#This Row],[Bobot Keg Umum]:[Bobot Perizinan]])</f>
        <v>#DIV/0!</v>
      </c>
      <c r="AI11" s="35" t="e">
        <f>Table1[[#This Row],[RAB Kegiatan Umum]]/Table1[[#This Row],[Nilai RAB Jaringan
(Exclude Ppn)]]</f>
        <v>#DIV/0!</v>
      </c>
      <c r="AJ11" s="35" t="e">
        <f>Table1[[#This Row],[RAB Pemasangan]]/Table1[[#This Row],[Nilai RAB Jaringan
(Exclude Ppn)]]</f>
        <v>#DIV/0!</v>
      </c>
      <c r="AK11" s="35" t="e">
        <f>Table1[[#This Row],[RAB Pengadaan]]/Table1[[#This Row],[Nilai RAB Jaringan
(Exclude Ppn)]]</f>
        <v>#DIV/0!</v>
      </c>
      <c r="AL11" s="35" t="e">
        <f>Table1[[#This Row],[RAB Perizinan]]/Table1[[#This Row],[Nilai RAB Jaringan
(Exclude Ppn)]]</f>
        <v>#DIV/0!</v>
      </c>
      <c r="AM11" s="47"/>
      <c r="AN11" s="285">
        <v>80</v>
      </c>
      <c r="AO11" s="285">
        <f>SUM(Table1[[#This Row],[Pipa 63 mm]:[Pipa 1,800 mm]])</f>
        <v>0</v>
      </c>
      <c r="AP11" s="285"/>
      <c r="AQ11" s="285"/>
      <c r="AR11" s="285"/>
      <c r="AS11" s="285"/>
      <c r="AT11" s="285"/>
      <c r="AU11" s="285"/>
      <c r="AV11" s="285"/>
      <c r="AW11" s="285"/>
      <c r="AX11" s="285"/>
      <c r="AY11" s="285"/>
      <c r="AZ11" s="285"/>
      <c r="BA11" s="285"/>
      <c r="BB11" s="285"/>
      <c r="BC11" s="285"/>
      <c r="BD11" s="285"/>
      <c r="BE11" s="285"/>
      <c r="BF11" s="285"/>
      <c r="BG11" s="285"/>
      <c r="BH11" s="285"/>
      <c r="BI11" s="285"/>
      <c r="BJ11" s="36">
        <f>SUM(Table1[[#This Row],[Pipa 63 mm2]:[Pipa 1,800 mm21]])</f>
        <v>80</v>
      </c>
      <c r="BK11" s="32"/>
      <c r="BL11" s="32">
        <v>80</v>
      </c>
      <c r="BM11" s="32"/>
      <c r="BN11" s="32"/>
      <c r="BO11" s="32"/>
      <c r="BP11" s="32"/>
      <c r="BQ11" s="32"/>
      <c r="BR11" s="32"/>
      <c r="BS11" s="32"/>
      <c r="BT11" s="32"/>
      <c r="BU11" s="32"/>
      <c r="BV11" s="32"/>
      <c r="BW11" s="32"/>
      <c r="BX11" s="32"/>
      <c r="BY11" s="32"/>
      <c r="BZ11" s="32"/>
      <c r="CA11" s="32"/>
      <c r="CB11" s="32"/>
      <c r="CC11" s="32"/>
      <c r="CD11" s="32"/>
      <c r="CE11" s="32">
        <v>0</v>
      </c>
      <c r="CF11" s="32"/>
      <c r="CG11" s="32"/>
      <c r="CH11" s="32"/>
      <c r="CI11" s="32">
        <f t="shared" si="3"/>
        <v>0</v>
      </c>
      <c r="CJ11" s="65">
        <f>IF((Table1[[#This Row],["Volume
BA MC-0"]]-Table1[[#This Row],[Total Panjang Pipa Aktual
(Sum-&gt;)3]]-Table1[[#This Row],[Total Volume
tidak dapat dipasang]])&gt;=0,Table1[[#This Row],["Volume
BA MC-0"]]-Table1[[#This Row],[Total Panjang Pipa Aktual
(Sum-&gt;)3]]-Table1[[#This Row],[Total Volume
tidak dapat dipasang]],0)</f>
        <v>0</v>
      </c>
      <c r="CK11" s="47"/>
      <c r="CL11" s="131"/>
      <c r="CM11" s="35"/>
      <c r="CN11" s="131"/>
      <c r="CO11" s="131"/>
      <c r="CP1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 s="66">
        <f>IFERROR(Table1[[#This Row],[Progres Keg. Umum
(%)]]*Table1[[#This Row],[Nilai RAB Jaringan
(file pa aji)]],0)</f>
        <v>0</v>
      </c>
      <c r="CR11" s="66">
        <f>IFERROR(Table1[[#This Row],[Progres MOS
(%)]]*Table1[[#This Row],[Nilai RAB Jaringan
(file pa aji)]],0)</f>
        <v>0</v>
      </c>
      <c r="CS11" s="66">
        <f>IFERROR(Table1[[#This Row],[Progres Pemasangan
(%)]]*Table1[[#This Row],[Nilai RAB Jaringan
(file pa aji)]],0)</f>
        <v>0</v>
      </c>
      <c r="CT11" s="66">
        <f>IFERROR(Table1[[#This Row],[Progres Perizinan
(%)]]*Table1[[#This Row],[Nilai RAB Jaringan
(file pa aji)]],0)</f>
        <v>0</v>
      </c>
      <c r="CU11" s="329">
        <v>289307432</v>
      </c>
      <c r="CV11" s="329">
        <v>289307432</v>
      </c>
      <c r="CW11" s="583">
        <v>289307432</v>
      </c>
      <c r="CX11" s="329">
        <v>289307432</v>
      </c>
      <c r="CY11" s="47"/>
      <c r="CZ11" s="330">
        <v>45383</v>
      </c>
      <c r="DA11" s="330">
        <v>45417</v>
      </c>
      <c r="DB11" s="331">
        <v>45344</v>
      </c>
      <c r="DC11" s="316" t="s">
        <v>302</v>
      </c>
      <c r="DD11" s="67">
        <v>188572819</v>
      </c>
      <c r="DE1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1" s="331">
        <v>45370</v>
      </c>
      <c r="DG11" s="316" t="s">
        <v>303</v>
      </c>
      <c r="DH11" s="67">
        <v>188572819</v>
      </c>
      <c r="DI1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1" s="330">
        <v>45418</v>
      </c>
      <c r="DK11" s="330">
        <v>45466</v>
      </c>
      <c r="DL11" s="331"/>
      <c r="DM11" s="316"/>
      <c r="DN1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1" s="331"/>
      <c r="DP11" s="316"/>
      <c r="DQ11" s="338"/>
      <c r="DR1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1" s="330">
        <v>45418</v>
      </c>
      <c r="DT11" s="330" t="e">
        <v>#N/A</v>
      </c>
      <c r="DU11" s="330">
        <v>45466</v>
      </c>
      <c r="DV11" s="330" t="e">
        <v>#N/A</v>
      </c>
      <c r="DW11" s="331"/>
      <c r="DX11" s="316"/>
      <c r="DY11" s="334"/>
      <c r="DZ11" s="334"/>
      <c r="EA1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 s="331"/>
      <c r="EC11" s="332"/>
      <c r="ED11" s="332"/>
      <c r="EE11" s="330"/>
      <c r="EF11" s="35">
        <v>1</v>
      </c>
      <c r="EG11" s="337">
        <v>1</v>
      </c>
      <c r="EH11" s="316" t="str">
        <f>IF(Table1[[#This Row],[PO Material Aktual 
(%)]]&gt;=100%,"Selesai PO = 100%",IF(Table1[[#This Row],[PO Material Aktual 
(%)]]&gt;=50%,"Proses PO &gt; 100%",IF(Table1[[#This Row],[PO Material Aktual 
(%)]]&gt;0%,"Proses PO &gt; 50%",IF(Table1[[#This Row],[PO Material Aktual 
(%)]]=0,"Belum PO = 0%"))))</f>
        <v>Selesai PO = 100%</v>
      </c>
      <c r="EI1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 s="330">
        <v>45467</v>
      </c>
      <c r="EK11" s="330" t="e">
        <v>#N/A</v>
      </c>
      <c r="EL11" s="330">
        <v>45529</v>
      </c>
      <c r="EM11" s="330" t="e">
        <v>#N/A</v>
      </c>
      <c r="EN11" s="331"/>
      <c r="EO11" s="332"/>
      <c r="EP11" s="332"/>
      <c r="EQ11" s="87">
        <v>1</v>
      </c>
      <c r="ER11" s="87">
        <v>1</v>
      </c>
      <c r="ES11" s="316" t="str">
        <f>IF(Table1[[#This Row],[Progres MOS]]&gt;=100%,"Selesai MOS = 100%",IF(Table1[[#This Row],[Progres MOS]]&gt;=50%,"Proses MOS &gt; 100%",IF(Table1[[#This Row],[Progres MOS]]&gt;0%,"Proses MOS &gt; 50%",IF(Table1[[#This Row],[Progres MOS]]=0,"Belum MOS = 0%"))))</f>
        <v>Selesai MOS = 100%</v>
      </c>
      <c r="ET1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1" s="47"/>
      <c r="EV11" s="330">
        <v>45418</v>
      </c>
      <c r="EW11" s="330" t="e">
        <v>#N/A</v>
      </c>
      <c r="EX11" s="330">
        <v>45529</v>
      </c>
      <c r="EY11" s="330" t="e">
        <v>#N/A</v>
      </c>
      <c r="EZ11" s="352" t="s">
        <v>298</v>
      </c>
      <c r="FA11" s="336" t="s">
        <v>259</v>
      </c>
      <c r="FB11" s="330" t="s">
        <v>260</v>
      </c>
      <c r="FC11" s="330">
        <v>45796</v>
      </c>
      <c r="FD11" s="330" t="s">
        <v>260</v>
      </c>
      <c r="FE11" s="330">
        <v>45895</v>
      </c>
      <c r="FF11" s="330">
        <v>45944</v>
      </c>
      <c r="FG11" s="330" t="s">
        <v>260</v>
      </c>
      <c r="FH11" s="330" t="s">
        <v>260</v>
      </c>
      <c r="FI11" s="330">
        <v>46021</v>
      </c>
      <c r="FJ11" s="330" t="s">
        <v>260</v>
      </c>
      <c r="FK11" s="330">
        <v>46087</v>
      </c>
      <c r="FL11" s="336" t="s">
        <v>298</v>
      </c>
      <c r="FM11" s="336">
        <v>45796</v>
      </c>
      <c r="FN11" s="314">
        <f>IF(Table1[[#This Row],[Tanggal Pengajuan Dokumen]]="","",Table1[[#This Row],[PLAN PERMIT
start]]-Table1[[#This Row],[Tanggal Pengajuan Dokumen]])</f>
        <v>-378</v>
      </c>
      <c r="FO11" s="336"/>
      <c r="FP11" s="316"/>
      <c r="FQ11" s="338"/>
      <c r="FR11" s="352"/>
      <c r="FS11" s="338" t="str">
        <f t="shared" si="4"/>
        <v>Sudah Terbit</v>
      </c>
      <c r="FT1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 s="344">
        <f ca="1">IF(Table1[[#This Row],[Status Izin]]="Selesai",Table1[[#This Row],[PLAN PERMIT
finish]]-Table1[[#This Row],[Tanggal Terbit/ Target Izin Terbit]],ROUNDUP(Table1[[#This Row],[PLAN PERMIT
finish]]-NOW(),0))</f>
        <v>45529</v>
      </c>
      <c r="FV1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 s="344"/>
      <c r="FX11" s="47"/>
      <c r="FY11" s="340"/>
      <c r="FZ11" s="341"/>
      <c r="GA1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 s="330">
        <v>45503</v>
      </c>
      <c r="GC11" s="331">
        <v>45425</v>
      </c>
      <c r="GD1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1" s="330">
        <v>45510</v>
      </c>
      <c r="GF11" s="331">
        <v>45425</v>
      </c>
      <c r="GG1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1" s="330">
        <v>45516</v>
      </c>
      <c r="GI11" s="330">
        <v>45522</v>
      </c>
      <c r="GJ11" s="353">
        <v>45428</v>
      </c>
      <c r="GK1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 s="330">
        <v>45530</v>
      </c>
      <c r="GM11" s="330" t="e">
        <v>#N/A</v>
      </c>
      <c r="GN11" s="330">
        <v>45536</v>
      </c>
      <c r="GO11" s="330" t="e">
        <v>#N/A</v>
      </c>
      <c r="GP11" s="316"/>
      <c r="GQ1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 s="330" t="s">
        <v>261</v>
      </c>
      <c r="GS11" s="330" t="s">
        <v>261</v>
      </c>
      <c r="GT11" s="354">
        <v>45543</v>
      </c>
      <c r="GU11" s="344" t="str">
        <f>IF(Table1[[#This Row],[Hydro Tes Actual
(tanggal)]]&lt;&gt;"","Sudah","Belum")</f>
        <v>Sudah</v>
      </c>
      <c r="GV11" s="330" t="s">
        <v>261</v>
      </c>
      <c r="GW11" s="330" t="s">
        <v>261</v>
      </c>
      <c r="GX11" s="331">
        <v>45544</v>
      </c>
      <c r="GY11" s="344" t="str">
        <f>IF(Table1[[#This Row],[Interkoneksi Actual
(tanggal)]]&lt;&gt;"","Sudah","Belum")</f>
        <v>Sudah</v>
      </c>
      <c r="GZ11" s="330" t="s">
        <v>261</v>
      </c>
      <c r="HA11" s="330" t="s">
        <v>261</v>
      </c>
      <c r="HB11" s="331">
        <v>45544</v>
      </c>
      <c r="HC11" s="344" t="str">
        <f>IF(Table1[[#This Row],[Flushing Actual
(tanggal)]]&lt;&gt;"","Sudah","Belum")</f>
        <v>Sudah</v>
      </c>
      <c r="HD11" s="330">
        <v>45537</v>
      </c>
      <c r="HE11" s="330" t="e">
        <v>#N/A</v>
      </c>
      <c r="HF11" s="330">
        <v>45543</v>
      </c>
      <c r="HG11" s="346">
        <v>45553</v>
      </c>
      <c r="HH1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 s="330" t="s">
        <v>261</v>
      </c>
      <c r="HJ11" s="330" t="s">
        <v>261</v>
      </c>
      <c r="HK11" s="331"/>
      <c r="HL11" s="316"/>
      <c r="HM11" s="330">
        <v>45548</v>
      </c>
      <c r="HN11" s="330">
        <v>45548</v>
      </c>
      <c r="HO11" s="330" t="e">
        <v>#N/A</v>
      </c>
      <c r="HP11" s="346">
        <v>45553</v>
      </c>
      <c r="HQ1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 s="330">
        <v>45555</v>
      </c>
      <c r="HS11" s="330"/>
      <c r="HT11" s="330">
        <v>45555</v>
      </c>
      <c r="HU11" s="527"/>
      <c r="HV11" s="330">
        <f>IF(Table1[[#This Row],[MC-100 Aktual
(tanggal)]]&lt;&gt;"",Table1[[#This Row],[MC-100 Aktual
(tanggal)]]+5,"")</f>
        <v>45558</v>
      </c>
      <c r="HW1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 s="47"/>
      <c r="HY11" s="352"/>
      <c r="HZ11" s="352"/>
      <c r="IB11" s="618">
        <f>IFERROR(ROUND((Table1[[#This Row],[PLAN TC
finish]]-Table1[[#This Row],[PLAN MC-0
start]])/30,2),"")</f>
        <v>0.9</v>
      </c>
      <c r="IC11">
        <f>DATEDIF(Table1[[#This Row],[PLAN MC-0
start]],Table1[[#This Row],[PLAN TC
finish]],"m")</f>
        <v>0</v>
      </c>
    </row>
    <row r="12" spans="1:237" s="4" customFormat="1" ht="15" customHeight="1" x14ac:dyDescent="0.2">
      <c r="B12" s="311">
        <f>SUBTOTAL(3,$D$5:D12)</f>
        <v>8</v>
      </c>
      <c r="C12" s="348">
        <v>8</v>
      </c>
      <c r="D12" s="315" t="s">
        <v>244</v>
      </c>
      <c r="E12" s="315" t="s">
        <v>304</v>
      </c>
      <c r="F12" s="315" t="s">
        <v>305</v>
      </c>
      <c r="G12" s="349">
        <v>45752</v>
      </c>
      <c r="H12" s="314" t="s">
        <v>247</v>
      </c>
      <c r="I12" s="315" t="s">
        <v>278</v>
      </c>
      <c r="J12" s="315"/>
      <c r="K12" s="338" t="s">
        <v>249</v>
      </c>
      <c r="L12" s="316" t="s">
        <v>250</v>
      </c>
      <c r="M12" s="316" t="s">
        <v>269</v>
      </c>
      <c r="N12" s="107">
        <v>231</v>
      </c>
      <c r="O12" s="31" t="s">
        <v>252</v>
      </c>
      <c r="P1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 s="87" t="e">
        <v>#N/A</v>
      </c>
      <c r="S12" s="87">
        <v>1</v>
      </c>
      <c r="T12" s="35">
        <f>Table1[[#This Row],[Progres Total Aktual
(%)]]</f>
        <v>1</v>
      </c>
      <c r="U12" s="124">
        <f>Table1[[#This Row],[Progres Aktual
(%)]]-Table1[[#This Row],[Target Progres
(%)]]</f>
        <v>0</v>
      </c>
      <c r="V12" s="350">
        <f>Table1[[#This Row],["Volume
BA MC-0"]]</f>
        <v>240</v>
      </c>
      <c r="W12" s="351">
        <f>Table1[[#This Row],[Total Panjang Pipa Aktual
(Sum-&gt;)3]]</f>
        <v>175</v>
      </c>
      <c r="X12" s="47"/>
      <c r="Y12" s="67" t="s">
        <v>306</v>
      </c>
      <c r="Z12" s="67">
        <v>433097946</v>
      </c>
      <c r="AA12" s="67">
        <f>ROUND((Table1[[#This Row],[Nilai RAB Jaringan
(Exclude Ppn)]]-Table1[[#This Row],[RAB Perizinan]])*1.11+Table1[[#This Row],[RAB Perizinan]],0)</f>
        <v>0</v>
      </c>
      <c r="AB12" s="320">
        <f>SUM(Table1[[#This Row],[RAB Kegiatan Umum]:[RAB Perizinan]])</f>
        <v>0</v>
      </c>
      <c r="AC12" s="320"/>
      <c r="AD12" s="320"/>
      <c r="AE12" s="320"/>
      <c r="AF12" s="320"/>
      <c r="AG12" s="320">
        <v>24595780</v>
      </c>
      <c r="AH12" s="35" t="e">
        <f>SUM(Table1[[#This Row],[Bobot Keg Umum]:[Bobot Perizinan]])</f>
        <v>#DIV/0!</v>
      </c>
      <c r="AI12" s="35" t="e">
        <f>Table1[[#This Row],[RAB Kegiatan Umum]]/Table1[[#This Row],[Nilai RAB Jaringan
(Exclude Ppn)]]</f>
        <v>#DIV/0!</v>
      </c>
      <c r="AJ12" s="35" t="e">
        <f>Table1[[#This Row],[RAB Pemasangan]]/Table1[[#This Row],[Nilai RAB Jaringan
(Exclude Ppn)]]</f>
        <v>#DIV/0!</v>
      </c>
      <c r="AK12" s="35" t="e">
        <f>Table1[[#This Row],[RAB Pengadaan]]/Table1[[#This Row],[Nilai RAB Jaringan
(Exclude Ppn)]]</f>
        <v>#DIV/0!</v>
      </c>
      <c r="AL12" s="35" t="e">
        <f>Table1[[#This Row],[RAB Perizinan]]/Table1[[#This Row],[Nilai RAB Jaringan
(Exclude Ppn)]]</f>
        <v>#DIV/0!</v>
      </c>
      <c r="AM12" s="47"/>
      <c r="AN12" s="285">
        <v>240</v>
      </c>
      <c r="AO12" s="285">
        <f>SUM(Table1[[#This Row],[Pipa 63 mm]:[Pipa 1,800 mm]])</f>
        <v>0</v>
      </c>
      <c r="AP12" s="285"/>
      <c r="AQ12" s="285"/>
      <c r="AR12" s="285"/>
      <c r="AS12" s="285"/>
      <c r="AT12" s="285"/>
      <c r="AU12" s="285"/>
      <c r="AV12" s="285"/>
      <c r="AW12" s="285"/>
      <c r="AX12" s="285"/>
      <c r="AY12" s="285"/>
      <c r="AZ12" s="285"/>
      <c r="BA12" s="285"/>
      <c r="BB12" s="285"/>
      <c r="BC12" s="285"/>
      <c r="BD12" s="285"/>
      <c r="BE12" s="285"/>
      <c r="BF12" s="285"/>
      <c r="BG12" s="285"/>
      <c r="BH12" s="285"/>
      <c r="BI12" s="285"/>
      <c r="BJ12" s="36">
        <f>SUM(Table1[[#This Row],[Pipa 63 mm2]:[Pipa 1,800 mm21]])</f>
        <v>175</v>
      </c>
      <c r="BK12" s="32"/>
      <c r="BL12" s="32">
        <v>175</v>
      </c>
      <c r="BM12" s="32"/>
      <c r="BN12" s="32"/>
      <c r="BO12" s="32"/>
      <c r="BP12" s="32"/>
      <c r="BQ12" s="32"/>
      <c r="BR12" s="32"/>
      <c r="BS12" s="32"/>
      <c r="BT12" s="32"/>
      <c r="BU12" s="32"/>
      <c r="BV12" s="32"/>
      <c r="BW12" s="32"/>
      <c r="BX12" s="32"/>
      <c r="BY12" s="32"/>
      <c r="BZ12" s="32"/>
      <c r="CA12" s="32"/>
      <c r="CB12" s="32"/>
      <c r="CC12" s="32"/>
      <c r="CD12" s="32"/>
      <c r="CE12" s="32">
        <v>0</v>
      </c>
      <c r="CF12" s="32"/>
      <c r="CG12" s="32"/>
      <c r="CH12" s="32"/>
      <c r="CI12" s="32">
        <f t="shared" si="3"/>
        <v>0</v>
      </c>
      <c r="CJ12" s="65">
        <f>IF((Table1[[#This Row],["Volume
BA MC-0"]]-Table1[[#This Row],[Total Panjang Pipa Aktual
(Sum-&gt;)3]]-Table1[[#This Row],[Total Volume
tidak dapat dipasang]])&gt;=0,Table1[[#This Row],["Volume
BA MC-0"]]-Table1[[#This Row],[Total Panjang Pipa Aktual
(Sum-&gt;)3]]-Table1[[#This Row],[Total Volume
tidak dapat dipasang]],0)</f>
        <v>65</v>
      </c>
      <c r="CK12" s="47"/>
      <c r="CL12" s="131"/>
      <c r="CM12" s="35"/>
      <c r="CN12" s="131"/>
      <c r="CO12" s="131"/>
      <c r="CP1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 s="66">
        <f>IFERROR(Table1[[#This Row],[Progres Keg. Umum
(%)]]*Table1[[#This Row],[Nilai RAB Jaringan
(file pa aji)]],0)</f>
        <v>0</v>
      </c>
      <c r="CR12" s="66">
        <f>IFERROR(Table1[[#This Row],[Progres MOS
(%)]]*Table1[[#This Row],[Nilai RAB Jaringan
(file pa aji)]],0)</f>
        <v>0</v>
      </c>
      <c r="CS12" s="66">
        <f>IFERROR(Table1[[#This Row],[Progres Pemasangan
(%)]]*Table1[[#This Row],[Nilai RAB Jaringan
(file pa aji)]],0)</f>
        <v>0</v>
      </c>
      <c r="CT12" s="66">
        <f>IFERROR(Table1[[#This Row],[Progres Perizinan
(%)]]*Table1[[#This Row],[Nilai RAB Jaringan
(file pa aji)]],0)</f>
        <v>0</v>
      </c>
      <c r="CU12" s="329">
        <v>243741183</v>
      </c>
      <c r="CV12" s="329">
        <v>243741183</v>
      </c>
      <c r="CW12" s="583">
        <v>243741183</v>
      </c>
      <c r="CX12" s="329">
        <v>243741183</v>
      </c>
      <c r="CY12" s="47"/>
      <c r="CZ12" s="330">
        <v>45383</v>
      </c>
      <c r="DA12" s="330">
        <v>45417</v>
      </c>
      <c r="DB12" s="331"/>
      <c r="DC12" s="316"/>
      <c r="DD12" s="67"/>
      <c r="DE1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 s="331"/>
      <c r="DG12" s="316"/>
      <c r="DH12" s="67"/>
      <c r="DI1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 s="330">
        <v>45418</v>
      </c>
      <c r="DK12" s="330">
        <v>45466</v>
      </c>
      <c r="DL12" s="331"/>
      <c r="DM12" s="316"/>
      <c r="DN1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2" s="331"/>
      <c r="DP12" s="316"/>
      <c r="DQ12" s="338"/>
      <c r="DR1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2" s="330">
        <v>45418</v>
      </c>
      <c r="DT12" s="330" t="e">
        <v>#N/A</v>
      </c>
      <c r="DU12" s="330">
        <v>45466</v>
      </c>
      <c r="DV12" s="330" t="e">
        <v>#N/A</v>
      </c>
      <c r="DW12" s="331"/>
      <c r="DX12" s="316"/>
      <c r="DY12" s="334"/>
      <c r="DZ12" s="334"/>
      <c r="EA1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 s="331"/>
      <c r="EC12" s="332"/>
      <c r="ED12" s="332"/>
      <c r="EE12" s="330"/>
      <c r="EF12" s="35">
        <v>1</v>
      </c>
      <c r="EG12" s="337">
        <v>1</v>
      </c>
      <c r="EH12" s="316" t="str">
        <f>IF(Table1[[#This Row],[PO Material Aktual 
(%)]]&gt;=100%,"Selesai PO = 100%",IF(Table1[[#This Row],[PO Material Aktual 
(%)]]&gt;=50%,"Proses PO &gt; 100%",IF(Table1[[#This Row],[PO Material Aktual 
(%)]]&gt;0%,"Proses PO &gt; 50%",IF(Table1[[#This Row],[PO Material Aktual 
(%)]]=0,"Belum PO = 0%"))))</f>
        <v>Selesai PO = 100%</v>
      </c>
      <c r="EI1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 s="330">
        <v>45467</v>
      </c>
      <c r="EK12" s="330" t="e">
        <v>#N/A</v>
      </c>
      <c r="EL12" s="330">
        <v>45529</v>
      </c>
      <c r="EM12" s="330" t="e">
        <v>#N/A</v>
      </c>
      <c r="EN12" s="331"/>
      <c r="EO12" s="332"/>
      <c r="EP12" s="332"/>
      <c r="EQ12" s="87">
        <v>1</v>
      </c>
      <c r="ER12" s="87">
        <v>1</v>
      </c>
      <c r="ES12" s="316" t="str">
        <f>IF(Table1[[#This Row],[Progres MOS]]&gt;=100%,"Selesai MOS = 100%",IF(Table1[[#This Row],[Progres MOS]]&gt;=50%,"Proses MOS &gt; 100%",IF(Table1[[#This Row],[Progres MOS]]&gt;0%,"Proses MOS &gt; 50%",IF(Table1[[#This Row],[Progres MOS]]=0,"Belum MOS = 0%"))))</f>
        <v>Selesai MOS = 100%</v>
      </c>
      <c r="ET1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 s="47"/>
      <c r="EV12" s="330">
        <v>45418</v>
      </c>
      <c r="EW12" s="330" t="e">
        <v>#N/A</v>
      </c>
      <c r="EX12" s="330">
        <v>45529</v>
      </c>
      <c r="EY12" s="330" t="e">
        <v>#N/A</v>
      </c>
      <c r="EZ12" s="352" t="s">
        <v>259</v>
      </c>
      <c r="FA12" s="336" t="s">
        <v>259</v>
      </c>
      <c r="FB12" s="330" t="s">
        <v>260</v>
      </c>
      <c r="FC12" s="330">
        <v>45428</v>
      </c>
      <c r="FD12" s="330" t="s">
        <v>260</v>
      </c>
      <c r="FE12" s="330"/>
      <c r="FF12" s="330">
        <v>45463</v>
      </c>
      <c r="FG12" s="330" t="s">
        <v>260</v>
      </c>
      <c r="FH12" s="330" t="s">
        <v>260</v>
      </c>
      <c r="FI12" s="330">
        <v>45485</v>
      </c>
      <c r="FJ12" s="330" t="s">
        <v>260</v>
      </c>
      <c r="FK12" s="330">
        <v>45544</v>
      </c>
      <c r="FL12" s="336" t="s">
        <v>259</v>
      </c>
      <c r="FM12" s="336">
        <v>45428</v>
      </c>
      <c r="FN12" s="314">
        <f>IF(Table1[[#This Row],[Tanggal Pengajuan Dokumen]]="","",Table1[[#This Row],[PLAN PERMIT
start]]-Table1[[#This Row],[Tanggal Pengajuan Dokumen]])</f>
        <v>-10</v>
      </c>
      <c r="FO12" s="336">
        <v>45544</v>
      </c>
      <c r="FP12" s="316"/>
      <c r="FQ12" s="338"/>
      <c r="FR12" s="352"/>
      <c r="FS12" s="338" t="str">
        <f t="shared" si="4"/>
        <v>Sudah Terbit</v>
      </c>
      <c r="FT1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 s="344">
        <f ca="1">IF(Table1[[#This Row],[Status Izin]]="Selesai",Table1[[#This Row],[PLAN PERMIT
finish]]-Table1[[#This Row],[Tanggal Terbit/ Target Izin Terbit]],ROUNDUP(Table1[[#This Row],[PLAN PERMIT
finish]]-NOW(),0))</f>
        <v>-15</v>
      </c>
      <c r="FV1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 s="344"/>
      <c r="FX12" s="47"/>
      <c r="FY12" s="340"/>
      <c r="FZ12" s="341"/>
      <c r="GA1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 s="330">
        <v>45503</v>
      </c>
      <c r="GC12" s="331">
        <v>45425</v>
      </c>
      <c r="GD1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 s="330">
        <v>45510</v>
      </c>
      <c r="GF12" s="331">
        <v>45425</v>
      </c>
      <c r="GG1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 s="330">
        <v>45516</v>
      </c>
      <c r="GI12" s="330">
        <v>45522</v>
      </c>
      <c r="GJ12" s="353">
        <v>45428</v>
      </c>
      <c r="GK1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 s="330">
        <v>45530</v>
      </c>
      <c r="GM12" s="330" t="e">
        <v>#N/A</v>
      </c>
      <c r="GN12" s="330">
        <v>45536</v>
      </c>
      <c r="GO12" s="330" t="e">
        <v>#N/A</v>
      </c>
      <c r="GP12" s="316"/>
      <c r="GQ1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 s="330" t="s">
        <v>261</v>
      </c>
      <c r="GS12" s="330" t="s">
        <v>261</v>
      </c>
      <c r="GT12" s="354">
        <v>45558</v>
      </c>
      <c r="GU12" s="344" t="str">
        <f>IF(Table1[[#This Row],[Hydro Tes Actual
(tanggal)]]&lt;&gt;"","Sudah","Belum")</f>
        <v>Sudah</v>
      </c>
      <c r="GV12" s="330" t="s">
        <v>261</v>
      </c>
      <c r="GW12" s="330" t="s">
        <v>261</v>
      </c>
      <c r="GX12" s="331">
        <v>45560</v>
      </c>
      <c r="GY12" s="344" t="str">
        <f>IF(Table1[[#This Row],[Interkoneksi Actual
(tanggal)]]&lt;&gt;"","Sudah","Belum")</f>
        <v>Sudah</v>
      </c>
      <c r="GZ12" s="330" t="s">
        <v>261</v>
      </c>
      <c r="HA12" s="330" t="s">
        <v>261</v>
      </c>
      <c r="HB12" s="331">
        <v>45560</v>
      </c>
      <c r="HC12" s="344" t="str">
        <f>IF(Table1[[#This Row],[Flushing Actual
(tanggal)]]&lt;&gt;"","Sudah","Belum")</f>
        <v>Sudah</v>
      </c>
      <c r="HD12" s="330">
        <v>45537</v>
      </c>
      <c r="HE12" s="330" t="e">
        <v>#N/A</v>
      </c>
      <c r="HF12" s="330">
        <v>45543</v>
      </c>
      <c r="HG12" s="346">
        <v>45565</v>
      </c>
      <c r="HH1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 s="330" t="s">
        <v>261</v>
      </c>
      <c r="HJ12" s="330" t="s">
        <v>261</v>
      </c>
      <c r="HK12" s="331"/>
      <c r="HL12" s="316"/>
      <c r="HM12" s="330">
        <v>45548</v>
      </c>
      <c r="HN12" s="330">
        <v>45548</v>
      </c>
      <c r="HO12" s="330" t="e">
        <v>#N/A</v>
      </c>
      <c r="HP12" s="346">
        <v>45565</v>
      </c>
      <c r="HQ1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2" s="330">
        <v>45555</v>
      </c>
      <c r="HS12" s="330"/>
      <c r="HT12" s="330">
        <v>45555</v>
      </c>
      <c r="HU12" s="527"/>
      <c r="HV12" s="330">
        <f>IF(Table1[[#This Row],[MC-100 Aktual
(tanggal)]]&lt;&gt;"",Table1[[#This Row],[MC-100 Aktual
(tanggal)]]+5,"")</f>
        <v>45570</v>
      </c>
      <c r="HW1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2" s="47"/>
      <c r="HY12" s="352"/>
      <c r="HZ12" s="352"/>
      <c r="IB12" s="618">
        <f>IFERROR(ROUND((Table1[[#This Row],[PLAN TC
finish]]-Table1[[#This Row],[PLAN MC-0
start]])/30,2),"")</f>
        <v>0.9</v>
      </c>
      <c r="IC12">
        <f>DATEDIF(Table1[[#This Row],[PLAN MC-0
start]],Table1[[#This Row],[PLAN TC
finish]],"m")</f>
        <v>0</v>
      </c>
    </row>
    <row r="13" spans="1:237" s="4" customFormat="1" ht="15" customHeight="1" x14ac:dyDescent="0.2">
      <c r="B13" s="311">
        <f>SUBTOTAL(3,$D$5:D13)</f>
        <v>9</v>
      </c>
      <c r="C13" s="348">
        <v>9</v>
      </c>
      <c r="D13" s="315" t="s">
        <v>244</v>
      </c>
      <c r="E13" s="315" t="s">
        <v>307</v>
      </c>
      <c r="F13" s="315" t="s">
        <v>308</v>
      </c>
      <c r="G13" s="349">
        <v>45752</v>
      </c>
      <c r="H13" s="314" t="s">
        <v>247</v>
      </c>
      <c r="I13" s="315" t="s">
        <v>278</v>
      </c>
      <c r="J13" s="315"/>
      <c r="K13" s="338" t="s">
        <v>249</v>
      </c>
      <c r="L13" s="316" t="s">
        <v>250</v>
      </c>
      <c r="M13" s="316" t="s">
        <v>269</v>
      </c>
      <c r="N13" s="107">
        <v>118</v>
      </c>
      <c r="O13" s="31" t="s">
        <v>252</v>
      </c>
      <c r="P1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 s="87" t="e">
        <v>#N/A</v>
      </c>
      <c r="S13" s="87">
        <v>1</v>
      </c>
      <c r="T13" s="35">
        <f>Table1[[#This Row],[Progres Total Aktual
(%)]]</f>
        <v>1</v>
      </c>
      <c r="U13" s="124">
        <f>Table1[[#This Row],[Progres Aktual
(%)]]-Table1[[#This Row],[Target Progres
(%)]]</f>
        <v>0</v>
      </c>
      <c r="V13" s="350">
        <f>Table1[[#This Row],["Volume
BA MC-0"]]</f>
        <v>108</v>
      </c>
      <c r="W13" s="351">
        <f>Table1[[#This Row],[Total Panjang Pipa Aktual
(Sum-&gt;)3]]</f>
        <v>104.4</v>
      </c>
      <c r="X13" s="47"/>
      <c r="Y13" s="67" t="s">
        <v>309</v>
      </c>
      <c r="Z13" s="67">
        <v>217141733</v>
      </c>
      <c r="AA13" s="67">
        <f>ROUND((Table1[[#This Row],[Nilai RAB Jaringan
(Exclude Ppn)]]-Table1[[#This Row],[RAB Perizinan]])*1.11+Table1[[#This Row],[RAB Perizinan]],0)</f>
        <v>0</v>
      </c>
      <c r="AB13" s="320">
        <f>SUM(Table1[[#This Row],[RAB Kegiatan Umum]:[RAB Perizinan]])</f>
        <v>0</v>
      </c>
      <c r="AC13" s="320"/>
      <c r="AD13" s="320"/>
      <c r="AE13" s="320"/>
      <c r="AF13" s="320"/>
      <c r="AG13" s="320">
        <v>53290856</v>
      </c>
      <c r="AH13" s="35" t="e">
        <f>SUM(Table1[[#This Row],[Bobot Keg Umum]:[Bobot Perizinan]])</f>
        <v>#DIV/0!</v>
      </c>
      <c r="AI13" s="35" t="e">
        <f>Table1[[#This Row],[RAB Kegiatan Umum]]/Table1[[#This Row],[Nilai RAB Jaringan
(Exclude Ppn)]]</f>
        <v>#DIV/0!</v>
      </c>
      <c r="AJ13" s="35" t="e">
        <f>Table1[[#This Row],[RAB Pemasangan]]/Table1[[#This Row],[Nilai RAB Jaringan
(Exclude Ppn)]]</f>
        <v>#DIV/0!</v>
      </c>
      <c r="AK13" s="35" t="e">
        <f>Table1[[#This Row],[RAB Pengadaan]]/Table1[[#This Row],[Nilai RAB Jaringan
(Exclude Ppn)]]</f>
        <v>#DIV/0!</v>
      </c>
      <c r="AL13" s="35" t="e">
        <f>Table1[[#This Row],[RAB Perizinan]]/Table1[[#This Row],[Nilai RAB Jaringan
(Exclude Ppn)]]</f>
        <v>#DIV/0!</v>
      </c>
      <c r="AM13" s="47"/>
      <c r="AN13" s="285">
        <v>108</v>
      </c>
      <c r="AO13" s="285">
        <f>SUM(Table1[[#This Row],[Pipa 63 mm]:[Pipa 1,800 mm]])</f>
        <v>0</v>
      </c>
      <c r="AP13" s="285"/>
      <c r="AQ13" s="285"/>
      <c r="AR13" s="285"/>
      <c r="AS13" s="285"/>
      <c r="AT13" s="285"/>
      <c r="AU13" s="285"/>
      <c r="AV13" s="285"/>
      <c r="AW13" s="285"/>
      <c r="AX13" s="285"/>
      <c r="AY13" s="285"/>
      <c r="AZ13" s="285"/>
      <c r="BA13" s="285"/>
      <c r="BB13" s="285"/>
      <c r="BC13" s="285"/>
      <c r="BD13" s="285"/>
      <c r="BE13" s="285"/>
      <c r="BF13" s="285"/>
      <c r="BG13" s="285"/>
      <c r="BH13" s="285"/>
      <c r="BI13" s="285"/>
      <c r="BJ13" s="36">
        <f>SUM(Table1[[#This Row],[Pipa 63 mm2]:[Pipa 1,800 mm21]])</f>
        <v>104.4</v>
      </c>
      <c r="BK13" s="32">
        <v>104.4</v>
      </c>
      <c r="BL13" s="32"/>
      <c r="BM13" s="32"/>
      <c r="BN13" s="32"/>
      <c r="BO13" s="32"/>
      <c r="BP13" s="32"/>
      <c r="BQ13" s="32"/>
      <c r="BR13" s="32"/>
      <c r="BS13" s="32"/>
      <c r="BT13" s="32"/>
      <c r="BU13" s="32"/>
      <c r="BV13" s="32"/>
      <c r="BW13" s="32"/>
      <c r="BX13" s="32"/>
      <c r="BY13" s="32"/>
      <c r="BZ13" s="32"/>
      <c r="CA13" s="32"/>
      <c r="CB13" s="32"/>
      <c r="CC13" s="32"/>
      <c r="CD13" s="32"/>
      <c r="CE13" s="32">
        <v>0</v>
      </c>
      <c r="CF13" s="32"/>
      <c r="CG13" s="32"/>
      <c r="CH13" s="32"/>
      <c r="CI13" s="32">
        <f t="shared" si="3"/>
        <v>0</v>
      </c>
      <c r="CJ13" s="65">
        <f>IF((Table1[[#This Row],["Volume
BA MC-0"]]-Table1[[#This Row],[Total Panjang Pipa Aktual
(Sum-&gt;)3]]-Table1[[#This Row],[Total Volume
tidak dapat dipasang]])&gt;=0,Table1[[#This Row],["Volume
BA MC-0"]]-Table1[[#This Row],[Total Panjang Pipa Aktual
(Sum-&gt;)3]]-Table1[[#This Row],[Total Volume
tidak dapat dipasang]],0)</f>
        <v>3.5999999999999943</v>
      </c>
      <c r="CK13" s="47"/>
      <c r="CL13" s="131"/>
      <c r="CM13" s="35"/>
      <c r="CN13" s="131"/>
      <c r="CO13" s="131"/>
      <c r="CP1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 s="66">
        <f>IFERROR(Table1[[#This Row],[Progres Keg. Umum
(%)]]*Table1[[#This Row],[Nilai RAB Jaringan
(file pa aji)]],0)</f>
        <v>0</v>
      </c>
      <c r="CR13" s="66">
        <f>IFERROR(Table1[[#This Row],[Progres MOS
(%)]]*Table1[[#This Row],[Nilai RAB Jaringan
(file pa aji)]],0)</f>
        <v>0</v>
      </c>
      <c r="CS13" s="66">
        <f>IFERROR(Table1[[#This Row],[Progres Pemasangan
(%)]]*Table1[[#This Row],[Nilai RAB Jaringan
(file pa aji)]],0)</f>
        <v>0</v>
      </c>
      <c r="CT13" s="66">
        <f>IFERROR(Table1[[#This Row],[Progres Perizinan
(%)]]*Table1[[#This Row],[Nilai RAB Jaringan
(file pa aji)]],0)</f>
        <v>0</v>
      </c>
      <c r="CU13" s="329">
        <v>135088591</v>
      </c>
      <c r="CV13" s="329">
        <v>135088591</v>
      </c>
      <c r="CW13" s="583">
        <v>135088591</v>
      </c>
      <c r="CX13" s="329">
        <v>135088591</v>
      </c>
      <c r="CY13" s="47"/>
      <c r="CZ13" s="330">
        <v>45383</v>
      </c>
      <c r="DA13" s="330">
        <v>45417</v>
      </c>
      <c r="DB13" s="331"/>
      <c r="DC13" s="316"/>
      <c r="DD13" s="67"/>
      <c r="DE1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3" s="331"/>
      <c r="DG13" s="316"/>
      <c r="DH13" s="67"/>
      <c r="DI1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3" s="330">
        <v>45418</v>
      </c>
      <c r="DK13" s="330">
        <v>45466</v>
      </c>
      <c r="DL13" s="331">
        <v>45430</v>
      </c>
      <c r="DM13" s="357" t="s">
        <v>310</v>
      </c>
      <c r="DN1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3" s="331">
        <v>45449</v>
      </c>
      <c r="DP13" s="316" t="s">
        <v>311</v>
      </c>
      <c r="DQ13" s="338" t="s">
        <v>312</v>
      </c>
      <c r="DR1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3" s="330">
        <v>45418</v>
      </c>
      <c r="DT13" s="330" t="e">
        <v>#N/A</v>
      </c>
      <c r="DU13" s="330">
        <v>45466</v>
      </c>
      <c r="DV13" s="330" t="e">
        <v>#N/A</v>
      </c>
      <c r="DW13" s="331"/>
      <c r="DX13" s="316"/>
      <c r="DY13" s="334"/>
      <c r="DZ13" s="334"/>
      <c r="EA1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3" s="331"/>
      <c r="EC13" s="332"/>
      <c r="ED13" s="332"/>
      <c r="EE13" s="330"/>
      <c r="EF13" s="35">
        <v>1</v>
      </c>
      <c r="EG13" s="337">
        <v>1</v>
      </c>
      <c r="EH13" s="316" t="str">
        <f>IF(Table1[[#This Row],[PO Material Aktual 
(%)]]&gt;=100%,"Selesai PO = 100%",IF(Table1[[#This Row],[PO Material Aktual 
(%)]]&gt;=50%,"Proses PO &gt; 100%",IF(Table1[[#This Row],[PO Material Aktual 
(%)]]&gt;0%,"Proses PO &gt; 50%",IF(Table1[[#This Row],[PO Material Aktual 
(%)]]=0,"Belum PO = 0%"))))</f>
        <v>Selesai PO = 100%</v>
      </c>
      <c r="EI1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3" s="330">
        <v>45467</v>
      </c>
      <c r="EK13" s="330" t="e">
        <v>#N/A</v>
      </c>
      <c r="EL13" s="330">
        <v>45529</v>
      </c>
      <c r="EM13" s="330" t="e">
        <v>#N/A</v>
      </c>
      <c r="EN13" s="331"/>
      <c r="EO13" s="332"/>
      <c r="EP13" s="332"/>
      <c r="EQ13" s="87">
        <v>1</v>
      </c>
      <c r="ER13" s="87">
        <v>1</v>
      </c>
      <c r="ES13" s="316" t="str">
        <f>IF(Table1[[#This Row],[Progres MOS]]&gt;=100%,"Selesai MOS = 100%",IF(Table1[[#This Row],[Progres MOS]]&gt;=50%,"Proses MOS &gt; 100%",IF(Table1[[#This Row],[Progres MOS]]&gt;0%,"Proses MOS &gt; 50%",IF(Table1[[#This Row],[Progres MOS]]=0,"Belum MOS = 0%"))))</f>
        <v>Selesai MOS = 100%</v>
      </c>
      <c r="ET1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3" s="47"/>
      <c r="EV13" s="330">
        <v>45418</v>
      </c>
      <c r="EW13" s="330" t="e">
        <v>#N/A</v>
      </c>
      <c r="EX13" s="330">
        <v>45529</v>
      </c>
      <c r="EY13" s="330" t="e">
        <v>#N/A</v>
      </c>
      <c r="EZ13" s="352" t="s">
        <v>259</v>
      </c>
      <c r="FA13" s="336" t="s">
        <v>259</v>
      </c>
      <c r="FB13" s="330" t="s">
        <v>260</v>
      </c>
      <c r="FC13" s="330">
        <v>45488</v>
      </c>
      <c r="FD13" s="330" t="s">
        <v>260</v>
      </c>
      <c r="FE13" s="330"/>
      <c r="FF13" s="330">
        <v>45519</v>
      </c>
      <c r="FG13" s="330" t="s">
        <v>260</v>
      </c>
      <c r="FH13" s="330" t="s">
        <v>260</v>
      </c>
      <c r="FI13" s="330">
        <v>45552</v>
      </c>
      <c r="FJ13" s="330" t="s">
        <v>260</v>
      </c>
      <c r="FK13" s="330">
        <v>45575</v>
      </c>
      <c r="FL13" s="336" t="s">
        <v>259</v>
      </c>
      <c r="FM13" s="336">
        <v>45488</v>
      </c>
      <c r="FN13" s="314">
        <f>IF(Table1[[#This Row],[Tanggal Pengajuan Dokumen]]="","",Table1[[#This Row],[PLAN PERMIT
start]]-Table1[[#This Row],[Tanggal Pengajuan Dokumen]])</f>
        <v>-70</v>
      </c>
      <c r="FO13" s="336">
        <v>45575</v>
      </c>
      <c r="FP13" s="316"/>
      <c r="FQ13" s="338"/>
      <c r="FR13" s="352"/>
      <c r="FS13" s="338" t="str">
        <f t="shared" si="4"/>
        <v>Sudah Terbit</v>
      </c>
      <c r="FT1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 s="344">
        <f ca="1">IF(Table1[[#This Row],[Status Izin]]="Selesai",Table1[[#This Row],[PLAN PERMIT
finish]]-Table1[[#This Row],[Tanggal Terbit/ Target Izin Terbit]],ROUNDUP(Table1[[#This Row],[PLAN PERMIT
finish]]-NOW(),0))</f>
        <v>-46</v>
      </c>
      <c r="FV1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 s="344"/>
      <c r="FX13" s="47"/>
      <c r="FY13" s="340"/>
      <c r="FZ13" s="341"/>
      <c r="GA1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3" s="330">
        <v>45503</v>
      </c>
      <c r="GC13" s="331">
        <v>45425</v>
      </c>
      <c r="GD1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 s="330">
        <v>45510</v>
      </c>
      <c r="GF13" s="331">
        <v>45425</v>
      </c>
      <c r="GG1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 s="330">
        <v>45516</v>
      </c>
      <c r="GI13" s="330">
        <v>45522</v>
      </c>
      <c r="GJ13" s="353">
        <v>45427</v>
      </c>
      <c r="GK1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 s="330">
        <v>45530</v>
      </c>
      <c r="GM13" s="330" t="e">
        <v>#N/A</v>
      </c>
      <c r="GN13" s="330">
        <v>45536</v>
      </c>
      <c r="GO13" s="330" t="e">
        <v>#N/A</v>
      </c>
      <c r="GP13" s="316"/>
      <c r="GQ1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 s="330" t="s">
        <v>261</v>
      </c>
      <c r="GS13" s="330" t="s">
        <v>261</v>
      </c>
      <c r="GT13" s="354">
        <v>45496</v>
      </c>
      <c r="GU13" s="344" t="str">
        <f>IF(Table1[[#This Row],[Hydro Tes Actual
(tanggal)]]&lt;&gt;"","Sudah","Belum")</f>
        <v>Sudah</v>
      </c>
      <c r="GV13" s="330" t="s">
        <v>261</v>
      </c>
      <c r="GW13" s="330" t="s">
        <v>261</v>
      </c>
      <c r="GX13" s="331">
        <v>45867</v>
      </c>
      <c r="GY13" s="344" t="str">
        <f>IF(Table1[[#This Row],[Interkoneksi Actual
(tanggal)]]&lt;&gt;"","Sudah","Belum")</f>
        <v>Sudah</v>
      </c>
      <c r="GZ13" s="330" t="s">
        <v>261</v>
      </c>
      <c r="HA13" s="330" t="s">
        <v>261</v>
      </c>
      <c r="HB13" s="331">
        <v>45867</v>
      </c>
      <c r="HC13" s="344" t="str">
        <f>IF(Table1[[#This Row],[Flushing Actual
(tanggal)]]&lt;&gt;"","Sudah","Belum")</f>
        <v>Sudah</v>
      </c>
      <c r="HD13" s="330">
        <v>45537</v>
      </c>
      <c r="HE13" s="330" t="e">
        <v>#N/A</v>
      </c>
      <c r="HF13" s="330">
        <v>45543</v>
      </c>
      <c r="HG13" s="346">
        <v>45525</v>
      </c>
      <c r="HH1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3" s="330" t="s">
        <v>261</v>
      </c>
      <c r="HJ13" s="330" t="s">
        <v>261</v>
      </c>
      <c r="HK13" s="331"/>
      <c r="HL13" s="316"/>
      <c r="HM13" s="330">
        <v>45548</v>
      </c>
      <c r="HN13" s="330">
        <v>45548</v>
      </c>
      <c r="HO13" s="330" t="e">
        <v>#N/A</v>
      </c>
      <c r="HP13" s="346">
        <v>45525</v>
      </c>
      <c r="HQ1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13" s="330">
        <v>45555</v>
      </c>
      <c r="HS13" s="330"/>
      <c r="HT13" s="330">
        <v>45555</v>
      </c>
      <c r="HU13" s="527"/>
      <c r="HV13" s="330">
        <f>IF(Table1[[#This Row],[MC-100 Aktual
(tanggal)]]&lt;&gt;"",Table1[[#This Row],[MC-100 Aktual
(tanggal)]]+5,"")</f>
        <v>45530</v>
      </c>
      <c r="HW1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13" s="47"/>
      <c r="HY13" s="352"/>
      <c r="HZ13" s="352"/>
      <c r="IB13" s="618">
        <f>IFERROR(ROUND((Table1[[#This Row],[PLAN TC
finish]]-Table1[[#This Row],[PLAN MC-0
start]])/30,2),"")</f>
        <v>0.9</v>
      </c>
      <c r="IC13">
        <f>DATEDIF(Table1[[#This Row],[PLAN MC-0
start]],Table1[[#This Row],[PLAN TC
finish]],"m")</f>
        <v>0</v>
      </c>
    </row>
    <row r="14" spans="1:237" s="4" customFormat="1" ht="15" customHeight="1" x14ac:dyDescent="0.2">
      <c r="B14" s="311">
        <f>SUBTOTAL(3,$D$5:D14)</f>
        <v>10</v>
      </c>
      <c r="C14" s="348">
        <v>10</v>
      </c>
      <c r="D14" s="315" t="s">
        <v>244</v>
      </c>
      <c r="E14" s="315" t="s">
        <v>313</v>
      </c>
      <c r="F14" s="315" t="s">
        <v>314</v>
      </c>
      <c r="G14" s="349">
        <v>45752</v>
      </c>
      <c r="H14" s="314" t="s">
        <v>247</v>
      </c>
      <c r="I14" s="315" t="s">
        <v>278</v>
      </c>
      <c r="J14" s="315"/>
      <c r="K14" s="338" t="s">
        <v>249</v>
      </c>
      <c r="L14" s="316" t="s">
        <v>250</v>
      </c>
      <c r="M14" s="316" t="s">
        <v>269</v>
      </c>
      <c r="N14" s="107">
        <v>117</v>
      </c>
      <c r="O14" s="31" t="s">
        <v>252</v>
      </c>
      <c r="P14"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 s="87" t="e">
        <v>#N/A</v>
      </c>
      <c r="S14" s="87">
        <v>1</v>
      </c>
      <c r="T14" s="35">
        <f>Table1[[#This Row],[Progres Total Aktual
(%)]]</f>
        <v>1</v>
      </c>
      <c r="U14" s="124">
        <f>Table1[[#This Row],[Progres Aktual
(%)]]-Table1[[#This Row],[Target Progres
(%)]]</f>
        <v>0</v>
      </c>
      <c r="V14" s="350">
        <f>Table1[[#This Row],["Volume
BA MC-0"]]</f>
        <v>9</v>
      </c>
      <c r="W14" s="351">
        <f>Table1[[#This Row],[Total Panjang Pipa Aktual
(Sum-&gt;)3]]</f>
        <v>298.7</v>
      </c>
      <c r="X14" s="47"/>
      <c r="Y14" s="67" t="s">
        <v>315</v>
      </c>
      <c r="Z14" s="67">
        <v>811178020</v>
      </c>
      <c r="AA14" s="67">
        <f>ROUND((Table1[[#This Row],[Nilai RAB Jaringan
(Exclude Ppn)]]-Table1[[#This Row],[RAB Perizinan]])*1.11+Table1[[#This Row],[RAB Perizinan]],0)</f>
        <v>0</v>
      </c>
      <c r="AB14" s="320">
        <f>SUM(Table1[[#This Row],[RAB Kegiatan Umum]:[RAB Perizinan]])</f>
        <v>0</v>
      </c>
      <c r="AC14" s="320"/>
      <c r="AD14" s="320"/>
      <c r="AE14" s="320"/>
      <c r="AF14" s="320"/>
      <c r="AG14" s="320">
        <v>106581712</v>
      </c>
      <c r="AH14" s="35" t="e">
        <f>SUM(Table1[[#This Row],[Bobot Keg Umum]:[Bobot Perizinan]])</f>
        <v>#DIV/0!</v>
      </c>
      <c r="AI14" s="35" t="e">
        <f>Table1[[#This Row],[RAB Kegiatan Umum]]/Table1[[#This Row],[Nilai RAB Jaringan
(Exclude Ppn)]]</f>
        <v>#DIV/0!</v>
      </c>
      <c r="AJ14" s="35" t="e">
        <f>Table1[[#This Row],[RAB Pemasangan]]/Table1[[#This Row],[Nilai RAB Jaringan
(Exclude Ppn)]]</f>
        <v>#DIV/0!</v>
      </c>
      <c r="AK14" s="35" t="e">
        <f>Table1[[#This Row],[RAB Pengadaan]]/Table1[[#This Row],[Nilai RAB Jaringan
(Exclude Ppn)]]</f>
        <v>#DIV/0!</v>
      </c>
      <c r="AL14" s="35" t="e">
        <f>Table1[[#This Row],[RAB Perizinan]]/Table1[[#This Row],[Nilai RAB Jaringan
(Exclude Ppn)]]</f>
        <v>#DIV/0!</v>
      </c>
      <c r="AM14" s="47"/>
      <c r="AN14" s="285">
        <v>9</v>
      </c>
      <c r="AO14" s="285">
        <f>SUM(Table1[[#This Row],[Pipa 63 mm]:[Pipa 1,800 mm]])</f>
        <v>0</v>
      </c>
      <c r="AP14" s="285"/>
      <c r="AQ14" s="285"/>
      <c r="AR14" s="285"/>
      <c r="AS14" s="285"/>
      <c r="AT14" s="285"/>
      <c r="AU14" s="285"/>
      <c r="AV14" s="285"/>
      <c r="AW14" s="285"/>
      <c r="AX14" s="285"/>
      <c r="AY14" s="285"/>
      <c r="AZ14" s="285"/>
      <c r="BA14" s="285"/>
      <c r="BB14" s="285"/>
      <c r="BC14" s="285"/>
      <c r="BD14" s="285"/>
      <c r="BE14" s="285"/>
      <c r="BF14" s="285"/>
      <c r="BG14" s="285"/>
      <c r="BH14" s="285"/>
      <c r="BI14" s="285"/>
      <c r="BJ14" s="36">
        <f>SUM(Table1[[#This Row],[Pipa 63 mm2]:[Pipa 1,800 mm21]])</f>
        <v>298.7</v>
      </c>
      <c r="BK14" s="356">
        <v>298.7</v>
      </c>
      <c r="BL14" s="356"/>
      <c r="BM14" s="356"/>
      <c r="BN14" s="356"/>
      <c r="BO14" s="356"/>
      <c r="BP14" s="356"/>
      <c r="BQ14" s="356"/>
      <c r="BR14" s="356"/>
      <c r="BS14" s="356"/>
      <c r="BT14" s="356"/>
      <c r="BU14" s="356"/>
      <c r="BV14" s="356"/>
      <c r="BW14" s="356"/>
      <c r="BX14" s="356"/>
      <c r="BY14" s="356"/>
      <c r="BZ14" s="356"/>
      <c r="CA14" s="356"/>
      <c r="CB14" s="356"/>
      <c r="CC14" s="356"/>
      <c r="CD14" s="356"/>
      <c r="CE14" s="32">
        <v>0</v>
      </c>
      <c r="CF14" s="32"/>
      <c r="CG14" s="32"/>
      <c r="CH14" s="32"/>
      <c r="CI14" s="32">
        <f t="shared" si="3"/>
        <v>0</v>
      </c>
      <c r="CJ14" s="65">
        <f>IF((Table1[[#This Row],["Volume
BA MC-0"]]-Table1[[#This Row],[Total Panjang Pipa Aktual
(Sum-&gt;)3]]-Table1[[#This Row],[Total Volume
tidak dapat dipasang]])&gt;=0,Table1[[#This Row],["Volume
BA MC-0"]]-Table1[[#This Row],[Total Panjang Pipa Aktual
(Sum-&gt;)3]]-Table1[[#This Row],[Total Volume
tidak dapat dipasang]],0)</f>
        <v>0</v>
      </c>
      <c r="CK14" s="47"/>
      <c r="CL14" s="131"/>
      <c r="CM14" s="35"/>
      <c r="CN14" s="131"/>
      <c r="CO14" s="131"/>
      <c r="CP1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 s="66">
        <f>IFERROR(Table1[[#This Row],[Progres Keg. Umum
(%)]]*Table1[[#This Row],[Nilai RAB Jaringan
(file pa aji)]],0)</f>
        <v>0</v>
      </c>
      <c r="CR14" s="66">
        <f>IFERROR(Table1[[#This Row],[Progres MOS
(%)]]*Table1[[#This Row],[Nilai RAB Jaringan
(file pa aji)]],0)</f>
        <v>0</v>
      </c>
      <c r="CS14" s="66">
        <f>IFERROR(Table1[[#This Row],[Progres Pemasangan
(%)]]*Table1[[#This Row],[Nilai RAB Jaringan
(file pa aji)]],0)</f>
        <v>0</v>
      </c>
      <c r="CT14" s="66">
        <f>IFERROR(Table1[[#This Row],[Progres Perizinan
(%)]]*Table1[[#This Row],[Nilai RAB Jaringan
(file pa aji)]],0)</f>
        <v>0</v>
      </c>
      <c r="CU14" s="329">
        <v>432875247</v>
      </c>
      <c r="CV14" s="329">
        <v>432875247</v>
      </c>
      <c r="CW14" s="583">
        <v>432875247</v>
      </c>
      <c r="CX14" s="329">
        <v>432875247</v>
      </c>
      <c r="CY14" s="47"/>
      <c r="CZ14" s="330">
        <v>45383</v>
      </c>
      <c r="DA14" s="330">
        <v>45417</v>
      </c>
      <c r="DB14" s="331"/>
      <c r="DC14" s="316"/>
      <c r="DD14" s="67"/>
      <c r="DE1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4" s="331"/>
      <c r="DG14" s="316"/>
      <c r="DH14" s="67"/>
      <c r="DI1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4" s="330">
        <v>45418</v>
      </c>
      <c r="DK14" s="330">
        <v>45466</v>
      </c>
      <c r="DL14" s="331"/>
      <c r="DM14" s="316"/>
      <c r="DN1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4" s="331"/>
      <c r="DP14" s="316"/>
      <c r="DQ14" s="338"/>
      <c r="DR1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4" s="330">
        <v>45418</v>
      </c>
      <c r="DT14" s="330" t="e">
        <v>#N/A</v>
      </c>
      <c r="DU14" s="330">
        <v>45466</v>
      </c>
      <c r="DV14" s="330" t="e">
        <v>#N/A</v>
      </c>
      <c r="DW14" s="331"/>
      <c r="DX14" s="316"/>
      <c r="DY14" s="334"/>
      <c r="DZ14" s="334"/>
      <c r="EA1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4" s="331"/>
      <c r="EC14" s="332"/>
      <c r="ED14" s="332"/>
      <c r="EE14" s="330"/>
      <c r="EF14" s="35">
        <v>1</v>
      </c>
      <c r="EG14" s="337">
        <v>1</v>
      </c>
      <c r="EH14" s="316" t="str">
        <f>IF(Table1[[#This Row],[PO Material Aktual 
(%)]]&gt;=100%,"Selesai PO = 100%",IF(Table1[[#This Row],[PO Material Aktual 
(%)]]&gt;=50%,"Proses PO &gt; 100%",IF(Table1[[#This Row],[PO Material Aktual 
(%)]]&gt;0%,"Proses PO &gt; 50%",IF(Table1[[#This Row],[PO Material Aktual 
(%)]]=0,"Belum PO = 0%"))))</f>
        <v>Selesai PO = 100%</v>
      </c>
      <c r="EI1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4" s="330">
        <v>45467</v>
      </c>
      <c r="EK14" s="330" t="e">
        <v>#N/A</v>
      </c>
      <c r="EL14" s="330">
        <v>45529</v>
      </c>
      <c r="EM14" s="330" t="e">
        <v>#N/A</v>
      </c>
      <c r="EN14" s="331"/>
      <c r="EO14" s="332"/>
      <c r="EP14" s="332"/>
      <c r="EQ14" s="87">
        <v>1</v>
      </c>
      <c r="ER14" s="87">
        <v>1</v>
      </c>
      <c r="ES14" s="316" t="str">
        <f>IF(Table1[[#This Row],[Progres MOS]]&gt;=100%,"Selesai MOS = 100%",IF(Table1[[#This Row],[Progres MOS]]&gt;=50%,"Proses MOS &gt; 100%",IF(Table1[[#This Row],[Progres MOS]]&gt;0%,"Proses MOS &gt; 50%",IF(Table1[[#This Row],[Progres MOS]]=0,"Belum MOS = 0%"))))</f>
        <v>Selesai MOS = 100%</v>
      </c>
      <c r="ET1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4" s="47"/>
      <c r="EV14" s="330">
        <v>45418</v>
      </c>
      <c r="EW14" s="330" t="e">
        <v>#N/A</v>
      </c>
      <c r="EX14" s="330">
        <v>45529</v>
      </c>
      <c r="EY14" s="330" t="e">
        <v>#N/A</v>
      </c>
      <c r="EZ14" s="352" t="s">
        <v>259</v>
      </c>
      <c r="FA14" s="336" t="s">
        <v>259</v>
      </c>
      <c r="FB14" s="330" t="s">
        <v>260</v>
      </c>
      <c r="FC14" s="330">
        <v>45427</v>
      </c>
      <c r="FD14" s="330" t="s">
        <v>260</v>
      </c>
      <c r="FE14" s="330"/>
      <c r="FF14" s="330">
        <v>45463</v>
      </c>
      <c r="FG14" s="330" t="s">
        <v>260</v>
      </c>
      <c r="FH14" s="330" t="s">
        <v>260</v>
      </c>
      <c r="FI14" s="330">
        <v>45485</v>
      </c>
      <c r="FJ14" s="330" t="s">
        <v>260</v>
      </c>
      <c r="FK14" s="330">
        <v>45546</v>
      </c>
      <c r="FL14" s="336" t="s">
        <v>259</v>
      </c>
      <c r="FM14" s="336">
        <v>45427</v>
      </c>
      <c r="FN14" s="314">
        <f>IF(Table1[[#This Row],[Tanggal Pengajuan Dokumen]]="","",Table1[[#This Row],[PLAN PERMIT
start]]-Table1[[#This Row],[Tanggal Pengajuan Dokumen]])</f>
        <v>-9</v>
      </c>
      <c r="FO14" s="336">
        <v>45546</v>
      </c>
      <c r="FP14" s="316"/>
      <c r="FQ14" s="338"/>
      <c r="FR14" s="352"/>
      <c r="FS14" s="338" t="str">
        <f t="shared" si="4"/>
        <v>Sudah Terbit</v>
      </c>
      <c r="FT1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 s="344">
        <f ca="1">IF(Table1[[#This Row],[Status Izin]]="Selesai",Table1[[#This Row],[PLAN PERMIT
finish]]-Table1[[#This Row],[Tanggal Terbit/ Target Izin Terbit]],ROUNDUP(Table1[[#This Row],[PLAN PERMIT
finish]]-NOW(),0))</f>
        <v>-17</v>
      </c>
      <c r="FV1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 s="344"/>
      <c r="FX14" s="47"/>
      <c r="FY14" s="340"/>
      <c r="FZ14" s="341"/>
      <c r="GA1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4" s="330">
        <v>45503</v>
      </c>
      <c r="GC14" s="331">
        <v>45425</v>
      </c>
      <c r="GD1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4" s="330">
        <v>45510</v>
      </c>
      <c r="GF14" s="331">
        <v>45425</v>
      </c>
      <c r="GG1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 s="330">
        <v>45516</v>
      </c>
      <c r="GI14" s="330">
        <v>45522</v>
      </c>
      <c r="GJ14" s="353">
        <v>45427</v>
      </c>
      <c r="GK1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 s="330">
        <v>45530</v>
      </c>
      <c r="GM14" s="330" t="e">
        <v>#N/A</v>
      </c>
      <c r="GN14" s="330">
        <v>45536</v>
      </c>
      <c r="GO14" s="330" t="e">
        <v>#N/A</v>
      </c>
      <c r="GP14" s="316"/>
      <c r="GQ1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 s="330" t="s">
        <v>261</v>
      </c>
      <c r="GS14" s="330" t="s">
        <v>261</v>
      </c>
      <c r="GT14" s="354">
        <v>45504</v>
      </c>
      <c r="GU14" s="344" t="str">
        <f>IF(Table1[[#This Row],[Hydro Tes Actual
(tanggal)]]&lt;&gt;"","Sudah","Belum")</f>
        <v>Sudah</v>
      </c>
      <c r="GV14" s="330" t="s">
        <v>261</v>
      </c>
      <c r="GW14" s="330" t="s">
        <v>261</v>
      </c>
      <c r="GX14" s="331">
        <v>45874</v>
      </c>
      <c r="GY14" s="344" t="str">
        <f>IF(Table1[[#This Row],[Interkoneksi Actual
(tanggal)]]&lt;&gt;"","Sudah","Belum")</f>
        <v>Sudah</v>
      </c>
      <c r="GZ14" s="330" t="s">
        <v>261</v>
      </c>
      <c r="HA14" s="330" t="s">
        <v>261</v>
      </c>
      <c r="HB14" s="331">
        <v>45516</v>
      </c>
      <c r="HC14" s="344" t="str">
        <f>IF(Table1[[#This Row],[Flushing Actual
(tanggal)]]&lt;&gt;"","Sudah","Belum")</f>
        <v>Sudah</v>
      </c>
      <c r="HD14" s="330">
        <v>45537</v>
      </c>
      <c r="HE14" s="330" t="e">
        <v>#N/A</v>
      </c>
      <c r="HF14" s="330">
        <v>45543</v>
      </c>
      <c r="HG14" s="346">
        <v>45525</v>
      </c>
      <c r="HH1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4" s="330" t="s">
        <v>261</v>
      </c>
      <c r="HJ14" s="330" t="s">
        <v>261</v>
      </c>
      <c r="HK14" s="331"/>
      <c r="HL14" s="316"/>
      <c r="HM14" s="330">
        <v>45548</v>
      </c>
      <c r="HN14" s="330">
        <v>45548</v>
      </c>
      <c r="HO14" s="330" t="e">
        <v>#N/A</v>
      </c>
      <c r="HP14" s="346">
        <v>45525</v>
      </c>
      <c r="HQ1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14" s="330">
        <v>45555</v>
      </c>
      <c r="HS14" s="330"/>
      <c r="HT14" s="330">
        <v>45555</v>
      </c>
      <c r="HU14" s="527"/>
      <c r="HV14" s="330">
        <f>IF(Table1[[#This Row],[MC-100 Aktual
(tanggal)]]&lt;&gt;"",Table1[[#This Row],[MC-100 Aktual
(tanggal)]]+5,"")</f>
        <v>45530</v>
      </c>
      <c r="HW1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14" s="47"/>
      <c r="HY14" s="352"/>
      <c r="HZ14" s="352"/>
      <c r="IB14" s="618">
        <f>IFERROR(ROUND((Table1[[#This Row],[PLAN TC
finish]]-Table1[[#This Row],[PLAN MC-0
start]])/30,2),"")</f>
        <v>0.9</v>
      </c>
      <c r="IC14">
        <f>DATEDIF(Table1[[#This Row],[PLAN MC-0
start]],Table1[[#This Row],[PLAN TC
finish]],"m")</f>
        <v>0</v>
      </c>
    </row>
    <row r="15" spans="1:237" s="4" customFormat="1" ht="15" customHeight="1" x14ac:dyDescent="0.2">
      <c r="B15" s="311">
        <f>SUBTOTAL(3,$D$5:D15)</f>
        <v>11</v>
      </c>
      <c r="C15" s="348">
        <v>11</v>
      </c>
      <c r="D15" s="315" t="s">
        <v>244</v>
      </c>
      <c r="E15" s="315" t="s">
        <v>316</v>
      </c>
      <c r="F15" s="315" t="s">
        <v>317</v>
      </c>
      <c r="G15" s="349">
        <v>45752</v>
      </c>
      <c r="H15" s="314" t="s">
        <v>247</v>
      </c>
      <c r="I15" s="315" t="s">
        <v>278</v>
      </c>
      <c r="J15" s="315"/>
      <c r="K15" s="338" t="s">
        <v>249</v>
      </c>
      <c r="L15" s="316" t="s">
        <v>250</v>
      </c>
      <c r="M15" s="316" t="s">
        <v>269</v>
      </c>
      <c r="N15" s="107">
        <v>69</v>
      </c>
      <c r="O15" s="31" t="s">
        <v>252</v>
      </c>
      <c r="P1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 s="87" t="e">
        <v>#N/A</v>
      </c>
      <c r="S15" s="87">
        <v>1</v>
      </c>
      <c r="T15" s="35">
        <f>Table1[[#This Row],[Progres Total Aktual
(%)]]</f>
        <v>1</v>
      </c>
      <c r="U15" s="124">
        <f>Table1[[#This Row],[Progres Aktual
(%)]]-Table1[[#This Row],[Target Progres
(%)]]</f>
        <v>0</v>
      </c>
      <c r="V15" s="350">
        <f>Table1[[#This Row],["Volume
BA MC-0"]]</f>
        <v>63</v>
      </c>
      <c r="W15" s="351">
        <f>Table1[[#This Row],[Total Panjang Pipa Aktual
(Sum-&gt;)3]]</f>
        <v>63</v>
      </c>
      <c r="X15" s="47"/>
      <c r="Y15" s="67" t="s">
        <v>318</v>
      </c>
      <c r="Z15" s="67">
        <v>185361311</v>
      </c>
      <c r="AA15" s="67">
        <f>ROUND((Table1[[#This Row],[Nilai RAB Jaringan
(Exclude Ppn)]]-Table1[[#This Row],[RAB Perizinan]])*1.11+Table1[[#This Row],[RAB Perizinan]],0)</f>
        <v>0</v>
      </c>
      <c r="AB15" s="320">
        <f>SUM(Table1[[#This Row],[RAB Kegiatan Umum]:[RAB Perizinan]])</f>
        <v>0</v>
      </c>
      <c r="AC15" s="320"/>
      <c r="AD15" s="320"/>
      <c r="AE15" s="320"/>
      <c r="AF15" s="320"/>
      <c r="AG15" s="320">
        <v>24595780</v>
      </c>
      <c r="AH15" s="35" t="e">
        <f>SUM(Table1[[#This Row],[Bobot Keg Umum]:[Bobot Perizinan]])</f>
        <v>#DIV/0!</v>
      </c>
      <c r="AI15" s="35" t="e">
        <f>Table1[[#This Row],[RAB Kegiatan Umum]]/Table1[[#This Row],[Nilai RAB Jaringan
(Exclude Ppn)]]</f>
        <v>#DIV/0!</v>
      </c>
      <c r="AJ15" s="35" t="e">
        <f>Table1[[#This Row],[RAB Pemasangan]]/Table1[[#This Row],[Nilai RAB Jaringan
(Exclude Ppn)]]</f>
        <v>#DIV/0!</v>
      </c>
      <c r="AK15" s="35" t="e">
        <f>Table1[[#This Row],[RAB Pengadaan]]/Table1[[#This Row],[Nilai RAB Jaringan
(Exclude Ppn)]]</f>
        <v>#DIV/0!</v>
      </c>
      <c r="AL15" s="35" t="e">
        <f>Table1[[#This Row],[RAB Perizinan]]/Table1[[#This Row],[Nilai RAB Jaringan
(Exclude Ppn)]]</f>
        <v>#DIV/0!</v>
      </c>
      <c r="AM15" s="47"/>
      <c r="AN15" s="285">
        <v>63</v>
      </c>
      <c r="AO15" s="285">
        <f>SUM(Table1[[#This Row],[Pipa 63 mm]:[Pipa 1,800 mm]])</f>
        <v>0</v>
      </c>
      <c r="AP15" s="285"/>
      <c r="AQ15" s="285"/>
      <c r="AR15" s="285"/>
      <c r="AS15" s="285"/>
      <c r="AT15" s="285"/>
      <c r="AU15" s="285"/>
      <c r="AV15" s="285"/>
      <c r="AW15" s="285"/>
      <c r="AX15" s="285"/>
      <c r="AY15" s="285"/>
      <c r="AZ15" s="285"/>
      <c r="BA15" s="285"/>
      <c r="BB15" s="285"/>
      <c r="BC15" s="285"/>
      <c r="BD15" s="285"/>
      <c r="BE15" s="285"/>
      <c r="BF15" s="285"/>
      <c r="BG15" s="285"/>
      <c r="BH15" s="285"/>
      <c r="BI15" s="285"/>
      <c r="BJ15" s="36">
        <f>SUM(Table1[[#This Row],[Pipa 63 mm2]:[Pipa 1,800 mm21]])</f>
        <v>63</v>
      </c>
      <c r="BK15" s="32"/>
      <c r="BL15" s="32">
        <v>63</v>
      </c>
      <c r="BM15" s="32"/>
      <c r="BN15" s="32"/>
      <c r="BO15" s="32"/>
      <c r="BP15" s="32"/>
      <c r="BQ15" s="32"/>
      <c r="BR15" s="32"/>
      <c r="BS15" s="32"/>
      <c r="BT15" s="32"/>
      <c r="BU15" s="32"/>
      <c r="BV15" s="32"/>
      <c r="BW15" s="32"/>
      <c r="BX15" s="32"/>
      <c r="BY15" s="32"/>
      <c r="BZ15" s="32"/>
      <c r="CA15" s="32"/>
      <c r="CB15" s="32"/>
      <c r="CC15" s="32"/>
      <c r="CD15" s="32"/>
      <c r="CE15" s="32">
        <v>0</v>
      </c>
      <c r="CF15" s="32"/>
      <c r="CG15" s="32"/>
      <c r="CH15" s="32"/>
      <c r="CI15" s="32">
        <f t="shared" si="3"/>
        <v>0</v>
      </c>
      <c r="CJ15" s="65">
        <f>IF((Table1[[#This Row],["Volume
BA MC-0"]]-Table1[[#This Row],[Total Panjang Pipa Aktual
(Sum-&gt;)3]]-Table1[[#This Row],[Total Volume
tidak dapat dipasang]])&gt;=0,Table1[[#This Row],["Volume
BA MC-0"]]-Table1[[#This Row],[Total Panjang Pipa Aktual
(Sum-&gt;)3]]-Table1[[#This Row],[Total Volume
tidak dapat dipasang]],0)</f>
        <v>0</v>
      </c>
      <c r="CK15" s="47"/>
      <c r="CL15" s="131"/>
      <c r="CM15" s="35"/>
      <c r="CN15" s="131"/>
      <c r="CO15" s="131"/>
      <c r="CP1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 s="66">
        <f>IFERROR(Table1[[#This Row],[Progres Keg. Umum
(%)]]*Table1[[#This Row],[Nilai RAB Jaringan
(file pa aji)]],0)</f>
        <v>0</v>
      </c>
      <c r="CR15" s="66">
        <f>IFERROR(Table1[[#This Row],[Progres MOS
(%)]]*Table1[[#This Row],[Nilai RAB Jaringan
(file pa aji)]],0)</f>
        <v>0</v>
      </c>
      <c r="CS15" s="66">
        <f>IFERROR(Table1[[#This Row],[Progres Pemasangan
(%)]]*Table1[[#This Row],[Nilai RAB Jaringan
(file pa aji)]],0)</f>
        <v>0</v>
      </c>
      <c r="CT15" s="66">
        <f>IFERROR(Table1[[#This Row],[Progres Perizinan
(%)]]*Table1[[#This Row],[Nilai RAB Jaringan
(file pa aji)]],0)</f>
        <v>0</v>
      </c>
      <c r="CU15" s="329">
        <v>107299965</v>
      </c>
      <c r="CV15" s="329">
        <v>107299965</v>
      </c>
      <c r="CW15" s="583">
        <v>107299965</v>
      </c>
      <c r="CX15" s="329">
        <v>107299965</v>
      </c>
      <c r="CY15" s="47"/>
      <c r="CZ15" s="330">
        <v>45383</v>
      </c>
      <c r="DA15" s="330">
        <v>45417</v>
      </c>
      <c r="DB15" s="331"/>
      <c r="DC15" s="316"/>
      <c r="DD15" s="67"/>
      <c r="DE1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5" s="331"/>
      <c r="DG15" s="316"/>
      <c r="DH15" s="67"/>
      <c r="DI1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5" s="330">
        <v>45418</v>
      </c>
      <c r="DK15" s="330">
        <v>45466</v>
      </c>
      <c r="DL15" s="331">
        <v>45408</v>
      </c>
      <c r="DM15" s="357" t="s">
        <v>319</v>
      </c>
      <c r="DN1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 s="331">
        <v>45448</v>
      </c>
      <c r="DP15" s="316" t="s">
        <v>320</v>
      </c>
      <c r="DQ15" s="338" t="s">
        <v>312</v>
      </c>
      <c r="DR1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5" s="330">
        <v>45418</v>
      </c>
      <c r="DT15" s="330" t="e">
        <v>#N/A</v>
      </c>
      <c r="DU15" s="330">
        <v>45466</v>
      </c>
      <c r="DV15" s="330" t="e">
        <v>#N/A</v>
      </c>
      <c r="DW15" s="331"/>
      <c r="DX15" s="316"/>
      <c r="DY15" s="334"/>
      <c r="DZ15" s="334"/>
      <c r="EA1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5" s="331"/>
      <c r="EC15" s="332"/>
      <c r="ED15" s="332"/>
      <c r="EE15" s="330"/>
      <c r="EF15" s="35">
        <v>1</v>
      </c>
      <c r="EG15" s="337">
        <v>1</v>
      </c>
      <c r="EH15" s="316" t="str">
        <f>IF(Table1[[#This Row],[PO Material Aktual 
(%)]]&gt;=100%,"Selesai PO = 100%",IF(Table1[[#This Row],[PO Material Aktual 
(%)]]&gt;=50%,"Proses PO &gt; 100%",IF(Table1[[#This Row],[PO Material Aktual 
(%)]]&gt;0%,"Proses PO &gt; 50%",IF(Table1[[#This Row],[PO Material Aktual 
(%)]]=0,"Belum PO = 0%"))))</f>
        <v>Selesai PO = 100%</v>
      </c>
      <c r="EI1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5" s="330">
        <v>45467</v>
      </c>
      <c r="EK15" s="330" t="e">
        <v>#N/A</v>
      </c>
      <c r="EL15" s="330">
        <v>45529</v>
      </c>
      <c r="EM15" s="330" t="e">
        <v>#N/A</v>
      </c>
      <c r="EN15" s="331"/>
      <c r="EO15" s="332"/>
      <c r="EP15" s="332"/>
      <c r="EQ15" s="87">
        <v>1</v>
      </c>
      <c r="ER15" s="87">
        <v>1</v>
      </c>
      <c r="ES15" s="316" t="str">
        <f>IF(Table1[[#This Row],[Progres MOS]]&gt;=100%,"Selesai MOS = 100%",IF(Table1[[#This Row],[Progres MOS]]&gt;=50%,"Proses MOS &gt; 100%",IF(Table1[[#This Row],[Progres MOS]]&gt;0%,"Proses MOS &gt; 50%",IF(Table1[[#This Row],[Progres MOS]]=0,"Belum MOS = 0%"))))</f>
        <v>Selesai MOS = 100%</v>
      </c>
      <c r="ET1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5" s="47"/>
      <c r="EV15" s="330">
        <v>45418</v>
      </c>
      <c r="EW15" s="330" t="e">
        <v>#N/A</v>
      </c>
      <c r="EX15" s="330">
        <v>45529</v>
      </c>
      <c r="EY15" s="330" t="e">
        <v>#N/A</v>
      </c>
      <c r="EZ15" s="352" t="s">
        <v>259</v>
      </c>
      <c r="FA15" s="336" t="s">
        <v>259</v>
      </c>
      <c r="FB15" s="330" t="s">
        <v>260</v>
      </c>
      <c r="FC15" s="330" t="s">
        <v>282</v>
      </c>
      <c r="FD15" s="330" t="s">
        <v>282</v>
      </c>
      <c r="FE15" s="330" t="s">
        <v>282</v>
      </c>
      <c r="FF15" s="330" t="s">
        <v>282</v>
      </c>
      <c r="FG15" s="330" t="s">
        <v>282</v>
      </c>
      <c r="FH15" s="330" t="s">
        <v>282</v>
      </c>
      <c r="FI15" s="330" t="s">
        <v>282</v>
      </c>
      <c r="FJ15" s="330" t="s">
        <v>282</v>
      </c>
      <c r="FK15" s="330" t="s">
        <v>283</v>
      </c>
      <c r="FL15" s="336" t="s">
        <v>259</v>
      </c>
      <c r="FM15" s="336"/>
      <c r="FN15" s="314" t="str">
        <f>IF(Table1[[#This Row],[Tanggal Pengajuan Dokumen]]="","",Table1[[#This Row],[PLAN PERMIT
start]]-Table1[[#This Row],[Tanggal Pengajuan Dokumen]])</f>
        <v/>
      </c>
      <c r="FO15" s="336"/>
      <c r="FP15" s="316"/>
      <c r="FQ15" s="338"/>
      <c r="FR15" s="352"/>
      <c r="FS15" s="338" t="str">
        <f t="shared" si="4"/>
        <v>Sudah Terbit</v>
      </c>
      <c r="FT1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 s="344">
        <f ca="1">IF(Table1[[#This Row],[Status Izin]]="Selesai",Table1[[#This Row],[PLAN PERMIT
finish]]-Table1[[#This Row],[Tanggal Terbit/ Target Izin Terbit]],ROUNDUP(Table1[[#This Row],[PLAN PERMIT
finish]]-NOW(),0))</f>
        <v>45529</v>
      </c>
      <c r="FV1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 s="344"/>
      <c r="FX15" s="47"/>
      <c r="FY15" s="340"/>
      <c r="FZ15" s="341"/>
      <c r="GA1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5" s="330">
        <v>45503</v>
      </c>
      <c r="GC15" s="331">
        <v>45425</v>
      </c>
      <c r="GD1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 s="330">
        <v>45510</v>
      </c>
      <c r="GF15" s="331">
        <v>45425</v>
      </c>
      <c r="GG1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 s="330">
        <v>45516</v>
      </c>
      <c r="GI15" s="330">
        <v>45522</v>
      </c>
      <c r="GJ15" s="353">
        <v>45428</v>
      </c>
      <c r="GK1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 s="330">
        <v>45530</v>
      </c>
      <c r="GM15" s="330" t="e">
        <v>#N/A</v>
      </c>
      <c r="GN15" s="330">
        <v>45536</v>
      </c>
      <c r="GO15" s="330" t="e">
        <v>#N/A</v>
      </c>
      <c r="GP15" s="316"/>
      <c r="GQ1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 s="330" t="s">
        <v>261</v>
      </c>
      <c r="GS15" s="330" t="s">
        <v>261</v>
      </c>
      <c r="GT15" s="354">
        <v>45499</v>
      </c>
      <c r="GU15" s="344" t="str">
        <f>IF(Table1[[#This Row],[Hydro Tes Actual
(tanggal)]]&lt;&gt;"","Sudah","Belum")</f>
        <v>Sudah</v>
      </c>
      <c r="GV15" s="330" t="s">
        <v>261</v>
      </c>
      <c r="GW15" s="330" t="s">
        <v>261</v>
      </c>
      <c r="GX15" s="331">
        <v>45500</v>
      </c>
      <c r="GY15" s="344" t="str">
        <f>IF(Table1[[#This Row],[Interkoneksi Actual
(tanggal)]]&lt;&gt;"","Sudah","Belum")</f>
        <v>Sudah</v>
      </c>
      <c r="GZ15" s="330" t="s">
        <v>261</v>
      </c>
      <c r="HA15" s="330" t="s">
        <v>261</v>
      </c>
      <c r="HB15" s="331">
        <v>45500</v>
      </c>
      <c r="HC15" s="344" t="str">
        <f>IF(Table1[[#This Row],[Flushing Actual
(tanggal)]]&lt;&gt;"","Sudah","Belum")</f>
        <v>Sudah</v>
      </c>
      <c r="HD15" s="330">
        <v>45537</v>
      </c>
      <c r="HE15" s="330" t="e">
        <v>#N/A</v>
      </c>
      <c r="HF15" s="330">
        <v>45543</v>
      </c>
      <c r="HG15" s="346">
        <v>45525</v>
      </c>
      <c r="HH1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5" s="330" t="s">
        <v>261</v>
      </c>
      <c r="HJ15" s="330" t="s">
        <v>261</v>
      </c>
      <c r="HK15" s="331"/>
      <c r="HL15" s="316"/>
      <c r="HM15" s="330">
        <v>45548</v>
      </c>
      <c r="HN15" s="330">
        <v>45548</v>
      </c>
      <c r="HO15" s="330" t="e">
        <v>#N/A</v>
      </c>
      <c r="HP15" s="346">
        <v>45525</v>
      </c>
      <c r="HQ1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15" s="330">
        <v>45555</v>
      </c>
      <c r="HS15" s="330"/>
      <c r="HT15" s="330">
        <v>45555</v>
      </c>
      <c r="HU15" s="527"/>
      <c r="HV15" s="330">
        <f>IF(Table1[[#This Row],[MC-100 Aktual
(tanggal)]]&lt;&gt;"",Table1[[#This Row],[MC-100 Aktual
(tanggal)]]+5,"")</f>
        <v>45530</v>
      </c>
      <c r="HW1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15" s="47"/>
      <c r="HY15" s="352"/>
      <c r="HZ15" s="352"/>
      <c r="IB15" s="618">
        <f>IFERROR(ROUND((Table1[[#This Row],[PLAN TC
finish]]-Table1[[#This Row],[PLAN MC-0
start]])/30,2),"")</f>
        <v>0.9</v>
      </c>
      <c r="IC15">
        <f>DATEDIF(Table1[[#This Row],[PLAN MC-0
start]],Table1[[#This Row],[PLAN TC
finish]],"m")</f>
        <v>0</v>
      </c>
    </row>
    <row r="16" spans="1:237" s="4" customFormat="1" ht="15" hidden="1" customHeight="1" x14ac:dyDescent="0.2">
      <c r="B16" s="311">
        <f>SUBTOTAL(3,$D$5:D16)</f>
        <v>11</v>
      </c>
      <c r="C16" s="348">
        <v>12</v>
      </c>
      <c r="D16" s="315" t="s">
        <v>244</v>
      </c>
      <c r="E16" s="312" t="s">
        <v>321</v>
      </c>
      <c r="F16" s="315" t="s">
        <v>322</v>
      </c>
      <c r="G16" s="349">
        <v>45752</v>
      </c>
      <c r="H16" s="314" t="s">
        <v>247</v>
      </c>
      <c r="I16" s="315" t="s">
        <v>248</v>
      </c>
      <c r="J16" s="315"/>
      <c r="K16" s="338" t="s">
        <v>249</v>
      </c>
      <c r="L16" s="316" t="s">
        <v>250</v>
      </c>
      <c r="M16" s="316" t="s">
        <v>251</v>
      </c>
      <c r="N16" s="107">
        <v>1776</v>
      </c>
      <c r="O16" s="31" t="s">
        <v>252</v>
      </c>
      <c r="P1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 s="87" t="e">
        <v>#N/A</v>
      </c>
      <c r="S16" s="87">
        <v>1</v>
      </c>
      <c r="T16" s="35">
        <f>Table1[[#This Row],[Progres Total Aktual
(%)]]</f>
        <v>1</v>
      </c>
      <c r="U16" s="124">
        <f>Table1[[#This Row],[Progres Aktual
(%)]]-Table1[[#This Row],[Target Progres
(%)]]</f>
        <v>0</v>
      </c>
      <c r="V16" s="350">
        <f>Table1[[#This Row],["Volume
BA MC-0"]]</f>
        <v>1800</v>
      </c>
      <c r="W16" s="351">
        <f>Table1[[#This Row],[Total Panjang Pipa Aktual
(Sum-&gt;)3]]</f>
        <v>1817.1299999999999</v>
      </c>
      <c r="X16" s="47"/>
      <c r="Y16" s="67" t="s">
        <v>253</v>
      </c>
      <c r="Z16" s="67">
        <v>363985840579</v>
      </c>
      <c r="AA16" s="67">
        <f>ROUND((Table1[[#This Row],[Nilai RAB Jaringan
(Exclude Ppn)]]-Table1[[#This Row],[RAB Perizinan]])*1.11+Table1[[#This Row],[RAB Perizinan]],0)</f>
        <v>0</v>
      </c>
      <c r="AB16" s="320">
        <f>SUM(Table1[[#This Row],[RAB Kegiatan Umum]:[RAB Perizinan]])</f>
        <v>0</v>
      </c>
      <c r="AC16" s="320"/>
      <c r="AD16" s="320"/>
      <c r="AE16" s="320"/>
      <c r="AF16" s="320"/>
      <c r="AG16" s="320">
        <v>0</v>
      </c>
      <c r="AH16" s="35" t="e">
        <f>SUM(Table1[[#This Row],[Bobot Keg Umum]:[Bobot Perizinan]])</f>
        <v>#DIV/0!</v>
      </c>
      <c r="AI16" s="35" t="e">
        <f>Table1[[#This Row],[RAB Kegiatan Umum]]/Table1[[#This Row],[Nilai RAB Jaringan
(Exclude Ppn)]]</f>
        <v>#DIV/0!</v>
      </c>
      <c r="AJ16" s="35" t="e">
        <f>Table1[[#This Row],[RAB Pemasangan]]/Table1[[#This Row],[Nilai RAB Jaringan
(Exclude Ppn)]]</f>
        <v>#DIV/0!</v>
      </c>
      <c r="AK16" s="35" t="e">
        <f>Table1[[#This Row],[RAB Pengadaan]]/Table1[[#This Row],[Nilai RAB Jaringan
(Exclude Ppn)]]</f>
        <v>#DIV/0!</v>
      </c>
      <c r="AL16" s="35" t="e">
        <f>Table1[[#This Row],[RAB Perizinan]]/Table1[[#This Row],[Nilai RAB Jaringan
(Exclude Ppn)]]</f>
        <v>#DIV/0!</v>
      </c>
      <c r="AM16" s="47"/>
      <c r="AN16" s="285">
        <v>1800</v>
      </c>
      <c r="AO16" s="285">
        <f>SUM(Table1[[#This Row],[Pipa 63 mm]:[Pipa 1,800 mm]])</f>
        <v>0</v>
      </c>
      <c r="AP16" s="285"/>
      <c r="AQ16" s="285"/>
      <c r="AR16" s="285"/>
      <c r="AS16" s="285"/>
      <c r="AT16" s="285"/>
      <c r="AU16" s="285"/>
      <c r="AV16" s="285"/>
      <c r="AW16" s="285"/>
      <c r="AX16" s="285"/>
      <c r="AY16" s="285"/>
      <c r="AZ16" s="285"/>
      <c r="BA16" s="285"/>
      <c r="BB16" s="285"/>
      <c r="BC16" s="285"/>
      <c r="BD16" s="285"/>
      <c r="BE16" s="285"/>
      <c r="BF16" s="285"/>
      <c r="BG16" s="285"/>
      <c r="BH16" s="285"/>
      <c r="BI16" s="285"/>
      <c r="BJ16" s="36">
        <f>SUM(Table1[[#This Row],[Pipa 63 mm2]:[Pipa 1,800 mm21]])</f>
        <v>1817.1299999999999</v>
      </c>
      <c r="BK16" s="32"/>
      <c r="BL16" s="32"/>
      <c r="BM16" s="32"/>
      <c r="BN16" s="32"/>
      <c r="BO16" s="32"/>
      <c r="BP16" s="32"/>
      <c r="BQ16" s="32"/>
      <c r="BR16" s="32"/>
      <c r="BS16" s="32">
        <v>17</v>
      </c>
      <c r="BT16" s="32"/>
      <c r="BU16" s="32"/>
      <c r="BV16" s="32"/>
      <c r="BW16" s="32">
        <f>18+5.5</f>
        <v>23.5</v>
      </c>
      <c r="BX16" s="32"/>
      <c r="BY16" s="32"/>
      <c r="BZ16" s="32"/>
      <c r="CA16" s="32"/>
      <c r="CB16" s="358">
        <f>1727.5+38.33+10.8</f>
        <v>1776.6299999999999</v>
      </c>
      <c r="CC16" s="32"/>
      <c r="CD16" s="32"/>
      <c r="CE16" s="32">
        <v>0</v>
      </c>
      <c r="CF16" s="32"/>
      <c r="CG16" s="32"/>
      <c r="CH16" s="32"/>
      <c r="CI16" s="32">
        <f t="shared" si="3"/>
        <v>0</v>
      </c>
      <c r="CJ16" s="65">
        <f>IF((Table1[[#This Row],["Volume
BA MC-0"]]-Table1[[#This Row],[Total Panjang Pipa Aktual
(Sum-&gt;)3]]-Table1[[#This Row],[Total Volume
tidak dapat dipasang]])&gt;=0,Table1[[#This Row],["Volume
BA MC-0"]]-Table1[[#This Row],[Total Panjang Pipa Aktual
(Sum-&gt;)3]]-Table1[[#This Row],[Total Volume
tidak dapat dipasang]],0)</f>
        <v>0</v>
      </c>
      <c r="CK16" s="47"/>
      <c r="CL16" s="131"/>
      <c r="CM16" s="35"/>
      <c r="CN16" s="131"/>
      <c r="CO16" s="131"/>
      <c r="CP1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 s="66">
        <f>IFERROR(Table1[[#This Row],[Progres Keg. Umum
(%)]]*Table1[[#This Row],[Nilai RAB Jaringan
(file pa aji)]],0)</f>
        <v>0</v>
      </c>
      <c r="CR16" s="66">
        <f>IFERROR(Table1[[#This Row],[Progres MOS
(%)]]*Table1[[#This Row],[Nilai RAB Jaringan
(file pa aji)]],0)</f>
        <v>0</v>
      </c>
      <c r="CS16" s="66">
        <f>IFERROR(Table1[[#This Row],[Progres Pemasangan
(%)]]*Table1[[#This Row],[Nilai RAB Jaringan
(file pa aji)]],0)</f>
        <v>0</v>
      </c>
      <c r="CT16" s="66">
        <f>IFERROR(Table1[[#This Row],[Progres Perizinan
(%)]]*Table1[[#This Row],[Nilai RAB Jaringan
(file pa aji)]],0)</f>
        <v>0</v>
      </c>
      <c r="CU16" s="329">
        <v>113327355245</v>
      </c>
      <c r="CV16" s="329">
        <v>113327355245</v>
      </c>
      <c r="CW16" s="583">
        <v>113327355245</v>
      </c>
      <c r="CX16" s="329">
        <v>113327355245</v>
      </c>
      <c r="CY16" s="47"/>
      <c r="CZ16" s="330">
        <v>45348</v>
      </c>
      <c r="DA16" s="330">
        <v>45382</v>
      </c>
      <c r="DB16" s="331"/>
      <c r="DC16" s="316"/>
      <c r="DD16" s="67"/>
      <c r="DE1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6" s="331"/>
      <c r="DG16" s="316"/>
      <c r="DH16" s="67"/>
      <c r="DI1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6" s="330">
        <v>45383</v>
      </c>
      <c r="DK16" s="330">
        <v>45536</v>
      </c>
      <c r="DL16" s="331">
        <v>45520</v>
      </c>
      <c r="DM16" s="333" t="s">
        <v>256</v>
      </c>
      <c r="DN1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 s="331">
        <v>45657</v>
      </c>
      <c r="DP16" s="332" t="s">
        <v>257</v>
      </c>
      <c r="DQ16" s="314" t="s">
        <v>258</v>
      </c>
      <c r="DR1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 s="330">
        <v>45383</v>
      </c>
      <c r="DT16" s="330" t="e">
        <v>#N/A</v>
      </c>
      <c r="DU16" s="330">
        <v>45431</v>
      </c>
      <c r="DV16" s="330" t="e">
        <v>#N/A</v>
      </c>
      <c r="DW16" s="331"/>
      <c r="DX16" s="316"/>
      <c r="DY16" s="334"/>
      <c r="DZ16" s="334"/>
      <c r="EA1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6" s="331"/>
      <c r="EC16" s="332"/>
      <c r="ED16" s="332"/>
      <c r="EE16" s="330"/>
      <c r="EF16" s="35">
        <v>1</v>
      </c>
      <c r="EG16" s="337">
        <v>1</v>
      </c>
      <c r="EH16" s="316" t="str">
        <f>IF(Table1[[#This Row],[PO Material Aktual 
(%)]]&gt;=100%,"Selesai PO = 100%",IF(Table1[[#This Row],[PO Material Aktual 
(%)]]&gt;=50%,"Proses PO &gt; 100%",IF(Table1[[#This Row],[PO Material Aktual 
(%)]]&gt;0%,"Proses PO &gt; 50%",IF(Table1[[#This Row],[PO Material Aktual 
(%)]]=0,"Belum PO = 0%"))))</f>
        <v>Selesai PO = 100%</v>
      </c>
      <c r="EI1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6" s="330">
        <v>45432</v>
      </c>
      <c r="EK16" s="330" t="e">
        <v>#N/A</v>
      </c>
      <c r="EL16" s="330">
        <v>45620</v>
      </c>
      <c r="EM16" s="330" t="e">
        <v>#N/A</v>
      </c>
      <c r="EN16" s="331"/>
      <c r="EO16" s="332"/>
      <c r="EP16" s="332"/>
      <c r="EQ16" s="87">
        <v>1</v>
      </c>
      <c r="ER16" s="87">
        <v>1</v>
      </c>
      <c r="ES16" s="316" t="str">
        <f>IF(Table1[[#This Row],[Progres MOS]]&gt;=100%,"Selesai MOS = 100%",IF(Table1[[#This Row],[Progres MOS]]&gt;=50%,"Proses MOS &gt; 100%",IF(Table1[[#This Row],[Progres MOS]]&gt;0%,"Proses MOS &gt; 50%",IF(Table1[[#This Row],[Progres MOS]]=0,"Belum MOS = 0%"))))</f>
        <v>Selesai MOS = 100%</v>
      </c>
      <c r="ET1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 s="47"/>
      <c r="EV16" s="330">
        <v>45383</v>
      </c>
      <c r="EW16" s="330" t="e">
        <v>#N/A</v>
      </c>
      <c r="EX16" s="330">
        <v>45564</v>
      </c>
      <c r="EY16" s="330" t="e">
        <v>#N/A</v>
      </c>
      <c r="EZ16" s="352" t="s">
        <v>259</v>
      </c>
      <c r="FA16" s="336" t="s">
        <v>259</v>
      </c>
      <c r="FB16" s="330" t="s">
        <v>260</v>
      </c>
      <c r="FC16" s="330">
        <v>45014</v>
      </c>
      <c r="FD16" s="330" t="s">
        <v>260</v>
      </c>
      <c r="FE16" s="330"/>
      <c r="FF16" s="330">
        <v>45097</v>
      </c>
      <c r="FG16" s="330" t="s">
        <v>260</v>
      </c>
      <c r="FH16" s="330" t="s">
        <v>260</v>
      </c>
      <c r="FI16" s="330">
        <v>45187</v>
      </c>
      <c r="FJ16" s="330" t="s">
        <v>260</v>
      </c>
      <c r="FK16" s="330">
        <v>45434</v>
      </c>
      <c r="FL16" s="336" t="s">
        <v>259</v>
      </c>
      <c r="FM16" s="336">
        <v>45014</v>
      </c>
      <c r="FN16" s="314">
        <f>IF(Table1[[#This Row],[Tanggal Pengajuan Dokumen]]="","",Table1[[#This Row],[PLAN PERMIT
start]]-Table1[[#This Row],[Tanggal Pengajuan Dokumen]])</f>
        <v>369</v>
      </c>
      <c r="FO16" s="336">
        <v>45434</v>
      </c>
      <c r="FP16" s="316" t="s">
        <v>175</v>
      </c>
      <c r="FQ16" s="338"/>
      <c r="FR16" s="352"/>
      <c r="FS16" s="338" t="str">
        <f t="shared" si="4"/>
        <v>Sudah Terbit</v>
      </c>
      <c r="FT1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 s="344">
        <f ca="1">IF(Table1[[#This Row],[Status Izin]]="Selesai",Table1[[#This Row],[PLAN PERMIT
finish]]-Table1[[#This Row],[Tanggal Terbit/ Target Izin Terbit]],ROUNDUP(Table1[[#This Row],[PLAN PERMIT
finish]]-NOW(),0))</f>
        <v>130</v>
      </c>
      <c r="FV1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 s="344"/>
      <c r="FX16" s="47"/>
      <c r="FY16" s="340"/>
      <c r="FZ16" s="341"/>
      <c r="GA1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 s="330">
        <v>45538</v>
      </c>
      <c r="GC16" s="331">
        <v>45417</v>
      </c>
      <c r="GD1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 s="330">
        <v>45545</v>
      </c>
      <c r="GF16" s="331">
        <v>45417</v>
      </c>
      <c r="GG1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6" s="330">
        <v>45551</v>
      </c>
      <c r="GI16" s="330">
        <v>45557</v>
      </c>
      <c r="GJ16" s="353">
        <v>45808</v>
      </c>
      <c r="GK1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 s="330">
        <v>45565</v>
      </c>
      <c r="GM16" s="330" t="e">
        <v>#N/A</v>
      </c>
      <c r="GN16" s="330">
        <v>45739</v>
      </c>
      <c r="GO16" s="330" t="e">
        <v>#N/A</v>
      </c>
      <c r="GP16" s="316"/>
      <c r="GQ1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 s="330" t="s">
        <v>261</v>
      </c>
      <c r="GS16" s="330" t="s">
        <v>261</v>
      </c>
      <c r="GT16" s="354">
        <v>45743</v>
      </c>
      <c r="GU16" s="344" t="str">
        <f>IF(Table1[[#This Row],[Hydro Tes Actual
(tanggal)]]&lt;&gt;"","Sudah","Belum")</f>
        <v>Sudah</v>
      </c>
      <c r="GV16" s="330" t="s">
        <v>261</v>
      </c>
      <c r="GW16" s="330" t="s">
        <v>261</v>
      </c>
      <c r="GX16" s="331">
        <v>45737</v>
      </c>
      <c r="GY16" s="344" t="str">
        <f>IF(Table1[[#This Row],[Interkoneksi Actual
(tanggal)]]&lt;&gt;"","Sudah","Belum")</f>
        <v>Sudah</v>
      </c>
      <c r="GZ16" s="330" t="s">
        <v>261</v>
      </c>
      <c r="HA16" s="330" t="s">
        <v>261</v>
      </c>
      <c r="HB16" s="331">
        <v>45777</v>
      </c>
      <c r="HC16" s="344" t="str">
        <f>IF(Table1[[#This Row],[Flushing Actual
(tanggal)]]&lt;&gt;"","Sudah","Belum")</f>
        <v>Sudah</v>
      </c>
      <c r="HD16" s="330">
        <v>45712</v>
      </c>
      <c r="HE16" s="330" t="e">
        <v>#N/A</v>
      </c>
      <c r="HF16" s="330">
        <v>45718</v>
      </c>
      <c r="HG16" s="346">
        <v>45782</v>
      </c>
      <c r="HH1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 s="330" t="s">
        <v>261</v>
      </c>
      <c r="HJ16" s="330" t="s">
        <v>261</v>
      </c>
      <c r="HK16" s="331"/>
      <c r="HL16" s="316"/>
      <c r="HM16" s="330">
        <v>45737</v>
      </c>
      <c r="HN16" s="330">
        <v>45737</v>
      </c>
      <c r="HO16" s="330" t="e">
        <v>#N/A</v>
      </c>
      <c r="HP16" s="346">
        <v>45791</v>
      </c>
      <c r="HQ1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6" s="330">
        <v>45744</v>
      </c>
      <c r="HS16" s="330"/>
      <c r="HT16" s="330">
        <v>45744</v>
      </c>
      <c r="HU16" s="527"/>
      <c r="HV16" s="330">
        <f>IF(Table1[[#This Row],[MC-100 Aktual
(tanggal)]]&lt;&gt;"",Table1[[#This Row],[MC-100 Aktual
(tanggal)]]+5,"")</f>
        <v>45796</v>
      </c>
      <c r="HW16" s="355"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6" s="47"/>
      <c r="HY16" s="352"/>
      <c r="HZ16" s="352"/>
      <c r="IB16" s="618">
        <f>IFERROR(ROUND((Table1[[#This Row],[PLAN TC
finish]]-Table1[[#This Row],[PLAN MC-0
start]])/30,2),"")</f>
        <v>5.57</v>
      </c>
      <c r="IC16">
        <f>DATEDIF(Table1[[#This Row],[PLAN MC-0
start]],Table1[[#This Row],[PLAN TC
finish]],"m")</f>
        <v>5</v>
      </c>
    </row>
    <row r="17" spans="1:237" s="4" customFormat="1" ht="15" hidden="1" customHeight="1" x14ac:dyDescent="0.2">
      <c r="B17" s="311">
        <f>SUBTOTAL(3,$D$5:D17)</f>
        <v>11</v>
      </c>
      <c r="C17" s="348">
        <v>13</v>
      </c>
      <c r="D17" s="315" t="s">
        <v>244</v>
      </c>
      <c r="E17" s="315" t="s">
        <v>323</v>
      </c>
      <c r="F17" s="315" t="s">
        <v>324</v>
      </c>
      <c r="G17" s="349">
        <v>45752</v>
      </c>
      <c r="H17" s="314" t="s">
        <v>247</v>
      </c>
      <c r="I17" s="315" t="s">
        <v>325</v>
      </c>
      <c r="J17" s="315"/>
      <c r="K17" s="338" t="s">
        <v>249</v>
      </c>
      <c r="L17" s="316" t="s">
        <v>326</v>
      </c>
      <c r="M17" s="316" t="s">
        <v>269</v>
      </c>
      <c r="N17" s="107">
        <v>1</v>
      </c>
      <c r="O17" s="31" t="s">
        <v>327</v>
      </c>
      <c r="P17"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 s="87" t="e">
        <v>#N/A</v>
      </c>
      <c r="S17" s="87">
        <v>1</v>
      </c>
      <c r="T17" s="35">
        <f>Table1[[#This Row],[Progres Total Aktual
(%)]]</f>
        <v>1</v>
      </c>
      <c r="U17" s="124">
        <f>Table1[[#This Row],[Progres Aktual
(%)]]-Table1[[#This Row],[Target Progres
(%)]]</f>
        <v>0</v>
      </c>
      <c r="V17" s="350">
        <f>Table1[[#This Row],["Volume
BA MC-0"]]</f>
        <v>0</v>
      </c>
      <c r="W17" s="351">
        <f>Table1[[#This Row],[Total Panjang Pipa Aktual
(Sum-&gt;)3]]</f>
        <v>0</v>
      </c>
      <c r="X17" s="47"/>
      <c r="Y17" s="67" t="s">
        <v>324</v>
      </c>
      <c r="Z17" s="67">
        <v>38745964634</v>
      </c>
      <c r="AA17" s="67">
        <f>ROUND((Table1[[#This Row],[Nilai RAB Jaringan
(Exclude Ppn)]]-Table1[[#This Row],[RAB Perizinan]])*1.11+Table1[[#This Row],[RAB Perizinan]],0)</f>
        <v>0</v>
      </c>
      <c r="AB17" s="320">
        <f>SUM(Table1[[#This Row],[RAB Kegiatan Umum]:[RAB Perizinan]])</f>
        <v>0</v>
      </c>
      <c r="AC17" s="320"/>
      <c r="AD17" s="320"/>
      <c r="AE17" s="320"/>
      <c r="AF17" s="320"/>
      <c r="AG17" s="320">
        <v>0</v>
      </c>
      <c r="AH17" s="35" t="e">
        <f>SUM(Table1[[#This Row],[Bobot Keg Umum]:[Bobot Perizinan]])</f>
        <v>#DIV/0!</v>
      </c>
      <c r="AI17" s="35" t="e">
        <f>Table1[[#This Row],[RAB Kegiatan Umum]]/Table1[[#This Row],[Nilai RAB Jaringan
(Exclude Ppn)]]</f>
        <v>#DIV/0!</v>
      </c>
      <c r="AJ17" s="35" t="e">
        <f>Table1[[#This Row],[RAB Pemasangan]]/Table1[[#This Row],[Nilai RAB Jaringan
(Exclude Ppn)]]</f>
        <v>#DIV/0!</v>
      </c>
      <c r="AK17" s="35" t="e">
        <f>Table1[[#This Row],[RAB Pengadaan]]/Table1[[#This Row],[Nilai RAB Jaringan
(Exclude Ppn)]]</f>
        <v>#DIV/0!</v>
      </c>
      <c r="AL17" s="35" t="e">
        <f>Table1[[#This Row],[RAB Perizinan]]/Table1[[#This Row],[Nilai RAB Jaringan
(Exclude Ppn)]]</f>
        <v>#DIV/0!</v>
      </c>
      <c r="AM17" s="47"/>
      <c r="AN17" s="285">
        <v>0</v>
      </c>
      <c r="AO17" s="285">
        <f>SUM(Table1[[#This Row],[Pipa 63 mm]:[Pipa 1,800 mm]])</f>
        <v>0</v>
      </c>
      <c r="AP17" s="285"/>
      <c r="AQ17" s="285"/>
      <c r="AR17" s="285"/>
      <c r="AS17" s="285"/>
      <c r="AT17" s="285"/>
      <c r="AU17" s="285"/>
      <c r="AV17" s="285"/>
      <c r="AW17" s="285"/>
      <c r="AX17" s="285"/>
      <c r="AY17" s="285"/>
      <c r="AZ17" s="285"/>
      <c r="BA17" s="285"/>
      <c r="BB17" s="285"/>
      <c r="BC17" s="285"/>
      <c r="BD17" s="285"/>
      <c r="BE17" s="285"/>
      <c r="BF17" s="285"/>
      <c r="BG17" s="285"/>
      <c r="BH17" s="285"/>
      <c r="BI17" s="285"/>
      <c r="BJ17" s="36">
        <f>SUM(Table1[[#This Row],[Pipa 63 mm2]:[Pipa 1,800 mm21]])</f>
        <v>0</v>
      </c>
      <c r="BK17" s="32"/>
      <c r="BL17" s="32"/>
      <c r="BM17" s="32"/>
      <c r="BN17" s="32"/>
      <c r="BO17" s="32"/>
      <c r="BP17" s="32"/>
      <c r="BQ17" s="32"/>
      <c r="BR17" s="32"/>
      <c r="BS17" s="32"/>
      <c r="BT17" s="32"/>
      <c r="BU17" s="32"/>
      <c r="BV17" s="32"/>
      <c r="BW17" s="32"/>
      <c r="BX17" s="32"/>
      <c r="BY17" s="32"/>
      <c r="BZ17" s="32"/>
      <c r="CA17" s="32"/>
      <c r="CB17" s="32"/>
      <c r="CC17" s="32"/>
      <c r="CD17" s="32"/>
      <c r="CE17" s="32">
        <v>0</v>
      </c>
      <c r="CF17" s="32"/>
      <c r="CG17" s="32"/>
      <c r="CH17" s="32"/>
      <c r="CI17" s="32">
        <f t="shared" si="3"/>
        <v>0</v>
      </c>
      <c r="CJ17" s="65">
        <f>IF((Table1[[#This Row],["Volume
BA MC-0"]]-Table1[[#This Row],[Total Panjang Pipa Aktual
(Sum-&gt;)3]]-Table1[[#This Row],[Total Volume
tidak dapat dipasang]])&gt;=0,Table1[[#This Row],["Volume
BA MC-0"]]-Table1[[#This Row],[Total Panjang Pipa Aktual
(Sum-&gt;)3]]-Table1[[#This Row],[Total Volume
tidak dapat dipasang]],0)</f>
        <v>0</v>
      </c>
      <c r="CK17" s="47"/>
      <c r="CL17" s="131"/>
      <c r="CM17" s="35"/>
      <c r="CN17" s="131"/>
      <c r="CO17" s="131"/>
      <c r="CP1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 s="66">
        <f>IFERROR(Table1[[#This Row],[Progres Keg. Umum
(%)]]*Table1[[#This Row],[Nilai RAB Jaringan
(file pa aji)]],0)</f>
        <v>0</v>
      </c>
      <c r="CR17" s="66">
        <f>IFERROR(Table1[[#This Row],[Progres MOS
(%)]]*Table1[[#This Row],[Nilai RAB Jaringan
(file pa aji)]],0)</f>
        <v>0</v>
      </c>
      <c r="CS17" s="66">
        <f>IFERROR(Table1[[#This Row],[Progres Pemasangan
(%)]]*Table1[[#This Row],[Nilai RAB Jaringan
(file pa aji)]],0)</f>
        <v>0</v>
      </c>
      <c r="CT17" s="66">
        <f>IFERROR(Table1[[#This Row],[Progres Perizinan
(%)]]*Table1[[#This Row],[Nilai RAB Jaringan
(file pa aji)]],0)</f>
        <v>0</v>
      </c>
      <c r="CU17" s="329">
        <v>44468102292</v>
      </c>
      <c r="CV17" s="329">
        <v>44468102292</v>
      </c>
      <c r="CW17" s="583">
        <v>44468102292</v>
      </c>
      <c r="CX17" s="329">
        <v>44468102292</v>
      </c>
      <c r="CY17" s="47"/>
      <c r="CZ17" s="330">
        <v>45348</v>
      </c>
      <c r="DA17" s="330">
        <v>45382</v>
      </c>
      <c r="DB17" s="331"/>
      <c r="DC17" s="316"/>
      <c r="DD17" s="67"/>
      <c r="DE1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 s="331"/>
      <c r="DG17" s="316"/>
      <c r="DH17" s="67"/>
      <c r="DI1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 s="330">
        <v>45383</v>
      </c>
      <c r="DK17" s="330">
        <v>45536</v>
      </c>
      <c r="DL17" s="331">
        <v>45475</v>
      </c>
      <c r="DM17" s="357" t="s">
        <v>328</v>
      </c>
      <c r="DN1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 s="331">
        <v>45478</v>
      </c>
      <c r="DP17" s="316" t="s">
        <v>329</v>
      </c>
      <c r="DQ17" s="338" t="s">
        <v>330</v>
      </c>
      <c r="DR1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7" s="330">
        <v>45383</v>
      </c>
      <c r="DT17" s="330" t="e">
        <v>#N/A</v>
      </c>
      <c r="DU17" s="330">
        <v>45431</v>
      </c>
      <c r="DV17" s="330" t="e">
        <v>#N/A</v>
      </c>
      <c r="DW17" s="331"/>
      <c r="DX17" s="316"/>
      <c r="DY17" s="334"/>
      <c r="DZ17" s="334"/>
      <c r="EA1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 s="331"/>
      <c r="EC17" s="332"/>
      <c r="ED17" s="332"/>
      <c r="EE17" s="330"/>
      <c r="EF17" s="35">
        <v>1</v>
      </c>
      <c r="EG17" s="337">
        <v>1</v>
      </c>
      <c r="EH17" s="316" t="str">
        <f>IF(Table1[[#This Row],[PO Material Aktual 
(%)]]&gt;=100%,"Selesai PO = 100%",IF(Table1[[#This Row],[PO Material Aktual 
(%)]]&gt;=50%,"Proses PO &gt; 100%",IF(Table1[[#This Row],[PO Material Aktual 
(%)]]&gt;0%,"Proses PO &gt; 50%",IF(Table1[[#This Row],[PO Material Aktual 
(%)]]=0,"Belum PO = 0%"))))</f>
        <v>Selesai PO = 100%</v>
      </c>
      <c r="EI1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 s="330">
        <v>45432</v>
      </c>
      <c r="EK17" s="330" t="e">
        <v>#N/A</v>
      </c>
      <c r="EL17" s="330">
        <v>45620</v>
      </c>
      <c r="EM17" s="330" t="e">
        <v>#N/A</v>
      </c>
      <c r="EN17" s="331"/>
      <c r="EO17" s="332"/>
      <c r="EP17" s="332"/>
      <c r="EQ17" s="87">
        <v>1</v>
      </c>
      <c r="ER17" s="87">
        <v>1</v>
      </c>
      <c r="ES17" s="316" t="str">
        <f>IF(Table1[[#This Row],[Progres MOS]]&gt;=100%,"Selesai MOS = 100%",IF(Table1[[#This Row],[Progres MOS]]&gt;=50%,"Proses MOS &gt; 100%",IF(Table1[[#This Row],[Progres MOS]]&gt;0%,"Proses MOS &gt; 50%",IF(Table1[[#This Row],[Progres MOS]]=0,"Belum MOS = 0%"))))</f>
        <v>Selesai MOS = 100%</v>
      </c>
      <c r="ET1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 s="47"/>
      <c r="EV17" s="330">
        <v>45383</v>
      </c>
      <c r="EW17" s="330" t="e">
        <v>#N/A</v>
      </c>
      <c r="EX17" s="330">
        <v>45564</v>
      </c>
      <c r="EY17" s="330" t="e">
        <v>#N/A</v>
      </c>
      <c r="EZ17" s="352" t="s">
        <v>259</v>
      </c>
      <c r="FA17" s="336" t="s">
        <v>259</v>
      </c>
      <c r="FB17" s="330" t="s">
        <v>260</v>
      </c>
      <c r="FC17" s="330"/>
      <c r="FD17" s="330" t="s">
        <v>260</v>
      </c>
      <c r="FE17" s="330"/>
      <c r="FF17" s="330"/>
      <c r="FG17" s="330" t="s">
        <v>260</v>
      </c>
      <c r="FH17" s="330" t="s">
        <v>260</v>
      </c>
      <c r="FI17" s="330"/>
      <c r="FJ17" s="330" t="s">
        <v>260</v>
      </c>
      <c r="FK17" s="330"/>
      <c r="FL17" s="336" t="s">
        <v>259</v>
      </c>
      <c r="FM17" s="336"/>
      <c r="FN17" s="314" t="str">
        <f>IF(Table1[[#This Row],[Tanggal Pengajuan Dokumen]]="","",Table1[[#This Row],[PLAN PERMIT
start]]-Table1[[#This Row],[Tanggal Pengajuan Dokumen]])</f>
        <v/>
      </c>
      <c r="FO17" s="336"/>
      <c r="FP17" s="316"/>
      <c r="FQ17" s="338"/>
      <c r="FR17" s="352"/>
      <c r="FS17" s="338" t="str">
        <f t="shared" si="4"/>
        <v>Sudah Terbit</v>
      </c>
      <c r="FT1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 s="344">
        <f ca="1">IF(Table1[[#This Row],[Status Izin]]="Selesai",Table1[[#This Row],[PLAN PERMIT
finish]]-Table1[[#This Row],[Tanggal Terbit/ Target Izin Terbit]],ROUNDUP(Table1[[#This Row],[PLAN PERMIT
finish]]-NOW(),0))</f>
        <v>45564</v>
      </c>
      <c r="FV1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 s="344"/>
      <c r="FX17" s="47"/>
      <c r="FY17" s="340"/>
      <c r="FZ17" s="341"/>
      <c r="GA1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 s="330">
        <v>45538</v>
      </c>
      <c r="GC17" s="331">
        <v>45771</v>
      </c>
      <c r="GD1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 s="330">
        <v>45545</v>
      </c>
      <c r="GF17" s="331">
        <v>45771</v>
      </c>
      <c r="GG1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 s="330">
        <v>45551</v>
      </c>
      <c r="GI17" s="330">
        <v>45557</v>
      </c>
      <c r="GJ17" s="353">
        <v>45252</v>
      </c>
      <c r="GK1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7" s="330">
        <v>45565</v>
      </c>
      <c r="GM17" s="330" t="e">
        <v>#N/A</v>
      </c>
      <c r="GN17" s="330">
        <v>45725</v>
      </c>
      <c r="GO17" s="330" t="e">
        <v>#N/A</v>
      </c>
      <c r="GP17" s="316"/>
      <c r="GQ1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 s="330" t="s">
        <v>261</v>
      </c>
      <c r="GS17" s="330" t="s">
        <v>261</v>
      </c>
      <c r="GT17" s="354"/>
      <c r="GU17" s="344" t="str">
        <f>IF(Table1[[#This Row],[Hydro Tes Actual
(tanggal)]]&lt;&gt;"","Sudah","Belum")</f>
        <v>Belum</v>
      </c>
      <c r="GV17" s="330" t="s">
        <v>261</v>
      </c>
      <c r="GW17" s="330" t="s">
        <v>261</v>
      </c>
      <c r="GX17" s="331"/>
      <c r="GY17" s="344" t="str">
        <f>IF(Table1[[#This Row],[Interkoneksi Actual
(tanggal)]]&lt;&gt;"","Sudah","Belum")</f>
        <v>Belum</v>
      </c>
      <c r="GZ17" s="330" t="s">
        <v>261</v>
      </c>
      <c r="HA17" s="330" t="s">
        <v>261</v>
      </c>
      <c r="HB17" s="331"/>
      <c r="HC17" s="344" t="str">
        <f>IF(Table1[[#This Row],[Flushing Actual
(tanggal)]]&lt;&gt;"","Sudah","Belum")</f>
        <v>Belum</v>
      </c>
      <c r="HD17" s="330">
        <v>45712</v>
      </c>
      <c r="HE17" s="330" t="e">
        <v>#N/A</v>
      </c>
      <c r="HF17" s="330">
        <v>45718</v>
      </c>
      <c r="HG17" s="346">
        <v>45771</v>
      </c>
      <c r="HH1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 s="330" t="s">
        <v>261</v>
      </c>
      <c r="HJ17" s="330" t="s">
        <v>261</v>
      </c>
      <c r="HK17" s="331"/>
      <c r="HL17" s="316"/>
      <c r="HM17" s="330">
        <v>45737</v>
      </c>
      <c r="HN17" s="330">
        <v>45737</v>
      </c>
      <c r="HO17" s="330" t="e">
        <v>#N/A</v>
      </c>
      <c r="HP17" s="346">
        <v>45805</v>
      </c>
      <c r="HQ1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7" s="330">
        <v>45744</v>
      </c>
      <c r="HS17" s="330"/>
      <c r="HT17" s="330">
        <v>45744</v>
      </c>
      <c r="HU17" s="527"/>
      <c r="HV17" s="330">
        <f>IF(Table1[[#This Row],[MC-100 Aktual
(tanggal)]]&lt;&gt;"",Table1[[#This Row],[MC-100 Aktual
(tanggal)]]+5,"")</f>
        <v>45810</v>
      </c>
      <c r="HW1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7" s="47"/>
      <c r="HY17" s="352"/>
      <c r="HZ17" s="352"/>
      <c r="IB17" s="618">
        <f>IFERROR(ROUND((Table1[[#This Row],[PLAN TC
finish]]-Table1[[#This Row],[PLAN MC-0
start]])/30,2),"")</f>
        <v>5.57</v>
      </c>
      <c r="IC17">
        <f>DATEDIF(Table1[[#This Row],[PLAN MC-0
start]],Table1[[#This Row],[PLAN TC
finish]],"m")</f>
        <v>5</v>
      </c>
    </row>
    <row r="18" spans="1:237" s="4" customFormat="1" ht="15" hidden="1" customHeight="1" x14ac:dyDescent="0.2">
      <c r="B18" s="311">
        <f>SUBTOTAL(3,$D$5:D18)</f>
        <v>11</v>
      </c>
      <c r="C18" s="348">
        <v>14</v>
      </c>
      <c r="D18" s="315" t="s">
        <v>244</v>
      </c>
      <c r="E18" s="315" t="s">
        <v>331</v>
      </c>
      <c r="F18" s="315" t="s">
        <v>332</v>
      </c>
      <c r="G18" s="349">
        <v>45752</v>
      </c>
      <c r="H18" s="314" t="s">
        <v>247</v>
      </c>
      <c r="I18" s="315" t="s">
        <v>325</v>
      </c>
      <c r="J18" s="315"/>
      <c r="K18" s="338" t="s">
        <v>249</v>
      </c>
      <c r="L18" s="316" t="s">
        <v>326</v>
      </c>
      <c r="M18" s="316" t="s">
        <v>269</v>
      </c>
      <c r="N18" s="107">
        <v>1</v>
      </c>
      <c r="O18" s="31" t="s">
        <v>327</v>
      </c>
      <c r="P1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 s="87" t="e">
        <v>#N/A</v>
      </c>
      <c r="S18" s="87">
        <v>1</v>
      </c>
      <c r="T18" s="35">
        <f>Table1[[#This Row],[Progres Total Aktual
(%)]]</f>
        <v>1</v>
      </c>
      <c r="U18" s="124">
        <f>Table1[[#This Row],[Progres Aktual
(%)]]-Table1[[#This Row],[Target Progres
(%)]]</f>
        <v>0</v>
      </c>
      <c r="V18" s="350">
        <f>Table1[[#This Row],["Volume
BA MC-0"]]</f>
        <v>0</v>
      </c>
      <c r="W18" s="351">
        <f>Table1[[#This Row],[Total Panjang Pipa Aktual
(Sum-&gt;)3]]</f>
        <v>0</v>
      </c>
      <c r="X18" s="47"/>
      <c r="Y18" s="67" t="s">
        <v>324</v>
      </c>
      <c r="Z18" s="67">
        <v>1620470619</v>
      </c>
      <c r="AA18" s="67">
        <f>ROUND((Table1[[#This Row],[Nilai RAB Jaringan
(Exclude Ppn)]]-Table1[[#This Row],[RAB Perizinan]])*1.11+Table1[[#This Row],[RAB Perizinan]],0)</f>
        <v>0</v>
      </c>
      <c r="AB18" s="320">
        <f>SUM(Table1[[#This Row],[RAB Kegiatan Umum]:[RAB Perizinan]])</f>
        <v>0</v>
      </c>
      <c r="AC18" s="320"/>
      <c r="AD18" s="320"/>
      <c r="AE18" s="320"/>
      <c r="AF18" s="320"/>
      <c r="AG18" s="320">
        <v>0</v>
      </c>
      <c r="AH18" s="35" t="e">
        <f>SUM(Table1[[#This Row],[Bobot Keg Umum]:[Bobot Perizinan]])</f>
        <v>#DIV/0!</v>
      </c>
      <c r="AI18" s="35" t="e">
        <f>Table1[[#This Row],[RAB Kegiatan Umum]]/Table1[[#This Row],[Nilai RAB Jaringan
(Exclude Ppn)]]</f>
        <v>#DIV/0!</v>
      </c>
      <c r="AJ18" s="35" t="e">
        <f>Table1[[#This Row],[RAB Pemasangan]]/Table1[[#This Row],[Nilai RAB Jaringan
(Exclude Ppn)]]</f>
        <v>#DIV/0!</v>
      </c>
      <c r="AK18" s="35" t="e">
        <f>Table1[[#This Row],[RAB Pengadaan]]/Table1[[#This Row],[Nilai RAB Jaringan
(Exclude Ppn)]]</f>
        <v>#DIV/0!</v>
      </c>
      <c r="AL18" s="35" t="e">
        <f>Table1[[#This Row],[RAB Perizinan]]/Table1[[#This Row],[Nilai RAB Jaringan
(Exclude Ppn)]]</f>
        <v>#DIV/0!</v>
      </c>
      <c r="AM18" s="47"/>
      <c r="AN18" s="285">
        <v>0</v>
      </c>
      <c r="AO18" s="285">
        <f>SUM(Table1[[#This Row],[Pipa 63 mm]:[Pipa 1,800 mm]])</f>
        <v>0</v>
      </c>
      <c r="AP18" s="285"/>
      <c r="AQ18" s="285"/>
      <c r="AR18" s="285"/>
      <c r="AS18" s="285"/>
      <c r="AT18" s="285"/>
      <c r="AU18" s="285"/>
      <c r="AV18" s="285"/>
      <c r="AW18" s="285"/>
      <c r="AX18" s="285"/>
      <c r="AY18" s="285"/>
      <c r="AZ18" s="285"/>
      <c r="BA18" s="285"/>
      <c r="BB18" s="285"/>
      <c r="BC18" s="285"/>
      <c r="BD18" s="285"/>
      <c r="BE18" s="285"/>
      <c r="BF18" s="285"/>
      <c r="BG18" s="285"/>
      <c r="BH18" s="285"/>
      <c r="BI18" s="285"/>
      <c r="BJ18" s="36">
        <f>SUM(Table1[[#This Row],[Pipa 63 mm2]:[Pipa 1,800 mm21]])</f>
        <v>0</v>
      </c>
      <c r="BK18" s="32"/>
      <c r="BL18" s="32"/>
      <c r="BM18" s="32"/>
      <c r="BN18" s="32"/>
      <c r="BO18" s="32"/>
      <c r="BP18" s="32"/>
      <c r="BQ18" s="32"/>
      <c r="BR18" s="32"/>
      <c r="BS18" s="32"/>
      <c r="BT18" s="32"/>
      <c r="BU18" s="32"/>
      <c r="BV18" s="32"/>
      <c r="BW18" s="32"/>
      <c r="BX18" s="32"/>
      <c r="BY18" s="32"/>
      <c r="BZ18" s="32"/>
      <c r="CA18" s="32"/>
      <c r="CB18" s="32"/>
      <c r="CC18" s="32"/>
      <c r="CD18" s="32"/>
      <c r="CE18" s="32">
        <v>0</v>
      </c>
      <c r="CF18" s="32"/>
      <c r="CG18" s="32"/>
      <c r="CH18" s="32"/>
      <c r="CI18" s="32">
        <f t="shared" si="3"/>
        <v>0</v>
      </c>
      <c r="CJ18" s="65">
        <f>IF((Table1[[#This Row],["Volume
BA MC-0"]]-Table1[[#This Row],[Total Panjang Pipa Aktual
(Sum-&gt;)3]]-Table1[[#This Row],[Total Volume
tidak dapat dipasang]])&gt;=0,Table1[[#This Row],["Volume
BA MC-0"]]-Table1[[#This Row],[Total Panjang Pipa Aktual
(Sum-&gt;)3]]-Table1[[#This Row],[Total Volume
tidak dapat dipasang]],0)</f>
        <v>0</v>
      </c>
      <c r="CK18" s="47"/>
      <c r="CL18" s="131"/>
      <c r="CM18" s="35"/>
      <c r="CN18" s="131"/>
      <c r="CO18" s="131"/>
      <c r="CP1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 s="66">
        <f>IFERROR(Table1[[#This Row],[Progres Keg. Umum
(%)]]*Table1[[#This Row],[Nilai RAB Jaringan
(file pa aji)]],0)</f>
        <v>0</v>
      </c>
      <c r="CR18" s="66">
        <f>IFERROR(Table1[[#This Row],[Progres MOS
(%)]]*Table1[[#This Row],[Nilai RAB Jaringan
(file pa aji)]],0)</f>
        <v>0</v>
      </c>
      <c r="CS18" s="66">
        <f>IFERROR(Table1[[#This Row],[Progres Pemasangan
(%)]]*Table1[[#This Row],[Nilai RAB Jaringan
(file pa aji)]],0)</f>
        <v>0</v>
      </c>
      <c r="CT18" s="66">
        <f>IFERROR(Table1[[#This Row],[Progres Perizinan
(%)]]*Table1[[#This Row],[Nilai RAB Jaringan
(file pa aji)]],0)</f>
        <v>0</v>
      </c>
      <c r="CU18" s="329">
        <v>1878107243</v>
      </c>
      <c r="CV18" s="329">
        <v>1878107243</v>
      </c>
      <c r="CW18" s="583">
        <v>1878107243</v>
      </c>
      <c r="CX18" s="329">
        <v>1878107243</v>
      </c>
      <c r="CY18" s="47"/>
      <c r="CZ18" s="330">
        <v>45348</v>
      </c>
      <c r="DA18" s="330">
        <v>45382</v>
      </c>
      <c r="DB18" s="331"/>
      <c r="DC18" s="316"/>
      <c r="DD18" s="67"/>
      <c r="DE1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8" s="331"/>
      <c r="DG18" s="316"/>
      <c r="DH18" s="67"/>
      <c r="DI1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8" s="330">
        <v>45383</v>
      </c>
      <c r="DK18" s="330">
        <v>45536</v>
      </c>
      <c r="DL18" s="331">
        <v>45504</v>
      </c>
      <c r="DM18" s="357" t="s">
        <v>333</v>
      </c>
      <c r="DN1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 s="331">
        <v>45478</v>
      </c>
      <c r="DP18" s="316" t="s">
        <v>329</v>
      </c>
      <c r="DQ18" s="338" t="s">
        <v>330</v>
      </c>
      <c r="DR1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 s="330">
        <v>45383</v>
      </c>
      <c r="DT18" s="330" t="e">
        <v>#N/A</v>
      </c>
      <c r="DU18" s="330">
        <v>45431</v>
      </c>
      <c r="DV18" s="330" t="e">
        <v>#N/A</v>
      </c>
      <c r="DW18" s="331"/>
      <c r="DX18" s="316"/>
      <c r="DY18" s="334"/>
      <c r="DZ18" s="334"/>
      <c r="EA1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8" s="331"/>
      <c r="EC18" s="332"/>
      <c r="ED18" s="332"/>
      <c r="EE18" s="330"/>
      <c r="EF18" s="35">
        <v>1</v>
      </c>
      <c r="EG18" s="337">
        <v>1</v>
      </c>
      <c r="EH18" s="316" t="str">
        <f>IF(Table1[[#This Row],[PO Material Aktual 
(%)]]&gt;=100%,"Selesai PO = 100%",IF(Table1[[#This Row],[PO Material Aktual 
(%)]]&gt;=50%,"Proses PO &gt; 100%",IF(Table1[[#This Row],[PO Material Aktual 
(%)]]&gt;0%,"Proses PO &gt; 50%",IF(Table1[[#This Row],[PO Material Aktual 
(%)]]=0,"Belum PO = 0%"))))</f>
        <v>Selesai PO = 100%</v>
      </c>
      <c r="EI1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8" s="330">
        <v>45432</v>
      </c>
      <c r="EK18" s="330" t="e">
        <v>#N/A</v>
      </c>
      <c r="EL18" s="330">
        <v>45620</v>
      </c>
      <c r="EM18" s="330" t="e">
        <v>#N/A</v>
      </c>
      <c r="EN18" s="331"/>
      <c r="EO18" s="332"/>
      <c r="EP18" s="332"/>
      <c r="EQ18" s="87">
        <v>1</v>
      </c>
      <c r="ER18" s="87">
        <v>1</v>
      </c>
      <c r="ES18" s="316" t="str">
        <f>IF(Table1[[#This Row],[Progres MOS]]&gt;=100%,"Selesai MOS = 100%",IF(Table1[[#This Row],[Progres MOS]]&gt;=50%,"Proses MOS &gt; 100%",IF(Table1[[#This Row],[Progres MOS]]&gt;0%,"Proses MOS &gt; 50%",IF(Table1[[#This Row],[Progres MOS]]=0,"Belum MOS = 0%"))))</f>
        <v>Selesai MOS = 100%</v>
      </c>
      <c r="ET1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8" s="47"/>
      <c r="EV18" s="330">
        <v>45383</v>
      </c>
      <c r="EW18" s="330" t="e">
        <v>#N/A</v>
      </c>
      <c r="EX18" s="330">
        <v>45564</v>
      </c>
      <c r="EY18" s="330" t="e">
        <v>#N/A</v>
      </c>
      <c r="EZ18" s="352" t="s">
        <v>259</v>
      </c>
      <c r="FA18" s="336" t="s">
        <v>259</v>
      </c>
      <c r="FB18" s="330" t="s">
        <v>260</v>
      </c>
      <c r="FC18" s="330"/>
      <c r="FD18" s="330" t="s">
        <v>260</v>
      </c>
      <c r="FE18" s="330"/>
      <c r="FF18" s="330"/>
      <c r="FG18" s="330" t="s">
        <v>260</v>
      </c>
      <c r="FH18" s="330" t="s">
        <v>260</v>
      </c>
      <c r="FI18" s="330"/>
      <c r="FJ18" s="330" t="s">
        <v>260</v>
      </c>
      <c r="FK18" s="330"/>
      <c r="FL18" s="336" t="s">
        <v>259</v>
      </c>
      <c r="FM18" s="336"/>
      <c r="FN18" s="314" t="str">
        <f>IF(Table1[[#This Row],[Tanggal Pengajuan Dokumen]]="","",Table1[[#This Row],[PLAN PERMIT
start]]-Table1[[#This Row],[Tanggal Pengajuan Dokumen]])</f>
        <v/>
      </c>
      <c r="FO18" s="336"/>
      <c r="FP18" s="316"/>
      <c r="FQ18" s="338"/>
      <c r="FR18" s="352"/>
      <c r="FS18" s="338" t="str">
        <f t="shared" si="4"/>
        <v>Sudah Terbit</v>
      </c>
      <c r="FT1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 s="344">
        <f ca="1">IF(Table1[[#This Row],[Status Izin]]="Selesai",Table1[[#This Row],[PLAN PERMIT
finish]]-Table1[[#This Row],[Tanggal Terbit/ Target Izin Terbit]],ROUNDUP(Table1[[#This Row],[PLAN PERMIT
finish]]-NOW(),0))</f>
        <v>45564</v>
      </c>
      <c r="FV1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 s="344"/>
      <c r="FX18" s="47"/>
      <c r="FY18" s="340"/>
      <c r="FZ18" s="341"/>
      <c r="GA1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 s="330">
        <v>45538</v>
      </c>
      <c r="GC18" s="331">
        <v>45771</v>
      </c>
      <c r="GD1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 s="330">
        <v>45545</v>
      </c>
      <c r="GF18" s="331">
        <v>45771</v>
      </c>
      <c r="GG1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 s="330">
        <v>45551</v>
      </c>
      <c r="GI18" s="330">
        <v>45557</v>
      </c>
      <c r="GJ18" s="353">
        <v>45252</v>
      </c>
      <c r="GK1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 s="330">
        <v>45565</v>
      </c>
      <c r="GM18" s="330" t="e">
        <v>#N/A</v>
      </c>
      <c r="GN18" s="330">
        <v>45725</v>
      </c>
      <c r="GO18" s="330" t="e">
        <v>#N/A</v>
      </c>
      <c r="GP18" s="316"/>
      <c r="GQ1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 s="330" t="s">
        <v>261</v>
      </c>
      <c r="GS18" s="330" t="s">
        <v>261</v>
      </c>
      <c r="GT18" s="359">
        <v>45731</v>
      </c>
      <c r="GU18" s="344" t="str">
        <f>IF(Table1[[#This Row],[Hydro Tes Actual
(tanggal)]]&lt;&gt;"","Sudah","Belum")</f>
        <v>Sudah</v>
      </c>
      <c r="GV18" s="330" t="s">
        <v>261</v>
      </c>
      <c r="GW18" s="330" t="s">
        <v>261</v>
      </c>
      <c r="GX18" s="331">
        <v>45735</v>
      </c>
      <c r="GY18" s="344" t="str">
        <f>IF(Table1[[#This Row],[Interkoneksi Actual
(tanggal)]]&lt;&gt;"","Sudah","Belum")</f>
        <v>Sudah</v>
      </c>
      <c r="GZ18" s="330" t="s">
        <v>261</v>
      </c>
      <c r="HA18" s="330" t="s">
        <v>261</v>
      </c>
      <c r="HB18" s="331">
        <v>45735</v>
      </c>
      <c r="HC18" s="344" t="str">
        <f>IF(Table1[[#This Row],[Flushing Actual
(tanggal)]]&lt;&gt;"","Sudah","Belum")</f>
        <v>Sudah</v>
      </c>
      <c r="HD18" s="330">
        <v>45712</v>
      </c>
      <c r="HE18" s="330" t="e">
        <v>#N/A</v>
      </c>
      <c r="HF18" s="330">
        <v>45718</v>
      </c>
      <c r="HG18" s="346">
        <v>45771</v>
      </c>
      <c r="HH1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 s="330" t="s">
        <v>261</v>
      </c>
      <c r="HJ18" s="330" t="s">
        <v>261</v>
      </c>
      <c r="HK18" s="331"/>
      <c r="HL18" s="316"/>
      <c r="HM18" s="330">
        <v>45737</v>
      </c>
      <c r="HN18" s="330">
        <v>45737</v>
      </c>
      <c r="HO18" s="330" t="e">
        <v>#N/A</v>
      </c>
      <c r="HP18" s="346">
        <v>45791</v>
      </c>
      <c r="HQ1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8" s="330">
        <v>45744</v>
      </c>
      <c r="HS18" s="330"/>
      <c r="HT18" s="330">
        <v>45744</v>
      </c>
      <c r="HU18" s="527"/>
      <c r="HV18" s="330">
        <f>IF(Table1[[#This Row],[MC-100 Aktual
(tanggal)]]&lt;&gt;"",Table1[[#This Row],[MC-100 Aktual
(tanggal)]]+5,"")</f>
        <v>45796</v>
      </c>
      <c r="HW1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8" s="47"/>
      <c r="HY18" s="352"/>
      <c r="HZ18" s="352"/>
      <c r="IB18" s="618">
        <f>IFERROR(ROUND((Table1[[#This Row],[PLAN TC
finish]]-Table1[[#This Row],[PLAN MC-0
start]])/30,2),"")</f>
        <v>5.57</v>
      </c>
      <c r="IC18">
        <f>DATEDIF(Table1[[#This Row],[PLAN MC-0
start]],Table1[[#This Row],[PLAN TC
finish]],"m")</f>
        <v>5</v>
      </c>
    </row>
    <row r="19" spans="1:237" s="4" customFormat="1" ht="15" customHeight="1" x14ac:dyDescent="0.2">
      <c r="B19" s="311">
        <f>SUBTOTAL(3,$D$5:D19)</f>
        <v>12</v>
      </c>
      <c r="C19" s="348">
        <v>15</v>
      </c>
      <c r="D19" s="315" t="s">
        <v>244</v>
      </c>
      <c r="E19" s="315" t="s">
        <v>334</v>
      </c>
      <c r="F19" s="315" t="s">
        <v>335</v>
      </c>
      <c r="G19" s="349">
        <v>45752</v>
      </c>
      <c r="H19" s="314" t="s">
        <v>247</v>
      </c>
      <c r="I19" s="315" t="s">
        <v>325</v>
      </c>
      <c r="J19" s="315"/>
      <c r="K19" s="338" t="s">
        <v>249</v>
      </c>
      <c r="L19" s="316" t="s">
        <v>326</v>
      </c>
      <c r="M19" s="316" t="s">
        <v>269</v>
      </c>
      <c r="N19" s="107">
        <v>1</v>
      </c>
      <c r="O19" s="31" t="s">
        <v>327</v>
      </c>
      <c r="P1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 s="87" t="e">
        <v>#N/A</v>
      </c>
      <c r="S19" s="87">
        <v>1</v>
      </c>
      <c r="T19" s="35">
        <f>Table1[[#This Row],[Progres Total Aktual
(%)]]</f>
        <v>1</v>
      </c>
      <c r="U19" s="124">
        <f>Table1[[#This Row],[Progres Aktual
(%)]]-Table1[[#This Row],[Target Progres
(%)]]</f>
        <v>0</v>
      </c>
      <c r="V19" s="350">
        <f>Table1[[#This Row],["Volume
BA MC-0"]]</f>
        <v>0</v>
      </c>
      <c r="W19" s="351">
        <f>Table1[[#This Row],[Total Panjang Pipa Aktual
(Sum-&gt;)3]]</f>
        <v>0</v>
      </c>
      <c r="X19" s="47"/>
      <c r="Y19" s="67" t="s">
        <v>324</v>
      </c>
      <c r="Z19" s="67">
        <v>369813983</v>
      </c>
      <c r="AA19" s="67">
        <f>ROUND((Table1[[#This Row],[Nilai RAB Jaringan
(Exclude Ppn)]]-Table1[[#This Row],[RAB Perizinan]])*1.11+Table1[[#This Row],[RAB Perizinan]],0)</f>
        <v>0</v>
      </c>
      <c r="AB19" s="320">
        <f>SUM(Table1[[#This Row],[RAB Kegiatan Umum]:[RAB Perizinan]])</f>
        <v>0</v>
      </c>
      <c r="AC19" s="320"/>
      <c r="AD19" s="320"/>
      <c r="AE19" s="320"/>
      <c r="AF19" s="320"/>
      <c r="AG19" s="320">
        <v>0</v>
      </c>
      <c r="AH19" s="35" t="e">
        <f>SUM(Table1[[#This Row],[Bobot Keg Umum]:[Bobot Perizinan]])</f>
        <v>#DIV/0!</v>
      </c>
      <c r="AI19" s="35" t="e">
        <f>Table1[[#This Row],[RAB Kegiatan Umum]]/Table1[[#This Row],[Nilai RAB Jaringan
(Exclude Ppn)]]</f>
        <v>#DIV/0!</v>
      </c>
      <c r="AJ19" s="35" t="e">
        <f>Table1[[#This Row],[RAB Pemasangan]]/Table1[[#This Row],[Nilai RAB Jaringan
(Exclude Ppn)]]</f>
        <v>#DIV/0!</v>
      </c>
      <c r="AK19" s="35" t="e">
        <f>Table1[[#This Row],[RAB Pengadaan]]/Table1[[#This Row],[Nilai RAB Jaringan
(Exclude Ppn)]]</f>
        <v>#DIV/0!</v>
      </c>
      <c r="AL19" s="35" t="e">
        <f>Table1[[#This Row],[RAB Perizinan]]/Table1[[#This Row],[Nilai RAB Jaringan
(Exclude Ppn)]]</f>
        <v>#DIV/0!</v>
      </c>
      <c r="AM19" s="47"/>
      <c r="AN19" s="285">
        <v>0</v>
      </c>
      <c r="AO19" s="285">
        <f>SUM(Table1[[#This Row],[Pipa 63 mm]:[Pipa 1,800 mm]])</f>
        <v>0</v>
      </c>
      <c r="AP19" s="285"/>
      <c r="AQ19" s="285"/>
      <c r="AR19" s="285"/>
      <c r="AS19" s="285"/>
      <c r="AT19" s="285"/>
      <c r="AU19" s="285"/>
      <c r="AV19" s="285"/>
      <c r="AW19" s="285"/>
      <c r="AX19" s="285"/>
      <c r="AY19" s="285"/>
      <c r="AZ19" s="285"/>
      <c r="BA19" s="285"/>
      <c r="BB19" s="285"/>
      <c r="BC19" s="285"/>
      <c r="BD19" s="285"/>
      <c r="BE19" s="285"/>
      <c r="BF19" s="285"/>
      <c r="BG19" s="285"/>
      <c r="BH19" s="285"/>
      <c r="BI19" s="285"/>
      <c r="BJ19" s="36">
        <f>SUM(Table1[[#This Row],[Pipa 63 mm2]:[Pipa 1,800 mm21]])</f>
        <v>0</v>
      </c>
      <c r="BK19" s="32"/>
      <c r="BL19" s="32"/>
      <c r="BM19" s="32"/>
      <c r="BN19" s="32"/>
      <c r="BO19" s="32"/>
      <c r="BP19" s="32"/>
      <c r="BQ19" s="32"/>
      <c r="BR19" s="32"/>
      <c r="BS19" s="32"/>
      <c r="BT19" s="32"/>
      <c r="BU19" s="32"/>
      <c r="BV19" s="32"/>
      <c r="BW19" s="32"/>
      <c r="BX19" s="32"/>
      <c r="BY19" s="32"/>
      <c r="BZ19" s="32"/>
      <c r="CA19" s="32"/>
      <c r="CB19" s="32"/>
      <c r="CC19" s="32"/>
      <c r="CD19" s="32"/>
      <c r="CE19" s="32">
        <v>0</v>
      </c>
      <c r="CF19" s="32"/>
      <c r="CG19" s="32"/>
      <c r="CH19" s="32"/>
      <c r="CI19" s="32">
        <f t="shared" si="3"/>
        <v>0</v>
      </c>
      <c r="CJ19" s="65">
        <f>IF((Table1[[#This Row],["Volume
BA MC-0"]]-Table1[[#This Row],[Total Panjang Pipa Aktual
(Sum-&gt;)3]]-Table1[[#This Row],[Total Volume
tidak dapat dipasang]])&gt;=0,Table1[[#This Row],["Volume
BA MC-0"]]-Table1[[#This Row],[Total Panjang Pipa Aktual
(Sum-&gt;)3]]-Table1[[#This Row],[Total Volume
tidak dapat dipasang]],0)</f>
        <v>0</v>
      </c>
      <c r="CK19" s="47"/>
      <c r="CL19" s="131"/>
      <c r="CM19" s="35"/>
      <c r="CN19" s="131"/>
      <c r="CO19" s="131"/>
      <c r="CP1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 s="66">
        <f>IFERROR(Table1[[#This Row],[Progres Keg. Umum
(%)]]*Table1[[#This Row],[Nilai RAB Jaringan
(file pa aji)]],0)</f>
        <v>0</v>
      </c>
      <c r="CR19" s="66">
        <f>IFERROR(Table1[[#This Row],[Progres MOS
(%)]]*Table1[[#This Row],[Nilai RAB Jaringan
(file pa aji)]],0)</f>
        <v>0</v>
      </c>
      <c r="CS19" s="66">
        <f>IFERROR(Table1[[#This Row],[Progres Pemasangan
(%)]]*Table1[[#This Row],[Nilai RAB Jaringan
(file pa aji)]],0)</f>
        <v>0</v>
      </c>
      <c r="CT19" s="66">
        <f>IFERROR(Table1[[#This Row],[Progres Perizinan
(%)]]*Table1[[#This Row],[Nilai RAB Jaringan
(file pa aji)]],0)</f>
        <v>0</v>
      </c>
      <c r="CU19" s="329">
        <v>657769801</v>
      </c>
      <c r="CV19" s="329">
        <v>657769801</v>
      </c>
      <c r="CW19" s="583">
        <v>657769801</v>
      </c>
      <c r="CX19" s="329">
        <v>657769801</v>
      </c>
      <c r="CY19" s="47"/>
      <c r="CZ19" s="330">
        <v>45348</v>
      </c>
      <c r="DA19" s="330">
        <v>45382</v>
      </c>
      <c r="DB19" s="331"/>
      <c r="DC19" s="316"/>
      <c r="DD19" s="67"/>
      <c r="DE1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9" s="331"/>
      <c r="DG19" s="316"/>
      <c r="DH19" s="67"/>
      <c r="DI1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9" s="330">
        <v>45383</v>
      </c>
      <c r="DK19" s="330">
        <v>45536</v>
      </c>
      <c r="DL19" s="331"/>
      <c r="DM19" s="316"/>
      <c r="DN1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9" s="331"/>
      <c r="DP19" s="316"/>
      <c r="DQ19" s="338"/>
      <c r="DR1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9" s="330">
        <v>45383</v>
      </c>
      <c r="DT19" s="330" t="e">
        <v>#N/A</v>
      </c>
      <c r="DU19" s="330">
        <v>45431</v>
      </c>
      <c r="DV19" s="330" t="e">
        <v>#N/A</v>
      </c>
      <c r="DW19" s="331"/>
      <c r="DX19" s="316"/>
      <c r="DY19" s="334"/>
      <c r="DZ19" s="334"/>
      <c r="EA1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9" s="331"/>
      <c r="EC19" s="332"/>
      <c r="ED19" s="332"/>
      <c r="EE19" s="330"/>
      <c r="EF19" s="35">
        <v>1</v>
      </c>
      <c r="EG19" s="337">
        <v>1</v>
      </c>
      <c r="EH19" s="316" t="str">
        <f>IF(Table1[[#This Row],[PO Material Aktual 
(%)]]&gt;=100%,"Selesai PO = 100%",IF(Table1[[#This Row],[PO Material Aktual 
(%)]]&gt;=50%,"Proses PO &gt; 100%",IF(Table1[[#This Row],[PO Material Aktual 
(%)]]&gt;0%,"Proses PO &gt; 50%",IF(Table1[[#This Row],[PO Material Aktual 
(%)]]=0,"Belum PO = 0%"))))</f>
        <v>Selesai PO = 100%</v>
      </c>
      <c r="EI1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 s="330">
        <v>45432</v>
      </c>
      <c r="EK19" s="330" t="e">
        <v>#N/A</v>
      </c>
      <c r="EL19" s="330">
        <v>45620</v>
      </c>
      <c r="EM19" s="330" t="e">
        <v>#N/A</v>
      </c>
      <c r="EN19" s="331"/>
      <c r="EO19" s="332"/>
      <c r="EP19" s="332"/>
      <c r="EQ19" s="87">
        <v>1</v>
      </c>
      <c r="ER19" s="87">
        <v>1</v>
      </c>
      <c r="ES19" s="316" t="str">
        <f>IF(Table1[[#This Row],[Progres MOS]]&gt;=100%,"Selesai MOS = 100%",IF(Table1[[#This Row],[Progres MOS]]&gt;=50%,"Proses MOS &gt; 100%",IF(Table1[[#This Row],[Progres MOS]]&gt;0%,"Proses MOS &gt; 50%",IF(Table1[[#This Row],[Progres MOS]]=0,"Belum MOS = 0%"))))</f>
        <v>Selesai MOS = 100%</v>
      </c>
      <c r="ET1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 s="47"/>
      <c r="EV19" s="330">
        <v>45383</v>
      </c>
      <c r="EW19" s="330" t="e">
        <v>#N/A</v>
      </c>
      <c r="EX19" s="330">
        <v>45564</v>
      </c>
      <c r="EY19" s="330" t="e">
        <v>#N/A</v>
      </c>
      <c r="EZ19" s="352" t="s">
        <v>259</v>
      </c>
      <c r="FA19" s="336" t="s">
        <v>259</v>
      </c>
      <c r="FB19" s="330" t="s">
        <v>260</v>
      </c>
      <c r="FC19" s="330"/>
      <c r="FD19" s="330" t="s">
        <v>260</v>
      </c>
      <c r="FE19" s="330"/>
      <c r="FF19" s="330"/>
      <c r="FG19" s="330" t="s">
        <v>260</v>
      </c>
      <c r="FH19" s="330" t="s">
        <v>260</v>
      </c>
      <c r="FI19" s="330"/>
      <c r="FJ19" s="330" t="s">
        <v>260</v>
      </c>
      <c r="FK19" s="330"/>
      <c r="FL19" s="336" t="s">
        <v>259</v>
      </c>
      <c r="FM19" s="336"/>
      <c r="FN19" s="314" t="str">
        <f>IF(Table1[[#This Row],[Tanggal Pengajuan Dokumen]]="","",Table1[[#This Row],[PLAN PERMIT
start]]-Table1[[#This Row],[Tanggal Pengajuan Dokumen]])</f>
        <v/>
      </c>
      <c r="FO19" s="336"/>
      <c r="FP19" s="316"/>
      <c r="FQ19" s="338"/>
      <c r="FR19" s="352"/>
      <c r="FS19" s="338" t="str">
        <f t="shared" si="4"/>
        <v>Sudah Terbit</v>
      </c>
      <c r="FT1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 s="344">
        <f ca="1">IF(Table1[[#This Row],[Status Izin]]="Selesai",Table1[[#This Row],[PLAN PERMIT
finish]]-Table1[[#This Row],[Tanggal Terbit/ Target Izin Terbit]],ROUNDUP(Table1[[#This Row],[PLAN PERMIT
finish]]-NOW(),0))</f>
        <v>45564</v>
      </c>
      <c r="FV1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 s="344"/>
      <c r="FX19" s="47"/>
      <c r="FY19" s="340"/>
      <c r="FZ19" s="341"/>
      <c r="GA1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 s="330">
        <v>45538</v>
      </c>
      <c r="GC19" s="331">
        <v>45509</v>
      </c>
      <c r="GD1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 s="330">
        <v>45545</v>
      </c>
      <c r="GF19" s="331">
        <v>45509</v>
      </c>
      <c r="GG1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9" s="330">
        <v>45551</v>
      </c>
      <c r="GI19" s="330">
        <v>45557</v>
      </c>
      <c r="GJ19" s="353">
        <v>45252</v>
      </c>
      <c r="GK1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 s="330">
        <v>45565</v>
      </c>
      <c r="GM19" s="330" t="e">
        <v>#N/A</v>
      </c>
      <c r="GN19" s="330">
        <v>45725</v>
      </c>
      <c r="GO19" s="330" t="e">
        <v>#N/A</v>
      </c>
      <c r="GP19" s="316"/>
      <c r="GQ1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 s="330" t="s">
        <v>261</v>
      </c>
      <c r="GS19" s="330" t="s">
        <v>261</v>
      </c>
      <c r="GT19" s="354"/>
      <c r="GU19" s="344" t="str">
        <f>IF(Table1[[#This Row],[Hydro Tes Actual
(tanggal)]]&lt;&gt;"","Sudah","Belum")</f>
        <v>Belum</v>
      </c>
      <c r="GV19" s="330" t="s">
        <v>261</v>
      </c>
      <c r="GW19" s="330" t="s">
        <v>261</v>
      </c>
      <c r="GX19" s="331"/>
      <c r="GY19" s="344" t="str">
        <f>IF(Table1[[#This Row],[Interkoneksi Actual
(tanggal)]]&lt;&gt;"","Sudah","Belum")</f>
        <v>Belum</v>
      </c>
      <c r="GZ19" s="330" t="s">
        <v>261</v>
      </c>
      <c r="HA19" s="330" t="s">
        <v>261</v>
      </c>
      <c r="HB19" s="331"/>
      <c r="HC19" s="344" t="str">
        <f>IF(Table1[[#This Row],[Flushing Actual
(tanggal)]]&lt;&gt;"","Sudah","Belum")</f>
        <v>Belum</v>
      </c>
      <c r="HD19" s="330">
        <v>45712</v>
      </c>
      <c r="HE19" s="330" t="e">
        <v>#N/A</v>
      </c>
      <c r="HF19" s="330">
        <v>45718</v>
      </c>
      <c r="HG19" s="346">
        <v>45509</v>
      </c>
      <c r="HH1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9" s="330" t="s">
        <v>261</v>
      </c>
      <c r="HJ19" s="330" t="s">
        <v>261</v>
      </c>
      <c r="HK19" s="331"/>
      <c r="HL19" s="316"/>
      <c r="HM19" s="330">
        <v>45737</v>
      </c>
      <c r="HN19" s="330">
        <v>45737</v>
      </c>
      <c r="HO19" s="330" t="e">
        <v>#N/A</v>
      </c>
      <c r="HP19" s="346">
        <v>45743</v>
      </c>
      <c r="HQ1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9" s="330">
        <v>45744</v>
      </c>
      <c r="HS19" s="330"/>
      <c r="HT19" s="330">
        <v>45744</v>
      </c>
      <c r="HU19" s="527"/>
      <c r="HV19" s="330">
        <f>IF(Table1[[#This Row],[MC-100 Aktual
(tanggal)]]&lt;&gt;"",Table1[[#This Row],[MC-100 Aktual
(tanggal)]]+5,"")</f>
        <v>45748</v>
      </c>
      <c r="HW1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9" s="47"/>
      <c r="HY19" s="352"/>
      <c r="HZ19" s="352"/>
      <c r="IB19" s="618">
        <f>IFERROR(ROUND((Table1[[#This Row],[PLAN TC
finish]]-Table1[[#This Row],[PLAN MC-0
start]])/30,2),"")</f>
        <v>5.57</v>
      </c>
      <c r="IC19">
        <f>DATEDIF(Table1[[#This Row],[PLAN MC-0
start]],Table1[[#This Row],[PLAN TC
finish]],"m")</f>
        <v>5</v>
      </c>
    </row>
    <row r="20" spans="1:237" s="4" customFormat="1" ht="15" customHeight="1" x14ac:dyDescent="0.2">
      <c r="B20" s="311">
        <f>SUBTOTAL(3,$D$5:D20)</f>
        <v>13</v>
      </c>
      <c r="C20" s="348">
        <v>16</v>
      </c>
      <c r="D20" s="315" t="s">
        <v>244</v>
      </c>
      <c r="E20" s="315" t="s">
        <v>336</v>
      </c>
      <c r="F20" s="315" t="s">
        <v>337</v>
      </c>
      <c r="G20" s="349">
        <v>45752</v>
      </c>
      <c r="H20" s="314" t="s">
        <v>247</v>
      </c>
      <c r="I20" s="315" t="s">
        <v>278</v>
      </c>
      <c r="J20" s="315"/>
      <c r="K20" s="338" t="s">
        <v>249</v>
      </c>
      <c r="L20" s="316" t="s">
        <v>250</v>
      </c>
      <c r="M20" s="316" t="s">
        <v>269</v>
      </c>
      <c r="N20" s="107">
        <v>4484</v>
      </c>
      <c r="O20" s="31" t="s">
        <v>252</v>
      </c>
      <c r="P2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 s="87" t="e">
        <v>#N/A</v>
      </c>
      <c r="S20" s="87">
        <v>1</v>
      </c>
      <c r="T20" s="35">
        <f>Table1[[#This Row],[Progres Total Aktual
(%)]]</f>
        <v>1</v>
      </c>
      <c r="U20" s="124">
        <f>Table1[[#This Row],[Progres Aktual
(%)]]-Table1[[#This Row],[Target Progres
(%)]]</f>
        <v>0</v>
      </c>
      <c r="V20" s="350">
        <f>Table1[[#This Row],["Volume
BA MC-0"]]</f>
        <v>4661</v>
      </c>
      <c r="W20" s="351">
        <f>Table1[[#This Row],[Total Panjang Pipa Aktual
(Sum-&gt;)3]]</f>
        <v>4433</v>
      </c>
      <c r="X20" s="47"/>
      <c r="Y20" s="67" t="s">
        <v>338</v>
      </c>
      <c r="Z20" s="67">
        <v>7171712184</v>
      </c>
      <c r="AA20" s="67">
        <f>ROUND((Table1[[#This Row],[Nilai RAB Jaringan
(Exclude Ppn)]]-Table1[[#This Row],[RAB Perizinan]])*1.11+Table1[[#This Row],[RAB Perizinan]],0)</f>
        <v>0</v>
      </c>
      <c r="AB20" s="320">
        <f>SUM(Table1[[#This Row],[RAB Kegiatan Umum]:[RAB Perizinan]])</f>
        <v>0</v>
      </c>
      <c r="AC20" s="320"/>
      <c r="AD20" s="320"/>
      <c r="AE20" s="320"/>
      <c r="AF20" s="320"/>
      <c r="AG20" s="320">
        <v>889547363</v>
      </c>
      <c r="AH20" s="35" t="e">
        <f>SUM(Table1[[#This Row],[Bobot Keg Umum]:[Bobot Perizinan]])</f>
        <v>#DIV/0!</v>
      </c>
      <c r="AI20" s="35" t="e">
        <f>Table1[[#This Row],[RAB Kegiatan Umum]]/Table1[[#This Row],[Nilai RAB Jaringan
(Exclude Ppn)]]</f>
        <v>#DIV/0!</v>
      </c>
      <c r="AJ20" s="35" t="e">
        <f>Table1[[#This Row],[RAB Pemasangan]]/Table1[[#This Row],[Nilai RAB Jaringan
(Exclude Ppn)]]</f>
        <v>#DIV/0!</v>
      </c>
      <c r="AK20" s="35" t="e">
        <f>Table1[[#This Row],[RAB Pengadaan]]/Table1[[#This Row],[Nilai RAB Jaringan
(Exclude Ppn)]]</f>
        <v>#DIV/0!</v>
      </c>
      <c r="AL20" s="35" t="e">
        <f>Table1[[#This Row],[RAB Perizinan]]/Table1[[#This Row],[Nilai RAB Jaringan
(Exclude Ppn)]]</f>
        <v>#DIV/0!</v>
      </c>
      <c r="AM20" s="47"/>
      <c r="AN20" s="285">
        <v>4661</v>
      </c>
      <c r="AO20" s="285">
        <f>SUM(Table1[[#This Row],[Pipa 63 mm]:[Pipa 1,800 mm]])</f>
        <v>0</v>
      </c>
      <c r="AP20" s="285"/>
      <c r="AQ20" s="285"/>
      <c r="AR20" s="285"/>
      <c r="AS20" s="285"/>
      <c r="AT20" s="285"/>
      <c r="AU20" s="285"/>
      <c r="AV20" s="285"/>
      <c r="AW20" s="285"/>
      <c r="AX20" s="285"/>
      <c r="AY20" s="285"/>
      <c r="AZ20" s="285"/>
      <c r="BA20" s="285"/>
      <c r="BB20" s="285"/>
      <c r="BC20" s="285"/>
      <c r="BD20" s="285"/>
      <c r="BE20" s="285"/>
      <c r="BF20" s="285"/>
      <c r="BG20" s="285"/>
      <c r="BH20" s="285"/>
      <c r="BI20" s="285"/>
      <c r="BJ20" s="36">
        <f>SUM(Table1[[#This Row],[Pipa 63 mm2]:[Pipa 1,800 mm21]])</f>
        <v>4433</v>
      </c>
      <c r="BK20" s="32">
        <v>2763</v>
      </c>
      <c r="BL20" s="32">
        <v>1185</v>
      </c>
      <c r="BM20" s="32"/>
      <c r="BN20" s="32">
        <v>262</v>
      </c>
      <c r="BO20" s="32">
        <v>142</v>
      </c>
      <c r="BP20" s="32">
        <v>81</v>
      </c>
      <c r="BQ20" s="32"/>
      <c r="BR20" s="32"/>
      <c r="BS20" s="32"/>
      <c r="BT20" s="32"/>
      <c r="BU20" s="32"/>
      <c r="BV20" s="32"/>
      <c r="BW20" s="32"/>
      <c r="BX20" s="32"/>
      <c r="BY20" s="32"/>
      <c r="BZ20" s="32"/>
      <c r="CA20" s="32"/>
      <c r="CB20" s="32"/>
      <c r="CC20" s="32"/>
      <c r="CD20" s="32"/>
      <c r="CE20" s="32">
        <v>0</v>
      </c>
      <c r="CF20" s="32"/>
      <c r="CG20" s="32"/>
      <c r="CH20" s="32"/>
      <c r="CI20" s="32">
        <f t="shared" si="3"/>
        <v>0</v>
      </c>
      <c r="CJ20" s="65">
        <f>IF((Table1[[#This Row],["Volume
BA MC-0"]]-Table1[[#This Row],[Total Panjang Pipa Aktual
(Sum-&gt;)3]]-Table1[[#This Row],[Total Volume
tidak dapat dipasang]])&gt;=0,Table1[[#This Row],["Volume
BA MC-0"]]-Table1[[#This Row],[Total Panjang Pipa Aktual
(Sum-&gt;)3]]-Table1[[#This Row],[Total Volume
tidak dapat dipasang]],0)</f>
        <v>228</v>
      </c>
      <c r="CK20" s="47"/>
      <c r="CL20" s="131"/>
      <c r="CM20" s="35"/>
      <c r="CN20" s="131"/>
      <c r="CO20" s="131"/>
      <c r="CP2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 s="66">
        <f>IFERROR(Table1[[#This Row],[Progres Keg. Umum
(%)]]*Table1[[#This Row],[Nilai RAB Jaringan
(file pa aji)]],0)</f>
        <v>0</v>
      </c>
      <c r="CR20" s="66">
        <f>IFERROR(Table1[[#This Row],[Progres MOS
(%)]]*Table1[[#This Row],[Nilai RAB Jaringan
(file pa aji)]],0)</f>
        <v>0</v>
      </c>
      <c r="CS20" s="66">
        <f>IFERROR(Table1[[#This Row],[Progres Pemasangan
(%)]]*Table1[[#This Row],[Nilai RAB Jaringan
(file pa aji)]],0)</f>
        <v>0</v>
      </c>
      <c r="CT20" s="66">
        <f>IFERROR(Table1[[#This Row],[Progres Perizinan
(%)]]*Table1[[#This Row],[Nilai RAB Jaringan
(file pa aji)]],0)</f>
        <v>0</v>
      </c>
      <c r="CU20" s="329">
        <v>5584101508</v>
      </c>
      <c r="CV20" s="329">
        <v>5584101508</v>
      </c>
      <c r="CW20" s="583">
        <v>5584101508</v>
      </c>
      <c r="CX20" s="329">
        <v>5584101508</v>
      </c>
      <c r="CY20" s="47"/>
      <c r="CZ20" s="330">
        <v>45474</v>
      </c>
      <c r="DA20" s="330">
        <v>45501</v>
      </c>
      <c r="DB20" s="331"/>
      <c r="DC20" s="316"/>
      <c r="DD20" s="67"/>
      <c r="DE2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0" s="331"/>
      <c r="DG20" s="316"/>
      <c r="DH20" s="67"/>
      <c r="DI2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0" s="330">
        <v>45502</v>
      </c>
      <c r="DK20" s="330">
        <v>45564</v>
      </c>
      <c r="DL20" s="331"/>
      <c r="DM20" s="316"/>
      <c r="DN2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0" s="331"/>
      <c r="DP20" s="316"/>
      <c r="DQ20" s="338"/>
      <c r="DR2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0" s="330">
        <v>45502</v>
      </c>
      <c r="DT20" s="330" t="e">
        <v>#N/A</v>
      </c>
      <c r="DU20" s="330">
        <v>45543</v>
      </c>
      <c r="DV20" s="330" t="e">
        <v>#N/A</v>
      </c>
      <c r="DW20" s="331"/>
      <c r="DX20" s="316"/>
      <c r="DY20" s="334"/>
      <c r="DZ20" s="334"/>
      <c r="EA2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0" s="331"/>
      <c r="EC20" s="332"/>
      <c r="ED20" s="332"/>
      <c r="EE20" s="330"/>
      <c r="EF20" s="35">
        <v>1</v>
      </c>
      <c r="EG20" s="337">
        <v>1</v>
      </c>
      <c r="EH20" s="316" t="str">
        <f>IF(Table1[[#This Row],[PO Material Aktual 
(%)]]&gt;=100%,"Selesai PO = 100%",IF(Table1[[#This Row],[PO Material Aktual 
(%)]]&gt;=50%,"Proses PO &gt; 100%",IF(Table1[[#This Row],[PO Material Aktual 
(%)]]&gt;0%,"Proses PO &gt; 50%",IF(Table1[[#This Row],[PO Material Aktual 
(%)]]=0,"Belum PO = 0%"))))</f>
        <v>Selesai PO = 100%</v>
      </c>
      <c r="EI2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0" s="330">
        <v>45544</v>
      </c>
      <c r="EK20" s="330" t="e">
        <v>#N/A</v>
      </c>
      <c r="EL20" s="330">
        <v>45620</v>
      </c>
      <c r="EM20" s="330" t="e">
        <v>#N/A</v>
      </c>
      <c r="EN20" s="331"/>
      <c r="EO20" s="332"/>
      <c r="EP20" s="332"/>
      <c r="EQ20" s="87">
        <v>1</v>
      </c>
      <c r="ER20" s="87">
        <v>1</v>
      </c>
      <c r="ES20" s="316" t="str">
        <f>IF(Table1[[#This Row],[Progres MOS]]&gt;=100%,"Selesai MOS = 100%",IF(Table1[[#This Row],[Progres MOS]]&gt;=50%,"Proses MOS &gt; 100%",IF(Table1[[#This Row],[Progres MOS]]&gt;0%,"Proses MOS &gt; 50%",IF(Table1[[#This Row],[Progres MOS]]=0,"Belum MOS = 0%"))))</f>
        <v>Selesai MOS = 100%</v>
      </c>
      <c r="ET2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 s="47"/>
      <c r="EV20" s="330">
        <v>45502</v>
      </c>
      <c r="EW20" s="330" t="e">
        <v>#N/A</v>
      </c>
      <c r="EX20" s="330">
        <v>45592</v>
      </c>
      <c r="EY20" s="330" t="e">
        <v>#N/A</v>
      </c>
      <c r="EZ20" s="352" t="s">
        <v>259</v>
      </c>
      <c r="FA20" s="336" t="s">
        <v>259</v>
      </c>
      <c r="FB20" s="330" t="s">
        <v>260</v>
      </c>
      <c r="FC20" s="330" t="s">
        <v>282</v>
      </c>
      <c r="FD20" s="330" t="s">
        <v>282</v>
      </c>
      <c r="FE20" s="330" t="s">
        <v>282</v>
      </c>
      <c r="FF20" s="330" t="s">
        <v>282</v>
      </c>
      <c r="FG20" s="330" t="s">
        <v>282</v>
      </c>
      <c r="FH20" s="330" t="s">
        <v>282</v>
      </c>
      <c r="FI20" s="330" t="s">
        <v>282</v>
      </c>
      <c r="FJ20" s="330" t="s">
        <v>282</v>
      </c>
      <c r="FK20" s="330" t="s">
        <v>283</v>
      </c>
      <c r="FL20" s="336" t="s">
        <v>259</v>
      </c>
      <c r="FM20" s="336"/>
      <c r="FN20" s="314" t="str">
        <f>IF(Table1[[#This Row],[Tanggal Pengajuan Dokumen]]="","",Table1[[#This Row],[PLAN PERMIT
start]]-Table1[[#This Row],[Tanggal Pengajuan Dokumen]])</f>
        <v/>
      </c>
      <c r="FO20" s="336"/>
      <c r="FP20" s="316"/>
      <c r="FQ20" s="338"/>
      <c r="FR20" s="352"/>
      <c r="FS20" s="338" t="str">
        <f t="shared" si="4"/>
        <v>Sudah Terbit</v>
      </c>
      <c r="FT2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 s="344">
        <f ca="1">IF(Table1[[#This Row],[Status Izin]]="Selesai",Table1[[#This Row],[PLAN PERMIT
finish]]-Table1[[#This Row],[Tanggal Terbit/ Target Izin Terbit]],ROUNDUP(Table1[[#This Row],[PLAN PERMIT
finish]]-NOW(),0))</f>
        <v>45592</v>
      </c>
      <c r="FV2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 s="344"/>
      <c r="FX20" s="47"/>
      <c r="FY20" s="340"/>
      <c r="FZ20" s="341"/>
      <c r="GA2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 s="330">
        <v>45566</v>
      </c>
      <c r="GC20" s="331">
        <v>45425</v>
      </c>
      <c r="GD2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 s="330">
        <v>45573</v>
      </c>
      <c r="GF20" s="331">
        <v>45425</v>
      </c>
      <c r="GG2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0" s="330">
        <v>45579</v>
      </c>
      <c r="GI20" s="330">
        <v>45585</v>
      </c>
      <c r="GJ20" s="353">
        <v>45489</v>
      </c>
      <c r="GK2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 s="330">
        <v>45593</v>
      </c>
      <c r="GM20" s="330" t="e">
        <v>#N/A</v>
      </c>
      <c r="GN20" s="330">
        <v>45662</v>
      </c>
      <c r="GO20" s="330" t="e">
        <v>#N/A</v>
      </c>
      <c r="GP20" s="316"/>
      <c r="GQ2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 s="330" t="s">
        <v>261</v>
      </c>
      <c r="GS20" s="330" t="s">
        <v>261</v>
      </c>
      <c r="GT20" s="354">
        <v>45636</v>
      </c>
      <c r="GU20" s="344" t="str">
        <f>IF(Table1[[#This Row],[Hydro Tes Actual
(tanggal)]]&lt;&gt;"","Sudah","Belum")</f>
        <v>Sudah</v>
      </c>
      <c r="GV20" s="330" t="s">
        <v>261</v>
      </c>
      <c r="GW20" s="330" t="s">
        <v>261</v>
      </c>
      <c r="GX20" s="331">
        <v>45644</v>
      </c>
      <c r="GY20" s="344" t="str">
        <f>IF(Table1[[#This Row],[Interkoneksi Actual
(tanggal)]]&lt;&gt;"","Sudah","Belum")</f>
        <v>Sudah</v>
      </c>
      <c r="GZ20" s="330" t="s">
        <v>261</v>
      </c>
      <c r="HA20" s="330" t="s">
        <v>261</v>
      </c>
      <c r="HB20" s="331">
        <v>45649</v>
      </c>
      <c r="HC20" s="344" t="str">
        <f>IF(Table1[[#This Row],[Flushing Actual
(tanggal)]]&lt;&gt;"","Sudah","Belum")</f>
        <v>Sudah</v>
      </c>
      <c r="HD20" s="330">
        <v>45649</v>
      </c>
      <c r="HE20" s="330" t="e">
        <v>#N/A</v>
      </c>
      <c r="HF20" s="330">
        <v>45655</v>
      </c>
      <c r="HG20" s="346">
        <v>45679</v>
      </c>
      <c r="HH2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 s="330" t="s">
        <v>261</v>
      </c>
      <c r="HJ20" s="330" t="s">
        <v>261</v>
      </c>
      <c r="HK20" s="331"/>
      <c r="HL20" s="316"/>
      <c r="HM20" s="330">
        <v>45674</v>
      </c>
      <c r="HN20" s="330">
        <v>45674</v>
      </c>
      <c r="HO20" s="330" t="e">
        <v>#N/A</v>
      </c>
      <c r="HP20" s="346">
        <v>45728</v>
      </c>
      <c r="HQ2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0" s="330">
        <v>45681</v>
      </c>
      <c r="HS20" s="330"/>
      <c r="HT20" s="330">
        <v>45681</v>
      </c>
      <c r="HU20" s="527"/>
      <c r="HV20" s="330">
        <f>IF(Table1[[#This Row],[MC-100 Aktual
(tanggal)]]&lt;&gt;"",Table1[[#This Row],[MC-100 Aktual
(tanggal)]]+5,"")</f>
        <v>45733</v>
      </c>
      <c r="HW2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0" s="47"/>
      <c r="HY20" s="352"/>
      <c r="HZ20" s="352"/>
      <c r="IB20" s="618">
        <f>IFERROR(ROUND((Table1[[#This Row],[PLAN TC
finish]]-Table1[[#This Row],[PLAN MC-0
start]])/30,2),"")</f>
        <v>2.5299999999999998</v>
      </c>
      <c r="IC20">
        <f>DATEDIF(Table1[[#This Row],[PLAN MC-0
start]],Table1[[#This Row],[PLAN TC
finish]],"m")</f>
        <v>2</v>
      </c>
    </row>
    <row r="21" spans="1:237" s="4" customFormat="1" ht="15" customHeight="1" x14ac:dyDescent="0.2">
      <c r="B21" s="311">
        <f>SUBTOTAL(3,$D$5:D21)</f>
        <v>14</v>
      </c>
      <c r="C21" s="348">
        <v>17</v>
      </c>
      <c r="D21" s="315" t="s">
        <v>244</v>
      </c>
      <c r="E21" s="315" t="s">
        <v>339</v>
      </c>
      <c r="F21" s="315" t="s">
        <v>340</v>
      </c>
      <c r="G21" s="349">
        <v>45752</v>
      </c>
      <c r="H21" s="314" t="s">
        <v>247</v>
      </c>
      <c r="I21" s="315" t="s">
        <v>278</v>
      </c>
      <c r="J21" s="315"/>
      <c r="K21" s="338" t="s">
        <v>249</v>
      </c>
      <c r="L21" s="316" t="s">
        <v>250</v>
      </c>
      <c r="M21" s="316" t="s">
        <v>269</v>
      </c>
      <c r="N21" s="107">
        <v>46</v>
      </c>
      <c r="O21" s="31" t="s">
        <v>252</v>
      </c>
      <c r="P2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 s="87" t="e">
        <v>#N/A</v>
      </c>
      <c r="S21" s="87">
        <v>1</v>
      </c>
      <c r="T21" s="35">
        <f>Table1[[#This Row],[Progres Total Aktual
(%)]]</f>
        <v>1</v>
      </c>
      <c r="U21" s="124">
        <f>Table1[[#This Row],[Progres Aktual
(%)]]-Table1[[#This Row],[Target Progres
(%)]]</f>
        <v>0</v>
      </c>
      <c r="V21" s="350">
        <f>Table1[[#This Row],["Volume
BA MC-0"]]</f>
        <v>60</v>
      </c>
      <c r="W21" s="351">
        <f>Table1[[#This Row],[Total Panjang Pipa Aktual
(Sum-&gt;)3]]</f>
        <v>58</v>
      </c>
      <c r="X21" s="47"/>
      <c r="Y21" s="67" t="s">
        <v>341</v>
      </c>
      <c r="Z21" s="67">
        <v>153638193</v>
      </c>
      <c r="AA21" s="67">
        <f>ROUND((Table1[[#This Row],[Nilai RAB Jaringan
(Exclude Ppn)]]-Table1[[#This Row],[RAB Perizinan]])*1.11+Table1[[#This Row],[RAB Perizinan]],0)</f>
        <v>0</v>
      </c>
      <c r="AB21" s="320">
        <f>SUM(Table1[[#This Row],[RAB Kegiatan Umum]:[RAB Perizinan]])</f>
        <v>0</v>
      </c>
      <c r="AC21" s="320"/>
      <c r="AD21" s="320"/>
      <c r="AE21" s="320"/>
      <c r="AF21" s="320"/>
      <c r="AG21" s="320">
        <v>12297890</v>
      </c>
      <c r="AH21" s="35" t="e">
        <f>SUM(Table1[[#This Row],[Bobot Keg Umum]:[Bobot Perizinan]])</f>
        <v>#DIV/0!</v>
      </c>
      <c r="AI21" s="35" t="e">
        <f>Table1[[#This Row],[RAB Kegiatan Umum]]/Table1[[#This Row],[Nilai RAB Jaringan
(Exclude Ppn)]]</f>
        <v>#DIV/0!</v>
      </c>
      <c r="AJ21" s="35" t="e">
        <f>Table1[[#This Row],[RAB Pemasangan]]/Table1[[#This Row],[Nilai RAB Jaringan
(Exclude Ppn)]]</f>
        <v>#DIV/0!</v>
      </c>
      <c r="AK21" s="35" t="e">
        <f>Table1[[#This Row],[RAB Pengadaan]]/Table1[[#This Row],[Nilai RAB Jaringan
(Exclude Ppn)]]</f>
        <v>#DIV/0!</v>
      </c>
      <c r="AL21" s="35" t="e">
        <f>Table1[[#This Row],[RAB Perizinan]]/Table1[[#This Row],[Nilai RAB Jaringan
(Exclude Ppn)]]</f>
        <v>#DIV/0!</v>
      </c>
      <c r="AM21" s="47"/>
      <c r="AN21" s="285">
        <v>60</v>
      </c>
      <c r="AO21" s="285">
        <f>SUM(Table1[[#This Row],[Pipa 63 mm]:[Pipa 1,800 mm]])</f>
        <v>0</v>
      </c>
      <c r="AP21" s="285"/>
      <c r="AQ21" s="285"/>
      <c r="AR21" s="285"/>
      <c r="AS21" s="285"/>
      <c r="AT21" s="285"/>
      <c r="AU21" s="285"/>
      <c r="AV21" s="285"/>
      <c r="AW21" s="285"/>
      <c r="AX21" s="285"/>
      <c r="AY21" s="285"/>
      <c r="AZ21" s="285"/>
      <c r="BA21" s="285"/>
      <c r="BB21" s="285"/>
      <c r="BC21" s="285"/>
      <c r="BD21" s="285"/>
      <c r="BE21" s="285"/>
      <c r="BF21" s="285"/>
      <c r="BG21" s="285"/>
      <c r="BH21" s="285"/>
      <c r="BI21" s="285"/>
      <c r="BJ21" s="36">
        <f>SUM(Table1[[#This Row],[Pipa 63 mm2]:[Pipa 1,800 mm21]])</f>
        <v>58</v>
      </c>
      <c r="BK21" s="32">
        <v>58</v>
      </c>
      <c r="BL21" s="32"/>
      <c r="BM21" s="32"/>
      <c r="BN21" s="32"/>
      <c r="BO21" s="32"/>
      <c r="BP21" s="32"/>
      <c r="BQ21" s="32"/>
      <c r="BR21" s="32"/>
      <c r="BS21" s="32"/>
      <c r="BT21" s="32"/>
      <c r="BU21" s="32"/>
      <c r="BV21" s="32"/>
      <c r="BW21" s="32"/>
      <c r="BX21" s="32"/>
      <c r="BY21" s="32"/>
      <c r="BZ21" s="32"/>
      <c r="CA21" s="32"/>
      <c r="CB21" s="32"/>
      <c r="CC21" s="32"/>
      <c r="CD21" s="32"/>
      <c r="CE21" s="32">
        <v>0</v>
      </c>
      <c r="CF21" s="32"/>
      <c r="CG21" s="32"/>
      <c r="CH21" s="32"/>
      <c r="CI21" s="32">
        <f t="shared" si="3"/>
        <v>0</v>
      </c>
      <c r="CJ21" s="65">
        <f>IF((Table1[[#This Row],["Volume
BA MC-0"]]-Table1[[#This Row],[Total Panjang Pipa Aktual
(Sum-&gt;)3]]-Table1[[#This Row],[Total Volume
tidak dapat dipasang]])&gt;=0,Table1[[#This Row],["Volume
BA MC-0"]]-Table1[[#This Row],[Total Panjang Pipa Aktual
(Sum-&gt;)3]]-Table1[[#This Row],[Total Volume
tidak dapat dipasang]],0)</f>
        <v>2</v>
      </c>
      <c r="CK21" s="47"/>
      <c r="CL21" s="131"/>
      <c r="CM21" s="35"/>
      <c r="CN21" s="131"/>
      <c r="CO21" s="131"/>
      <c r="CP2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 s="66">
        <f>IFERROR(Table1[[#This Row],[Progres Keg. Umum
(%)]]*Table1[[#This Row],[Nilai RAB Jaringan
(file pa aji)]],0)</f>
        <v>0</v>
      </c>
      <c r="CR21" s="66">
        <f>IFERROR(Table1[[#This Row],[Progres MOS
(%)]]*Table1[[#This Row],[Nilai RAB Jaringan
(file pa aji)]],0)</f>
        <v>0</v>
      </c>
      <c r="CS21" s="66">
        <f>IFERROR(Table1[[#This Row],[Progres Pemasangan
(%)]]*Table1[[#This Row],[Nilai RAB Jaringan
(file pa aji)]],0)</f>
        <v>0</v>
      </c>
      <c r="CT21" s="66">
        <f>IFERROR(Table1[[#This Row],[Progres Perizinan
(%)]]*Table1[[#This Row],[Nilai RAB Jaringan
(file pa aji)]],0)</f>
        <v>0</v>
      </c>
      <c r="CU21" s="329">
        <v>107302296</v>
      </c>
      <c r="CV21" s="329">
        <v>107302296</v>
      </c>
      <c r="CW21" s="583">
        <v>107302296</v>
      </c>
      <c r="CX21" s="329">
        <v>107302296</v>
      </c>
      <c r="CY21" s="47"/>
      <c r="CZ21" s="330">
        <v>45530</v>
      </c>
      <c r="DA21" s="330">
        <v>45543</v>
      </c>
      <c r="DB21" s="331"/>
      <c r="DC21" s="316"/>
      <c r="DD21" s="67"/>
      <c r="DE2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1" s="331"/>
      <c r="DG21" s="316"/>
      <c r="DH21" s="67"/>
      <c r="DI2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1" s="330">
        <v>45544</v>
      </c>
      <c r="DK21" s="330">
        <v>45592</v>
      </c>
      <c r="DL21" s="331">
        <v>45542</v>
      </c>
      <c r="DM21" s="357" t="s">
        <v>342</v>
      </c>
      <c r="DN2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 s="331">
        <v>45586</v>
      </c>
      <c r="DP21" s="316" t="s">
        <v>343</v>
      </c>
      <c r="DQ21" s="338" t="s">
        <v>344</v>
      </c>
      <c r="DR2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1" s="330">
        <v>45544</v>
      </c>
      <c r="DT21" s="330" t="e">
        <v>#N/A</v>
      </c>
      <c r="DU21" s="330">
        <v>45571</v>
      </c>
      <c r="DV21" s="330" t="e">
        <v>#N/A</v>
      </c>
      <c r="DW21" s="331"/>
      <c r="DX21" s="316"/>
      <c r="DY21" s="334"/>
      <c r="DZ21" s="334"/>
      <c r="EA2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1" s="331"/>
      <c r="EC21" s="332"/>
      <c r="ED21" s="332"/>
      <c r="EE21" s="330"/>
      <c r="EF21" s="35">
        <v>1</v>
      </c>
      <c r="EG21" s="337">
        <v>1</v>
      </c>
      <c r="EH21" s="316" t="str">
        <f>IF(Table1[[#This Row],[PO Material Aktual 
(%)]]&gt;=100%,"Selesai PO = 100%",IF(Table1[[#This Row],[PO Material Aktual 
(%)]]&gt;=50%,"Proses PO &gt; 100%",IF(Table1[[#This Row],[PO Material Aktual 
(%)]]&gt;0%,"Proses PO &gt; 50%",IF(Table1[[#This Row],[PO Material Aktual 
(%)]]=0,"Belum PO = 0%"))))</f>
        <v>Selesai PO = 100%</v>
      </c>
      <c r="EI2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 s="330">
        <v>45572</v>
      </c>
      <c r="EK21" s="330" t="e">
        <v>#N/A</v>
      </c>
      <c r="EL21" s="330">
        <v>45620</v>
      </c>
      <c r="EM21" s="330" t="e">
        <v>#N/A</v>
      </c>
      <c r="EN21" s="331"/>
      <c r="EO21" s="332"/>
      <c r="EP21" s="332"/>
      <c r="EQ21" s="87">
        <v>1</v>
      </c>
      <c r="ER21" s="87">
        <v>1</v>
      </c>
      <c r="ES21" s="316" t="str">
        <f>IF(Table1[[#This Row],[Progres MOS]]&gt;=100%,"Selesai MOS = 100%",IF(Table1[[#This Row],[Progres MOS]]&gt;=50%,"Proses MOS &gt; 100%",IF(Table1[[#This Row],[Progres MOS]]&gt;0%,"Proses MOS &gt; 50%",IF(Table1[[#This Row],[Progres MOS]]=0,"Belum MOS = 0%"))))</f>
        <v>Selesai MOS = 100%</v>
      </c>
      <c r="ET2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 s="47"/>
      <c r="EV21" s="330">
        <v>45544</v>
      </c>
      <c r="EW21" s="330" t="e">
        <v>#N/A</v>
      </c>
      <c r="EX21" s="330">
        <v>45620</v>
      </c>
      <c r="EY21" s="330" t="e">
        <v>#N/A</v>
      </c>
      <c r="EZ21" s="352" t="s">
        <v>298</v>
      </c>
      <c r="FA21" s="336" t="s">
        <v>259</v>
      </c>
      <c r="FB21" s="330" t="s">
        <v>260</v>
      </c>
      <c r="FC21" s="330">
        <v>45813</v>
      </c>
      <c r="FD21" s="330" t="s">
        <v>260</v>
      </c>
      <c r="FE21" s="330">
        <v>45884</v>
      </c>
      <c r="FF21" s="330">
        <v>45958</v>
      </c>
      <c r="FG21" s="330" t="s">
        <v>260</v>
      </c>
      <c r="FH21" s="330" t="s">
        <v>260</v>
      </c>
      <c r="FI21" s="330">
        <v>46003</v>
      </c>
      <c r="FJ21" s="330" t="s">
        <v>260</v>
      </c>
      <c r="FK21" s="330">
        <v>46087</v>
      </c>
      <c r="FL21" s="336" t="s">
        <v>298</v>
      </c>
      <c r="FM21" s="336">
        <v>45813</v>
      </c>
      <c r="FN21" s="314">
        <f>IF(Table1[[#This Row],[Tanggal Pengajuan Dokumen]]="","",Table1[[#This Row],[PLAN PERMIT
start]]-Table1[[#This Row],[Tanggal Pengajuan Dokumen]])</f>
        <v>-269</v>
      </c>
      <c r="FO21" s="336"/>
      <c r="FP21" s="316"/>
      <c r="FQ21" s="338"/>
      <c r="FR21" s="352"/>
      <c r="FS21" s="338" t="str">
        <f t="shared" si="4"/>
        <v>Sudah Terbit</v>
      </c>
      <c r="FT2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 s="344">
        <f ca="1">IF(Table1[[#This Row],[Status Izin]]="Selesai",Table1[[#This Row],[PLAN PERMIT
finish]]-Table1[[#This Row],[Tanggal Terbit/ Target Izin Terbit]],ROUNDUP(Table1[[#This Row],[PLAN PERMIT
finish]]-NOW(),0))</f>
        <v>45620</v>
      </c>
      <c r="FV2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 s="344"/>
      <c r="FX21" s="47"/>
      <c r="FY21" s="340"/>
      <c r="FZ21" s="341"/>
      <c r="GA2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 s="330">
        <v>45594</v>
      </c>
      <c r="GC21" s="331">
        <v>45569</v>
      </c>
      <c r="GD2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 s="330">
        <v>45601</v>
      </c>
      <c r="GF21" s="331">
        <v>45569</v>
      </c>
      <c r="GG2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 s="330">
        <v>45607</v>
      </c>
      <c r="GI21" s="330">
        <v>45613</v>
      </c>
      <c r="GJ21" s="353">
        <v>45601</v>
      </c>
      <c r="GK2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 s="330">
        <v>45621</v>
      </c>
      <c r="GM21" s="330" t="e">
        <v>#N/A</v>
      </c>
      <c r="GN21" s="330">
        <v>45641</v>
      </c>
      <c r="GO21" s="330" t="e">
        <v>#N/A</v>
      </c>
      <c r="GP21" s="316"/>
      <c r="GQ2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 s="330" t="s">
        <v>261</v>
      </c>
      <c r="GS21" s="330" t="s">
        <v>261</v>
      </c>
      <c r="GT21" s="354">
        <v>45628</v>
      </c>
      <c r="GU21" s="344" t="str">
        <f>IF(Table1[[#This Row],[Hydro Tes Actual
(tanggal)]]&lt;&gt;"","Sudah","Belum")</f>
        <v>Sudah</v>
      </c>
      <c r="GV21" s="330" t="s">
        <v>261</v>
      </c>
      <c r="GW21" s="330" t="s">
        <v>261</v>
      </c>
      <c r="GX21" s="331">
        <v>45628</v>
      </c>
      <c r="GY21" s="344" t="str">
        <f>IF(Table1[[#This Row],[Interkoneksi Actual
(tanggal)]]&lt;&gt;"","Sudah","Belum")</f>
        <v>Sudah</v>
      </c>
      <c r="GZ21" s="330" t="s">
        <v>261</v>
      </c>
      <c r="HA21" s="330" t="s">
        <v>261</v>
      </c>
      <c r="HB21" s="331">
        <v>45629</v>
      </c>
      <c r="HC21" s="344" t="str">
        <f>IF(Table1[[#This Row],[Flushing Actual
(tanggal)]]&lt;&gt;"","Sudah","Belum")</f>
        <v>Sudah</v>
      </c>
      <c r="HD21" s="330">
        <v>45628</v>
      </c>
      <c r="HE21" s="330" t="e">
        <v>#N/A</v>
      </c>
      <c r="HF21" s="330">
        <v>45634</v>
      </c>
      <c r="HG21" s="346">
        <v>45691</v>
      </c>
      <c r="HH2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 s="330" t="s">
        <v>261</v>
      </c>
      <c r="HJ21" s="330" t="s">
        <v>261</v>
      </c>
      <c r="HK21" s="331"/>
      <c r="HL21" s="316"/>
      <c r="HM21" s="330">
        <v>45646</v>
      </c>
      <c r="HN21" s="330">
        <v>45646</v>
      </c>
      <c r="HO21" s="330" t="e">
        <v>#N/A</v>
      </c>
      <c r="HP21" s="346">
        <v>45728</v>
      </c>
      <c r="HQ2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1" s="330">
        <v>45653</v>
      </c>
      <c r="HS21" s="330"/>
      <c r="HT21" s="330">
        <v>45653</v>
      </c>
      <c r="HU21" s="527"/>
      <c r="HV21" s="330">
        <f>IF(Table1[[#This Row],[MC-100 Aktual
(tanggal)]]&lt;&gt;"",Table1[[#This Row],[MC-100 Aktual
(tanggal)]]+5,"")</f>
        <v>45733</v>
      </c>
      <c r="HW2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1" s="47"/>
      <c r="HY21" s="352"/>
      <c r="HZ21" s="352"/>
      <c r="IB21" s="618">
        <f>IFERROR(ROUND((Table1[[#This Row],[PLAN TC
finish]]-Table1[[#This Row],[PLAN MC-0
start]])/30,2),"")</f>
        <v>0.9</v>
      </c>
      <c r="IC21">
        <f>DATEDIF(Table1[[#This Row],[PLAN MC-0
start]],Table1[[#This Row],[PLAN TC
finish]],"m")</f>
        <v>0</v>
      </c>
    </row>
    <row r="22" spans="1:237" s="4" customFormat="1" ht="15" customHeight="1" x14ac:dyDescent="0.2">
      <c r="B22" s="311">
        <f>SUBTOTAL(3,$D$5:D22)</f>
        <v>15</v>
      </c>
      <c r="C22" s="348">
        <v>18</v>
      </c>
      <c r="D22" s="315" t="s">
        <v>244</v>
      </c>
      <c r="E22" s="315" t="s">
        <v>345</v>
      </c>
      <c r="F22" s="315" t="s">
        <v>346</v>
      </c>
      <c r="G22" s="349">
        <v>45752</v>
      </c>
      <c r="H22" s="314" t="s">
        <v>247</v>
      </c>
      <c r="I22" s="315" t="s">
        <v>278</v>
      </c>
      <c r="J22" s="315"/>
      <c r="K22" s="338" t="s">
        <v>249</v>
      </c>
      <c r="L22" s="316" t="s">
        <v>250</v>
      </c>
      <c r="M22" s="316" t="s">
        <v>269</v>
      </c>
      <c r="N22" s="107">
        <v>64</v>
      </c>
      <c r="O22" s="31" t="s">
        <v>252</v>
      </c>
      <c r="P2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 s="87" t="e">
        <v>#N/A</v>
      </c>
      <c r="S22" s="87">
        <v>1</v>
      </c>
      <c r="T22" s="35">
        <f>Table1[[#This Row],[Progres Total Aktual
(%)]]</f>
        <v>1</v>
      </c>
      <c r="U22" s="124">
        <f>Table1[[#This Row],[Progres Aktual
(%)]]-Table1[[#This Row],[Target Progres
(%)]]</f>
        <v>0</v>
      </c>
      <c r="V22" s="350">
        <f>Table1[[#This Row],["Volume
BA MC-0"]]</f>
        <v>64</v>
      </c>
      <c r="W22" s="351">
        <f>Table1[[#This Row],[Total Panjang Pipa Aktual
(Sum-&gt;)3]]</f>
        <v>63</v>
      </c>
      <c r="X22" s="47"/>
      <c r="Y22" s="67" t="s">
        <v>347</v>
      </c>
      <c r="Z22" s="67">
        <v>109744956</v>
      </c>
      <c r="AA22" s="67">
        <f>ROUND((Table1[[#This Row],[Nilai RAB Jaringan
(Exclude Ppn)]]-Table1[[#This Row],[RAB Perizinan]])*1.11+Table1[[#This Row],[RAB Perizinan]],0)</f>
        <v>0</v>
      </c>
      <c r="AB22" s="320">
        <f>SUM(Table1[[#This Row],[RAB Kegiatan Umum]:[RAB Perizinan]])</f>
        <v>0</v>
      </c>
      <c r="AC22" s="320"/>
      <c r="AD22" s="320"/>
      <c r="AE22" s="320"/>
      <c r="AF22" s="320"/>
      <c r="AG22" s="320">
        <v>24595780</v>
      </c>
      <c r="AH22" s="35" t="e">
        <f>SUM(Table1[[#This Row],[Bobot Keg Umum]:[Bobot Perizinan]])</f>
        <v>#DIV/0!</v>
      </c>
      <c r="AI22" s="35" t="e">
        <f>Table1[[#This Row],[RAB Kegiatan Umum]]/Table1[[#This Row],[Nilai RAB Jaringan
(Exclude Ppn)]]</f>
        <v>#DIV/0!</v>
      </c>
      <c r="AJ22" s="35" t="e">
        <f>Table1[[#This Row],[RAB Pemasangan]]/Table1[[#This Row],[Nilai RAB Jaringan
(Exclude Ppn)]]</f>
        <v>#DIV/0!</v>
      </c>
      <c r="AK22" s="35" t="e">
        <f>Table1[[#This Row],[RAB Pengadaan]]/Table1[[#This Row],[Nilai RAB Jaringan
(Exclude Ppn)]]</f>
        <v>#DIV/0!</v>
      </c>
      <c r="AL22" s="35" t="e">
        <f>Table1[[#This Row],[RAB Perizinan]]/Table1[[#This Row],[Nilai RAB Jaringan
(Exclude Ppn)]]</f>
        <v>#DIV/0!</v>
      </c>
      <c r="AM22" s="47"/>
      <c r="AN22" s="285">
        <v>64</v>
      </c>
      <c r="AO22" s="285">
        <f>SUM(Table1[[#This Row],[Pipa 63 mm]:[Pipa 1,800 mm]])</f>
        <v>0</v>
      </c>
      <c r="AP22" s="285"/>
      <c r="AQ22" s="285"/>
      <c r="AR22" s="285"/>
      <c r="AS22" s="285"/>
      <c r="AT22" s="285"/>
      <c r="AU22" s="285"/>
      <c r="AV22" s="285"/>
      <c r="AW22" s="285"/>
      <c r="AX22" s="285"/>
      <c r="AY22" s="285"/>
      <c r="AZ22" s="285"/>
      <c r="BA22" s="285"/>
      <c r="BB22" s="285"/>
      <c r="BC22" s="285"/>
      <c r="BD22" s="285"/>
      <c r="BE22" s="285"/>
      <c r="BF22" s="285"/>
      <c r="BG22" s="285"/>
      <c r="BH22" s="285"/>
      <c r="BI22" s="285"/>
      <c r="BJ22" s="36">
        <f>SUM(Table1[[#This Row],[Pipa 63 mm2]:[Pipa 1,800 mm21]])</f>
        <v>63</v>
      </c>
      <c r="BK22" s="32">
        <v>63</v>
      </c>
      <c r="BL22" s="32"/>
      <c r="BM22" s="32"/>
      <c r="BN22" s="32"/>
      <c r="BO22" s="32"/>
      <c r="BP22" s="32"/>
      <c r="BQ22" s="32"/>
      <c r="BR22" s="32"/>
      <c r="BS22" s="32"/>
      <c r="BT22" s="32"/>
      <c r="BU22" s="32"/>
      <c r="BV22" s="32"/>
      <c r="BW22" s="32"/>
      <c r="BX22" s="32"/>
      <c r="BY22" s="32"/>
      <c r="BZ22" s="32"/>
      <c r="CA22" s="32"/>
      <c r="CB22" s="32"/>
      <c r="CC22" s="32"/>
      <c r="CD22" s="32"/>
      <c r="CE22" s="32">
        <v>0</v>
      </c>
      <c r="CF22" s="32"/>
      <c r="CG22" s="32"/>
      <c r="CH22" s="32"/>
      <c r="CI22" s="32">
        <f t="shared" si="3"/>
        <v>0</v>
      </c>
      <c r="CJ22" s="65">
        <f>IF((Table1[[#This Row],["Volume
BA MC-0"]]-Table1[[#This Row],[Total Panjang Pipa Aktual
(Sum-&gt;)3]]-Table1[[#This Row],[Total Volume
tidak dapat dipasang]])&gt;=0,Table1[[#This Row],["Volume
BA MC-0"]]-Table1[[#This Row],[Total Panjang Pipa Aktual
(Sum-&gt;)3]]-Table1[[#This Row],[Total Volume
tidak dapat dipasang]],0)</f>
        <v>1</v>
      </c>
      <c r="CK22" s="47"/>
      <c r="CL22" s="131"/>
      <c r="CM22" s="35"/>
      <c r="CN22" s="131"/>
      <c r="CO22" s="131"/>
      <c r="CP2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 s="66">
        <f>IFERROR(Table1[[#This Row],[Progres Keg. Umum
(%)]]*Table1[[#This Row],[Nilai RAB Jaringan
(file pa aji)]],0)</f>
        <v>0</v>
      </c>
      <c r="CR22" s="66">
        <f>IFERROR(Table1[[#This Row],[Progres MOS
(%)]]*Table1[[#This Row],[Nilai RAB Jaringan
(file pa aji)]],0)</f>
        <v>0</v>
      </c>
      <c r="CS22" s="66">
        <f>IFERROR(Table1[[#This Row],[Progres Pemasangan
(%)]]*Table1[[#This Row],[Nilai RAB Jaringan
(file pa aji)]],0)</f>
        <v>0</v>
      </c>
      <c r="CT22" s="66">
        <f>IFERROR(Table1[[#This Row],[Progres Perizinan
(%)]]*Table1[[#This Row],[Nilai RAB Jaringan
(file pa aji)]],0)</f>
        <v>0</v>
      </c>
      <c r="CU22" s="329">
        <v>214360561</v>
      </c>
      <c r="CV22" s="329">
        <v>214360561</v>
      </c>
      <c r="CW22" s="583">
        <v>214360561</v>
      </c>
      <c r="CX22" s="329">
        <v>214360561</v>
      </c>
      <c r="CY22" s="47"/>
      <c r="CZ22" s="330">
        <v>45530</v>
      </c>
      <c r="DA22" s="330">
        <v>45543</v>
      </c>
      <c r="DB22" s="331"/>
      <c r="DC22" s="316"/>
      <c r="DD22" s="67"/>
      <c r="DE2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2" s="331"/>
      <c r="DG22" s="316"/>
      <c r="DH22" s="67"/>
      <c r="DI2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2" s="330">
        <v>45544</v>
      </c>
      <c r="DK22" s="330">
        <v>45592</v>
      </c>
      <c r="DL22" s="331">
        <v>45544</v>
      </c>
      <c r="DM22" s="357" t="s">
        <v>348</v>
      </c>
      <c r="DN2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 s="331">
        <v>45586</v>
      </c>
      <c r="DP22" s="316" t="s">
        <v>349</v>
      </c>
      <c r="DQ22" s="338" t="s">
        <v>344</v>
      </c>
      <c r="DR2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2" s="330">
        <v>45544</v>
      </c>
      <c r="DT22" s="330" t="e">
        <v>#N/A</v>
      </c>
      <c r="DU22" s="330">
        <v>45571</v>
      </c>
      <c r="DV22" s="330" t="e">
        <v>#N/A</v>
      </c>
      <c r="DW22" s="331"/>
      <c r="DX22" s="316"/>
      <c r="DY22" s="334"/>
      <c r="DZ22" s="334"/>
      <c r="EA2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2" s="331"/>
      <c r="EC22" s="332"/>
      <c r="ED22" s="332"/>
      <c r="EE22" s="330"/>
      <c r="EF22" s="35">
        <v>1</v>
      </c>
      <c r="EG22" s="337">
        <v>1</v>
      </c>
      <c r="EH22" s="316" t="str">
        <f>IF(Table1[[#This Row],[PO Material Aktual 
(%)]]&gt;=100%,"Selesai PO = 100%",IF(Table1[[#This Row],[PO Material Aktual 
(%)]]&gt;=50%,"Proses PO &gt; 100%",IF(Table1[[#This Row],[PO Material Aktual 
(%)]]&gt;0%,"Proses PO &gt; 50%",IF(Table1[[#This Row],[PO Material Aktual 
(%)]]=0,"Belum PO = 0%"))))</f>
        <v>Selesai PO = 100%</v>
      </c>
      <c r="EI2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 s="330">
        <v>45572</v>
      </c>
      <c r="EK22" s="330" t="e">
        <v>#N/A</v>
      </c>
      <c r="EL22" s="330">
        <v>45620</v>
      </c>
      <c r="EM22" s="330" t="e">
        <v>#N/A</v>
      </c>
      <c r="EN22" s="331"/>
      <c r="EO22" s="332"/>
      <c r="EP22" s="332"/>
      <c r="EQ22" s="87">
        <v>1</v>
      </c>
      <c r="ER22" s="87">
        <v>1</v>
      </c>
      <c r="ES22" s="316" t="str">
        <f>IF(Table1[[#This Row],[Progres MOS]]&gt;=100%,"Selesai MOS = 100%",IF(Table1[[#This Row],[Progres MOS]]&gt;=50%,"Proses MOS &gt; 100%",IF(Table1[[#This Row],[Progres MOS]]&gt;0%,"Proses MOS &gt; 50%",IF(Table1[[#This Row],[Progres MOS]]=0,"Belum MOS = 0%"))))</f>
        <v>Selesai MOS = 100%</v>
      </c>
      <c r="ET2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 s="47"/>
      <c r="EV22" s="330">
        <v>45544</v>
      </c>
      <c r="EW22" s="330" t="e">
        <v>#N/A</v>
      </c>
      <c r="EX22" s="330">
        <v>45620</v>
      </c>
      <c r="EY22" s="330" t="e">
        <v>#N/A</v>
      </c>
      <c r="EZ22" s="352" t="s">
        <v>298</v>
      </c>
      <c r="FA22" s="336" t="s">
        <v>259</v>
      </c>
      <c r="FB22" s="330" t="s">
        <v>260</v>
      </c>
      <c r="FC22" s="330">
        <v>45796</v>
      </c>
      <c r="FD22" s="330" t="s">
        <v>260</v>
      </c>
      <c r="FE22" s="330">
        <v>45895</v>
      </c>
      <c r="FF22" s="330">
        <v>45944</v>
      </c>
      <c r="FG22" s="330" t="s">
        <v>260</v>
      </c>
      <c r="FH22" s="330" t="s">
        <v>260</v>
      </c>
      <c r="FI22" s="330">
        <v>46021</v>
      </c>
      <c r="FJ22" s="330" t="s">
        <v>260</v>
      </c>
      <c r="FK22" s="330">
        <v>46087</v>
      </c>
      <c r="FL22" s="336" t="s">
        <v>298</v>
      </c>
      <c r="FM22" s="336">
        <v>45796</v>
      </c>
      <c r="FN22" s="314">
        <f>IF(Table1[[#This Row],[Tanggal Pengajuan Dokumen]]="","",Table1[[#This Row],[PLAN PERMIT
start]]-Table1[[#This Row],[Tanggal Pengajuan Dokumen]])</f>
        <v>-252</v>
      </c>
      <c r="FO22" s="336"/>
      <c r="FP22" s="316"/>
      <c r="FQ22" s="338"/>
      <c r="FR22" s="352"/>
      <c r="FS22" s="338" t="str">
        <f t="shared" si="4"/>
        <v>Sudah Terbit</v>
      </c>
      <c r="FT2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 s="344">
        <f ca="1">IF(Table1[[#This Row],[Status Izin]]="Selesai",Table1[[#This Row],[PLAN PERMIT
finish]]-Table1[[#This Row],[Tanggal Terbit/ Target Izin Terbit]],ROUNDUP(Table1[[#This Row],[PLAN PERMIT
finish]]-NOW(),0))</f>
        <v>45620</v>
      </c>
      <c r="FV2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 s="344"/>
      <c r="FX22" s="47"/>
      <c r="FY22" s="340"/>
      <c r="FZ22" s="341"/>
      <c r="GA2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 s="330">
        <v>45594</v>
      </c>
      <c r="GC22" s="331">
        <v>45569</v>
      </c>
      <c r="GD2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 s="330">
        <v>45601</v>
      </c>
      <c r="GF22" s="331">
        <v>45569</v>
      </c>
      <c r="GG2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 s="330">
        <v>45607</v>
      </c>
      <c r="GI22" s="330">
        <v>45613</v>
      </c>
      <c r="GJ22" s="353">
        <v>45965</v>
      </c>
      <c r="GK2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 s="330">
        <v>45621</v>
      </c>
      <c r="GM22" s="330" t="e">
        <v>#N/A</v>
      </c>
      <c r="GN22" s="330">
        <v>45641</v>
      </c>
      <c r="GO22" s="330" t="e">
        <v>#N/A</v>
      </c>
      <c r="GP22" s="316"/>
      <c r="GQ2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 s="330" t="s">
        <v>261</v>
      </c>
      <c r="GS22" s="330" t="s">
        <v>261</v>
      </c>
      <c r="GT22" s="354">
        <v>45619</v>
      </c>
      <c r="GU22" s="344" t="str">
        <f>IF(Table1[[#This Row],[Hydro Tes Actual
(tanggal)]]&lt;&gt;"","Sudah","Belum")</f>
        <v>Sudah</v>
      </c>
      <c r="GV22" s="330" t="s">
        <v>261</v>
      </c>
      <c r="GW22" s="330" t="s">
        <v>261</v>
      </c>
      <c r="GX22" s="331">
        <v>45627</v>
      </c>
      <c r="GY22" s="344" t="str">
        <f>IF(Table1[[#This Row],[Interkoneksi Actual
(tanggal)]]&lt;&gt;"","Sudah","Belum")</f>
        <v>Sudah</v>
      </c>
      <c r="GZ22" s="330" t="s">
        <v>261</v>
      </c>
      <c r="HA22" s="330" t="s">
        <v>261</v>
      </c>
      <c r="HB22" s="331">
        <v>45630</v>
      </c>
      <c r="HC22" s="344" t="str">
        <f>IF(Table1[[#This Row],[Flushing Actual
(tanggal)]]&lt;&gt;"","Sudah","Belum")</f>
        <v>Sudah</v>
      </c>
      <c r="HD22" s="330">
        <v>45628</v>
      </c>
      <c r="HE22" s="330" t="e">
        <v>#N/A</v>
      </c>
      <c r="HF22" s="330">
        <v>45634</v>
      </c>
      <c r="HG22" s="346">
        <v>45691</v>
      </c>
      <c r="HH2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 s="330" t="s">
        <v>261</v>
      </c>
      <c r="HJ22" s="330" t="s">
        <v>261</v>
      </c>
      <c r="HK22" s="331"/>
      <c r="HL22" s="316"/>
      <c r="HM22" s="330">
        <v>45646</v>
      </c>
      <c r="HN22" s="330">
        <v>45646</v>
      </c>
      <c r="HO22" s="330" t="e">
        <v>#N/A</v>
      </c>
      <c r="HP22" s="346">
        <v>45728</v>
      </c>
      <c r="HQ2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2" s="330">
        <v>45653</v>
      </c>
      <c r="HS22" s="330"/>
      <c r="HT22" s="330">
        <v>45653</v>
      </c>
      <c r="HU22" s="527"/>
      <c r="HV22" s="330">
        <f>IF(Table1[[#This Row],[MC-100 Aktual
(tanggal)]]&lt;&gt;"",Table1[[#This Row],[MC-100 Aktual
(tanggal)]]+5,"")</f>
        <v>45733</v>
      </c>
      <c r="HW2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2" s="47"/>
      <c r="HY22" s="352"/>
      <c r="HZ22" s="352"/>
      <c r="IB22" s="618">
        <f>IFERROR(ROUND((Table1[[#This Row],[PLAN TC
finish]]-Table1[[#This Row],[PLAN MC-0
start]])/30,2),"")</f>
        <v>0.9</v>
      </c>
      <c r="IC22">
        <f>DATEDIF(Table1[[#This Row],[PLAN MC-0
start]],Table1[[#This Row],[PLAN TC
finish]],"m")</f>
        <v>0</v>
      </c>
    </row>
    <row r="23" spans="1:237" s="4" customFormat="1" ht="15" customHeight="1" x14ac:dyDescent="0.2">
      <c r="B23" s="311">
        <f>SUBTOTAL(3,$D$5:D23)</f>
        <v>16</v>
      </c>
      <c r="C23" s="348">
        <v>19</v>
      </c>
      <c r="D23" s="315" t="s">
        <v>244</v>
      </c>
      <c r="E23" s="315" t="s">
        <v>350</v>
      </c>
      <c r="F23" s="315" t="s">
        <v>351</v>
      </c>
      <c r="G23" s="349">
        <v>45752</v>
      </c>
      <c r="H23" s="314" t="s">
        <v>247</v>
      </c>
      <c r="I23" s="315" t="s">
        <v>278</v>
      </c>
      <c r="J23" s="315"/>
      <c r="K23" s="338" t="s">
        <v>249</v>
      </c>
      <c r="L23" s="316" t="s">
        <v>250</v>
      </c>
      <c r="M23" s="316" t="s">
        <v>269</v>
      </c>
      <c r="N23" s="107">
        <v>30</v>
      </c>
      <c r="O23" s="31" t="s">
        <v>252</v>
      </c>
      <c r="P2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 s="87" t="e">
        <v>#N/A</v>
      </c>
      <c r="S23" s="87">
        <v>1</v>
      </c>
      <c r="T23" s="35">
        <f>Table1[[#This Row],[Progres Total Aktual
(%)]]</f>
        <v>1</v>
      </c>
      <c r="U23" s="124">
        <f>Table1[[#This Row],[Progres Aktual
(%)]]-Table1[[#This Row],[Target Progres
(%)]]</f>
        <v>0</v>
      </c>
      <c r="V23" s="350">
        <f>Table1[[#This Row],["Volume
BA MC-0"]]</f>
        <v>36</v>
      </c>
      <c r="W23" s="351">
        <f>Table1[[#This Row],[Total Panjang Pipa Aktual
(Sum-&gt;)3]]</f>
        <v>37</v>
      </c>
      <c r="X23" s="47"/>
      <c r="Y23" s="67" t="s">
        <v>352</v>
      </c>
      <c r="Z23" s="67">
        <v>98364008</v>
      </c>
      <c r="AA23" s="67">
        <f>ROUND((Table1[[#This Row],[Nilai RAB Jaringan
(Exclude Ppn)]]-Table1[[#This Row],[RAB Perizinan]])*1.11+Table1[[#This Row],[RAB Perizinan]],0)</f>
        <v>0</v>
      </c>
      <c r="AB23" s="320">
        <f>SUM(Table1[[#This Row],[RAB Kegiatan Umum]:[RAB Perizinan]])</f>
        <v>0</v>
      </c>
      <c r="AC23" s="320"/>
      <c r="AD23" s="320"/>
      <c r="AE23" s="320"/>
      <c r="AF23" s="320"/>
      <c r="AG23" s="320">
        <v>2049649</v>
      </c>
      <c r="AH23" s="35" t="e">
        <f>SUM(Table1[[#This Row],[Bobot Keg Umum]:[Bobot Perizinan]])</f>
        <v>#DIV/0!</v>
      </c>
      <c r="AI23" s="35" t="e">
        <f>Table1[[#This Row],[RAB Kegiatan Umum]]/Table1[[#This Row],[Nilai RAB Jaringan
(Exclude Ppn)]]</f>
        <v>#DIV/0!</v>
      </c>
      <c r="AJ23" s="35" t="e">
        <f>Table1[[#This Row],[RAB Pemasangan]]/Table1[[#This Row],[Nilai RAB Jaringan
(Exclude Ppn)]]</f>
        <v>#DIV/0!</v>
      </c>
      <c r="AK23" s="35" t="e">
        <f>Table1[[#This Row],[RAB Pengadaan]]/Table1[[#This Row],[Nilai RAB Jaringan
(Exclude Ppn)]]</f>
        <v>#DIV/0!</v>
      </c>
      <c r="AL23" s="35" t="e">
        <f>Table1[[#This Row],[RAB Perizinan]]/Table1[[#This Row],[Nilai RAB Jaringan
(Exclude Ppn)]]</f>
        <v>#DIV/0!</v>
      </c>
      <c r="AM23" s="47"/>
      <c r="AN23" s="285">
        <v>36</v>
      </c>
      <c r="AO23" s="285">
        <f>SUM(Table1[[#This Row],[Pipa 63 mm]:[Pipa 1,800 mm]])</f>
        <v>0</v>
      </c>
      <c r="AP23" s="285"/>
      <c r="AQ23" s="285"/>
      <c r="AR23" s="285"/>
      <c r="AS23" s="285"/>
      <c r="AT23" s="285"/>
      <c r="AU23" s="285"/>
      <c r="AV23" s="285"/>
      <c r="AW23" s="285"/>
      <c r="AX23" s="285"/>
      <c r="AY23" s="285"/>
      <c r="AZ23" s="285"/>
      <c r="BA23" s="285"/>
      <c r="BB23" s="285"/>
      <c r="BC23" s="285"/>
      <c r="BD23" s="285"/>
      <c r="BE23" s="285"/>
      <c r="BF23" s="285"/>
      <c r="BG23" s="285"/>
      <c r="BH23" s="285"/>
      <c r="BI23" s="285"/>
      <c r="BJ23" s="36">
        <f>SUM(Table1[[#This Row],[Pipa 63 mm2]:[Pipa 1,800 mm21]])</f>
        <v>37</v>
      </c>
      <c r="BK23" s="32">
        <v>37</v>
      </c>
      <c r="BL23" s="32"/>
      <c r="BM23" s="32"/>
      <c r="BN23" s="32"/>
      <c r="BO23" s="32"/>
      <c r="BP23" s="32"/>
      <c r="BQ23" s="32"/>
      <c r="BR23" s="32"/>
      <c r="BS23" s="32"/>
      <c r="BT23" s="32"/>
      <c r="BU23" s="32"/>
      <c r="BV23" s="32"/>
      <c r="BW23" s="32"/>
      <c r="BX23" s="32"/>
      <c r="BY23" s="32"/>
      <c r="BZ23" s="32"/>
      <c r="CA23" s="32"/>
      <c r="CB23" s="32"/>
      <c r="CC23" s="32"/>
      <c r="CD23" s="32"/>
      <c r="CE23" s="32">
        <v>0</v>
      </c>
      <c r="CF23" s="32"/>
      <c r="CG23" s="32"/>
      <c r="CH23" s="32"/>
      <c r="CI23" s="32">
        <f t="shared" si="3"/>
        <v>0</v>
      </c>
      <c r="CJ23" s="65">
        <f>IF((Table1[[#This Row],["Volume
BA MC-0"]]-Table1[[#This Row],[Total Panjang Pipa Aktual
(Sum-&gt;)3]]-Table1[[#This Row],[Total Volume
tidak dapat dipasang]])&gt;=0,Table1[[#This Row],["Volume
BA MC-0"]]-Table1[[#This Row],[Total Panjang Pipa Aktual
(Sum-&gt;)3]]-Table1[[#This Row],[Total Volume
tidak dapat dipasang]],0)</f>
        <v>0</v>
      </c>
      <c r="CK23" s="47"/>
      <c r="CL23" s="131"/>
      <c r="CM23" s="35"/>
      <c r="CN23" s="131"/>
      <c r="CO23" s="131"/>
      <c r="CP2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 s="66">
        <f>IFERROR(Table1[[#This Row],[Progres Keg. Umum
(%)]]*Table1[[#This Row],[Nilai RAB Jaringan
(file pa aji)]],0)</f>
        <v>0</v>
      </c>
      <c r="CR23" s="66">
        <f>IFERROR(Table1[[#This Row],[Progres MOS
(%)]]*Table1[[#This Row],[Nilai RAB Jaringan
(file pa aji)]],0)</f>
        <v>0</v>
      </c>
      <c r="CS23" s="66">
        <f>IFERROR(Table1[[#This Row],[Progres Pemasangan
(%)]]*Table1[[#This Row],[Nilai RAB Jaringan
(file pa aji)]],0)</f>
        <v>0</v>
      </c>
      <c r="CT23" s="66">
        <f>IFERROR(Table1[[#This Row],[Progres Perizinan
(%)]]*Table1[[#This Row],[Nilai RAB Jaringan
(file pa aji)]],0)</f>
        <v>0</v>
      </c>
      <c r="CU23" s="329">
        <v>137939542</v>
      </c>
      <c r="CV23" s="329">
        <v>137939542</v>
      </c>
      <c r="CW23" s="583">
        <v>137939542</v>
      </c>
      <c r="CX23" s="329">
        <v>137939542</v>
      </c>
      <c r="CY23" s="47"/>
      <c r="CZ23" s="330">
        <v>45530</v>
      </c>
      <c r="DA23" s="330">
        <v>45543</v>
      </c>
      <c r="DB23" s="331"/>
      <c r="DC23" s="316"/>
      <c r="DD23" s="67"/>
      <c r="DE2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3" s="331"/>
      <c r="DG23" s="316"/>
      <c r="DH23" s="67"/>
      <c r="DI2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3" s="330">
        <v>45544</v>
      </c>
      <c r="DK23" s="330">
        <v>45592</v>
      </c>
      <c r="DL23" s="331">
        <v>45545</v>
      </c>
      <c r="DM23" s="357" t="s">
        <v>353</v>
      </c>
      <c r="DN2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 s="331">
        <v>45586</v>
      </c>
      <c r="DP23" s="316" t="s">
        <v>354</v>
      </c>
      <c r="DQ23" s="338" t="s">
        <v>344</v>
      </c>
      <c r="DR2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 s="330">
        <v>45544</v>
      </c>
      <c r="DT23" s="330" t="e">
        <v>#N/A</v>
      </c>
      <c r="DU23" s="330">
        <v>45571</v>
      </c>
      <c r="DV23" s="330" t="e">
        <v>#N/A</v>
      </c>
      <c r="DW23" s="331"/>
      <c r="DX23" s="316"/>
      <c r="DY23" s="334"/>
      <c r="DZ23" s="334"/>
      <c r="EA2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3" s="331"/>
      <c r="EC23" s="332"/>
      <c r="ED23" s="332"/>
      <c r="EE23" s="330"/>
      <c r="EF23" s="35">
        <v>1</v>
      </c>
      <c r="EG23" s="337">
        <v>1</v>
      </c>
      <c r="EH23" s="316" t="str">
        <f>IF(Table1[[#This Row],[PO Material Aktual 
(%)]]&gt;=100%,"Selesai PO = 100%",IF(Table1[[#This Row],[PO Material Aktual 
(%)]]&gt;=50%,"Proses PO &gt; 100%",IF(Table1[[#This Row],[PO Material Aktual 
(%)]]&gt;0%,"Proses PO &gt; 50%",IF(Table1[[#This Row],[PO Material Aktual 
(%)]]=0,"Belum PO = 0%"))))</f>
        <v>Selesai PO = 100%</v>
      </c>
      <c r="EI2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3" s="330">
        <v>45572</v>
      </c>
      <c r="EK23" s="330" t="e">
        <v>#N/A</v>
      </c>
      <c r="EL23" s="330">
        <v>45620</v>
      </c>
      <c r="EM23" s="330" t="e">
        <v>#N/A</v>
      </c>
      <c r="EN23" s="331"/>
      <c r="EO23" s="332"/>
      <c r="EP23" s="332"/>
      <c r="EQ23" s="87">
        <v>1</v>
      </c>
      <c r="ER23" s="87">
        <v>1</v>
      </c>
      <c r="ES23" s="316" t="str">
        <f>IF(Table1[[#This Row],[Progres MOS]]&gt;=100%,"Selesai MOS = 100%",IF(Table1[[#This Row],[Progres MOS]]&gt;=50%,"Proses MOS &gt; 100%",IF(Table1[[#This Row],[Progres MOS]]&gt;0%,"Proses MOS &gt; 50%",IF(Table1[[#This Row],[Progres MOS]]=0,"Belum MOS = 0%"))))</f>
        <v>Selesai MOS = 100%</v>
      </c>
      <c r="ET2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3" s="47"/>
      <c r="EV23" s="330">
        <v>45544</v>
      </c>
      <c r="EW23" s="330" t="e">
        <v>#N/A</v>
      </c>
      <c r="EX23" s="330">
        <v>45620</v>
      </c>
      <c r="EY23" s="330" t="e">
        <v>#N/A</v>
      </c>
      <c r="EZ23" s="352" t="s">
        <v>298</v>
      </c>
      <c r="FA23" s="336" t="s">
        <v>259</v>
      </c>
      <c r="FB23" s="330" t="s">
        <v>260</v>
      </c>
      <c r="FC23" s="330">
        <v>45796</v>
      </c>
      <c r="FD23" s="330" t="s">
        <v>260</v>
      </c>
      <c r="FE23" s="330">
        <v>45895</v>
      </c>
      <c r="FF23" s="330">
        <v>45944</v>
      </c>
      <c r="FG23" s="330" t="s">
        <v>260</v>
      </c>
      <c r="FH23" s="330" t="s">
        <v>260</v>
      </c>
      <c r="FI23" s="330">
        <v>46021</v>
      </c>
      <c r="FJ23" s="330" t="s">
        <v>260</v>
      </c>
      <c r="FK23" s="330">
        <v>46087</v>
      </c>
      <c r="FL23" s="336" t="s">
        <v>298</v>
      </c>
      <c r="FM23" s="336">
        <v>45796</v>
      </c>
      <c r="FN23" s="314">
        <f>IF(Table1[[#This Row],[Tanggal Pengajuan Dokumen]]="","",Table1[[#This Row],[PLAN PERMIT
start]]-Table1[[#This Row],[Tanggal Pengajuan Dokumen]])</f>
        <v>-252</v>
      </c>
      <c r="FO23" s="336"/>
      <c r="FP23" s="316"/>
      <c r="FQ23" s="338"/>
      <c r="FR23" s="352"/>
      <c r="FS23" s="338" t="str">
        <f t="shared" si="4"/>
        <v>Sudah Terbit</v>
      </c>
      <c r="FT2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 s="344">
        <f ca="1">IF(Table1[[#This Row],[Status Izin]]="Selesai",Table1[[#This Row],[PLAN PERMIT
finish]]-Table1[[#This Row],[Tanggal Terbit/ Target Izin Terbit]],ROUNDUP(Table1[[#This Row],[PLAN PERMIT
finish]]-NOW(),0))</f>
        <v>45620</v>
      </c>
      <c r="FV2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 s="344"/>
      <c r="FX23" s="47"/>
      <c r="FY23" s="340"/>
      <c r="FZ23" s="341"/>
      <c r="GA2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 s="330">
        <v>45594</v>
      </c>
      <c r="GC23" s="331">
        <v>45569</v>
      </c>
      <c r="GD2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 s="330">
        <v>45601</v>
      </c>
      <c r="GF23" s="331">
        <v>45569</v>
      </c>
      <c r="GG2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 s="330">
        <v>45607</v>
      </c>
      <c r="GI23" s="330">
        <v>45613</v>
      </c>
      <c r="GJ23" s="353">
        <v>45600</v>
      </c>
      <c r="GK2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 s="330">
        <v>45621</v>
      </c>
      <c r="GM23" s="330" t="e">
        <v>#N/A</v>
      </c>
      <c r="GN23" s="330">
        <v>45641</v>
      </c>
      <c r="GO23" s="330" t="e">
        <v>#N/A</v>
      </c>
      <c r="GP23" s="316"/>
      <c r="GQ2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 s="330" t="s">
        <v>261</v>
      </c>
      <c r="GS23" s="330" t="s">
        <v>261</v>
      </c>
      <c r="GT23" s="354">
        <v>45619</v>
      </c>
      <c r="GU23" s="344" t="str">
        <f>IF(Table1[[#This Row],[Hydro Tes Actual
(tanggal)]]&lt;&gt;"","Sudah","Belum")</f>
        <v>Sudah</v>
      </c>
      <c r="GV23" s="330" t="s">
        <v>261</v>
      </c>
      <c r="GW23" s="330" t="s">
        <v>261</v>
      </c>
      <c r="GX23" s="331">
        <v>45636</v>
      </c>
      <c r="GY23" s="344" t="str">
        <f>IF(Table1[[#This Row],[Interkoneksi Actual
(tanggal)]]&lt;&gt;"","Sudah","Belum")</f>
        <v>Sudah</v>
      </c>
      <c r="GZ23" s="330" t="s">
        <v>261</v>
      </c>
      <c r="HA23" s="330" t="s">
        <v>261</v>
      </c>
      <c r="HB23" s="331">
        <v>45639</v>
      </c>
      <c r="HC23" s="344" t="str">
        <f>IF(Table1[[#This Row],[Flushing Actual
(tanggal)]]&lt;&gt;"","Sudah","Belum")</f>
        <v>Sudah</v>
      </c>
      <c r="HD23" s="330">
        <v>45628</v>
      </c>
      <c r="HE23" s="330" t="e">
        <v>#N/A</v>
      </c>
      <c r="HF23" s="330">
        <v>45634</v>
      </c>
      <c r="HG23" s="346">
        <v>45691</v>
      </c>
      <c r="HH2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 s="330" t="s">
        <v>261</v>
      </c>
      <c r="HJ23" s="330" t="s">
        <v>261</v>
      </c>
      <c r="HK23" s="331"/>
      <c r="HL23" s="316"/>
      <c r="HM23" s="330">
        <v>45646</v>
      </c>
      <c r="HN23" s="330">
        <v>45646</v>
      </c>
      <c r="HO23" s="330" t="e">
        <v>#N/A</v>
      </c>
      <c r="HP23" s="346">
        <v>45728</v>
      </c>
      <c r="HQ2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3" s="330">
        <v>45653</v>
      </c>
      <c r="HS23" s="330"/>
      <c r="HT23" s="330">
        <v>45653</v>
      </c>
      <c r="HU23" s="527"/>
      <c r="HV23" s="330">
        <f>IF(Table1[[#This Row],[MC-100 Aktual
(tanggal)]]&lt;&gt;"",Table1[[#This Row],[MC-100 Aktual
(tanggal)]]+5,"")</f>
        <v>45733</v>
      </c>
      <c r="HW2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3" s="47"/>
      <c r="HY23" s="352"/>
      <c r="HZ23" s="352"/>
      <c r="IB23" s="618">
        <f>IFERROR(ROUND((Table1[[#This Row],[PLAN TC
finish]]-Table1[[#This Row],[PLAN MC-0
start]])/30,2),"")</f>
        <v>0.9</v>
      </c>
      <c r="IC23">
        <f>DATEDIF(Table1[[#This Row],[PLAN MC-0
start]],Table1[[#This Row],[PLAN TC
finish]],"m")</f>
        <v>0</v>
      </c>
    </row>
    <row r="24" spans="1:237" s="4" customFormat="1" ht="15" customHeight="1" x14ac:dyDescent="0.2">
      <c r="B24" s="311">
        <f>SUBTOTAL(3,$D$5:D24)</f>
        <v>17</v>
      </c>
      <c r="C24" s="348">
        <v>20</v>
      </c>
      <c r="D24" s="315" t="s">
        <v>244</v>
      </c>
      <c r="E24" s="315" t="s">
        <v>355</v>
      </c>
      <c r="F24" s="315" t="s">
        <v>356</v>
      </c>
      <c r="G24" s="349">
        <v>45752</v>
      </c>
      <c r="H24" s="314" t="s">
        <v>247</v>
      </c>
      <c r="I24" s="315" t="s">
        <v>278</v>
      </c>
      <c r="J24" s="315"/>
      <c r="K24" s="338" t="s">
        <v>249</v>
      </c>
      <c r="L24" s="316" t="s">
        <v>250</v>
      </c>
      <c r="M24" s="316" t="s">
        <v>269</v>
      </c>
      <c r="N24" s="107">
        <v>67</v>
      </c>
      <c r="O24" s="31" t="s">
        <v>252</v>
      </c>
      <c r="P24"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4" s="87" t="e">
        <v>#N/A</v>
      </c>
      <c r="S24" s="87">
        <v>1</v>
      </c>
      <c r="T24" s="35">
        <f>Table1[[#This Row],[Progres Total Aktual
(%)]]</f>
        <v>1</v>
      </c>
      <c r="U24" s="124">
        <f>Table1[[#This Row],[Progres Aktual
(%)]]-Table1[[#This Row],[Target Progres
(%)]]</f>
        <v>0</v>
      </c>
      <c r="V24" s="350">
        <f>Table1[[#This Row],["Volume
BA MC-0"]]</f>
        <v>83</v>
      </c>
      <c r="W24" s="351">
        <f>Table1[[#This Row],[Total Panjang Pipa Aktual
(Sum-&gt;)3]]</f>
        <v>83</v>
      </c>
      <c r="X24" s="47"/>
      <c r="Y24" s="67" t="s">
        <v>357</v>
      </c>
      <c r="Z24" s="67">
        <v>186014217</v>
      </c>
      <c r="AA24" s="67">
        <f>ROUND((Table1[[#This Row],[Nilai RAB Jaringan
(Exclude Ppn)]]-Table1[[#This Row],[RAB Perizinan]])*1.11+Table1[[#This Row],[RAB Perizinan]],0)</f>
        <v>0</v>
      </c>
      <c r="AB24" s="320">
        <f>SUM(Table1[[#This Row],[RAB Kegiatan Umum]:[RAB Perizinan]])</f>
        <v>0</v>
      </c>
      <c r="AC24" s="320"/>
      <c r="AD24" s="320"/>
      <c r="AE24" s="320"/>
      <c r="AF24" s="320"/>
      <c r="AG24" s="320">
        <v>36893670</v>
      </c>
      <c r="AH24" s="35" t="e">
        <f>SUM(Table1[[#This Row],[Bobot Keg Umum]:[Bobot Perizinan]])</f>
        <v>#DIV/0!</v>
      </c>
      <c r="AI24" s="35" t="e">
        <f>Table1[[#This Row],[RAB Kegiatan Umum]]/Table1[[#This Row],[Nilai RAB Jaringan
(Exclude Ppn)]]</f>
        <v>#DIV/0!</v>
      </c>
      <c r="AJ24" s="35" t="e">
        <f>Table1[[#This Row],[RAB Pemasangan]]/Table1[[#This Row],[Nilai RAB Jaringan
(Exclude Ppn)]]</f>
        <v>#DIV/0!</v>
      </c>
      <c r="AK24" s="35" t="e">
        <f>Table1[[#This Row],[RAB Pengadaan]]/Table1[[#This Row],[Nilai RAB Jaringan
(Exclude Ppn)]]</f>
        <v>#DIV/0!</v>
      </c>
      <c r="AL24" s="35" t="e">
        <f>Table1[[#This Row],[RAB Perizinan]]/Table1[[#This Row],[Nilai RAB Jaringan
(Exclude Ppn)]]</f>
        <v>#DIV/0!</v>
      </c>
      <c r="AM24" s="47"/>
      <c r="AN24" s="285">
        <v>83</v>
      </c>
      <c r="AO24" s="285">
        <f>SUM(Table1[[#This Row],[Pipa 63 mm]:[Pipa 1,800 mm]])</f>
        <v>0</v>
      </c>
      <c r="AP24" s="285"/>
      <c r="AQ24" s="285"/>
      <c r="AR24" s="285"/>
      <c r="AS24" s="285"/>
      <c r="AT24" s="285"/>
      <c r="AU24" s="285"/>
      <c r="AV24" s="285"/>
      <c r="AW24" s="285"/>
      <c r="AX24" s="285"/>
      <c r="AY24" s="285"/>
      <c r="AZ24" s="285"/>
      <c r="BA24" s="285"/>
      <c r="BB24" s="285"/>
      <c r="BC24" s="285"/>
      <c r="BD24" s="285"/>
      <c r="BE24" s="285"/>
      <c r="BF24" s="285"/>
      <c r="BG24" s="285"/>
      <c r="BH24" s="285"/>
      <c r="BI24" s="285"/>
      <c r="BJ24" s="36">
        <f>SUM(Table1[[#This Row],[Pipa 63 mm2]:[Pipa 1,800 mm21]])</f>
        <v>83</v>
      </c>
      <c r="BK24" s="32">
        <v>83</v>
      </c>
      <c r="BL24" s="32"/>
      <c r="BM24" s="32"/>
      <c r="BN24" s="32"/>
      <c r="BO24" s="32"/>
      <c r="BP24" s="32"/>
      <c r="BQ24" s="32"/>
      <c r="BR24" s="32"/>
      <c r="BS24" s="32"/>
      <c r="BT24" s="32"/>
      <c r="BU24" s="32"/>
      <c r="BV24" s="32"/>
      <c r="BW24" s="32"/>
      <c r="BX24" s="32"/>
      <c r="BY24" s="32"/>
      <c r="BZ24" s="32"/>
      <c r="CA24" s="32"/>
      <c r="CB24" s="32"/>
      <c r="CC24" s="32"/>
      <c r="CD24" s="32"/>
      <c r="CE24" s="32">
        <v>0</v>
      </c>
      <c r="CF24" s="32"/>
      <c r="CG24" s="32"/>
      <c r="CH24" s="32"/>
      <c r="CI24" s="32">
        <f t="shared" si="3"/>
        <v>0</v>
      </c>
      <c r="CJ24" s="65">
        <f>IF((Table1[[#This Row],["Volume
BA MC-0"]]-Table1[[#This Row],[Total Panjang Pipa Aktual
(Sum-&gt;)3]]-Table1[[#This Row],[Total Volume
tidak dapat dipasang]])&gt;=0,Table1[[#This Row],["Volume
BA MC-0"]]-Table1[[#This Row],[Total Panjang Pipa Aktual
(Sum-&gt;)3]]-Table1[[#This Row],[Total Volume
tidak dapat dipasang]],0)</f>
        <v>0</v>
      </c>
      <c r="CK24" s="47"/>
      <c r="CL24" s="131"/>
      <c r="CM24" s="35"/>
      <c r="CN24" s="131"/>
      <c r="CO24" s="131"/>
      <c r="CP2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4" s="66">
        <f>IFERROR(Table1[[#This Row],[Progres Keg. Umum
(%)]]*Table1[[#This Row],[Nilai RAB Jaringan
(file pa aji)]],0)</f>
        <v>0</v>
      </c>
      <c r="CR24" s="66">
        <f>IFERROR(Table1[[#This Row],[Progres MOS
(%)]]*Table1[[#This Row],[Nilai RAB Jaringan
(file pa aji)]],0)</f>
        <v>0</v>
      </c>
      <c r="CS24" s="66">
        <f>IFERROR(Table1[[#This Row],[Progres Pemasangan
(%)]]*Table1[[#This Row],[Nilai RAB Jaringan
(file pa aji)]],0)</f>
        <v>0</v>
      </c>
      <c r="CT24" s="66">
        <f>IFERROR(Table1[[#This Row],[Progres Perizinan
(%)]]*Table1[[#This Row],[Nilai RAB Jaringan
(file pa aji)]],0)</f>
        <v>0</v>
      </c>
      <c r="CU24" s="329">
        <v>166152224</v>
      </c>
      <c r="CV24" s="329">
        <v>166152224</v>
      </c>
      <c r="CW24" s="583">
        <v>166152224</v>
      </c>
      <c r="CX24" s="329">
        <v>166152224</v>
      </c>
      <c r="CY24" s="47"/>
      <c r="CZ24" s="330">
        <v>45530</v>
      </c>
      <c r="DA24" s="330">
        <v>45543</v>
      </c>
      <c r="DB24" s="331"/>
      <c r="DC24" s="316"/>
      <c r="DD24" s="67"/>
      <c r="DE2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4" s="331"/>
      <c r="DG24" s="316"/>
      <c r="DH24" s="67"/>
      <c r="DI2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4" s="330">
        <v>45544</v>
      </c>
      <c r="DK24" s="330">
        <v>45592</v>
      </c>
      <c r="DL24" s="331">
        <v>45567</v>
      </c>
      <c r="DM24" s="357" t="s">
        <v>358</v>
      </c>
      <c r="DN2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 s="331">
        <v>45588</v>
      </c>
      <c r="DP24" s="316" t="s">
        <v>359</v>
      </c>
      <c r="DQ24" s="338" t="s">
        <v>344</v>
      </c>
      <c r="DR2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4" s="330">
        <v>45544</v>
      </c>
      <c r="DT24" s="330" t="e">
        <v>#N/A</v>
      </c>
      <c r="DU24" s="330">
        <v>45571</v>
      </c>
      <c r="DV24" s="330" t="e">
        <v>#N/A</v>
      </c>
      <c r="DW24" s="331"/>
      <c r="DX24" s="316"/>
      <c r="DY24" s="334"/>
      <c r="DZ24" s="334"/>
      <c r="EA2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4" s="331"/>
      <c r="EC24" s="332"/>
      <c r="ED24" s="332"/>
      <c r="EE24" s="330"/>
      <c r="EF24" s="35">
        <v>1</v>
      </c>
      <c r="EG24" s="337">
        <v>1</v>
      </c>
      <c r="EH24" s="316" t="str">
        <f>IF(Table1[[#This Row],[PO Material Aktual 
(%)]]&gt;=100%,"Selesai PO = 100%",IF(Table1[[#This Row],[PO Material Aktual 
(%)]]&gt;=50%,"Proses PO &gt; 100%",IF(Table1[[#This Row],[PO Material Aktual 
(%)]]&gt;0%,"Proses PO &gt; 50%",IF(Table1[[#This Row],[PO Material Aktual 
(%)]]=0,"Belum PO = 0%"))))</f>
        <v>Selesai PO = 100%</v>
      </c>
      <c r="EI2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4" s="330">
        <v>45572</v>
      </c>
      <c r="EK24" s="330" t="e">
        <v>#N/A</v>
      </c>
      <c r="EL24" s="330">
        <v>45620</v>
      </c>
      <c r="EM24" s="330" t="e">
        <v>#N/A</v>
      </c>
      <c r="EN24" s="331"/>
      <c r="EO24" s="332"/>
      <c r="EP24" s="332"/>
      <c r="EQ24" s="87">
        <v>1</v>
      </c>
      <c r="ER24" s="87">
        <v>1</v>
      </c>
      <c r="ES24" s="316" t="str">
        <f>IF(Table1[[#This Row],[Progres MOS]]&gt;=100%,"Selesai MOS = 100%",IF(Table1[[#This Row],[Progres MOS]]&gt;=50%,"Proses MOS &gt; 100%",IF(Table1[[#This Row],[Progres MOS]]&gt;0%,"Proses MOS &gt; 50%",IF(Table1[[#This Row],[Progres MOS]]=0,"Belum MOS = 0%"))))</f>
        <v>Selesai MOS = 100%</v>
      </c>
      <c r="ET2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 s="47"/>
      <c r="EV24" s="330">
        <v>45544</v>
      </c>
      <c r="EW24" s="330" t="e">
        <v>#N/A</v>
      </c>
      <c r="EX24" s="330">
        <v>45620</v>
      </c>
      <c r="EY24" s="330" t="e">
        <v>#N/A</v>
      </c>
      <c r="EZ24" s="352" t="s">
        <v>259</v>
      </c>
      <c r="FA24" s="336" t="s">
        <v>259</v>
      </c>
      <c r="FB24" s="330" t="s">
        <v>260</v>
      </c>
      <c r="FC24" s="330" t="s">
        <v>282</v>
      </c>
      <c r="FD24" s="330" t="s">
        <v>282</v>
      </c>
      <c r="FE24" s="330" t="s">
        <v>282</v>
      </c>
      <c r="FF24" s="330" t="s">
        <v>282</v>
      </c>
      <c r="FG24" s="330" t="s">
        <v>282</v>
      </c>
      <c r="FH24" s="330" t="s">
        <v>282</v>
      </c>
      <c r="FI24" s="330" t="s">
        <v>282</v>
      </c>
      <c r="FJ24" s="330" t="s">
        <v>282</v>
      </c>
      <c r="FK24" s="330" t="s">
        <v>283</v>
      </c>
      <c r="FL24" s="336" t="s">
        <v>259</v>
      </c>
      <c r="FM24" s="336"/>
      <c r="FN24" s="314" t="str">
        <f>IF(Table1[[#This Row],[Tanggal Pengajuan Dokumen]]="","",Table1[[#This Row],[PLAN PERMIT
start]]-Table1[[#This Row],[Tanggal Pengajuan Dokumen]])</f>
        <v/>
      </c>
      <c r="FO24" s="336"/>
      <c r="FP24" s="316"/>
      <c r="FQ24" s="338"/>
      <c r="FR24" s="352"/>
      <c r="FS24" s="338" t="str">
        <f t="shared" si="4"/>
        <v>Sudah Terbit</v>
      </c>
      <c r="FT2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 s="344">
        <f ca="1">IF(Table1[[#This Row],[Status Izin]]="Selesai",Table1[[#This Row],[PLAN PERMIT
finish]]-Table1[[#This Row],[Tanggal Terbit/ Target Izin Terbit]],ROUNDUP(Table1[[#This Row],[PLAN PERMIT
finish]]-NOW(),0))</f>
        <v>45620</v>
      </c>
      <c r="FV2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 s="344"/>
      <c r="FX24" s="47"/>
      <c r="FY24" s="340"/>
      <c r="FZ24" s="341"/>
      <c r="GA2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4" s="330">
        <v>45594</v>
      </c>
      <c r="GC24" s="331">
        <v>45569</v>
      </c>
      <c r="GD2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 s="330">
        <v>45601</v>
      </c>
      <c r="GF24" s="331">
        <v>45569</v>
      </c>
      <c r="GG2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4" s="330">
        <v>45607</v>
      </c>
      <c r="GI24" s="330">
        <v>45613</v>
      </c>
      <c r="GJ24" s="353">
        <v>45600</v>
      </c>
      <c r="GK2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 s="330">
        <v>45621</v>
      </c>
      <c r="GM24" s="330" t="e">
        <v>#N/A</v>
      </c>
      <c r="GN24" s="330">
        <v>45641</v>
      </c>
      <c r="GO24" s="330" t="e">
        <v>#N/A</v>
      </c>
      <c r="GP24" s="316"/>
      <c r="GQ2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 s="330" t="s">
        <v>261</v>
      </c>
      <c r="GS24" s="330" t="s">
        <v>261</v>
      </c>
      <c r="GT24" s="354">
        <v>45617</v>
      </c>
      <c r="GU24" s="344" t="str">
        <f>IF(Table1[[#This Row],[Hydro Tes Actual
(tanggal)]]&lt;&gt;"","Sudah","Belum")</f>
        <v>Sudah</v>
      </c>
      <c r="GV24" s="330" t="s">
        <v>261</v>
      </c>
      <c r="GW24" s="330" t="s">
        <v>261</v>
      </c>
      <c r="GX24" s="331">
        <v>45624</v>
      </c>
      <c r="GY24" s="344" t="str">
        <f>IF(Table1[[#This Row],[Interkoneksi Actual
(tanggal)]]&lt;&gt;"","Sudah","Belum")</f>
        <v>Sudah</v>
      </c>
      <c r="GZ24" s="330" t="s">
        <v>261</v>
      </c>
      <c r="HA24" s="330" t="s">
        <v>261</v>
      </c>
      <c r="HB24" s="331">
        <v>45627</v>
      </c>
      <c r="HC24" s="344" t="str">
        <f>IF(Table1[[#This Row],[Flushing Actual
(tanggal)]]&lt;&gt;"","Sudah","Belum")</f>
        <v>Sudah</v>
      </c>
      <c r="HD24" s="330">
        <v>45628</v>
      </c>
      <c r="HE24" s="330" t="e">
        <v>#N/A</v>
      </c>
      <c r="HF24" s="330">
        <v>45634</v>
      </c>
      <c r="HG24" s="346">
        <v>45688</v>
      </c>
      <c r="HH2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4" s="330" t="s">
        <v>261</v>
      </c>
      <c r="HJ24" s="330" t="s">
        <v>261</v>
      </c>
      <c r="HK24" s="331"/>
      <c r="HL24" s="316"/>
      <c r="HM24" s="330">
        <v>45646</v>
      </c>
      <c r="HN24" s="330">
        <v>45646</v>
      </c>
      <c r="HO24" s="330" t="e">
        <v>#N/A</v>
      </c>
      <c r="HP24" s="346">
        <v>45728</v>
      </c>
      <c r="HQ2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4" s="330">
        <v>45653</v>
      </c>
      <c r="HS24" s="330"/>
      <c r="HT24" s="330">
        <v>45653</v>
      </c>
      <c r="HU24" s="527"/>
      <c r="HV24" s="330">
        <f>IF(Table1[[#This Row],[MC-100 Aktual
(tanggal)]]&lt;&gt;"",Table1[[#This Row],[MC-100 Aktual
(tanggal)]]+5,"")</f>
        <v>45733</v>
      </c>
      <c r="HW2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4" s="47"/>
      <c r="HY24" s="352"/>
      <c r="HZ24" s="352"/>
      <c r="IB24" s="618">
        <f>IFERROR(ROUND((Table1[[#This Row],[PLAN TC
finish]]-Table1[[#This Row],[PLAN MC-0
start]])/30,2),"")</f>
        <v>0.9</v>
      </c>
      <c r="IC24">
        <f>DATEDIF(Table1[[#This Row],[PLAN MC-0
start]],Table1[[#This Row],[PLAN TC
finish]],"m")</f>
        <v>0</v>
      </c>
    </row>
    <row r="25" spans="1:237" s="4" customFormat="1" ht="15" hidden="1" customHeight="1" x14ac:dyDescent="0.2">
      <c r="B25" s="311">
        <f>SUBTOTAL(3,$D$5:D25)</f>
        <v>17</v>
      </c>
      <c r="C25" s="348">
        <v>21</v>
      </c>
      <c r="D25" s="315" t="s">
        <v>244</v>
      </c>
      <c r="E25" s="315" t="s">
        <v>360</v>
      </c>
      <c r="F25" s="315" t="s">
        <v>361</v>
      </c>
      <c r="G25" s="349">
        <v>45752</v>
      </c>
      <c r="H25" s="314" t="s">
        <v>247</v>
      </c>
      <c r="I25" s="315" t="s">
        <v>278</v>
      </c>
      <c r="J25" s="315"/>
      <c r="K25" s="338" t="s">
        <v>249</v>
      </c>
      <c r="L25" s="316" t="s">
        <v>250</v>
      </c>
      <c r="M25" s="316" t="s">
        <v>269</v>
      </c>
      <c r="N25" s="107">
        <v>385</v>
      </c>
      <c r="O25" s="31" t="s">
        <v>252</v>
      </c>
      <c r="P2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 s="87" t="e">
        <v>#N/A</v>
      </c>
      <c r="S25" s="87">
        <v>1</v>
      </c>
      <c r="T25" s="35">
        <f>Table1[[#This Row],[Progres Total Aktual
(%)]]</f>
        <v>1</v>
      </c>
      <c r="U25" s="124">
        <f>Table1[[#This Row],[Progres Aktual
(%)]]-Table1[[#This Row],[Target Progres
(%)]]</f>
        <v>0</v>
      </c>
      <c r="V25" s="350">
        <f>Table1[[#This Row],["Volume
BA MC-0"]]</f>
        <v>420</v>
      </c>
      <c r="W25" s="351">
        <f>Table1[[#This Row],[Total Panjang Pipa Aktual
(Sum-&gt;)3]]</f>
        <v>425</v>
      </c>
      <c r="X25" s="47"/>
      <c r="Y25" s="67" t="s">
        <v>362</v>
      </c>
      <c r="Z25" s="67">
        <v>1057983623</v>
      </c>
      <c r="AA25" s="67">
        <f>ROUND((Table1[[#This Row],[Nilai RAB Jaringan
(Exclude Ppn)]]-Table1[[#This Row],[RAB Perizinan]])*1.11+Table1[[#This Row],[RAB Perizinan]],0)</f>
        <v>0</v>
      </c>
      <c r="AB25" s="320">
        <f>SUM(Table1[[#This Row],[RAB Kegiatan Umum]:[RAB Perizinan]])</f>
        <v>0</v>
      </c>
      <c r="AC25" s="320"/>
      <c r="AD25" s="320"/>
      <c r="AE25" s="320"/>
      <c r="AF25" s="320"/>
      <c r="AG25" s="320">
        <v>2049649</v>
      </c>
      <c r="AH25" s="35" t="e">
        <f>SUM(Table1[[#This Row],[Bobot Keg Umum]:[Bobot Perizinan]])</f>
        <v>#DIV/0!</v>
      </c>
      <c r="AI25" s="35" t="e">
        <f>Table1[[#This Row],[RAB Kegiatan Umum]]/Table1[[#This Row],[Nilai RAB Jaringan
(Exclude Ppn)]]</f>
        <v>#DIV/0!</v>
      </c>
      <c r="AJ25" s="35" t="e">
        <f>Table1[[#This Row],[RAB Pemasangan]]/Table1[[#This Row],[Nilai RAB Jaringan
(Exclude Ppn)]]</f>
        <v>#DIV/0!</v>
      </c>
      <c r="AK25" s="35" t="e">
        <f>Table1[[#This Row],[RAB Pengadaan]]/Table1[[#This Row],[Nilai RAB Jaringan
(Exclude Ppn)]]</f>
        <v>#DIV/0!</v>
      </c>
      <c r="AL25" s="35" t="e">
        <f>Table1[[#This Row],[RAB Perizinan]]/Table1[[#This Row],[Nilai RAB Jaringan
(Exclude Ppn)]]</f>
        <v>#DIV/0!</v>
      </c>
      <c r="AM25" s="47"/>
      <c r="AN25" s="285">
        <v>420</v>
      </c>
      <c r="AO25" s="285">
        <f>SUM(Table1[[#This Row],[Pipa 63 mm]:[Pipa 1,800 mm]])</f>
        <v>0</v>
      </c>
      <c r="AP25" s="285"/>
      <c r="AQ25" s="285"/>
      <c r="AR25" s="285"/>
      <c r="AS25" s="285"/>
      <c r="AT25" s="285"/>
      <c r="AU25" s="285"/>
      <c r="AV25" s="285"/>
      <c r="AW25" s="285"/>
      <c r="AX25" s="285"/>
      <c r="AY25" s="285"/>
      <c r="AZ25" s="285"/>
      <c r="BA25" s="285"/>
      <c r="BB25" s="285"/>
      <c r="BC25" s="285"/>
      <c r="BD25" s="285"/>
      <c r="BE25" s="285"/>
      <c r="BF25" s="285"/>
      <c r="BG25" s="285"/>
      <c r="BH25" s="285"/>
      <c r="BI25" s="285"/>
      <c r="BJ25" s="36">
        <f>SUM(Table1[[#This Row],[Pipa 63 mm2]:[Pipa 1,800 mm21]])</f>
        <v>425</v>
      </c>
      <c r="BK25" s="32">
        <v>125</v>
      </c>
      <c r="BL25" s="32"/>
      <c r="BM25" s="32"/>
      <c r="BN25" s="32">
        <v>300</v>
      </c>
      <c r="BO25" s="32"/>
      <c r="BP25" s="32"/>
      <c r="BQ25" s="32"/>
      <c r="BR25" s="32"/>
      <c r="BS25" s="32"/>
      <c r="BT25" s="32"/>
      <c r="BU25" s="32"/>
      <c r="BV25" s="32"/>
      <c r="BW25" s="32"/>
      <c r="BX25" s="32"/>
      <c r="BY25" s="32"/>
      <c r="BZ25" s="32"/>
      <c r="CA25" s="32"/>
      <c r="CB25" s="32"/>
      <c r="CC25" s="32"/>
      <c r="CD25" s="32"/>
      <c r="CE25" s="32">
        <v>0</v>
      </c>
      <c r="CF25" s="32"/>
      <c r="CG25" s="32"/>
      <c r="CH25" s="32"/>
      <c r="CI25" s="32">
        <f t="shared" si="3"/>
        <v>0</v>
      </c>
      <c r="CJ25" s="65">
        <f>IF((Table1[[#This Row],["Volume
BA MC-0"]]-Table1[[#This Row],[Total Panjang Pipa Aktual
(Sum-&gt;)3]]-Table1[[#This Row],[Total Volume
tidak dapat dipasang]])&gt;=0,Table1[[#This Row],["Volume
BA MC-0"]]-Table1[[#This Row],[Total Panjang Pipa Aktual
(Sum-&gt;)3]]-Table1[[#This Row],[Total Volume
tidak dapat dipasang]],0)</f>
        <v>0</v>
      </c>
      <c r="CK25" s="47"/>
      <c r="CL25" s="131"/>
      <c r="CM25" s="35"/>
      <c r="CN25" s="131"/>
      <c r="CO25" s="131"/>
      <c r="CP2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 s="360">
        <f>IFERROR(Table1[[#This Row],[Progres Keg. Umum
(%)]]*Table1[[#This Row],[Nilai RAB Jaringan
(file pa aji)]],0)</f>
        <v>0</v>
      </c>
      <c r="CR25" s="360">
        <f>IFERROR(Table1[[#This Row],[Progres MOS
(%)]]*Table1[[#This Row],[Nilai RAB Jaringan
(file pa aji)]],0)</f>
        <v>0</v>
      </c>
      <c r="CS25" s="360">
        <f>IFERROR(Table1[[#This Row],[Progres Pemasangan
(%)]]*Table1[[#This Row],[Nilai RAB Jaringan
(file pa aji)]],0)</f>
        <v>0</v>
      </c>
      <c r="CT25" s="360">
        <f>IFERROR(Table1[[#This Row],[Progres Perizinan
(%)]]*Table1[[#This Row],[Nilai RAB Jaringan
(file pa aji)]],0)</f>
        <v>0</v>
      </c>
      <c r="CU25" s="329">
        <v>889863370</v>
      </c>
      <c r="CV25" s="329">
        <v>889863370</v>
      </c>
      <c r="CW25" s="583">
        <v>889863370</v>
      </c>
      <c r="CX25" s="329">
        <v>889863370</v>
      </c>
      <c r="CY25" s="47"/>
      <c r="CZ25" s="330">
        <v>45530</v>
      </c>
      <c r="DA25" s="330">
        <v>45550</v>
      </c>
      <c r="DB25" s="331"/>
      <c r="DC25" s="316"/>
      <c r="DD25" s="67"/>
      <c r="DE2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5" s="331"/>
      <c r="DG25" s="316"/>
      <c r="DH25" s="67"/>
      <c r="DI2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5" s="330">
        <v>45551</v>
      </c>
      <c r="DK25" s="330">
        <v>45592</v>
      </c>
      <c r="DL25" s="331">
        <v>45965</v>
      </c>
      <c r="DM25" s="357" t="s">
        <v>363</v>
      </c>
      <c r="DN2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 s="331">
        <v>45993</v>
      </c>
      <c r="DP25" s="316" t="s">
        <v>364</v>
      </c>
      <c r="DQ25" s="338" t="s">
        <v>365</v>
      </c>
      <c r="DR2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 s="330">
        <v>45551</v>
      </c>
      <c r="DT25" s="330" t="e">
        <v>#N/A</v>
      </c>
      <c r="DU25" s="330">
        <v>45585</v>
      </c>
      <c r="DV25" s="330" t="e">
        <v>#N/A</v>
      </c>
      <c r="DW25" s="331"/>
      <c r="DX25" s="316"/>
      <c r="DY25" s="334"/>
      <c r="DZ25" s="334"/>
      <c r="EA2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5" s="331"/>
      <c r="EC25" s="332"/>
      <c r="ED25" s="332"/>
      <c r="EE25" s="330"/>
      <c r="EF25" s="35">
        <v>1</v>
      </c>
      <c r="EG25" s="337">
        <v>1</v>
      </c>
      <c r="EH25" s="316" t="str">
        <f>IF(Table1[[#This Row],[PO Material Aktual 
(%)]]&gt;=100%,"Selesai PO = 100%",IF(Table1[[#This Row],[PO Material Aktual 
(%)]]&gt;=50%,"Proses PO &gt; 100%",IF(Table1[[#This Row],[PO Material Aktual 
(%)]]&gt;0%,"Proses PO &gt; 50%",IF(Table1[[#This Row],[PO Material Aktual 
(%)]]=0,"Belum PO = 0%"))))</f>
        <v>Selesai PO = 100%</v>
      </c>
      <c r="EI2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5" s="330">
        <v>45586</v>
      </c>
      <c r="EK25" s="330" t="e">
        <v>#N/A</v>
      </c>
      <c r="EL25" s="330">
        <v>45634</v>
      </c>
      <c r="EM25" s="330" t="e">
        <v>#N/A</v>
      </c>
      <c r="EN25" s="331"/>
      <c r="EO25" s="332"/>
      <c r="EP25" s="332"/>
      <c r="EQ25" s="87">
        <v>1</v>
      </c>
      <c r="ER25" s="87">
        <v>1</v>
      </c>
      <c r="ES25" s="316" t="str">
        <f>IF(Table1[[#This Row],[Progres MOS]]&gt;=100%,"Selesai MOS = 100%",IF(Table1[[#This Row],[Progres MOS]]&gt;=50%,"Proses MOS &gt; 100%",IF(Table1[[#This Row],[Progres MOS]]&gt;0%,"Proses MOS &gt; 50%",IF(Table1[[#This Row],[Progres MOS]]=0,"Belum MOS = 0%"))))</f>
        <v>Selesai MOS = 100%</v>
      </c>
      <c r="ET2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5" s="47"/>
      <c r="EV25" s="330">
        <v>45551</v>
      </c>
      <c r="EW25" s="330" t="e">
        <v>#N/A</v>
      </c>
      <c r="EX25" s="330">
        <v>45620</v>
      </c>
      <c r="EY25" s="330" t="e">
        <v>#N/A</v>
      </c>
      <c r="EZ25" s="352" t="s">
        <v>259</v>
      </c>
      <c r="FA25" s="336" t="s">
        <v>259</v>
      </c>
      <c r="FB25" s="330" t="s">
        <v>260</v>
      </c>
      <c r="FC25" s="330">
        <v>45721</v>
      </c>
      <c r="FD25" s="330" t="s">
        <v>260</v>
      </c>
      <c r="FE25" s="330">
        <v>45756</v>
      </c>
      <c r="FF25" s="330">
        <v>45761</v>
      </c>
      <c r="FG25" s="330" t="s">
        <v>260</v>
      </c>
      <c r="FH25" s="330" t="s">
        <v>260</v>
      </c>
      <c r="FI25" s="330">
        <v>45799</v>
      </c>
      <c r="FJ25" s="330" t="s">
        <v>260</v>
      </c>
      <c r="FK25" s="330">
        <v>45889</v>
      </c>
      <c r="FL25" s="336" t="s">
        <v>259</v>
      </c>
      <c r="FM25" s="336">
        <v>45721</v>
      </c>
      <c r="FN25" s="314">
        <f>IF(Table1[[#This Row],[Tanggal Pengajuan Dokumen]]="","",Table1[[#This Row],[PLAN PERMIT
start]]-Table1[[#This Row],[Tanggal Pengajuan Dokumen]])</f>
        <v>-170</v>
      </c>
      <c r="FO25" s="336">
        <v>45889</v>
      </c>
      <c r="FP25" s="316"/>
      <c r="FQ25" s="338"/>
      <c r="FR25" s="352"/>
      <c r="FS25" s="338" t="str">
        <f t="shared" si="4"/>
        <v>Sudah Terbit</v>
      </c>
      <c r="FT2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 s="344">
        <f ca="1">IF(Table1[[#This Row],[Status Izin]]="Selesai",Table1[[#This Row],[PLAN PERMIT
finish]]-Table1[[#This Row],[Tanggal Terbit/ Target Izin Terbit]],ROUNDUP(Table1[[#This Row],[PLAN PERMIT
finish]]-NOW(),0))</f>
        <v>-269</v>
      </c>
      <c r="FV2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 s="344"/>
      <c r="FX25" s="47"/>
      <c r="FY25" s="340"/>
      <c r="FZ25" s="341"/>
      <c r="GA2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5" s="330">
        <v>45594</v>
      </c>
      <c r="GC25" s="331">
        <v>45569</v>
      </c>
      <c r="GD2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 s="330">
        <v>45601</v>
      </c>
      <c r="GF25" s="331">
        <v>45569</v>
      </c>
      <c r="GG2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 s="330">
        <v>45607</v>
      </c>
      <c r="GI25" s="330">
        <v>45613</v>
      </c>
      <c r="GJ25" s="353">
        <v>45601</v>
      </c>
      <c r="GK2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 s="330">
        <v>45621</v>
      </c>
      <c r="GM25" s="330" t="e">
        <v>#N/A</v>
      </c>
      <c r="GN25" s="330">
        <v>45662</v>
      </c>
      <c r="GO25" s="330" t="e">
        <v>#N/A</v>
      </c>
      <c r="GP25" s="316"/>
      <c r="GQ2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 s="330" t="s">
        <v>261</v>
      </c>
      <c r="GS25" s="330" t="s">
        <v>261</v>
      </c>
      <c r="GT25" s="354">
        <v>45966</v>
      </c>
      <c r="GU25" s="344" t="str">
        <f>IF(Table1[[#This Row],[Hydro Tes Actual
(tanggal)]]&lt;&gt;"","Sudah","Belum")</f>
        <v>Sudah</v>
      </c>
      <c r="GV25" s="330" t="s">
        <v>261</v>
      </c>
      <c r="GW25" s="330" t="s">
        <v>261</v>
      </c>
      <c r="GX25" s="331">
        <v>45966</v>
      </c>
      <c r="GY25" s="344" t="str">
        <f>IF(Table1[[#This Row],[Interkoneksi Actual
(tanggal)]]&lt;&gt;"","Sudah","Belum")</f>
        <v>Sudah</v>
      </c>
      <c r="GZ25" s="330" t="s">
        <v>261</v>
      </c>
      <c r="HA25" s="330" t="s">
        <v>261</v>
      </c>
      <c r="HB25" s="331">
        <v>45967</v>
      </c>
      <c r="HC25" s="344" t="str">
        <f>IF(Table1[[#This Row],[Flushing Actual
(tanggal)]]&lt;&gt;"","Sudah","Belum")</f>
        <v>Sudah</v>
      </c>
      <c r="HD25" s="330">
        <v>45649</v>
      </c>
      <c r="HE25" s="330" t="e">
        <v>#N/A</v>
      </c>
      <c r="HF25" s="330">
        <v>45655</v>
      </c>
      <c r="HG25" s="346">
        <v>45973</v>
      </c>
      <c r="HH2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 s="330" t="s">
        <v>261</v>
      </c>
      <c r="HJ25" s="330" t="s">
        <v>261</v>
      </c>
      <c r="HK25" s="331"/>
      <c r="HL25" s="316"/>
      <c r="HM25" s="330">
        <v>45674</v>
      </c>
      <c r="HN25" s="330">
        <v>45674</v>
      </c>
      <c r="HO25" s="330" t="e">
        <v>#N/A</v>
      </c>
      <c r="HP25" s="346">
        <v>45975</v>
      </c>
      <c r="HQ2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5" s="330">
        <v>45681</v>
      </c>
      <c r="HS25" s="330"/>
      <c r="HT25" s="330">
        <v>45681</v>
      </c>
      <c r="HU25" s="527"/>
      <c r="HV25" s="330">
        <f>IF(Table1[[#This Row],[MC-100 Aktual
(tanggal)]]&lt;&gt;"",Table1[[#This Row],[MC-100 Aktual
(tanggal)]]+5,"")</f>
        <v>45980</v>
      </c>
      <c r="HW2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5" s="47"/>
      <c r="HY25" s="352"/>
      <c r="HZ25" s="352"/>
      <c r="IB25" s="618">
        <f>IFERROR(ROUND((Table1[[#This Row],[PLAN TC
finish]]-Table1[[#This Row],[PLAN MC-0
start]])/30,2),"")</f>
        <v>1.6</v>
      </c>
      <c r="IC25">
        <f>DATEDIF(Table1[[#This Row],[PLAN MC-0
start]],Table1[[#This Row],[PLAN TC
finish]],"m")</f>
        <v>1</v>
      </c>
    </row>
    <row r="26" spans="1:237" s="4" customFormat="1" ht="15" hidden="1" customHeight="1" x14ac:dyDescent="0.2">
      <c r="B26" s="311">
        <f>SUBTOTAL(3,$D$5:D26)</f>
        <v>17</v>
      </c>
      <c r="C26" s="348">
        <v>22</v>
      </c>
      <c r="D26" s="315" t="s">
        <v>244</v>
      </c>
      <c r="E26" s="315" t="s">
        <v>366</v>
      </c>
      <c r="F26" s="315" t="s">
        <v>367</v>
      </c>
      <c r="G26" s="349">
        <v>45752</v>
      </c>
      <c r="H26" s="314" t="s">
        <v>247</v>
      </c>
      <c r="I26" s="315" t="s">
        <v>278</v>
      </c>
      <c r="J26" s="315"/>
      <c r="K26" s="338" t="s">
        <v>249</v>
      </c>
      <c r="L26" s="316" t="s">
        <v>250</v>
      </c>
      <c r="M26" s="316" t="s">
        <v>269</v>
      </c>
      <c r="N26" s="107">
        <v>1394</v>
      </c>
      <c r="O26" s="31" t="s">
        <v>252</v>
      </c>
      <c r="P2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 s="87" t="e">
        <v>#N/A</v>
      </c>
      <c r="S26" s="87">
        <v>1</v>
      </c>
      <c r="T26" s="35">
        <f>Table1[[#This Row],[Progres Total Aktual
(%)]]</f>
        <v>1</v>
      </c>
      <c r="U26" s="124">
        <f>Table1[[#This Row],[Progres Aktual
(%)]]-Table1[[#This Row],[Target Progres
(%)]]</f>
        <v>0</v>
      </c>
      <c r="V26" s="350">
        <f>Table1[[#This Row],["Volume
BA MC-0"]]</f>
        <v>1421</v>
      </c>
      <c r="W26" s="351">
        <f>Table1[[#This Row],[Total Panjang Pipa Aktual
(Sum-&gt;)3]]</f>
        <v>939.5</v>
      </c>
      <c r="X26" s="47"/>
      <c r="Y26" s="67" t="s">
        <v>368</v>
      </c>
      <c r="Z26" s="67">
        <v>2273139709</v>
      </c>
      <c r="AA26" s="67">
        <f>ROUND((Table1[[#This Row],[Nilai RAB Jaringan
(Exclude Ppn)]]-Table1[[#This Row],[RAB Perizinan]])*1.11+Table1[[#This Row],[RAB Perizinan]],0)</f>
        <v>0</v>
      </c>
      <c r="AB26" s="320">
        <f>SUM(Table1[[#This Row],[RAB Kegiatan Umum]:[RAB Perizinan]])</f>
        <v>0</v>
      </c>
      <c r="AC26" s="320"/>
      <c r="AD26" s="320"/>
      <c r="AE26" s="320"/>
      <c r="AF26" s="320"/>
      <c r="AG26" s="320">
        <v>1830335932</v>
      </c>
      <c r="AH26" s="35" t="e">
        <f>SUM(Table1[[#This Row],[Bobot Keg Umum]:[Bobot Perizinan]])</f>
        <v>#DIV/0!</v>
      </c>
      <c r="AI26" s="35" t="e">
        <f>Table1[[#This Row],[RAB Kegiatan Umum]]/Table1[[#This Row],[Nilai RAB Jaringan
(Exclude Ppn)]]</f>
        <v>#DIV/0!</v>
      </c>
      <c r="AJ26" s="35" t="e">
        <f>Table1[[#This Row],[RAB Pemasangan]]/Table1[[#This Row],[Nilai RAB Jaringan
(Exclude Ppn)]]</f>
        <v>#DIV/0!</v>
      </c>
      <c r="AK26" s="35" t="e">
        <f>Table1[[#This Row],[RAB Pengadaan]]/Table1[[#This Row],[Nilai RAB Jaringan
(Exclude Ppn)]]</f>
        <v>#DIV/0!</v>
      </c>
      <c r="AL26" s="35" t="e">
        <f>Table1[[#This Row],[RAB Perizinan]]/Table1[[#This Row],[Nilai RAB Jaringan
(Exclude Ppn)]]</f>
        <v>#DIV/0!</v>
      </c>
      <c r="AM26" s="47"/>
      <c r="AN26" s="285">
        <v>1421</v>
      </c>
      <c r="AO26" s="285">
        <f>SUM(Table1[[#This Row],[Pipa 63 mm]:[Pipa 1,800 mm]])</f>
        <v>0</v>
      </c>
      <c r="AP26" s="285"/>
      <c r="AQ26" s="285"/>
      <c r="AR26" s="285"/>
      <c r="AS26" s="285"/>
      <c r="AT26" s="285"/>
      <c r="AU26" s="285"/>
      <c r="AV26" s="285"/>
      <c r="AW26" s="285"/>
      <c r="AX26" s="285"/>
      <c r="AY26" s="285"/>
      <c r="AZ26" s="285"/>
      <c r="BA26" s="285"/>
      <c r="BB26" s="285"/>
      <c r="BC26" s="285"/>
      <c r="BD26" s="285"/>
      <c r="BE26" s="285"/>
      <c r="BF26" s="285"/>
      <c r="BG26" s="285"/>
      <c r="BH26" s="285"/>
      <c r="BI26" s="285"/>
      <c r="BJ26" s="36">
        <f>SUM(Table1[[#This Row],[Pipa 63 mm2]:[Pipa 1,800 mm21]])</f>
        <v>939.5</v>
      </c>
      <c r="BK26" s="356">
        <v>183.2</v>
      </c>
      <c r="BL26" s="356"/>
      <c r="BM26" s="356">
        <v>756.3</v>
      </c>
      <c r="BN26" s="356"/>
      <c r="BO26" s="356"/>
      <c r="BP26" s="356"/>
      <c r="BQ26" s="356"/>
      <c r="BR26" s="356"/>
      <c r="BS26" s="356"/>
      <c r="BT26" s="356"/>
      <c r="BU26" s="356"/>
      <c r="BV26" s="356"/>
      <c r="BW26" s="356"/>
      <c r="BX26" s="356"/>
      <c r="BY26" s="356"/>
      <c r="BZ26" s="356"/>
      <c r="CA26" s="356"/>
      <c r="CB26" s="356"/>
      <c r="CC26" s="356"/>
      <c r="CD26" s="356"/>
      <c r="CE26" s="32">
        <v>444</v>
      </c>
      <c r="CF26" s="32"/>
      <c r="CG26" s="32"/>
      <c r="CH26" s="32"/>
      <c r="CI26" s="32">
        <f t="shared" si="3"/>
        <v>444</v>
      </c>
      <c r="CJ26" s="65">
        <f>IF((Table1[[#This Row],["Volume
BA MC-0"]]-Table1[[#This Row],[Total Panjang Pipa Aktual
(Sum-&gt;)3]]-Table1[[#This Row],[Total Volume
tidak dapat dipasang]])&gt;=0,Table1[[#This Row],["Volume
BA MC-0"]]-Table1[[#This Row],[Total Panjang Pipa Aktual
(Sum-&gt;)3]]-Table1[[#This Row],[Total Volume
tidak dapat dipasang]],0)</f>
        <v>37.5</v>
      </c>
      <c r="CK26" s="47"/>
      <c r="CL26" s="131"/>
      <c r="CM26" s="35"/>
      <c r="CN26" s="131"/>
      <c r="CO26" s="131"/>
      <c r="CP2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6" s="361">
        <f>IFERROR(Table1[[#This Row],[Progres Keg. Umum
(%)]]*Table1[[#This Row],[Nilai RAB Jaringan
(file pa aji)]],0)</f>
        <v>0</v>
      </c>
      <c r="CR26" s="361">
        <f>IFERROR(Table1[[#This Row],[Progres MOS
(%)]]*Table1[[#This Row],[Nilai RAB Jaringan
(file pa aji)]],0)</f>
        <v>0</v>
      </c>
      <c r="CS26" s="361">
        <f>IFERROR(Table1[[#This Row],[Progres Pemasangan
(%)]]*Table1[[#This Row],[Nilai RAB Jaringan
(file pa aji)]],0)</f>
        <v>0</v>
      </c>
      <c r="CT26" s="361">
        <f>IFERROR(Table1[[#This Row],[Progres Perizinan
(%)]]*Table1[[#This Row],[Nilai RAB Jaringan
(file pa aji)]],0)</f>
        <v>0</v>
      </c>
      <c r="CU26" s="329">
        <v>1346727737</v>
      </c>
      <c r="CV26" s="329">
        <v>1346727737</v>
      </c>
      <c r="CW26" s="583">
        <v>1346727737</v>
      </c>
      <c r="CX26" s="329">
        <v>1346727737</v>
      </c>
      <c r="CY26" s="47"/>
      <c r="CZ26" s="330">
        <v>45439</v>
      </c>
      <c r="DA26" s="330">
        <v>45466</v>
      </c>
      <c r="DB26" s="331"/>
      <c r="DC26" s="316"/>
      <c r="DD26" s="67"/>
      <c r="DE2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6" s="331"/>
      <c r="DG26" s="316"/>
      <c r="DH26" s="67"/>
      <c r="DI2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6" s="330">
        <v>45467</v>
      </c>
      <c r="DK26" s="330">
        <v>45536</v>
      </c>
      <c r="DL26" s="331">
        <v>45508</v>
      </c>
      <c r="DM26" s="357" t="s">
        <v>369</v>
      </c>
      <c r="DN2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 s="331">
        <v>45544</v>
      </c>
      <c r="DP26" s="316" t="s">
        <v>370</v>
      </c>
      <c r="DQ26" s="338" t="s">
        <v>371</v>
      </c>
      <c r="DR2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 s="330">
        <v>45467</v>
      </c>
      <c r="DT26" s="330" t="e">
        <v>#N/A</v>
      </c>
      <c r="DU26" s="330">
        <v>45508</v>
      </c>
      <c r="DV26" s="330" t="e">
        <v>#N/A</v>
      </c>
      <c r="DW26" s="331"/>
      <c r="DX26" s="316"/>
      <c r="DY26" s="334"/>
      <c r="DZ26" s="334"/>
      <c r="EA2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6" s="331"/>
      <c r="EC26" s="332"/>
      <c r="ED26" s="332"/>
      <c r="EE26" s="330"/>
      <c r="EF26" s="35">
        <v>1</v>
      </c>
      <c r="EG26" s="337">
        <v>1</v>
      </c>
      <c r="EH26" s="316" t="str">
        <f>IF(Table1[[#This Row],[PO Material Aktual 
(%)]]&gt;=100%,"Selesai PO = 100%",IF(Table1[[#This Row],[PO Material Aktual 
(%)]]&gt;=50%,"Proses PO &gt; 100%",IF(Table1[[#This Row],[PO Material Aktual 
(%)]]&gt;0%,"Proses PO &gt; 50%",IF(Table1[[#This Row],[PO Material Aktual 
(%)]]=0,"Belum PO = 0%"))))</f>
        <v>Selesai PO = 100%</v>
      </c>
      <c r="EI2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 s="330">
        <v>45509</v>
      </c>
      <c r="EK26" s="330" t="e">
        <v>#N/A</v>
      </c>
      <c r="EL26" s="330">
        <v>45620</v>
      </c>
      <c r="EM26" s="330" t="e">
        <v>#N/A</v>
      </c>
      <c r="EN26" s="331"/>
      <c r="EO26" s="332"/>
      <c r="EP26" s="332"/>
      <c r="EQ26" s="87">
        <v>1</v>
      </c>
      <c r="ER26" s="87">
        <v>1</v>
      </c>
      <c r="ES26" s="316" t="str">
        <f>IF(Table1[[#This Row],[Progres MOS]]&gt;=100%,"Selesai MOS = 100%",IF(Table1[[#This Row],[Progres MOS]]&gt;=50%,"Proses MOS &gt; 100%",IF(Table1[[#This Row],[Progres MOS]]&gt;0%,"Proses MOS &gt; 50%",IF(Table1[[#This Row],[Progres MOS]]=0,"Belum MOS = 0%"))))</f>
        <v>Selesai MOS = 100%</v>
      </c>
      <c r="ET2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 s="47"/>
      <c r="EV26" s="330">
        <v>45467</v>
      </c>
      <c r="EW26" s="330" t="e">
        <v>#N/A</v>
      </c>
      <c r="EX26" s="330">
        <v>45564</v>
      </c>
      <c r="EY26" s="330" t="e">
        <v>#N/A</v>
      </c>
      <c r="EZ26" s="352" t="s">
        <v>298</v>
      </c>
      <c r="FA26" s="336" t="s">
        <v>259</v>
      </c>
      <c r="FB26" s="330" t="s">
        <v>260</v>
      </c>
      <c r="FC26" s="330">
        <v>45565</v>
      </c>
      <c r="FD26" s="330" t="s">
        <v>260</v>
      </c>
      <c r="FE26" s="330">
        <v>45568</v>
      </c>
      <c r="FF26" s="330">
        <v>45671</v>
      </c>
      <c r="FG26" s="330" t="s">
        <v>260</v>
      </c>
      <c r="FH26" s="330" t="s">
        <v>260</v>
      </c>
      <c r="FI26" s="330">
        <v>45954</v>
      </c>
      <c r="FJ26" s="330" t="s">
        <v>260</v>
      </c>
      <c r="FK26" s="330">
        <v>46087</v>
      </c>
      <c r="FL26" s="336" t="s">
        <v>298</v>
      </c>
      <c r="FM26" s="336">
        <v>45565</v>
      </c>
      <c r="FN26" s="314">
        <f>IF(Table1[[#This Row],[Tanggal Pengajuan Dokumen]]="","",Table1[[#This Row],[PLAN PERMIT
start]]-Table1[[#This Row],[Tanggal Pengajuan Dokumen]])</f>
        <v>-98</v>
      </c>
      <c r="FO26" s="336"/>
      <c r="FP26" s="316" t="s">
        <v>175</v>
      </c>
      <c r="FQ26" s="338"/>
      <c r="FR26" s="352"/>
      <c r="FS26" s="338" t="str">
        <f t="shared" si="4"/>
        <v>Sudah Terbit</v>
      </c>
      <c r="FT2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 s="344">
        <f ca="1">IF(Table1[[#This Row],[Status Izin]]="Selesai",Table1[[#This Row],[PLAN PERMIT
finish]]-Table1[[#This Row],[Tanggal Terbit/ Target Izin Terbit]],ROUNDUP(Table1[[#This Row],[PLAN PERMIT
finish]]-NOW(),0))</f>
        <v>45564</v>
      </c>
      <c r="FV2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 s="344"/>
      <c r="FX26" s="47"/>
      <c r="FY26" s="340"/>
      <c r="FZ26" s="341"/>
      <c r="GA2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 s="330">
        <v>45538</v>
      </c>
      <c r="GC26" s="331">
        <v>45519</v>
      </c>
      <c r="GD2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 s="330">
        <v>45545</v>
      </c>
      <c r="GF26" s="331">
        <v>45519</v>
      </c>
      <c r="GG2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 s="330">
        <v>45551</v>
      </c>
      <c r="GI26" s="330">
        <v>45557</v>
      </c>
      <c r="GJ26" s="353">
        <v>45556</v>
      </c>
      <c r="GK2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6" s="330">
        <v>45565</v>
      </c>
      <c r="GM26" s="330" t="e">
        <v>#N/A</v>
      </c>
      <c r="GN26" s="330">
        <v>45690</v>
      </c>
      <c r="GO26" s="330" t="e">
        <v>#N/A</v>
      </c>
      <c r="GP26" s="316"/>
      <c r="GQ2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 s="330" t="s">
        <v>261</v>
      </c>
      <c r="GS26" s="330" t="s">
        <v>261</v>
      </c>
      <c r="GT26" s="354">
        <v>45760</v>
      </c>
      <c r="GU26" s="344" t="str">
        <f>IF(Table1[[#This Row],[Hydro Tes Actual
(tanggal)]]&lt;&gt;"","Sudah","Belum")</f>
        <v>Sudah</v>
      </c>
      <c r="GV26" s="330" t="s">
        <v>261</v>
      </c>
      <c r="GW26" s="330" t="s">
        <v>261</v>
      </c>
      <c r="GX26" s="331">
        <v>45713</v>
      </c>
      <c r="GY26" s="344" t="str">
        <f>IF(Table1[[#This Row],[Interkoneksi Actual
(tanggal)]]&lt;&gt;"","Sudah","Belum")</f>
        <v>Sudah</v>
      </c>
      <c r="GZ26" s="330" t="s">
        <v>261</v>
      </c>
      <c r="HA26" s="330" t="s">
        <v>261</v>
      </c>
      <c r="HB26" s="331">
        <v>45761</v>
      </c>
      <c r="HC26" s="344" t="str">
        <f>IF(Table1[[#This Row],[Flushing Actual
(tanggal)]]&lt;&gt;"","Sudah","Belum")</f>
        <v>Sudah</v>
      </c>
      <c r="HD26" s="330">
        <v>45677</v>
      </c>
      <c r="HE26" s="330" t="e">
        <v>#N/A</v>
      </c>
      <c r="HF26" s="330">
        <v>45683</v>
      </c>
      <c r="HG26" s="346">
        <v>45779</v>
      </c>
      <c r="HH2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6" s="330" t="s">
        <v>261</v>
      </c>
      <c r="HJ26" s="330" t="s">
        <v>261</v>
      </c>
      <c r="HK26" s="331"/>
      <c r="HL26" s="316"/>
      <c r="HM26" s="330">
        <v>45702</v>
      </c>
      <c r="HN26" s="330">
        <v>45702</v>
      </c>
      <c r="HO26" s="330" t="e">
        <v>#N/A</v>
      </c>
      <c r="HP26" s="346">
        <v>45796</v>
      </c>
      <c r="HQ2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6" s="330">
        <v>45709</v>
      </c>
      <c r="HS26" s="330"/>
      <c r="HT26" s="330">
        <v>45709</v>
      </c>
      <c r="HU26" s="527"/>
      <c r="HV26" s="330">
        <f>IF(Table1[[#This Row],[MC-100 Aktual
(tanggal)]]&lt;&gt;"",Table1[[#This Row],[MC-100 Aktual
(tanggal)]]+5,"")</f>
        <v>45801</v>
      </c>
      <c r="HW2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6" s="47"/>
      <c r="HY26" s="352"/>
      <c r="HZ26" s="352"/>
      <c r="IB26" s="618">
        <f>IFERROR(ROUND((Table1[[#This Row],[PLAN TC
finish]]-Table1[[#This Row],[PLAN MC-0
start]])/30,2),"")</f>
        <v>4.4000000000000004</v>
      </c>
      <c r="IC26">
        <f>DATEDIF(Table1[[#This Row],[PLAN MC-0
start]],Table1[[#This Row],[PLAN TC
finish]],"m")</f>
        <v>4</v>
      </c>
    </row>
    <row r="27" spans="1:237" s="4" customFormat="1" ht="15" hidden="1" customHeight="1" x14ac:dyDescent="0.2">
      <c r="B27" s="311">
        <f>SUBTOTAL(3,$D$5:D27)</f>
        <v>17</v>
      </c>
      <c r="C27" s="348">
        <v>23</v>
      </c>
      <c r="D27" s="315" t="s">
        <v>244</v>
      </c>
      <c r="E27" s="315" t="s">
        <v>372</v>
      </c>
      <c r="F27" s="315" t="s">
        <v>373</v>
      </c>
      <c r="G27" s="349">
        <v>45752</v>
      </c>
      <c r="H27" s="314" t="s">
        <v>247</v>
      </c>
      <c r="I27" s="315" t="s">
        <v>278</v>
      </c>
      <c r="J27" s="315"/>
      <c r="K27" s="338" t="s">
        <v>249</v>
      </c>
      <c r="L27" s="316" t="s">
        <v>250</v>
      </c>
      <c r="M27" s="316" t="s">
        <v>269</v>
      </c>
      <c r="N27" s="107">
        <v>944</v>
      </c>
      <c r="O27" s="31" t="s">
        <v>252</v>
      </c>
      <c r="P27"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 s="87" t="e">
        <v>#N/A</v>
      </c>
      <c r="S27" s="87">
        <v>1</v>
      </c>
      <c r="T27" s="35">
        <f>Table1[[#This Row],[Progres Total Aktual
(%)]]</f>
        <v>1</v>
      </c>
      <c r="U27" s="124">
        <f>Table1[[#This Row],[Progres Aktual
(%)]]-Table1[[#This Row],[Target Progres
(%)]]</f>
        <v>0</v>
      </c>
      <c r="V27" s="350">
        <f>Table1[[#This Row],["Volume
BA MC-0"]]</f>
        <v>933</v>
      </c>
      <c r="W27" s="351">
        <f>Table1[[#This Row],[Total Panjang Pipa Aktual
(Sum-&gt;)3]]</f>
        <v>434.9</v>
      </c>
      <c r="X27" s="47"/>
      <c r="Y27" s="67" t="s">
        <v>374</v>
      </c>
      <c r="Z27" s="67">
        <v>1460858116</v>
      </c>
      <c r="AA27" s="67">
        <f>ROUND((Table1[[#This Row],[Nilai RAB Jaringan
(Exclude Ppn)]]-Table1[[#This Row],[RAB Perizinan]])*1.11+Table1[[#This Row],[RAB Perizinan]],0)</f>
        <v>0</v>
      </c>
      <c r="AB27" s="320">
        <f>SUM(Table1[[#This Row],[RAB Kegiatan Umum]:[RAB Perizinan]])</f>
        <v>0</v>
      </c>
      <c r="AC27" s="320"/>
      <c r="AD27" s="320"/>
      <c r="AE27" s="320"/>
      <c r="AF27" s="320"/>
      <c r="AG27" s="320">
        <v>1502392204</v>
      </c>
      <c r="AH27" s="35" t="e">
        <f>SUM(Table1[[#This Row],[Bobot Keg Umum]:[Bobot Perizinan]])</f>
        <v>#DIV/0!</v>
      </c>
      <c r="AI27" s="35" t="e">
        <f>Table1[[#This Row],[RAB Kegiatan Umum]]/Table1[[#This Row],[Nilai RAB Jaringan
(Exclude Ppn)]]</f>
        <v>#DIV/0!</v>
      </c>
      <c r="AJ27" s="35" t="e">
        <f>Table1[[#This Row],[RAB Pemasangan]]/Table1[[#This Row],[Nilai RAB Jaringan
(Exclude Ppn)]]</f>
        <v>#DIV/0!</v>
      </c>
      <c r="AK27" s="35" t="e">
        <f>Table1[[#This Row],[RAB Pengadaan]]/Table1[[#This Row],[Nilai RAB Jaringan
(Exclude Ppn)]]</f>
        <v>#DIV/0!</v>
      </c>
      <c r="AL27" s="35" t="e">
        <f>Table1[[#This Row],[RAB Perizinan]]/Table1[[#This Row],[Nilai RAB Jaringan
(Exclude Ppn)]]</f>
        <v>#DIV/0!</v>
      </c>
      <c r="AM27" s="47"/>
      <c r="AN27" s="285">
        <v>933</v>
      </c>
      <c r="AO27" s="285">
        <f>SUM(Table1[[#This Row],[Pipa 63 mm]:[Pipa 1,800 mm]])</f>
        <v>0</v>
      </c>
      <c r="AP27" s="285"/>
      <c r="AQ27" s="285"/>
      <c r="AR27" s="285"/>
      <c r="AS27" s="285"/>
      <c r="AT27" s="285"/>
      <c r="AU27" s="285"/>
      <c r="AV27" s="285"/>
      <c r="AW27" s="285"/>
      <c r="AX27" s="285"/>
      <c r="AY27" s="285"/>
      <c r="AZ27" s="285"/>
      <c r="BA27" s="285"/>
      <c r="BB27" s="285"/>
      <c r="BC27" s="285"/>
      <c r="BD27" s="285"/>
      <c r="BE27" s="285"/>
      <c r="BF27" s="285"/>
      <c r="BG27" s="285"/>
      <c r="BH27" s="285"/>
      <c r="BI27" s="285"/>
      <c r="BJ27" s="36">
        <f>SUM(Table1[[#This Row],[Pipa 63 mm2]:[Pipa 1,800 mm21]])</f>
        <v>434.9</v>
      </c>
      <c r="BK27" s="356">
        <v>434.9</v>
      </c>
      <c r="BL27" s="356"/>
      <c r="BM27" s="356"/>
      <c r="BN27" s="356"/>
      <c r="BO27" s="356"/>
      <c r="BP27" s="356"/>
      <c r="BQ27" s="356"/>
      <c r="BR27" s="356"/>
      <c r="BS27" s="356"/>
      <c r="BT27" s="356"/>
      <c r="BU27" s="356"/>
      <c r="BV27" s="356"/>
      <c r="BW27" s="356"/>
      <c r="BX27" s="356"/>
      <c r="BY27" s="356"/>
      <c r="BZ27" s="356"/>
      <c r="CA27" s="356"/>
      <c r="CB27" s="356"/>
      <c r="CC27" s="356"/>
      <c r="CD27" s="356"/>
      <c r="CE27" s="32">
        <v>527</v>
      </c>
      <c r="CF27" s="32"/>
      <c r="CG27" s="32"/>
      <c r="CH27" s="32"/>
      <c r="CI27" s="32">
        <f t="shared" si="3"/>
        <v>527</v>
      </c>
      <c r="CJ27" s="65">
        <f>IF((Table1[[#This Row],["Volume
BA MC-0"]]-Table1[[#This Row],[Total Panjang Pipa Aktual
(Sum-&gt;)3]]-Table1[[#This Row],[Total Volume
tidak dapat dipasang]])&gt;=0,Table1[[#This Row],["Volume
BA MC-0"]]-Table1[[#This Row],[Total Panjang Pipa Aktual
(Sum-&gt;)3]]-Table1[[#This Row],[Total Volume
tidak dapat dipasang]],0)</f>
        <v>0</v>
      </c>
      <c r="CK27" s="47"/>
      <c r="CL27" s="131"/>
      <c r="CM27" s="35"/>
      <c r="CN27" s="131"/>
      <c r="CO27" s="131"/>
      <c r="CP2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 s="66">
        <f>IFERROR(Table1[[#This Row],[Progres Keg. Umum
(%)]]*Table1[[#This Row],[Nilai RAB Jaringan
(file pa aji)]],0)</f>
        <v>0</v>
      </c>
      <c r="CR27" s="66">
        <f>IFERROR(Table1[[#This Row],[Progres MOS
(%)]]*Table1[[#This Row],[Nilai RAB Jaringan
(file pa aji)]],0)</f>
        <v>0</v>
      </c>
      <c r="CS27" s="66">
        <f>IFERROR(Table1[[#This Row],[Progres Pemasangan
(%)]]*Table1[[#This Row],[Nilai RAB Jaringan
(file pa aji)]],0)</f>
        <v>0</v>
      </c>
      <c r="CT27" s="66">
        <f>IFERROR(Table1[[#This Row],[Progres Perizinan
(%)]]*Table1[[#This Row],[Nilai RAB Jaringan
(file pa aji)]],0)</f>
        <v>0</v>
      </c>
      <c r="CU27" s="329">
        <v>514838567</v>
      </c>
      <c r="CV27" s="329">
        <v>514838567</v>
      </c>
      <c r="CW27" s="583">
        <v>514838567</v>
      </c>
      <c r="CX27" s="329">
        <v>514838567</v>
      </c>
      <c r="CY27" s="47"/>
      <c r="CZ27" s="330">
        <v>45439</v>
      </c>
      <c r="DA27" s="330">
        <v>45466</v>
      </c>
      <c r="DB27" s="331"/>
      <c r="DC27" s="316"/>
      <c r="DD27" s="67"/>
      <c r="DE2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7" s="331"/>
      <c r="DG27" s="316"/>
      <c r="DH27" s="67"/>
      <c r="DI2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7" s="330">
        <v>45467</v>
      </c>
      <c r="DK27" s="330">
        <v>45536</v>
      </c>
      <c r="DL27" s="331">
        <v>45521</v>
      </c>
      <c r="DM27" s="357" t="s">
        <v>375</v>
      </c>
      <c r="DN2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 s="331">
        <v>45544</v>
      </c>
      <c r="DP27" s="316" t="s">
        <v>376</v>
      </c>
      <c r="DQ27" s="338" t="s">
        <v>371</v>
      </c>
      <c r="DR2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7" s="330">
        <v>45467</v>
      </c>
      <c r="DT27" s="330" t="e">
        <v>#N/A</v>
      </c>
      <c r="DU27" s="330">
        <v>45508</v>
      </c>
      <c r="DV27" s="330" t="e">
        <v>#N/A</v>
      </c>
      <c r="DW27" s="331"/>
      <c r="DX27" s="316"/>
      <c r="DY27" s="334"/>
      <c r="DZ27" s="334"/>
      <c r="EA2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7" s="331"/>
      <c r="EC27" s="332"/>
      <c r="ED27" s="332"/>
      <c r="EE27" s="330"/>
      <c r="EF27" s="35">
        <v>1</v>
      </c>
      <c r="EG27" s="337">
        <v>1</v>
      </c>
      <c r="EH27" s="316" t="str">
        <f>IF(Table1[[#This Row],[PO Material Aktual 
(%)]]&gt;=100%,"Selesai PO = 100%",IF(Table1[[#This Row],[PO Material Aktual 
(%)]]&gt;=50%,"Proses PO &gt; 100%",IF(Table1[[#This Row],[PO Material Aktual 
(%)]]&gt;0%,"Proses PO &gt; 50%",IF(Table1[[#This Row],[PO Material Aktual 
(%)]]=0,"Belum PO = 0%"))))</f>
        <v>Selesai PO = 100%</v>
      </c>
      <c r="EI2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 s="330">
        <v>45509</v>
      </c>
      <c r="EK27" s="330" t="e">
        <v>#N/A</v>
      </c>
      <c r="EL27" s="330">
        <v>45620</v>
      </c>
      <c r="EM27" s="330" t="e">
        <v>#N/A</v>
      </c>
      <c r="EN27" s="331"/>
      <c r="EO27" s="332"/>
      <c r="EP27" s="332"/>
      <c r="EQ27" s="87">
        <v>1</v>
      </c>
      <c r="ER27" s="87">
        <v>1</v>
      </c>
      <c r="ES27" s="316" t="str">
        <f>IF(Table1[[#This Row],[Progres MOS]]&gt;=100%,"Selesai MOS = 100%",IF(Table1[[#This Row],[Progres MOS]]&gt;=50%,"Proses MOS &gt; 100%",IF(Table1[[#This Row],[Progres MOS]]&gt;0%,"Proses MOS &gt; 50%",IF(Table1[[#This Row],[Progres MOS]]=0,"Belum MOS = 0%"))))</f>
        <v>Selesai MOS = 100%</v>
      </c>
      <c r="ET2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 s="47"/>
      <c r="EV27" s="330">
        <v>45467</v>
      </c>
      <c r="EW27" s="330" t="e">
        <v>#N/A</v>
      </c>
      <c r="EX27" s="330">
        <v>45564</v>
      </c>
      <c r="EY27" s="330" t="e">
        <v>#N/A</v>
      </c>
      <c r="EZ27" s="352" t="s">
        <v>298</v>
      </c>
      <c r="FA27" s="336" t="s">
        <v>259</v>
      </c>
      <c r="FB27" s="330" t="s">
        <v>260</v>
      </c>
      <c r="FC27" s="330">
        <v>45565</v>
      </c>
      <c r="FD27" s="330" t="s">
        <v>260</v>
      </c>
      <c r="FE27" s="330">
        <v>45568</v>
      </c>
      <c r="FF27" s="330">
        <v>45671</v>
      </c>
      <c r="FG27" s="330" t="s">
        <v>260</v>
      </c>
      <c r="FH27" s="330" t="s">
        <v>260</v>
      </c>
      <c r="FI27" s="330">
        <v>45954</v>
      </c>
      <c r="FJ27" s="330" t="s">
        <v>260</v>
      </c>
      <c r="FK27" s="330">
        <v>46087</v>
      </c>
      <c r="FL27" s="336" t="s">
        <v>298</v>
      </c>
      <c r="FM27" s="336">
        <v>45565</v>
      </c>
      <c r="FN27" s="314">
        <f>IF(Table1[[#This Row],[Tanggal Pengajuan Dokumen]]="","",Table1[[#This Row],[PLAN PERMIT
start]]-Table1[[#This Row],[Tanggal Pengajuan Dokumen]])</f>
        <v>-98</v>
      </c>
      <c r="FO27" s="336"/>
      <c r="FP27" s="316"/>
      <c r="FQ27" s="338"/>
      <c r="FR27" s="352"/>
      <c r="FS27" s="338" t="str">
        <f t="shared" si="4"/>
        <v>Sudah Terbit</v>
      </c>
      <c r="FT2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7" s="344">
        <f ca="1">IF(Table1[[#This Row],[Status Izin]]="Selesai",Table1[[#This Row],[PLAN PERMIT
finish]]-Table1[[#This Row],[Tanggal Terbit/ Target Izin Terbit]],ROUNDUP(Table1[[#This Row],[PLAN PERMIT
finish]]-NOW(),0))</f>
        <v>45564</v>
      </c>
      <c r="FV2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 s="344"/>
      <c r="FX27" s="47"/>
      <c r="FY27" s="340"/>
      <c r="FZ27" s="341"/>
      <c r="GA2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 s="330">
        <v>45538</v>
      </c>
      <c r="GC27" s="331">
        <v>45519</v>
      </c>
      <c r="GD2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7" s="330">
        <v>45545</v>
      </c>
      <c r="GF27" s="331">
        <v>45519</v>
      </c>
      <c r="GG2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7" s="330">
        <v>45551</v>
      </c>
      <c r="GI27" s="330">
        <v>45557</v>
      </c>
      <c r="GJ27" s="353">
        <v>45562</v>
      </c>
      <c r="GK2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 s="330">
        <v>45565</v>
      </c>
      <c r="GM27" s="330" t="e">
        <v>#N/A</v>
      </c>
      <c r="GN27" s="330">
        <v>45690</v>
      </c>
      <c r="GO27" s="330" t="e">
        <v>#N/A</v>
      </c>
      <c r="GP27" s="316"/>
      <c r="GQ2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 s="330" t="s">
        <v>261</v>
      </c>
      <c r="GS27" s="330" t="s">
        <v>261</v>
      </c>
      <c r="GT27" s="354">
        <v>45681</v>
      </c>
      <c r="GU27" s="344" t="str">
        <f>IF(Table1[[#This Row],[Hydro Tes Actual
(tanggal)]]&lt;&gt;"","Sudah","Belum")</f>
        <v>Sudah</v>
      </c>
      <c r="GV27" s="330" t="s">
        <v>261</v>
      </c>
      <c r="GW27" s="330" t="s">
        <v>261</v>
      </c>
      <c r="GX27" s="331">
        <v>45701</v>
      </c>
      <c r="GY27" s="344" t="str">
        <f>IF(Table1[[#This Row],[Interkoneksi Actual
(tanggal)]]&lt;&gt;"","Sudah","Belum")</f>
        <v>Sudah</v>
      </c>
      <c r="GZ27" s="330" t="s">
        <v>261</v>
      </c>
      <c r="HA27" s="330" t="s">
        <v>261</v>
      </c>
      <c r="HB27" s="331">
        <v>45721</v>
      </c>
      <c r="HC27" s="344" t="str">
        <f>IF(Table1[[#This Row],[Flushing Actual
(tanggal)]]&lt;&gt;"","Sudah","Belum")</f>
        <v>Sudah</v>
      </c>
      <c r="HD27" s="330">
        <v>45677</v>
      </c>
      <c r="HE27" s="330" t="e">
        <v>#N/A</v>
      </c>
      <c r="HF27" s="330">
        <v>45683</v>
      </c>
      <c r="HG27" s="346">
        <v>45740</v>
      </c>
      <c r="HH2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 s="330" t="s">
        <v>261</v>
      </c>
      <c r="HJ27" s="330" t="s">
        <v>261</v>
      </c>
      <c r="HK27" s="331"/>
      <c r="HL27" s="316"/>
      <c r="HM27" s="330">
        <v>45702</v>
      </c>
      <c r="HN27" s="330">
        <v>45702</v>
      </c>
      <c r="HO27" s="330" t="e">
        <v>#N/A</v>
      </c>
      <c r="HP27" s="346">
        <v>45796</v>
      </c>
      <c r="HQ2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7" s="330">
        <v>45709</v>
      </c>
      <c r="HS27" s="330"/>
      <c r="HT27" s="330">
        <v>45709</v>
      </c>
      <c r="HU27" s="527"/>
      <c r="HV27" s="330">
        <f>IF(Table1[[#This Row],[MC-100 Aktual
(tanggal)]]&lt;&gt;"",Table1[[#This Row],[MC-100 Aktual
(tanggal)]]+5,"")</f>
        <v>45801</v>
      </c>
      <c r="HW2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7" s="47"/>
      <c r="HY27" s="352"/>
      <c r="HZ27" s="352"/>
      <c r="IB27" s="618">
        <f>IFERROR(ROUND((Table1[[#This Row],[PLAN TC
finish]]-Table1[[#This Row],[PLAN MC-0
start]])/30,2),"")</f>
        <v>4.4000000000000004</v>
      </c>
      <c r="IC27">
        <f>DATEDIF(Table1[[#This Row],[PLAN MC-0
start]],Table1[[#This Row],[PLAN TC
finish]],"m")</f>
        <v>4</v>
      </c>
    </row>
    <row r="28" spans="1:237" s="4" customFormat="1" ht="15" hidden="1" customHeight="1" x14ac:dyDescent="0.2">
      <c r="B28" s="311">
        <f>SUBTOTAL(3,$D$5:D28)</f>
        <v>17</v>
      </c>
      <c r="C28" s="348">
        <v>24</v>
      </c>
      <c r="D28" s="315" t="s">
        <v>244</v>
      </c>
      <c r="E28" s="315" t="s">
        <v>377</v>
      </c>
      <c r="F28" s="315" t="s">
        <v>378</v>
      </c>
      <c r="G28" s="349">
        <v>45752</v>
      </c>
      <c r="H28" s="314" t="s">
        <v>247</v>
      </c>
      <c r="I28" s="315" t="s">
        <v>278</v>
      </c>
      <c r="J28" s="315"/>
      <c r="K28" s="338" t="s">
        <v>249</v>
      </c>
      <c r="L28" s="316" t="s">
        <v>250</v>
      </c>
      <c r="M28" s="316" t="s">
        <v>269</v>
      </c>
      <c r="N28" s="107">
        <v>2004</v>
      </c>
      <c r="O28" s="31" t="s">
        <v>252</v>
      </c>
      <c r="P2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 s="87" t="e">
        <v>#N/A</v>
      </c>
      <c r="S28" s="87">
        <v>1</v>
      </c>
      <c r="T28" s="35">
        <f>Table1[[#This Row],[Progres Total Aktual
(%)]]</f>
        <v>1</v>
      </c>
      <c r="U28" s="124">
        <f>Table1[[#This Row],[Progres Aktual
(%)]]-Table1[[#This Row],[Target Progres
(%)]]</f>
        <v>0</v>
      </c>
      <c r="V28" s="350">
        <f>Table1[[#This Row],["Volume
BA MC-0"]]</f>
        <v>1998</v>
      </c>
      <c r="W28" s="351">
        <f>Table1[[#This Row],[Total Panjang Pipa Aktual
(Sum-&gt;)3]]</f>
        <v>1343.3999999999999</v>
      </c>
      <c r="X28" s="47"/>
      <c r="Y28" s="67" t="s">
        <v>379</v>
      </c>
      <c r="Z28" s="67">
        <v>6540363487</v>
      </c>
      <c r="AA28" s="67">
        <f>ROUND((Table1[[#This Row],[Nilai RAB Jaringan
(Exclude Ppn)]]-Table1[[#This Row],[RAB Perizinan]])*1.11+Table1[[#This Row],[RAB Perizinan]],0)</f>
        <v>0</v>
      </c>
      <c r="AB28" s="320">
        <f>SUM(Table1[[#This Row],[RAB Kegiatan Umum]:[RAB Perizinan]])</f>
        <v>0</v>
      </c>
      <c r="AC28" s="320"/>
      <c r="AD28" s="320"/>
      <c r="AE28" s="320"/>
      <c r="AF28" s="320"/>
      <c r="AG28" s="320">
        <v>1502392204</v>
      </c>
      <c r="AH28" s="35" t="e">
        <f>SUM(Table1[[#This Row],[Bobot Keg Umum]:[Bobot Perizinan]])</f>
        <v>#DIV/0!</v>
      </c>
      <c r="AI28" s="35" t="e">
        <f>Table1[[#This Row],[RAB Kegiatan Umum]]/Table1[[#This Row],[Nilai RAB Jaringan
(Exclude Ppn)]]</f>
        <v>#DIV/0!</v>
      </c>
      <c r="AJ28" s="35" t="e">
        <f>Table1[[#This Row],[RAB Pemasangan]]/Table1[[#This Row],[Nilai RAB Jaringan
(Exclude Ppn)]]</f>
        <v>#DIV/0!</v>
      </c>
      <c r="AK28" s="35" t="e">
        <f>Table1[[#This Row],[RAB Pengadaan]]/Table1[[#This Row],[Nilai RAB Jaringan
(Exclude Ppn)]]</f>
        <v>#DIV/0!</v>
      </c>
      <c r="AL28" s="35" t="e">
        <f>Table1[[#This Row],[RAB Perizinan]]/Table1[[#This Row],[Nilai RAB Jaringan
(Exclude Ppn)]]</f>
        <v>#DIV/0!</v>
      </c>
      <c r="AM28" s="47"/>
      <c r="AN28" s="285">
        <v>1998</v>
      </c>
      <c r="AO28" s="285">
        <f>SUM(Table1[[#This Row],[Pipa 63 mm]:[Pipa 1,800 mm]])</f>
        <v>0</v>
      </c>
      <c r="AP28" s="285"/>
      <c r="AQ28" s="285"/>
      <c r="AR28" s="285"/>
      <c r="AS28" s="285"/>
      <c r="AT28" s="285"/>
      <c r="AU28" s="285"/>
      <c r="AV28" s="285"/>
      <c r="AW28" s="285"/>
      <c r="AX28" s="285"/>
      <c r="AY28" s="285"/>
      <c r="AZ28" s="285"/>
      <c r="BA28" s="285"/>
      <c r="BB28" s="285"/>
      <c r="BC28" s="285"/>
      <c r="BD28" s="285"/>
      <c r="BE28" s="285"/>
      <c r="BF28" s="285"/>
      <c r="BG28" s="285"/>
      <c r="BH28" s="285"/>
      <c r="BI28" s="285"/>
      <c r="BJ28" s="36">
        <f>SUM(Table1[[#This Row],[Pipa 63 mm2]:[Pipa 1,800 mm21]])</f>
        <v>1343.3999999999999</v>
      </c>
      <c r="BK28" s="356">
        <v>240.3</v>
      </c>
      <c r="BL28" s="356"/>
      <c r="BM28" s="356"/>
      <c r="BN28" s="356"/>
      <c r="BO28" s="356"/>
      <c r="BP28" s="356"/>
      <c r="BQ28" s="356">
        <v>1103.0999999999999</v>
      </c>
      <c r="BR28" s="356"/>
      <c r="BS28" s="356"/>
      <c r="BT28" s="356"/>
      <c r="BU28" s="356"/>
      <c r="BV28" s="356"/>
      <c r="BW28" s="356"/>
      <c r="BX28" s="356"/>
      <c r="BY28" s="356"/>
      <c r="BZ28" s="356"/>
      <c r="CA28" s="356"/>
      <c r="CB28" s="356"/>
      <c r="CC28" s="356"/>
      <c r="CD28" s="356"/>
      <c r="CE28" s="32">
        <v>821</v>
      </c>
      <c r="CF28" s="32"/>
      <c r="CG28" s="32"/>
      <c r="CH28" s="32"/>
      <c r="CI28" s="32">
        <f t="shared" si="3"/>
        <v>821</v>
      </c>
      <c r="CJ28" s="65">
        <f>IF((Table1[[#This Row],["Volume
BA MC-0"]]-Table1[[#This Row],[Total Panjang Pipa Aktual
(Sum-&gt;)3]]-Table1[[#This Row],[Total Volume
tidak dapat dipasang]])&gt;=0,Table1[[#This Row],["Volume
BA MC-0"]]-Table1[[#This Row],[Total Panjang Pipa Aktual
(Sum-&gt;)3]]-Table1[[#This Row],[Total Volume
tidak dapat dipasang]],0)</f>
        <v>0</v>
      </c>
      <c r="CK28" s="47"/>
      <c r="CL28" s="131"/>
      <c r="CM28" s="35"/>
      <c r="CN28" s="131"/>
      <c r="CO28" s="131"/>
      <c r="CP2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 s="66">
        <f>IFERROR(Table1[[#This Row],[Progres Keg. Umum
(%)]]*Table1[[#This Row],[Nilai RAB Jaringan
(file pa aji)]],0)</f>
        <v>0</v>
      </c>
      <c r="CR28" s="66">
        <f>IFERROR(Table1[[#This Row],[Progres MOS
(%)]]*Table1[[#This Row],[Nilai RAB Jaringan
(file pa aji)]],0)</f>
        <v>0</v>
      </c>
      <c r="CS28" s="66">
        <f>IFERROR(Table1[[#This Row],[Progres Pemasangan
(%)]]*Table1[[#This Row],[Nilai RAB Jaringan
(file pa aji)]],0)</f>
        <v>0</v>
      </c>
      <c r="CT28" s="66">
        <f>IFERROR(Table1[[#This Row],[Progres Perizinan
(%)]]*Table1[[#This Row],[Nilai RAB Jaringan
(file pa aji)]],0)</f>
        <v>0</v>
      </c>
      <c r="CU28" s="329">
        <v>6149321233</v>
      </c>
      <c r="CV28" s="329">
        <v>6149321233</v>
      </c>
      <c r="CW28" s="583">
        <v>6149321233</v>
      </c>
      <c r="CX28" s="329">
        <v>6149321233</v>
      </c>
      <c r="CY28" s="47"/>
      <c r="CZ28" s="330">
        <v>45439</v>
      </c>
      <c r="DA28" s="330">
        <v>45466</v>
      </c>
      <c r="DB28" s="331"/>
      <c r="DC28" s="316"/>
      <c r="DD28" s="67"/>
      <c r="DE2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8" s="331"/>
      <c r="DG28" s="316"/>
      <c r="DH28" s="67"/>
      <c r="DI2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8" s="330">
        <v>45467</v>
      </c>
      <c r="DK28" s="330">
        <v>45536</v>
      </c>
      <c r="DL28" s="331">
        <v>45508</v>
      </c>
      <c r="DM28" s="357" t="s">
        <v>380</v>
      </c>
      <c r="DN2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 s="331">
        <v>45544</v>
      </c>
      <c r="DP28" s="316" t="s">
        <v>381</v>
      </c>
      <c r="DQ28" s="338" t="s">
        <v>371</v>
      </c>
      <c r="DR2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8" s="330">
        <v>45467</v>
      </c>
      <c r="DT28" s="330" t="e">
        <v>#N/A</v>
      </c>
      <c r="DU28" s="330">
        <v>45508</v>
      </c>
      <c r="DV28" s="330" t="e">
        <v>#N/A</v>
      </c>
      <c r="DW28" s="331"/>
      <c r="DX28" s="316"/>
      <c r="DY28" s="334"/>
      <c r="DZ28" s="334"/>
      <c r="EA2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8" s="331"/>
      <c r="EC28" s="332"/>
      <c r="ED28" s="332"/>
      <c r="EE28" s="330"/>
      <c r="EF28" s="35">
        <v>1</v>
      </c>
      <c r="EG28" s="337">
        <v>1</v>
      </c>
      <c r="EH28" s="316" t="str">
        <f>IF(Table1[[#This Row],[PO Material Aktual 
(%)]]&gt;=100%,"Selesai PO = 100%",IF(Table1[[#This Row],[PO Material Aktual 
(%)]]&gt;=50%,"Proses PO &gt; 100%",IF(Table1[[#This Row],[PO Material Aktual 
(%)]]&gt;0%,"Proses PO &gt; 50%",IF(Table1[[#This Row],[PO Material Aktual 
(%)]]=0,"Belum PO = 0%"))))</f>
        <v>Selesai PO = 100%</v>
      </c>
      <c r="EI2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 s="330">
        <v>45509</v>
      </c>
      <c r="EK28" s="330" t="e">
        <v>#N/A</v>
      </c>
      <c r="EL28" s="330">
        <v>45620</v>
      </c>
      <c r="EM28" s="330" t="e">
        <v>#N/A</v>
      </c>
      <c r="EN28" s="331"/>
      <c r="EO28" s="332"/>
      <c r="EP28" s="332"/>
      <c r="EQ28" s="87">
        <v>1</v>
      </c>
      <c r="ER28" s="87">
        <v>1</v>
      </c>
      <c r="ES28" s="316" t="str">
        <f>IF(Table1[[#This Row],[Progres MOS]]&gt;=100%,"Selesai MOS = 100%",IF(Table1[[#This Row],[Progres MOS]]&gt;=50%,"Proses MOS &gt; 100%",IF(Table1[[#This Row],[Progres MOS]]&gt;0%,"Proses MOS &gt; 50%",IF(Table1[[#This Row],[Progres MOS]]=0,"Belum MOS = 0%"))))</f>
        <v>Selesai MOS = 100%</v>
      </c>
      <c r="ET2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 s="47"/>
      <c r="EV28" s="330">
        <v>45467</v>
      </c>
      <c r="EW28" s="330" t="e">
        <v>#N/A</v>
      </c>
      <c r="EX28" s="330">
        <v>45564</v>
      </c>
      <c r="EY28" s="330" t="e">
        <v>#N/A</v>
      </c>
      <c r="EZ28" s="352" t="s">
        <v>298</v>
      </c>
      <c r="FA28" s="336" t="s">
        <v>259</v>
      </c>
      <c r="FB28" s="330" t="s">
        <v>260</v>
      </c>
      <c r="FC28" s="330">
        <v>45565</v>
      </c>
      <c r="FD28" s="330" t="s">
        <v>260</v>
      </c>
      <c r="FE28" s="330">
        <v>45568</v>
      </c>
      <c r="FF28" s="330">
        <v>45671</v>
      </c>
      <c r="FG28" s="330" t="s">
        <v>260</v>
      </c>
      <c r="FH28" s="330" t="s">
        <v>260</v>
      </c>
      <c r="FI28" s="330">
        <v>45954</v>
      </c>
      <c r="FJ28" s="330" t="s">
        <v>260</v>
      </c>
      <c r="FK28" s="330">
        <v>46087</v>
      </c>
      <c r="FL28" s="336" t="s">
        <v>298</v>
      </c>
      <c r="FM28" s="336">
        <v>45565</v>
      </c>
      <c r="FN28" s="314">
        <f>IF(Table1[[#This Row],[Tanggal Pengajuan Dokumen]]="","",Table1[[#This Row],[PLAN PERMIT
start]]-Table1[[#This Row],[Tanggal Pengajuan Dokumen]])</f>
        <v>-98</v>
      </c>
      <c r="FO28" s="336"/>
      <c r="FP28" s="316"/>
      <c r="FQ28" s="338"/>
      <c r="FR28" s="352"/>
      <c r="FS28" s="338" t="str">
        <f t="shared" si="4"/>
        <v>Sudah Terbit</v>
      </c>
      <c r="FT2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 s="344">
        <f ca="1">IF(Table1[[#This Row],[Status Izin]]="Selesai",Table1[[#This Row],[PLAN PERMIT
finish]]-Table1[[#This Row],[Tanggal Terbit/ Target Izin Terbit]],ROUNDUP(Table1[[#This Row],[PLAN PERMIT
finish]]-NOW(),0))</f>
        <v>45564</v>
      </c>
      <c r="FV2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 s="344"/>
      <c r="FX28" s="47"/>
      <c r="FY28" s="340"/>
      <c r="FZ28" s="341"/>
      <c r="GA2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 s="330">
        <v>45538</v>
      </c>
      <c r="GC28" s="331">
        <v>45519</v>
      </c>
      <c r="GD2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 s="330">
        <v>45545</v>
      </c>
      <c r="GF28" s="331">
        <v>45519</v>
      </c>
      <c r="GG2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 s="330">
        <v>45551</v>
      </c>
      <c r="GI28" s="330">
        <v>45557</v>
      </c>
      <c r="GJ28" s="353">
        <v>45560</v>
      </c>
      <c r="GK2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8" s="330">
        <v>45565</v>
      </c>
      <c r="GM28" s="330" t="e">
        <v>#N/A</v>
      </c>
      <c r="GN28" s="330">
        <v>45690</v>
      </c>
      <c r="GO28" s="330" t="e">
        <v>#N/A</v>
      </c>
      <c r="GP28" s="316"/>
      <c r="GQ2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 s="330" t="s">
        <v>261</v>
      </c>
      <c r="GS28" s="330" t="s">
        <v>261</v>
      </c>
      <c r="GT28" s="354">
        <v>45752</v>
      </c>
      <c r="GU28" s="344" t="str">
        <f>IF(Table1[[#This Row],[Hydro Tes Actual
(tanggal)]]&lt;&gt;"","Sudah","Belum")</f>
        <v>Sudah</v>
      </c>
      <c r="GV28" s="330" t="s">
        <v>261</v>
      </c>
      <c r="GW28" s="330" t="s">
        <v>261</v>
      </c>
      <c r="GX28" s="331">
        <v>45766</v>
      </c>
      <c r="GY28" s="344" t="str">
        <f>IF(Table1[[#This Row],[Interkoneksi Actual
(tanggal)]]&lt;&gt;"","Sudah","Belum")</f>
        <v>Sudah</v>
      </c>
      <c r="GZ28" s="330" t="s">
        <v>261</v>
      </c>
      <c r="HA28" s="330" t="s">
        <v>261</v>
      </c>
      <c r="HB28" s="331">
        <v>45769</v>
      </c>
      <c r="HC28" s="344" t="str">
        <f>IF(Table1[[#This Row],[Flushing Actual
(tanggal)]]&lt;&gt;"","Sudah","Belum")</f>
        <v>Sudah</v>
      </c>
      <c r="HD28" s="330">
        <v>45677</v>
      </c>
      <c r="HE28" s="330" t="e">
        <v>#N/A</v>
      </c>
      <c r="HF28" s="330">
        <v>45683</v>
      </c>
      <c r="HG28" s="346">
        <v>45791</v>
      </c>
      <c r="HH2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 s="330" t="s">
        <v>261</v>
      </c>
      <c r="HJ28" s="330" t="s">
        <v>261</v>
      </c>
      <c r="HK28" s="331"/>
      <c r="HL28" s="316"/>
      <c r="HM28" s="330">
        <v>45702</v>
      </c>
      <c r="HN28" s="330">
        <v>45702</v>
      </c>
      <c r="HO28" s="330" t="e">
        <v>#N/A</v>
      </c>
      <c r="HP28" s="346">
        <v>45813</v>
      </c>
      <c r="HQ2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8" s="330">
        <v>45709</v>
      </c>
      <c r="HS28" s="330"/>
      <c r="HT28" s="330">
        <v>45709</v>
      </c>
      <c r="HU28" s="527"/>
      <c r="HV28" s="330">
        <f>IF(Table1[[#This Row],[MC-100 Aktual
(tanggal)]]&lt;&gt;"",Table1[[#This Row],[MC-100 Aktual
(tanggal)]]+5,"")</f>
        <v>45818</v>
      </c>
      <c r="HW2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8" s="47"/>
      <c r="HY28" s="352"/>
      <c r="HZ28" s="352"/>
      <c r="IB28" s="618">
        <f>IFERROR(ROUND((Table1[[#This Row],[PLAN TC
finish]]-Table1[[#This Row],[PLAN MC-0
start]])/30,2),"")</f>
        <v>4.4000000000000004</v>
      </c>
      <c r="IC28">
        <f>DATEDIF(Table1[[#This Row],[PLAN MC-0
start]],Table1[[#This Row],[PLAN TC
finish]],"m")</f>
        <v>4</v>
      </c>
    </row>
    <row r="29" spans="1:237" s="4" customFormat="1" ht="15" hidden="1" customHeight="1" x14ac:dyDescent="0.2">
      <c r="B29" s="311">
        <f>SUBTOTAL(3,$D$5:D29)</f>
        <v>17</v>
      </c>
      <c r="C29" s="348">
        <v>25</v>
      </c>
      <c r="D29" s="315" t="s">
        <v>244</v>
      </c>
      <c r="E29" s="315" t="s">
        <v>382</v>
      </c>
      <c r="F29" s="315" t="s">
        <v>383</v>
      </c>
      <c r="G29" s="349">
        <v>45752</v>
      </c>
      <c r="H29" s="314" t="s">
        <v>247</v>
      </c>
      <c r="I29" s="315" t="s">
        <v>278</v>
      </c>
      <c r="J29" s="315"/>
      <c r="K29" s="338" t="s">
        <v>249</v>
      </c>
      <c r="L29" s="316" t="s">
        <v>250</v>
      </c>
      <c r="M29" s="316" t="s">
        <v>269</v>
      </c>
      <c r="N29" s="107">
        <v>6731</v>
      </c>
      <c r="O29" s="31" t="s">
        <v>252</v>
      </c>
      <c r="P2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 s="87" t="e">
        <v>#N/A</v>
      </c>
      <c r="S29" s="87">
        <v>1</v>
      </c>
      <c r="T29" s="35">
        <f>Table1[[#This Row],[Progres Total Aktual
(%)]]</f>
        <v>1</v>
      </c>
      <c r="U29" s="124">
        <f>Table1[[#This Row],[Progres Aktual
(%)]]-Table1[[#This Row],[Target Progres
(%)]]</f>
        <v>0</v>
      </c>
      <c r="V29" s="350">
        <f>Table1[[#This Row],["Volume
BA MC-0"]]</f>
        <v>6906</v>
      </c>
      <c r="W29" s="351">
        <f>Table1[[#This Row],[Total Panjang Pipa Aktual
(Sum-&gt;)3]]</f>
        <v>6730.9000000000005</v>
      </c>
      <c r="X29" s="47"/>
      <c r="Y29" s="67" t="s">
        <v>384</v>
      </c>
      <c r="Z29" s="67">
        <v>8967090110</v>
      </c>
      <c r="AA29" s="67">
        <f>ROUND((Table1[[#This Row],[Nilai RAB Jaringan
(Exclude Ppn)]]-Table1[[#This Row],[RAB Perizinan]])*1.11+Table1[[#This Row],[RAB Perizinan]],0)</f>
        <v>0</v>
      </c>
      <c r="AB29" s="320">
        <f>SUM(Table1[[#This Row],[RAB Kegiatan Umum]:[RAB Perizinan]])</f>
        <v>0</v>
      </c>
      <c r="AC29" s="320"/>
      <c r="AD29" s="320"/>
      <c r="AE29" s="320"/>
      <c r="AF29" s="320"/>
      <c r="AG29" s="320">
        <v>1137554807</v>
      </c>
      <c r="AH29" s="35" t="e">
        <f>SUM(Table1[[#This Row],[Bobot Keg Umum]:[Bobot Perizinan]])</f>
        <v>#DIV/0!</v>
      </c>
      <c r="AI29" s="35" t="e">
        <f>Table1[[#This Row],[RAB Kegiatan Umum]]/Table1[[#This Row],[Nilai RAB Jaringan
(Exclude Ppn)]]</f>
        <v>#DIV/0!</v>
      </c>
      <c r="AJ29" s="35" t="e">
        <f>Table1[[#This Row],[RAB Pemasangan]]/Table1[[#This Row],[Nilai RAB Jaringan
(Exclude Ppn)]]</f>
        <v>#DIV/0!</v>
      </c>
      <c r="AK29" s="35" t="e">
        <f>Table1[[#This Row],[RAB Pengadaan]]/Table1[[#This Row],[Nilai RAB Jaringan
(Exclude Ppn)]]</f>
        <v>#DIV/0!</v>
      </c>
      <c r="AL29" s="35" t="e">
        <f>Table1[[#This Row],[RAB Perizinan]]/Table1[[#This Row],[Nilai RAB Jaringan
(Exclude Ppn)]]</f>
        <v>#DIV/0!</v>
      </c>
      <c r="AM29" s="47"/>
      <c r="AN29" s="285">
        <v>6906</v>
      </c>
      <c r="AO29" s="285">
        <f>SUM(Table1[[#This Row],[Pipa 63 mm]:[Pipa 1,800 mm]])</f>
        <v>0</v>
      </c>
      <c r="AP29" s="285"/>
      <c r="AQ29" s="285"/>
      <c r="AR29" s="285"/>
      <c r="AS29" s="285"/>
      <c r="AT29" s="285"/>
      <c r="AU29" s="285"/>
      <c r="AV29" s="285"/>
      <c r="AW29" s="285"/>
      <c r="AX29" s="285"/>
      <c r="AY29" s="285"/>
      <c r="AZ29" s="285"/>
      <c r="BA29" s="285"/>
      <c r="BB29" s="285"/>
      <c r="BC29" s="285"/>
      <c r="BD29" s="285"/>
      <c r="BE29" s="285"/>
      <c r="BF29" s="285"/>
      <c r="BG29" s="285"/>
      <c r="BH29" s="285"/>
      <c r="BI29" s="285"/>
      <c r="BJ29" s="36">
        <f>SUM(Table1[[#This Row],[Pipa 63 mm2]:[Pipa 1,800 mm21]])</f>
        <v>6730.9000000000005</v>
      </c>
      <c r="BK29" s="356">
        <v>5253.6</v>
      </c>
      <c r="BL29" s="356">
        <v>356.6</v>
      </c>
      <c r="BM29" s="356">
        <v>1120.7</v>
      </c>
      <c r="BN29" s="356"/>
      <c r="BO29" s="356"/>
      <c r="BP29" s="356"/>
      <c r="BQ29" s="356"/>
      <c r="BR29" s="356"/>
      <c r="BS29" s="356"/>
      <c r="BT29" s="356"/>
      <c r="BU29" s="356"/>
      <c r="BV29" s="356"/>
      <c r="BW29" s="356"/>
      <c r="BX29" s="356"/>
      <c r="BY29" s="356"/>
      <c r="BZ29" s="356"/>
      <c r="CA29" s="356"/>
      <c r="CB29" s="356"/>
      <c r="CC29" s="356"/>
      <c r="CD29" s="356"/>
      <c r="CE29" s="32">
        <v>0</v>
      </c>
      <c r="CF29" s="32"/>
      <c r="CG29" s="32"/>
      <c r="CH29" s="32"/>
      <c r="CI29" s="32">
        <f t="shared" si="3"/>
        <v>0</v>
      </c>
      <c r="CJ29" s="65">
        <f>IF((Table1[[#This Row],["Volume
BA MC-0"]]-Table1[[#This Row],[Total Panjang Pipa Aktual
(Sum-&gt;)3]]-Table1[[#This Row],[Total Volume
tidak dapat dipasang]])&gt;=0,Table1[[#This Row],["Volume
BA MC-0"]]-Table1[[#This Row],[Total Panjang Pipa Aktual
(Sum-&gt;)3]]-Table1[[#This Row],[Total Volume
tidak dapat dipasang]],0)</f>
        <v>175.09999999999945</v>
      </c>
      <c r="CK29" s="47"/>
      <c r="CL29" s="131"/>
      <c r="CM29" s="35"/>
      <c r="CN29" s="131"/>
      <c r="CO29" s="131"/>
      <c r="CP2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 s="66">
        <f>IFERROR(Table1[[#This Row],[Progres Keg. Umum
(%)]]*Table1[[#This Row],[Nilai RAB Jaringan
(file pa aji)]],0)</f>
        <v>0</v>
      </c>
      <c r="CR29" s="66">
        <f>IFERROR(Table1[[#This Row],[Progres MOS
(%)]]*Table1[[#This Row],[Nilai RAB Jaringan
(file pa aji)]],0)</f>
        <v>0</v>
      </c>
      <c r="CS29" s="66">
        <f>IFERROR(Table1[[#This Row],[Progres Pemasangan
(%)]]*Table1[[#This Row],[Nilai RAB Jaringan
(file pa aji)]],0)</f>
        <v>0</v>
      </c>
      <c r="CT29" s="66">
        <f>IFERROR(Table1[[#This Row],[Progres Perizinan
(%)]]*Table1[[#This Row],[Nilai RAB Jaringan
(file pa aji)]],0)</f>
        <v>0</v>
      </c>
      <c r="CU29" s="329">
        <v>7069388615</v>
      </c>
      <c r="CV29" s="329">
        <v>7069388615</v>
      </c>
      <c r="CW29" s="583">
        <v>7069388615</v>
      </c>
      <c r="CX29" s="329">
        <v>7069388615</v>
      </c>
      <c r="CY29" s="47"/>
      <c r="CZ29" s="330">
        <v>45439</v>
      </c>
      <c r="DA29" s="330">
        <v>45466</v>
      </c>
      <c r="DB29" s="331"/>
      <c r="DC29" s="316"/>
      <c r="DD29" s="67"/>
      <c r="DE2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9" s="331"/>
      <c r="DG29" s="316"/>
      <c r="DH29" s="67"/>
      <c r="DI2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9" s="330">
        <v>45467</v>
      </c>
      <c r="DK29" s="330">
        <v>45536</v>
      </c>
      <c r="DL29" s="331">
        <v>45509</v>
      </c>
      <c r="DM29" s="357" t="s">
        <v>385</v>
      </c>
      <c r="DN2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 s="331">
        <v>45544</v>
      </c>
      <c r="DP29" s="316" t="s">
        <v>386</v>
      </c>
      <c r="DQ29" s="338" t="s">
        <v>371</v>
      </c>
      <c r="DR2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9" s="330">
        <v>45467</v>
      </c>
      <c r="DT29" s="330" t="e">
        <v>#N/A</v>
      </c>
      <c r="DU29" s="330">
        <v>45508</v>
      </c>
      <c r="DV29" s="330" t="e">
        <v>#N/A</v>
      </c>
      <c r="DW29" s="331"/>
      <c r="DX29" s="316"/>
      <c r="DY29" s="334"/>
      <c r="DZ29" s="334"/>
      <c r="EA2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9" s="331"/>
      <c r="EC29" s="332"/>
      <c r="ED29" s="332"/>
      <c r="EE29" s="330"/>
      <c r="EF29" s="35">
        <v>1</v>
      </c>
      <c r="EG29" s="337">
        <v>1</v>
      </c>
      <c r="EH29" s="316" t="str">
        <f>IF(Table1[[#This Row],[PO Material Aktual 
(%)]]&gt;=100%,"Selesai PO = 100%",IF(Table1[[#This Row],[PO Material Aktual 
(%)]]&gt;=50%,"Proses PO &gt; 100%",IF(Table1[[#This Row],[PO Material Aktual 
(%)]]&gt;0%,"Proses PO &gt; 50%",IF(Table1[[#This Row],[PO Material Aktual 
(%)]]=0,"Belum PO = 0%"))))</f>
        <v>Selesai PO = 100%</v>
      </c>
      <c r="EI2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 s="330">
        <v>45509</v>
      </c>
      <c r="EK29" s="330" t="e">
        <v>#N/A</v>
      </c>
      <c r="EL29" s="330">
        <v>45620</v>
      </c>
      <c r="EM29" s="330" t="e">
        <v>#N/A</v>
      </c>
      <c r="EN29" s="331"/>
      <c r="EO29" s="332"/>
      <c r="EP29" s="332"/>
      <c r="EQ29" s="87">
        <v>1</v>
      </c>
      <c r="ER29" s="87">
        <v>1</v>
      </c>
      <c r="ES29" s="316" t="str">
        <f>IF(Table1[[#This Row],[Progres MOS]]&gt;=100%,"Selesai MOS = 100%",IF(Table1[[#This Row],[Progres MOS]]&gt;=50%,"Proses MOS &gt; 100%",IF(Table1[[#This Row],[Progres MOS]]&gt;0%,"Proses MOS &gt; 50%",IF(Table1[[#This Row],[Progres MOS]]=0,"Belum MOS = 0%"))))</f>
        <v>Selesai MOS = 100%</v>
      </c>
      <c r="ET2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 s="47"/>
      <c r="EV29" s="330">
        <v>45467</v>
      </c>
      <c r="EW29" s="330" t="e">
        <v>#N/A</v>
      </c>
      <c r="EX29" s="330">
        <v>45564</v>
      </c>
      <c r="EY29" s="330" t="e">
        <v>#N/A</v>
      </c>
      <c r="EZ29" s="352" t="s">
        <v>298</v>
      </c>
      <c r="FA29" s="336" t="s">
        <v>259</v>
      </c>
      <c r="FB29" s="330" t="s">
        <v>260</v>
      </c>
      <c r="FC29" s="330">
        <v>45539</v>
      </c>
      <c r="FD29" s="330" t="s">
        <v>260</v>
      </c>
      <c r="FE29" s="330">
        <v>45569</v>
      </c>
      <c r="FF29" s="330">
        <v>45727</v>
      </c>
      <c r="FG29" s="330" t="s">
        <v>260</v>
      </c>
      <c r="FH29" s="330" t="s">
        <v>260</v>
      </c>
      <c r="FI29" s="330">
        <v>46020</v>
      </c>
      <c r="FJ29" s="330" t="s">
        <v>260</v>
      </c>
      <c r="FK29" s="330">
        <v>46090</v>
      </c>
      <c r="FL29" s="336" t="s">
        <v>298</v>
      </c>
      <c r="FM29" s="336">
        <v>45539</v>
      </c>
      <c r="FN29" s="314">
        <f>IF(Table1[[#This Row],[Tanggal Pengajuan Dokumen]]="","",Table1[[#This Row],[PLAN PERMIT
start]]-Table1[[#This Row],[Tanggal Pengajuan Dokumen]])</f>
        <v>-72</v>
      </c>
      <c r="FO29" s="336"/>
      <c r="FP29" s="316"/>
      <c r="FQ29" s="338"/>
      <c r="FR29" s="352"/>
      <c r="FS29" s="338" t="str">
        <f t="shared" si="4"/>
        <v>Sudah Terbit</v>
      </c>
      <c r="FT2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 s="344">
        <f ca="1">IF(Table1[[#This Row],[Status Izin]]="Selesai",Table1[[#This Row],[PLAN PERMIT
finish]]-Table1[[#This Row],[Tanggal Terbit/ Target Izin Terbit]],ROUNDUP(Table1[[#This Row],[PLAN PERMIT
finish]]-NOW(),0))</f>
        <v>45564</v>
      </c>
      <c r="FV2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 s="344"/>
      <c r="FX29" s="47"/>
      <c r="FY29" s="340"/>
      <c r="FZ29" s="341"/>
      <c r="GA2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 s="330">
        <v>45538</v>
      </c>
      <c r="GC29" s="331">
        <v>45519</v>
      </c>
      <c r="GD2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 s="330">
        <v>45545</v>
      </c>
      <c r="GF29" s="331">
        <v>45519</v>
      </c>
      <c r="GG2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 s="330">
        <v>45551</v>
      </c>
      <c r="GI29" s="330">
        <v>45557</v>
      </c>
      <c r="GJ29" s="353">
        <v>45558</v>
      </c>
      <c r="GK2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9" s="330">
        <v>45565</v>
      </c>
      <c r="GM29" s="330" t="e">
        <v>#N/A</v>
      </c>
      <c r="GN29" s="330">
        <v>45690</v>
      </c>
      <c r="GO29" s="330" t="e">
        <v>#N/A</v>
      </c>
      <c r="GP29" s="316"/>
      <c r="GQ2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 s="330" t="s">
        <v>261</v>
      </c>
      <c r="GS29" s="330" t="s">
        <v>261</v>
      </c>
      <c r="GT29" s="354">
        <v>45771</v>
      </c>
      <c r="GU29" s="344" t="str">
        <f>IF(Table1[[#This Row],[Hydro Tes Actual
(tanggal)]]&lt;&gt;"","Sudah","Belum")</f>
        <v>Sudah</v>
      </c>
      <c r="GV29" s="330" t="s">
        <v>261</v>
      </c>
      <c r="GW29" s="330" t="s">
        <v>261</v>
      </c>
      <c r="GX29" s="331">
        <v>45756</v>
      </c>
      <c r="GY29" s="344" t="str">
        <f>IF(Table1[[#This Row],[Interkoneksi Actual
(tanggal)]]&lt;&gt;"","Sudah","Belum")</f>
        <v>Sudah</v>
      </c>
      <c r="GZ29" s="330" t="s">
        <v>261</v>
      </c>
      <c r="HA29" s="330" t="s">
        <v>261</v>
      </c>
      <c r="HB29" s="331">
        <v>45769</v>
      </c>
      <c r="HC29" s="344" t="str">
        <f>IF(Table1[[#This Row],[Flushing Actual
(tanggal)]]&lt;&gt;"","Sudah","Belum")</f>
        <v>Sudah</v>
      </c>
      <c r="HD29" s="330">
        <v>45677</v>
      </c>
      <c r="HE29" s="330" t="e">
        <v>#N/A</v>
      </c>
      <c r="HF29" s="330">
        <v>45683</v>
      </c>
      <c r="HG29" s="346">
        <v>45779</v>
      </c>
      <c r="HH2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 s="330" t="s">
        <v>261</v>
      </c>
      <c r="HJ29" s="330" t="s">
        <v>261</v>
      </c>
      <c r="HK29" s="331"/>
      <c r="HL29" s="316"/>
      <c r="HM29" s="330">
        <v>45702</v>
      </c>
      <c r="HN29" s="330">
        <v>45702</v>
      </c>
      <c r="HO29" s="330" t="e">
        <v>#N/A</v>
      </c>
      <c r="HP29" s="346">
        <v>45796</v>
      </c>
      <c r="HQ2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9" s="330">
        <v>45709</v>
      </c>
      <c r="HS29" s="330"/>
      <c r="HT29" s="330">
        <v>45709</v>
      </c>
      <c r="HU29" s="527"/>
      <c r="HV29" s="330">
        <f>IF(Table1[[#This Row],[MC-100 Aktual
(tanggal)]]&lt;&gt;"",Table1[[#This Row],[MC-100 Aktual
(tanggal)]]+5,"")</f>
        <v>45801</v>
      </c>
      <c r="HW2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9" s="47"/>
      <c r="HY29" s="352"/>
      <c r="HZ29" s="352"/>
      <c r="IB29" s="618">
        <f>IFERROR(ROUND((Table1[[#This Row],[PLAN TC
finish]]-Table1[[#This Row],[PLAN MC-0
start]])/30,2),"")</f>
        <v>4.4000000000000004</v>
      </c>
      <c r="IC29">
        <f>DATEDIF(Table1[[#This Row],[PLAN MC-0
start]],Table1[[#This Row],[PLAN TC
finish]],"m")</f>
        <v>4</v>
      </c>
    </row>
    <row r="30" spans="1:237" s="30" customFormat="1" ht="15" hidden="1" customHeight="1" x14ac:dyDescent="0.2">
      <c r="A30" s="77"/>
      <c r="B30" s="311">
        <f>SUBTOTAL(3,$D$5:D30)</f>
        <v>17</v>
      </c>
      <c r="C30" s="362">
        <v>26</v>
      </c>
      <c r="D30" s="363" t="s">
        <v>244</v>
      </c>
      <c r="E30" s="363" t="s">
        <v>387</v>
      </c>
      <c r="F30" s="363" t="s">
        <v>388</v>
      </c>
      <c r="G30" s="364">
        <v>45752</v>
      </c>
      <c r="H30" s="365" t="s">
        <v>247</v>
      </c>
      <c r="I30" s="363" t="s">
        <v>278</v>
      </c>
      <c r="J30" s="363"/>
      <c r="K30" s="366" t="s">
        <v>249</v>
      </c>
      <c r="L30" s="367" t="s">
        <v>250</v>
      </c>
      <c r="M30" s="367" t="s">
        <v>269</v>
      </c>
      <c r="N30" s="368">
        <v>133</v>
      </c>
      <c r="O30" s="369" t="s">
        <v>252</v>
      </c>
      <c r="P30" s="37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 s="370" t="s">
        <v>389</v>
      </c>
      <c r="R30" s="88" t="e">
        <v>#N/A</v>
      </c>
      <c r="S30" s="88">
        <v>1</v>
      </c>
      <c r="T30" s="371">
        <f>Table1[[#This Row],[Progres Total Aktual
(%)]]</f>
        <v>0</v>
      </c>
      <c r="U30" s="372">
        <f>Table1[[#This Row],[Progres Aktual
(%)]]-Table1[[#This Row],[Target Progres
(%)]]</f>
        <v>-1</v>
      </c>
      <c r="V30" s="373">
        <f>Table1[[#This Row],["Volume
BA MC-0"]]</f>
        <v>0</v>
      </c>
      <c r="W30" s="374">
        <f>Table1[[#This Row],[Total Panjang Pipa Aktual
(Sum-&gt;)3]]</f>
        <v>0</v>
      </c>
      <c r="X30" s="47"/>
      <c r="Y30" s="375" t="s">
        <v>390</v>
      </c>
      <c r="Z30" s="375">
        <v>190276112</v>
      </c>
      <c r="AA30" s="375">
        <f>ROUND((Table1[[#This Row],[Nilai RAB Jaringan
(Exclude Ppn)]]-Table1[[#This Row],[RAB Perizinan]])*1.11+Table1[[#This Row],[RAB Perizinan]],0)</f>
        <v>0</v>
      </c>
      <c r="AB30" s="370">
        <f>SUM(Table1[[#This Row],[RAB Kegiatan Umum]:[RAB Perizinan]])</f>
        <v>0</v>
      </c>
      <c r="AC30" s="370"/>
      <c r="AD30" s="370"/>
      <c r="AE30" s="370"/>
      <c r="AF30" s="370"/>
      <c r="AG30" s="370">
        <v>1526987984</v>
      </c>
      <c r="AH30" s="371" t="e">
        <f>SUM(Table1[[#This Row],[Bobot Keg Umum]:[Bobot Perizinan]])</f>
        <v>#DIV/0!</v>
      </c>
      <c r="AI30" s="371" t="e">
        <f>Table1[[#This Row],[RAB Kegiatan Umum]]/Table1[[#This Row],[Nilai RAB Jaringan
(Exclude Ppn)]]</f>
        <v>#DIV/0!</v>
      </c>
      <c r="AJ30" s="371" t="e">
        <f>Table1[[#This Row],[RAB Pemasangan]]/Table1[[#This Row],[Nilai RAB Jaringan
(Exclude Ppn)]]</f>
        <v>#DIV/0!</v>
      </c>
      <c r="AK30" s="371" t="e">
        <f>Table1[[#This Row],[RAB Pengadaan]]/Table1[[#This Row],[Nilai RAB Jaringan
(Exclude Ppn)]]</f>
        <v>#DIV/0!</v>
      </c>
      <c r="AL30" s="371" t="e">
        <f>Table1[[#This Row],[RAB Perizinan]]/Table1[[#This Row],[Nilai RAB Jaringan
(Exclude Ppn)]]</f>
        <v>#DIV/0!</v>
      </c>
      <c r="AM30" s="47"/>
      <c r="AN30" s="376">
        <v>0</v>
      </c>
      <c r="AO30" s="376">
        <f>SUM(Table1[[#This Row],[Pipa 63 mm]:[Pipa 1,800 mm]])</f>
        <v>0</v>
      </c>
      <c r="AP30" s="376"/>
      <c r="AQ30" s="376"/>
      <c r="AR30" s="376"/>
      <c r="AS30" s="376"/>
      <c r="AT30" s="376"/>
      <c r="AU30" s="376"/>
      <c r="AV30" s="376"/>
      <c r="AW30" s="376"/>
      <c r="AX30" s="376"/>
      <c r="AY30" s="376"/>
      <c r="AZ30" s="376"/>
      <c r="BA30" s="376"/>
      <c r="BB30" s="376"/>
      <c r="BC30" s="376"/>
      <c r="BD30" s="376"/>
      <c r="BE30" s="376"/>
      <c r="BF30" s="376"/>
      <c r="BG30" s="376"/>
      <c r="BH30" s="376"/>
      <c r="BI30" s="376"/>
      <c r="BJ30" s="377">
        <f>SUM(Table1[[#This Row],[Pipa 63 mm2]:[Pipa 1,800 mm21]])</f>
        <v>0</v>
      </c>
      <c r="BK30" s="378"/>
      <c r="BL30" s="378"/>
      <c r="BM30" s="378"/>
      <c r="BN30" s="378"/>
      <c r="BO30" s="378"/>
      <c r="BP30" s="378"/>
      <c r="BQ30" s="378"/>
      <c r="BR30" s="378"/>
      <c r="BS30" s="378"/>
      <c r="BT30" s="378"/>
      <c r="BU30" s="378"/>
      <c r="BV30" s="378"/>
      <c r="BW30" s="378"/>
      <c r="BX30" s="378"/>
      <c r="BY30" s="378"/>
      <c r="BZ30" s="378"/>
      <c r="CA30" s="378"/>
      <c r="CB30" s="378"/>
      <c r="CC30" s="378"/>
      <c r="CD30" s="378"/>
      <c r="CE30" s="378">
        <v>0</v>
      </c>
      <c r="CF30" s="378"/>
      <c r="CG30" s="378"/>
      <c r="CH30" s="378"/>
      <c r="CI30" s="378">
        <f t="shared" si="3"/>
        <v>0</v>
      </c>
      <c r="CJ30" s="378">
        <f>IF((Table1[[#This Row],["Volume
BA MC-0"]]-Table1[[#This Row],[Total Panjang Pipa Aktual
(Sum-&gt;)3]]-Table1[[#This Row],[Total Volume
tidak dapat dipasang]])&gt;=0,Table1[[#This Row],["Volume
BA MC-0"]]-Table1[[#This Row],[Total Panjang Pipa Aktual
(Sum-&gt;)3]]-Table1[[#This Row],[Total Volume
tidak dapat dipasang]],0)</f>
        <v>0</v>
      </c>
      <c r="CK30" s="47"/>
      <c r="CL30" s="379"/>
      <c r="CM30" s="371"/>
      <c r="CN30" s="379"/>
      <c r="CO30" s="379"/>
      <c r="CP3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 s="380">
        <f>IFERROR(Table1[[#This Row],[Progres Keg. Umum
(%)]]*Table1[[#This Row],[Nilai RAB Jaringan
(file pa aji)]],0)</f>
        <v>0</v>
      </c>
      <c r="CR30" s="380">
        <f>IFERROR(Table1[[#This Row],[Progres MOS
(%)]]*Table1[[#This Row],[Nilai RAB Jaringan
(file pa aji)]],0)</f>
        <v>0</v>
      </c>
      <c r="CS30" s="380">
        <f>IFERROR(Table1[[#This Row],[Progres Pemasangan
(%)]]*Table1[[#This Row],[Nilai RAB Jaringan
(file pa aji)]],0)</f>
        <v>0</v>
      </c>
      <c r="CT30" s="380">
        <f>IFERROR(Table1[[#This Row],[Progres Perizinan
(%)]]*Table1[[#This Row],[Nilai RAB Jaringan
(file pa aji)]],0)</f>
        <v>0</v>
      </c>
      <c r="CU30" s="329">
        <v>0</v>
      </c>
      <c r="CV30" s="329">
        <v>0</v>
      </c>
      <c r="CW30" s="582">
        <v>0</v>
      </c>
      <c r="CX30" s="329">
        <v>0</v>
      </c>
      <c r="CY30" s="47"/>
      <c r="CZ30" s="330">
        <v>45439</v>
      </c>
      <c r="DA30" s="330">
        <v>45466</v>
      </c>
      <c r="DB30" s="331"/>
      <c r="DC30" s="367"/>
      <c r="DD30" s="375"/>
      <c r="DE3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0" s="331"/>
      <c r="DG30" s="367"/>
      <c r="DH30" s="375"/>
      <c r="DI30"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0" s="330">
        <v>45467</v>
      </c>
      <c r="DK30" s="330">
        <v>45536</v>
      </c>
      <c r="DL30" s="331">
        <v>45520</v>
      </c>
      <c r="DM30" s="381" t="s">
        <v>391</v>
      </c>
      <c r="DN3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 s="331">
        <v>45544</v>
      </c>
      <c r="DP30" s="367" t="s">
        <v>392</v>
      </c>
      <c r="DQ30" s="366" t="s">
        <v>371</v>
      </c>
      <c r="DR3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 s="330">
        <v>45467</v>
      </c>
      <c r="DT30" s="330" t="e">
        <v>#N/A</v>
      </c>
      <c r="DU30" s="330">
        <v>45508</v>
      </c>
      <c r="DV30" s="330" t="e">
        <v>#N/A</v>
      </c>
      <c r="DW30" s="331"/>
      <c r="DX30" s="367"/>
      <c r="DY30" s="382"/>
      <c r="DZ30" s="382"/>
      <c r="EA3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0" s="331"/>
      <c r="EC30" s="332"/>
      <c r="ED30" s="332"/>
      <c r="EE30" s="330"/>
      <c r="EF30" s="371" t="b">
        <v>0</v>
      </c>
      <c r="EG30" s="383" t="b">
        <v>0</v>
      </c>
      <c r="EH30" s="316" t="str">
        <f>IF(Table1[[#This Row],[PO Material Aktual 
(%)]]&gt;=100%,"Selesai PO = 100%",IF(Table1[[#This Row],[PO Material Aktual 
(%)]]&gt;=50%,"Proses PO &gt; 100%",IF(Table1[[#This Row],[PO Material Aktual 
(%)]]&gt;0%,"Proses PO &gt; 50%",IF(Table1[[#This Row],[PO Material Aktual 
(%)]]=0,"Belum PO = 0%"))))</f>
        <v>Selesai PO = 100%</v>
      </c>
      <c r="EI3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 s="330">
        <v>45509</v>
      </c>
      <c r="EK30" s="330" t="e">
        <v>#N/A</v>
      </c>
      <c r="EL30" s="330">
        <v>45620</v>
      </c>
      <c r="EM30" s="330" t="e">
        <v>#N/A</v>
      </c>
      <c r="EN30" s="331"/>
      <c r="EO30" s="332"/>
      <c r="EP30" s="332"/>
      <c r="EQ30" s="88" t="b">
        <v>0</v>
      </c>
      <c r="ER30" s="88" t="b">
        <v>0</v>
      </c>
      <c r="ES30" s="316" t="str">
        <f>IF(Table1[[#This Row],[Progres MOS]]&gt;=100%,"Selesai MOS = 100%",IF(Table1[[#This Row],[Progres MOS]]&gt;=50%,"Proses MOS &gt; 100%",IF(Table1[[#This Row],[Progres MOS]]&gt;0%,"Proses MOS &gt; 50%",IF(Table1[[#This Row],[Progres MOS]]=0,"Belum MOS = 0%"))))</f>
        <v>Selesai MOS = 100%</v>
      </c>
      <c r="ET3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 s="47"/>
      <c r="EV30" s="330">
        <v>45467</v>
      </c>
      <c r="EW30" s="330" t="e">
        <v>#N/A</v>
      </c>
      <c r="EX30" s="330">
        <v>45564</v>
      </c>
      <c r="EY30" s="330" t="e">
        <v>#N/A</v>
      </c>
      <c r="EZ30" s="384" t="s">
        <v>259</v>
      </c>
      <c r="FA30" s="385" t="s">
        <v>389</v>
      </c>
      <c r="FB30" s="386" t="s">
        <v>260</v>
      </c>
      <c r="FC30" s="330">
        <v>45565</v>
      </c>
      <c r="FD30" s="386" t="s">
        <v>260</v>
      </c>
      <c r="FE30" s="386">
        <v>45569</v>
      </c>
      <c r="FF30" s="386">
        <v>45691</v>
      </c>
      <c r="FG30" s="386" t="s">
        <v>260</v>
      </c>
      <c r="FH30" s="386" t="s">
        <v>260</v>
      </c>
      <c r="FI30" s="386">
        <v>45838</v>
      </c>
      <c r="FJ30" s="386" t="s">
        <v>260</v>
      </c>
      <c r="FK30" s="386">
        <v>45904</v>
      </c>
      <c r="FL30" s="336" t="s">
        <v>259</v>
      </c>
      <c r="FM30" s="336">
        <v>45565</v>
      </c>
      <c r="FN30" s="314">
        <f>IF(Table1[[#This Row],[Tanggal Pengajuan Dokumen]]="","",Table1[[#This Row],[PLAN PERMIT
start]]-Table1[[#This Row],[Tanggal Pengajuan Dokumen]])</f>
        <v>-98</v>
      </c>
      <c r="FO30" s="336">
        <v>45904</v>
      </c>
      <c r="FP30" s="367"/>
      <c r="FQ30" s="366"/>
      <c r="FR30" s="384"/>
      <c r="FS30" s="338" t="str">
        <f t="shared" si="4"/>
        <v>Sudah Terbit</v>
      </c>
      <c r="FT30"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 s="387">
        <f ca="1">IF(Table1[[#This Row],[Status Izin]]="Selesai",Table1[[#This Row],[PLAN PERMIT
finish]]-Table1[[#This Row],[Tanggal Terbit/ Target Izin Terbit]],ROUNDUP(Table1[[#This Row],[PLAN PERMIT
finish]]-NOW(),0))</f>
        <v>-340</v>
      </c>
      <c r="FV30"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 s="387"/>
      <c r="FX30" s="47"/>
      <c r="FY30" s="340"/>
      <c r="FZ30" s="341"/>
      <c r="GA3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 s="330">
        <v>45538</v>
      </c>
      <c r="GC30" s="388">
        <v>45519</v>
      </c>
      <c r="GD30"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 s="330">
        <v>45545</v>
      </c>
      <c r="GF30" s="388">
        <v>45519</v>
      </c>
      <c r="GG30"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 s="330">
        <v>45551</v>
      </c>
      <c r="GI30" s="330">
        <v>45557</v>
      </c>
      <c r="GJ30" s="389">
        <v>45556</v>
      </c>
      <c r="GK30"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 s="330">
        <v>45565</v>
      </c>
      <c r="GM30" s="330" t="e">
        <v>#N/A</v>
      </c>
      <c r="GN30" s="330">
        <v>45690</v>
      </c>
      <c r="GO30" s="330" t="e">
        <v>#N/A</v>
      </c>
      <c r="GP30" s="367"/>
      <c r="GQ30"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 s="386" t="s">
        <v>261</v>
      </c>
      <c r="GS30" s="386" t="s">
        <v>261</v>
      </c>
      <c r="GT30" s="390"/>
      <c r="GU30" s="387" t="str">
        <f>IF(Table1[[#This Row],[Hydro Tes Actual
(tanggal)]]&lt;&gt;"","Sudah","Belum")</f>
        <v>Belum</v>
      </c>
      <c r="GV30" s="386" t="s">
        <v>261</v>
      </c>
      <c r="GW30" s="386" t="s">
        <v>261</v>
      </c>
      <c r="GX30" s="388"/>
      <c r="GY30" s="344" t="str">
        <f>IF(Table1[[#This Row],[Interkoneksi Actual
(tanggal)]]&lt;&gt;"","Sudah","Belum")</f>
        <v>Belum</v>
      </c>
      <c r="GZ30" s="386" t="s">
        <v>261</v>
      </c>
      <c r="HA30" s="386" t="s">
        <v>261</v>
      </c>
      <c r="HB30" s="388"/>
      <c r="HC30" s="344" t="str">
        <f>IF(Table1[[#This Row],[Flushing Actual
(tanggal)]]&lt;&gt;"","Sudah","Belum")</f>
        <v>Belum</v>
      </c>
      <c r="HD30" s="330">
        <v>45677</v>
      </c>
      <c r="HE30" s="330" t="e">
        <v>#N/A</v>
      </c>
      <c r="HF30" s="330">
        <v>45683</v>
      </c>
      <c r="HG30" s="391"/>
      <c r="HH30"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 s="386" t="s">
        <v>261</v>
      </c>
      <c r="HJ30" s="386" t="s">
        <v>261</v>
      </c>
      <c r="HK30" s="388"/>
      <c r="HL30" s="367"/>
      <c r="HM30" s="330">
        <v>45702</v>
      </c>
      <c r="HN30" s="330">
        <v>45702</v>
      </c>
      <c r="HO30" s="330" t="e">
        <v>#N/A</v>
      </c>
      <c r="HP30" s="391"/>
      <c r="HQ30"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0" s="330">
        <v>45709</v>
      </c>
      <c r="HS30" s="330"/>
      <c r="HT30" s="330">
        <v>45709</v>
      </c>
      <c r="HU30" s="527"/>
      <c r="HV30" s="386"/>
      <c r="HW30"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0" s="47"/>
      <c r="HY30" s="384"/>
      <c r="HZ30" s="384"/>
      <c r="IB30" s="618">
        <f>IFERROR(ROUND((Table1[[#This Row],[PLAN TC
finish]]-Table1[[#This Row],[PLAN MC-0
start]])/30,2),"")</f>
        <v>4.4000000000000004</v>
      </c>
      <c r="IC30">
        <f>DATEDIF(Table1[[#This Row],[PLAN MC-0
start]],Table1[[#This Row],[PLAN TC
finish]],"m")</f>
        <v>4</v>
      </c>
    </row>
    <row r="31" spans="1:237" s="4" customFormat="1" ht="15" hidden="1" customHeight="1" x14ac:dyDescent="0.2">
      <c r="B31" s="311">
        <f>SUBTOTAL(3,$D$5:D31)</f>
        <v>17</v>
      </c>
      <c r="C31" s="348">
        <v>27</v>
      </c>
      <c r="D31" s="315" t="s">
        <v>244</v>
      </c>
      <c r="E31" s="315" t="s">
        <v>393</v>
      </c>
      <c r="F31" s="315" t="s">
        <v>394</v>
      </c>
      <c r="G31" s="349">
        <v>45752</v>
      </c>
      <c r="H31" s="314" t="s">
        <v>247</v>
      </c>
      <c r="I31" s="315" t="s">
        <v>278</v>
      </c>
      <c r="J31" s="315"/>
      <c r="K31" s="338" t="s">
        <v>249</v>
      </c>
      <c r="L31" s="316" t="s">
        <v>250</v>
      </c>
      <c r="M31" s="316" t="s">
        <v>269</v>
      </c>
      <c r="N31" s="107">
        <v>4523</v>
      </c>
      <c r="O31" s="31" t="s">
        <v>252</v>
      </c>
      <c r="P3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 s="87" t="e">
        <v>#N/A</v>
      </c>
      <c r="S31" s="87">
        <v>1</v>
      </c>
      <c r="T31" s="35">
        <f>Table1[[#This Row],[Progres Total Aktual
(%)]]</f>
        <v>1</v>
      </c>
      <c r="U31" s="124">
        <f>Table1[[#This Row],[Progres Aktual
(%)]]-Table1[[#This Row],[Target Progres
(%)]]</f>
        <v>0</v>
      </c>
      <c r="V31" s="350">
        <f>Table1[[#This Row],["Volume
BA MC-0"]]</f>
        <v>4360</v>
      </c>
      <c r="W31" s="351">
        <f>Table1[[#This Row],[Total Panjang Pipa Aktual
(Sum-&gt;)3]]</f>
        <v>2052.4</v>
      </c>
      <c r="X31" s="47"/>
      <c r="Y31" s="67" t="s">
        <v>395</v>
      </c>
      <c r="Z31" s="67">
        <v>8054511043</v>
      </c>
      <c r="AA31" s="67">
        <f>ROUND((Table1[[#This Row],[Nilai RAB Jaringan
(Exclude Ppn)]]-Table1[[#This Row],[RAB Perizinan]])*1.11+Table1[[#This Row],[RAB Perizinan]],0)</f>
        <v>0</v>
      </c>
      <c r="AB31" s="320">
        <f>SUM(Table1[[#This Row],[RAB Kegiatan Umum]:[RAB Perizinan]])</f>
        <v>0</v>
      </c>
      <c r="AC31" s="320"/>
      <c r="AD31" s="320"/>
      <c r="AE31" s="320"/>
      <c r="AF31" s="320"/>
      <c r="AG31" s="320">
        <v>4804375616</v>
      </c>
      <c r="AH31" s="35" t="e">
        <f>SUM(Table1[[#This Row],[Bobot Keg Umum]:[Bobot Perizinan]])</f>
        <v>#DIV/0!</v>
      </c>
      <c r="AI31" s="35" t="e">
        <f>Table1[[#This Row],[RAB Kegiatan Umum]]/Table1[[#This Row],[Nilai RAB Jaringan
(Exclude Ppn)]]</f>
        <v>#DIV/0!</v>
      </c>
      <c r="AJ31" s="35" t="e">
        <f>Table1[[#This Row],[RAB Pemasangan]]/Table1[[#This Row],[Nilai RAB Jaringan
(Exclude Ppn)]]</f>
        <v>#DIV/0!</v>
      </c>
      <c r="AK31" s="35" t="e">
        <f>Table1[[#This Row],[RAB Pengadaan]]/Table1[[#This Row],[Nilai RAB Jaringan
(Exclude Ppn)]]</f>
        <v>#DIV/0!</v>
      </c>
      <c r="AL31" s="35" t="e">
        <f>Table1[[#This Row],[RAB Perizinan]]/Table1[[#This Row],[Nilai RAB Jaringan
(Exclude Ppn)]]</f>
        <v>#DIV/0!</v>
      </c>
      <c r="AM31" s="47"/>
      <c r="AN31" s="285">
        <v>4360</v>
      </c>
      <c r="AO31" s="285">
        <f>SUM(Table1[[#This Row],[Pipa 63 mm]:[Pipa 1,800 mm]])</f>
        <v>0</v>
      </c>
      <c r="AP31" s="285"/>
      <c r="AQ31" s="285"/>
      <c r="AR31" s="285"/>
      <c r="AS31" s="285"/>
      <c r="AT31" s="285"/>
      <c r="AU31" s="285"/>
      <c r="AV31" s="285"/>
      <c r="AW31" s="285"/>
      <c r="AX31" s="285"/>
      <c r="AY31" s="285"/>
      <c r="AZ31" s="285"/>
      <c r="BA31" s="285"/>
      <c r="BB31" s="285"/>
      <c r="BC31" s="285"/>
      <c r="BD31" s="285"/>
      <c r="BE31" s="285"/>
      <c r="BF31" s="285"/>
      <c r="BG31" s="285"/>
      <c r="BH31" s="285"/>
      <c r="BI31" s="285"/>
      <c r="BJ31" s="36">
        <f>SUM(Table1[[#This Row],[Pipa 63 mm2]:[Pipa 1,800 mm21]])</f>
        <v>2052.4</v>
      </c>
      <c r="BK31" s="356">
        <v>1386.1</v>
      </c>
      <c r="BL31" s="356">
        <v>244.9</v>
      </c>
      <c r="BM31" s="356"/>
      <c r="BN31" s="356"/>
      <c r="BO31" s="356"/>
      <c r="BP31" s="356">
        <v>421.4</v>
      </c>
      <c r="BQ31" s="356"/>
      <c r="BR31" s="356"/>
      <c r="BS31" s="356"/>
      <c r="BT31" s="356"/>
      <c r="BU31" s="356"/>
      <c r="BV31" s="356"/>
      <c r="BW31" s="356"/>
      <c r="BX31" s="356"/>
      <c r="BY31" s="356"/>
      <c r="BZ31" s="356"/>
      <c r="CA31" s="356"/>
      <c r="CB31" s="356"/>
      <c r="CC31" s="356"/>
      <c r="CD31" s="356"/>
      <c r="CE31" s="32">
        <v>2580</v>
      </c>
      <c r="CF31" s="32"/>
      <c r="CG31" s="32"/>
      <c r="CH31" s="32"/>
      <c r="CI31" s="32">
        <f t="shared" si="3"/>
        <v>2580</v>
      </c>
      <c r="CJ31" s="65">
        <f>IF((Table1[[#This Row],["Volume
BA MC-0"]]-Table1[[#This Row],[Total Panjang Pipa Aktual
(Sum-&gt;)3]]-Table1[[#This Row],[Total Volume
tidak dapat dipasang]])&gt;=0,Table1[[#This Row],["Volume
BA MC-0"]]-Table1[[#This Row],[Total Panjang Pipa Aktual
(Sum-&gt;)3]]-Table1[[#This Row],[Total Volume
tidak dapat dipasang]],0)</f>
        <v>0</v>
      </c>
      <c r="CK31" s="47"/>
      <c r="CL31" s="131"/>
      <c r="CM31" s="35"/>
      <c r="CN31" s="131"/>
      <c r="CO31" s="131"/>
      <c r="CP3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 s="66">
        <f>IFERROR(Table1[[#This Row],[Progres Keg. Umum
(%)]]*Table1[[#This Row],[Nilai RAB Jaringan
(file pa aji)]],0)</f>
        <v>0</v>
      </c>
      <c r="CR31" s="66">
        <f>IFERROR(Table1[[#This Row],[Progres MOS
(%)]]*Table1[[#This Row],[Nilai RAB Jaringan
(file pa aji)]],0)</f>
        <v>0</v>
      </c>
      <c r="CS31" s="66">
        <f>IFERROR(Table1[[#This Row],[Progres Pemasangan
(%)]]*Table1[[#This Row],[Nilai RAB Jaringan
(file pa aji)]],0)</f>
        <v>0</v>
      </c>
      <c r="CT31" s="66">
        <f>IFERROR(Table1[[#This Row],[Progres Perizinan
(%)]]*Table1[[#This Row],[Nilai RAB Jaringan
(file pa aji)]],0)</f>
        <v>0</v>
      </c>
      <c r="CU31" s="329">
        <v>3668043831</v>
      </c>
      <c r="CV31" s="329">
        <v>3668043831</v>
      </c>
      <c r="CW31" s="583">
        <v>3668043831</v>
      </c>
      <c r="CX31" s="329">
        <v>3668043831</v>
      </c>
      <c r="CY31" s="47"/>
      <c r="CZ31" s="330">
        <v>45439</v>
      </c>
      <c r="DA31" s="330">
        <v>45466</v>
      </c>
      <c r="DB31" s="331"/>
      <c r="DC31" s="316"/>
      <c r="DD31" s="67"/>
      <c r="DE3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1" s="331"/>
      <c r="DG31" s="316"/>
      <c r="DH31" s="67"/>
      <c r="DI3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1" s="330">
        <v>45467</v>
      </c>
      <c r="DK31" s="330">
        <v>45536</v>
      </c>
      <c r="DL31" s="331">
        <v>45509</v>
      </c>
      <c r="DM31" s="357" t="s">
        <v>396</v>
      </c>
      <c r="DN3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 s="331">
        <v>45572</v>
      </c>
      <c r="DP31" s="316" t="s">
        <v>397</v>
      </c>
      <c r="DQ31" s="338" t="s">
        <v>371</v>
      </c>
      <c r="DR3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1" s="330">
        <v>45467</v>
      </c>
      <c r="DT31" s="330" t="e">
        <v>#N/A</v>
      </c>
      <c r="DU31" s="330">
        <v>45508</v>
      </c>
      <c r="DV31" s="330" t="e">
        <v>#N/A</v>
      </c>
      <c r="DW31" s="331"/>
      <c r="DX31" s="316"/>
      <c r="DY31" s="334"/>
      <c r="DZ31" s="334"/>
      <c r="EA3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1" s="331"/>
      <c r="EC31" s="332"/>
      <c r="ED31" s="332"/>
      <c r="EE31" s="330"/>
      <c r="EF31" s="35">
        <v>1</v>
      </c>
      <c r="EG31" s="337">
        <v>1</v>
      </c>
      <c r="EH31" s="316" t="str">
        <f>IF(Table1[[#This Row],[PO Material Aktual 
(%)]]&gt;=100%,"Selesai PO = 100%",IF(Table1[[#This Row],[PO Material Aktual 
(%)]]&gt;=50%,"Proses PO &gt; 100%",IF(Table1[[#This Row],[PO Material Aktual 
(%)]]&gt;0%,"Proses PO &gt; 50%",IF(Table1[[#This Row],[PO Material Aktual 
(%)]]=0,"Belum PO = 0%"))))</f>
        <v>Selesai PO = 100%</v>
      </c>
      <c r="EI3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 s="330">
        <v>45509</v>
      </c>
      <c r="EK31" s="330" t="e">
        <v>#N/A</v>
      </c>
      <c r="EL31" s="330">
        <v>45620</v>
      </c>
      <c r="EM31" s="330" t="e">
        <v>#N/A</v>
      </c>
      <c r="EN31" s="331"/>
      <c r="EO31" s="332"/>
      <c r="EP31" s="332"/>
      <c r="EQ31" s="87">
        <v>1</v>
      </c>
      <c r="ER31" s="87">
        <v>1</v>
      </c>
      <c r="ES31" s="316" t="str">
        <f>IF(Table1[[#This Row],[Progres MOS]]&gt;=100%,"Selesai MOS = 100%",IF(Table1[[#This Row],[Progres MOS]]&gt;=50%,"Proses MOS &gt; 100%",IF(Table1[[#This Row],[Progres MOS]]&gt;0%,"Proses MOS &gt; 50%",IF(Table1[[#This Row],[Progres MOS]]=0,"Belum MOS = 0%"))))</f>
        <v>Selesai MOS = 100%</v>
      </c>
      <c r="ET3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 s="47"/>
      <c r="EV31" s="330">
        <v>45467</v>
      </c>
      <c r="EW31" s="330" t="e">
        <v>#N/A</v>
      </c>
      <c r="EX31" s="330">
        <v>45564</v>
      </c>
      <c r="EY31" s="330" t="e">
        <v>#N/A</v>
      </c>
      <c r="EZ31" s="352" t="s">
        <v>259</v>
      </c>
      <c r="FA31" s="336" t="s">
        <v>259</v>
      </c>
      <c r="FB31" s="330" t="s">
        <v>260</v>
      </c>
      <c r="FC31" s="330">
        <v>45565</v>
      </c>
      <c r="FD31" s="330" t="s">
        <v>260</v>
      </c>
      <c r="FE31" s="330">
        <v>45569</v>
      </c>
      <c r="FF31" s="330">
        <v>45691</v>
      </c>
      <c r="FG31" s="330" t="s">
        <v>260</v>
      </c>
      <c r="FH31" s="330" t="s">
        <v>260</v>
      </c>
      <c r="FI31" s="330">
        <v>45838</v>
      </c>
      <c r="FJ31" s="330" t="s">
        <v>260</v>
      </c>
      <c r="FK31" s="330">
        <v>45904</v>
      </c>
      <c r="FL31" s="336" t="s">
        <v>259</v>
      </c>
      <c r="FM31" s="336">
        <v>45565</v>
      </c>
      <c r="FN31" s="314">
        <f>IF(Table1[[#This Row],[Tanggal Pengajuan Dokumen]]="","",Table1[[#This Row],[PLAN PERMIT
start]]-Table1[[#This Row],[Tanggal Pengajuan Dokumen]])</f>
        <v>-98</v>
      </c>
      <c r="FO31" s="336">
        <v>45904</v>
      </c>
      <c r="FP31" s="316"/>
      <c r="FQ31" s="338"/>
      <c r="FR31" s="352"/>
      <c r="FS31" s="338" t="str">
        <f t="shared" si="4"/>
        <v>Sudah Terbit</v>
      </c>
      <c r="FT3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1" s="344">
        <f ca="1">IF(Table1[[#This Row],[Status Izin]]="Selesai",Table1[[#This Row],[PLAN PERMIT
finish]]-Table1[[#This Row],[Tanggal Terbit/ Target Izin Terbit]],ROUNDUP(Table1[[#This Row],[PLAN PERMIT
finish]]-NOW(),0))</f>
        <v>-340</v>
      </c>
      <c r="FV3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 s="344"/>
      <c r="FX31" s="47"/>
      <c r="FY31" s="340"/>
      <c r="FZ31" s="341"/>
      <c r="GA3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 s="330">
        <v>45538</v>
      </c>
      <c r="GC31" s="331">
        <v>45519</v>
      </c>
      <c r="GD3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 s="330">
        <v>45545</v>
      </c>
      <c r="GF31" s="331">
        <v>45519</v>
      </c>
      <c r="GG3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 s="330">
        <v>45551</v>
      </c>
      <c r="GI31" s="330">
        <v>45557</v>
      </c>
      <c r="GJ31" s="353">
        <v>45600</v>
      </c>
      <c r="GK3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1" s="330">
        <v>45565</v>
      </c>
      <c r="GM31" s="330" t="e">
        <v>#N/A</v>
      </c>
      <c r="GN31" s="330">
        <v>45690</v>
      </c>
      <c r="GO31" s="330" t="e">
        <v>#N/A</v>
      </c>
      <c r="GP31" s="316"/>
      <c r="GQ3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 s="330" t="s">
        <v>261</v>
      </c>
      <c r="GS31" s="330" t="s">
        <v>261</v>
      </c>
      <c r="GT31" s="354">
        <v>45664</v>
      </c>
      <c r="GU31" s="344" t="str">
        <f>IF(Table1[[#This Row],[Hydro Tes Actual
(tanggal)]]&lt;&gt;"","Sudah","Belum")</f>
        <v>Sudah</v>
      </c>
      <c r="GV31" s="330" t="s">
        <v>261</v>
      </c>
      <c r="GW31" s="330" t="s">
        <v>261</v>
      </c>
      <c r="GX31" s="331">
        <v>45727</v>
      </c>
      <c r="GY31" s="344" t="str">
        <f>IF(Table1[[#This Row],[Interkoneksi Actual
(tanggal)]]&lt;&gt;"","Sudah","Belum")</f>
        <v>Sudah</v>
      </c>
      <c r="GZ31" s="330" t="s">
        <v>261</v>
      </c>
      <c r="HA31" s="330" t="s">
        <v>261</v>
      </c>
      <c r="HB31" s="331">
        <v>45761</v>
      </c>
      <c r="HC31" s="344" t="str">
        <f>IF(Table1[[#This Row],[Flushing Actual
(tanggal)]]&lt;&gt;"","Sudah","Belum")</f>
        <v>Sudah</v>
      </c>
      <c r="HD31" s="330">
        <v>45677</v>
      </c>
      <c r="HE31" s="330" t="e">
        <v>#N/A</v>
      </c>
      <c r="HF31" s="330">
        <v>45683</v>
      </c>
      <c r="HG31" s="346">
        <v>45793</v>
      </c>
      <c r="HH3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 s="330" t="s">
        <v>261</v>
      </c>
      <c r="HJ31" s="330" t="s">
        <v>261</v>
      </c>
      <c r="HK31" s="331"/>
      <c r="HL31" s="316"/>
      <c r="HM31" s="330">
        <v>45702</v>
      </c>
      <c r="HN31" s="330">
        <v>45702</v>
      </c>
      <c r="HO31" s="330" t="e">
        <v>#N/A</v>
      </c>
      <c r="HP31" s="346">
        <v>45805</v>
      </c>
      <c r="HQ3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1" s="330">
        <v>45709</v>
      </c>
      <c r="HS31" s="330"/>
      <c r="HT31" s="330">
        <v>45709</v>
      </c>
      <c r="HU31" s="527"/>
      <c r="HV31" s="330">
        <f>IF(Table1[[#This Row],[MC-100 Aktual
(tanggal)]]&lt;&gt;"",Table1[[#This Row],[MC-100 Aktual
(tanggal)]]+5,"")</f>
        <v>45810</v>
      </c>
      <c r="HW3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1" s="47"/>
      <c r="HY31" s="352"/>
      <c r="HZ31" s="352"/>
      <c r="IB31" s="618">
        <f>IFERROR(ROUND((Table1[[#This Row],[PLAN TC
finish]]-Table1[[#This Row],[PLAN MC-0
start]])/30,2),"")</f>
        <v>4.4000000000000004</v>
      </c>
      <c r="IC31">
        <f>DATEDIF(Table1[[#This Row],[PLAN MC-0
start]],Table1[[#This Row],[PLAN TC
finish]],"m")</f>
        <v>4</v>
      </c>
    </row>
    <row r="32" spans="1:237" s="4" customFormat="1" ht="15" hidden="1" customHeight="1" x14ac:dyDescent="0.2">
      <c r="B32" s="311">
        <f>SUBTOTAL(3,$D$5:D32)</f>
        <v>17</v>
      </c>
      <c r="C32" s="348">
        <v>28</v>
      </c>
      <c r="D32" s="315" t="s">
        <v>244</v>
      </c>
      <c r="E32" s="315" t="s">
        <v>398</v>
      </c>
      <c r="F32" s="315" t="s">
        <v>399</v>
      </c>
      <c r="G32" s="349">
        <v>45752</v>
      </c>
      <c r="H32" s="314" t="s">
        <v>247</v>
      </c>
      <c r="I32" s="315" t="s">
        <v>278</v>
      </c>
      <c r="J32" s="315"/>
      <c r="K32" s="338" t="s">
        <v>249</v>
      </c>
      <c r="L32" s="316" t="s">
        <v>250</v>
      </c>
      <c r="M32" s="316" t="s">
        <v>269</v>
      </c>
      <c r="N32" s="107">
        <v>3082</v>
      </c>
      <c r="O32" s="31" t="s">
        <v>252</v>
      </c>
      <c r="P3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 s="87" t="e">
        <v>#N/A</v>
      </c>
      <c r="S32" s="87">
        <v>1</v>
      </c>
      <c r="T32" s="35">
        <f>Table1[[#This Row],[Progres Total Aktual
(%)]]</f>
        <v>1</v>
      </c>
      <c r="U32" s="124">
        <f>Table1[[#This Row],[Progres Aktual
(%)]]-Table1[[#This Row],[Target Progres
(%)]]</f>
        <v>0</v>
      </c>
      <c r="V32" s="350">
        <f>Table1[[#This Row],["Volume
BA MC-0"]]</f>
        <v>3152</v>
      </c>
      <c r="W32" s="351">
        <f>Table1[[#This Row],[Total Panjang Pipa Aktual
(Sum-&gt;)3]]</f>
        <v>1595.8</v>
      </c>
      <c r="X32" s="47"/>
      <c r="Y32" s="67" t="s">
        <v>400</v>
      </c>
      <c r="Z32" s="67">
        <v>4500042925</v>
      </c>
      <c r="AA32" s="67">
        <f>ROUND((Table1[[#This Row],[Nilai RAB Jaringan
(Exclude Ppn)]]-Table1[[#This Row],[RAB Perizinan]])*1.11+Table1[[#This Row],[RAB Perizinan]],0)</f>
        <v>0</v>
      </c>
      <c r="AB32" s="320">
        <f>SUM(Table1[[#This Row],[RAB Kegiatan Umum]:[RAB Perizinan]])</f>
        <v>0</v>
      </c>
      <c r="AC32" s="320"/>
      <c r="AD32" s="320"/>
      <c r="AE32" s="320"/>
      <c r="AF32" s="320"/>
      <c r="AG32" s="320">
        <v>3230245721</v>
      </c>
      <c r="AH32" s="35" t="e">
        <f>SUM(Table1[[#This Row],[Bobot Keg Umum]:[Bobot Perizinan]])</f>
        <v>#DIV/0!</v>
      </c>
      <c r="AI32" s="35" t="e">
        <f>Table1[[#This Row],[RAB Kegiatan Umum]]/Table1[[#This Row],[Nilai RAB Jaringan
(Exclude Ppn)]]</f>
        <v>#DIV/0!</v>
      </c>
      <c r="AJ32" s="35" t="e">
        <f>Table1[[#This Row],[RAB Pemasangan]]/Table1[[#This Row],[Nilai RAB Jaringan
(Exclude Ppn)]]</f>
        <v>#DIV/0!</v>
      </c>
      <c r="AK32" s="35" t="e">
        <f>Table1[[#This Row],[RAB Pengadaan]]/Table1[[#This Row],[Nilai RAB Jaringan
(Exclude Ppn)]]</f>
        <v>#DIV/0!</v>
      </c>
      <c r="AL32" s="35" t="e">
        <f>Table1[[#This Row],[RAB Perizinan]]/Table1[[#This Row],[Nilai RAB Jaringan
(Exclude Ppn)]]</f>
        <v>#DIV/0!</v>
      </c>
      <c r="AM32" s="47"/>
      <c r="AN32" s="285">
        <v>3152</v>
      </c>
      <c r="AO32" s="285">
        <f>SUM(Table1[[#This Row],[Pipa 63 mm]:[Pipa 1,800 mm]])</f>
        <v>0</v>
      </c>
      <c r="AP32" s="285"/>
      <c r="AQ32" s="285"/>
      <c r="AR32" s="285"/>
      <c r="AS32" s="285"/>
      <c r="AT32" s="285"/>
      <c r="AU32" s="285"/>
      <c r="AV32" s="285"/>
      <c r="AW32" s="285"/>
      <c r="AX32" s="285"/>
      <c r="AY32" s="285"/>
      <c r="AZ32" s="285"/>
      <c r="BA32" s="285"/>
      <c r="BB32" s="285"/>
      <c r="BC32" s="285"/>
      <c r="BD32" s="285"/>
      <c r="BE32" s="285"/>
      <c r="BF32" s="285"/>
      <c r="BG32" s="285"/>
      <c r="BH32" s="285"/>
      <c r="BI32" s="285"/>
      <c r="BJ32" s="36">
        <f>SUM(Table1[[#This Row],[Pipa 63 mm2]:[Pipa 1,800 mm21]])</f>
        <v>1595.8</v>
      </c>
      <c r="BK32" s="356">
        <v>1194.3</v>
      </c>
      <c r="BL32" s="356">
        <v>159.1</v>
      </c>
      <c r="BM32" s="356"/>
      <c r="BN32" s="356">
        <v>242.4</v>
      </c>
      <c r="BO32" s="356"/>
      <c r="BP32" s="356"/>
      <c r="BQ32" s="356"/>
      <c r="BR32" s="356"/>
      <c r="BS32" s="356"/>
      <c r="BT32" s="356"/>
      <c r="BU32" s="356"/>
      <c r="BV32" s="356"/>
      <c r="BW32" s="356"/>
      <c r="BX32" s="356"/>
      <c r="BY32" s="356"/>
      <c r="BZ32" s="356"/>
      <c r="CA32" s="356"/>
      <c r="CB32" s="356"/>
      <c r="CC32" s="356"/>
      <c r="CD32" s="356"/>
      <c r="CE32" s="32">
        <v>1339</v>
      </c>
      <c r="CF32" s="32"/>
      <c r="CG32" s="32"/>
      <c r="CH32" s="32"/>
      <c r="CI32" s="32">
        <f t="shared" si="3"/>
        <v>1339</v>
      </c>
      <c r="CJ32" s="65">
        <f>IF((Table1[[#This Row],["Volume
BA MC-0"]]-Table1[[#This Row],[Total Panjang Pipa Aktual
(Sum-&gt;)3]]-Table1[[#This Row],[Total Volume
tidak dapat dipasang]])&gt;=0,Table1[[#This Row],["Volume
BA MC-0"]]-Table1[[#This Row],[Total Panjang Pipa Aktual
(Sum-&gt;)3]]-Table1[[#This Row],[Total Volume
tidak dapat dipasang]],0)</f>
        <v>217.20000000000005</v>
      </c>
      <c r="CK32" s="47"/>
      <c r="CL32" s="131"/>
      <c r="CM32" s="35"/>
      <c r="CN32" s="131"/>
      <c r="CO32" s="131"/>
      <c r="CP3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2" s="66">
        <f>IFERROR(Table1[[#This Row],[Progres Keg. Umum
(%)]]*Table1[[#This Row],[Nilai RAB Jaringan
(file pa aji)]],0)</f>
        <v>0</v>
      </c>
      <c r="CR32" s="66">
        <f>IFERROR(Table1[[#This Row],[Progres MOS
(%)]]*Table1[[#This Row],[Nilai RAB Jaringan
(file pa aji)]],0)</f>
        <v>0</v>
      </c>
      <c r="CS32" s="66">
        <f>IFERROR(Table1[[#This Row],[Progres Pemasangan
(%)]]*Table1[[#This Row],[Nilai RAB Jaringan
(file pa aji)]],0)</f>
        <v>0</v>
      </c>
      <c r="CT32" s="66">
        <f>IFERROR(Table1[[#This Row],[Progres Perizinan
(%)]]*Table1[[#This Row],[Nilai RAB Jaringan
(file pa aji)]],0)</f>
        <v>0</v>
      </c>
      <c r="CU32" s="329">
        <v>2218371264</v>
      </c>
      <c r="CV32" s="329">
        <v>2218371264</v>
      </c>
      <c r="CW32" s="583">
        <v>2218371264</v>
      </c>
      <c r="CX32" s="329">
        <v>2218371264</v>
      </c>
      <c r="CY32" s="47"/>
      <c r="CZ32" s="330">
        <v>45439</v>
      </c>
      <c r="DA32" s="330">
        <v>45466</v>
      </c>
      <c r="DB32" s="331"/>
      <c r="DC32" s="316"/>
      <c r="DD32" s="67"/>
      <c r="DE3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2" s="331"/>
      <c r="DG32" s="316"/>
      <c r="DH32" s="67"/>
      <c r="DI3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2" s="330">
        <v>45467</v>
      </c>
      <c r="DK32" s="330">
        <v>45536</v>
      </c>
      <c r="DL32" s="331">
        <v>45514</v>
      </c>
      <c r="DM32" s="357" t="s">
        <v>401</v>
      </c>
      <c r="DN3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 s="331">
        <v>45572</v>
      </c>
      <c r="DP32" s="316" t="s">
        <v>402</v>
      </c>
      <c r="DQ32" s="338" t="s">
        <v>371</v>
      </c>
      <c r="DR3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 s="330">
        <v>45467</v>
      </c>
      <c r="DT32" s="330" t="e">
        <v>#N/A</v>
      </c>
      <c r="DU32" s="330">
        <v>45508</v>
      </c>
      <c r="DV32" s="330" t="e">
        <v>#N/A</v>
      </c>
      <c r="DW32" s="331"/>
      <c r="DX32" s="316"/>
      <c r="DY32" s="334"/>
      <c r="DZ32" s="334"/>
      <c r="EA3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2" s="331"/>
      <c r="EC32" s="332"/>
      <c r="ED32" s="332"/>
      <c r="EE32" s="330"/>
      <c r="EF32" s="35">
        <v>1</v>
      </c>
      <c r="EG32" s="337">
        <v>1</v>
      </c>
      <c r="EH32" s="316" t="str">
        <f>IF(Table1[[#This Row],[PO Material Aktual 
(%)]]&gt;=100%,"Selesai PO = 100%",IF(Table1[[#This Row],[PO Material Aktual 
(%)]]&gt;=50%,"Proses PO &gt; 100%",IF(Table1[[#This Row],[PO Material Aktual 
(%)]]&gt;0%,"Proses PO &gt; 50%",IF(Table1[[#This Row],[PO Material Aktual 
(%)]]=0,"Belum PO = 0%"))))</f>
        <v>Selesai PO = 100%</v>
      </c>
      <c r="EI3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 s="330">
        <v>45509</v>
      </c>
      <c r="EK32" s="330" t="e">
        <v>#N/A</v>
      </c>
      <c r="EL32" s="330">
        <v>45620</v>
      </c>
      <c r="EM32" s="330" t="e">
        <v>#N/A</v>
      </c>
      <c r="EN32" s="331"/>
      <c r="EO32" s="332"/>
      <c r="EP32" s="332"/>
      <c r="EQ32" s="87">
        <v>1</v>
      </c>
      <c r="ER32" s="87">
        <v>1</v>
      </c>
      <c r="ES32" s="316" t="str">
        <f>IF(Table1[[#This Row],[Progres MOS]]&gt;=100%,"Selesai MOS = 100%",IF(Table1[[#This Row],[Progres MOS]]&gt;=50%,"Proses MOS &gt; 100%",IF(Table1[[#This Row],[Progres MOS]]&gt;0%,"Proses MOS &gt; 50%",IF(Table1[[#This Row],[Progres MOS]]=0,"Belum MOS = 0%"))))</f>
        <v>Selesai MOS = 100%</v>
      </c>
      <c r="ET3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 s="47"/>
      <c r="EV32" s="330">
        <v>45467</v>
      </c>
      <c r="EW32" s="330" t="e">
        <v>#N/A</v>
      </c>
      <c r="EX32" s="330">
        <v>45564</v>
      </c>
      <c r="EY32" s="330" t="e">
        <v>#N/A</v>
      </c>
      <c r="EZ32" s="352" t="s">
        <v>259</v>
      </c>
      <c r="FA32" s="336" t="s">
        <v>259</v>
      </c>
      <c r="FB32" s="330" t="s">
        <v>260</v>
      </c>
      <c r="FC32" s="330">
        <v>45565</v>
      </c>
      <c r="FD32" s="330" t="s">
        <v>260</v>
      </c>
      <c r="FE32" s="330">
        <v>45569</v>
      </c>
      <c r="FF32" s="330">
        <v>45691</v>
      </c>
      <c r="FG32" s="330" t="s">
        <v>260</v>
      </c>
      <c r="FH32" s="330" t="s">
        <v>260</v>
      </c>
      <c r="FI32" s="330">
        <v>45981</v>
      </c>
      <c r="FJ32" s="330" t="s">
        <v>260</v>
      </c>
      <c r="FK32" s="330">
        <v>46022</v>
      </c>
      <c r="FL32" s="336" t="s">
        <v>259</v>
      </c>
      <c r="FM32" s="336">
        <v>45565</v>
      </c>
      <c r="FN32" s="314">
        <f>IF(Table1[[#This Row],[Tanggal Pengajuan Dokumen]]="","",Table1[[#This Row],[PLAN PERMIT
start]]-Table1[[#This Row],[Tanggal Pengajuan Dokumen]])</f>
        <v>-98</v>
      </c>
      <c r="FO32" s="336"/>
      <c r="FP32" s="316"/>
      <c r="FQ32" s="338"/>
      <c r="FR32" s="352"/>
      <c r="FS32" s="338" t="str">
        <f t="shared" si="4"/>
        <v>Sudah Terbit</v>
      </c>
      <c r="FT3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 s="344">
        <f ca="1">IF(Table1[[#This Row],[Status Izin]]="Selesai",Table1[[#This Row],[PLAN PERMIT
finish]]-Table1[[#This Row],[Tanggal Terbit/ Target Izin Terbit]],ROUNDUP(Table1[[#This Row],[PLAN PERMIT
finish]]-NOW(),0))</f>
        <v>45564</v>
      </c>
      <c r="FV3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 s="344"/>
      <c r="FX32" s="47"/>
      <c r="FY32" s="340"/>
      <c r="FZ32" s="341"/>
      <c r="GA3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 s="330">
        <v>45538</v>
      </c>
      <c r="GC32" s="331">
        <v>45519</v>
      </c>
      <c r="GD3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2" s="330">
        <v>45545</v>
      </c>
      <c r="GF32" s="331">
        <v>45519</v>
      </c>
      <c r="GG3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2" s="330">
        <v>45551</v>
      </c>
      <c r="GI32" s="330">
        <v>45557</v>
      </c>
      <c r="GJ32" s="353">
        <v>45607</v>
      </c>
      <c r="GK3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 s="330">
        <v>45565</v>
      </c>
      <c r="GM32" s="330" t="e">
        <v>#N/A</v>
      </c>
      <c r="GN32" s="330">
        <v>45690</v>
      </c>
      <c r="GO32" s="330" t="e">
        <v>#N/A</v>
      </c>
      <c r="GP32" s="316"/>
      <c r="GQ3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 s="330" t="s">
        <v>261</v>
      </c>
      <c r="GS32" s="330" t="s">
        <v>261</v>
      </c>
      <c r="GT32" s="354">
        <v>45653</v>
      </c>
      <c r="GU32" s="344" t="str">
        <f>IF(Table1[[#This Row],[Hydro Tes Actual
(tanggal)]]&lt;&gt;"","Sudah","Belum")</f>
        <v>Sudah</v>
      </c>
      <c r="GV32" s="330" t="s">
        <v>261</v>
      </c>
      <c r="GW32" s="330" t="s">
        <v>261</v>
      </c>
      <c r="GX32" s="331">
        <v>45730</v>
      </c>
      <c r="GY32" s="344" t="str">
        <f>IF(Table1[[#This Row],[Interkoneksi Actual
(tanggal)]]&lt;&gt;"","Sudah","Belum")</f>
        <v>Sudah</v>
      </c>
      <c r="GZ32" s="330" t="s">
        <v>261</v>
      </c>
      <c r="HA32" s="330" t="s">
        <v>261</v>
      </c>
      <c r="HB32" s="331">
        <v>45738</v>
      </c>
      <c r="HC32" s="344" t="str">
        <f>IF(Table1[[#This Row],[Flushing Actual
(tanggal)]]&lt;&gt;"","Sudah","Belum")</f>
        <v>Sudah</v>
      </c>
      <c r="HD32" s="330">
        <v>45677</v>
      </c>
      <c r="HE32" s="330" t="e">
        <v>#N/A</v>
      </c>
      <c r="HF32" s="330">
        <v>45683</v>
      </c>
      <c r="HG32" s="346">
        <v>45740</v>
      </c>
      <c r="HH3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2" s="330" t="s">
        <v>261</v>
      </c>
      <c r="HJ32" s="330" t="s">
        <v>261</v>
      </c>
      <c r="HK32" s="331"/>
      <c r="HL32" s="316"/>
      <c r="HM32" s="330">
        <v>45702</v>
      </c>
      <c r="HN32" s="330">
        <v>45702</v>
      </c>
      <c r="HO32" s="330" t="e">
        <v>#N/A</v>
      </c>
      <c r="HP32" s="346">
        <v>45796</v>
      </c>
      <c r="HQ3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2" s="330">
        <v>45709</v>
      </c>
      <c r="HS32" s="330"/>
      <c r="HT32" s="330">
        <v>45709</v>
      </c>
      <c r="HU32" s="527"/>
      <c r="HV32" s="330">
        <f>IF(Table1[[#This Row],[MC-100 Aktual
(tanggal)]]&lt;&gt;"",Table1[[#This Row],[MC-100 Aktual
(tanggal)]]+5,"")</f>
        <v>45801</v>
      </c>
      <c r="HW3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2" s="47"/>
      <c r="HY32" s="352"/>
      <c r="HZ32" s="352"/>
      <c r="IB32" s="618">
        <f>IFERROR(ROUND((Table1[[#This Row],[PLAN TC
finish]]-Table1[[#This Row],[PLAN MC-0
start]])/30,2),"")</f>
        <v>4.4000000000000004</v>
      </c>
      <c r="IC32">
        <f>DATEDIF(Table1[[#This Row],[PLAN MC-0
start]],Table1[[#This Row],[PLAN TC
finish]],"m")</f>
        <v>4</v>
      </c>
    </row>
    <row r="33" spans="1:237" s="4" customFormat="1" ht="15" hidden="1" customHeight="1" x14ac:dyDescent="0.2">
      <c r="B33" s="311">
        <f>SUBTOTAL(3,$D$5:D33)</f>
        <v>17</v>
      </c>
      <c r="C33" s="348">
        <v>29</v>
      </c>
      <c r="D33" s="315" t="s">
        <v>244</v>
      </c>
      <c r="E33" s="315" t="s">
        <v>403</v>
      </c>
      <c r="F33" s="315" t="s">
        <v>404</v>
      </c>
      <c r="G33" s="349">
        <v>45752</v>
      </c>
      <c r="H33" s="314" t="s">
        <v>247</v>
      </c>
      <c r="I33" s="315" t="s">
        <v>278</v>
      </c>
      <c r="J33" s="315"/>
      <c r="K33" s="338" t="s">
        <v>249</v>
      </c>
      <c r="L33" s="316" t="s">
        <v>250</v>
      </c>
      <c r="M33" s="316" t="s">
        <v>269</v>
      </c>
      <c r="N33" s="107">
        <v>1233</v>
      </c>
      <c r="O33" s="31" t="s">
        <v>252</v>
      </c>
      <c r="P3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 s="87" t="e">
        <v>#N/A</v>
      </c>
      <c r="S33" s="87">
        <v>1</v>
      </c>
      <c r="T33" s="35">
        <f>Table1[[#This Row],[Progres Total Aktual
(%)]]</f>
        <v>1</v>
      </c>
      <c r="U33" s="124">
        <f>Table1[[#This Row],[Progres Aktual
(%)]]-Table1[[#This Row],[Target Progres
(%)]]</f>
        <v>0</v>
      </c>
      <c r="V33" s="350">
        <f>Table1[[#This Row],["Volume
BA MC-0"]]</f>
        <v>1322</v>
      </c>
      <c r="W33" s="351">
        <f>Table1[[#This Row],[Total Panjang Pipa Aktual
(Sum-&gt;)3]]</f>
        <v>491.2</v>
      </c>
      <c r="X33" s="47"/>
      <c r="Y33" s="67" t="s">
        <v>405</v>
      </c>
      <c r="Z33" s="67">
        <v>1972241446</v>
      </c>
      <c r="AA33" s="67">
        <f>ROUND((Table1[[#This Row],[Nilai RAB Jaringan
(Exclude Ppn)]]-Table1[[#This Row],[RAB Perizinan]])*1.11+Table1[[#This Row],[RAB Perizinan]],0)</f>
        <v>0</v>
      </c>
      <c r="AB33" s="320">
        <f>SUM(Table1[[#This Row],[RAB Kegiatan Umum]:[RAB Perizinan]])</f>
        <v>0</v>
      </c>
      <c r="AC33" s="320"/>
      <c r="AD33" s="320"/>
      <c r="AE33" s="320"/>
      <c r="AF33" s="320"/>
      <c r="AG33" s="320">
        <v>1861080657</v>
      </c>
      <c r="AH33" s="35" t="e">
        <f>SUM(Table1[[#This Row],[Bobot Keg Umum]:[Bobot Perizinan]])</f>
        <v>#DIV/0!</v>
      </c>
      <c r="AI33" s="35" t="e">
        <f>Table1[[#This Row],[RAB Kegiatan Umum]]/Table1[[#This Row],[Nilai RAB Jaringan
(Exclude Ppn)]]</f>
        <v>#DIV/0!</v>
      </c>
      <c r="AJ33" s="35" t="e">
        <f>Table1[[#This Row],[RAB Pemasangan]]/Table1[[#This Row],[Nilai RAB Jaringan
(Exclude Ppn)]]</f>
        <v>#DIV/0!</v>
      </c>
      <c r="AK33" s="35" t="e">
        <f>Table1[[#This Row],[RAB Pengadaan]]/Table1[[#This Row],[Nilai RAB Jaringan
(Exclude Ppn)]]</f>
        <v>#DIV/0!</v>
      </c>
      <c r="AL33" s="35" t="e">
        <f>Table1[[#This Row],[RAB Perizinan]]/Table1[[#This Row],[Nilai RAB Jaringan
(Exclude Ppn)]]</f>
        <v>#DIV/0!</v>
      </c>
      <c r="AM33" s="47"/>
      <c r="AN33" s="285">
        <v>1322</v>
      </c>
      <c r="AO33" s="285">
        <f>SUM(Table1[[#This Row],[Pipa 63 mm]:[Pipa 1,800 mm]])</f>
        <v>0</v>
      </c>
      <c r="AP33" s="285"/>
      <c r="AQ33" s="285"/>
      <c r="AR33" s="285"/>
      <c r="AS33" s="285"/>
      <c r="AT33" s="285"/>
      <c r="AU33" s="285"/>
      <c r="AV33" s="285"/>
      <c r="AW33" s="285"/>
      <c r="AX33" s="285"/>
      <c r="AY33" s="285"/>
      <c r="AZ33" s="285"/>
      <c r="BA33" s="285"/>
      <c r="BB33" s="285"/>
      <c r="BC33" s="285"/>
      <c r="BD33" s="285"/>
      <c r="BE33" s="285"/>
      <c r="BF33" s="285"/>
      <c r="BG33" s="285"/>
      <c r="BH33" s="285"/>
      <c r="BI33" s="285"/>
      <c r="BJ33" s="36">
        <f>SUM(Table1[[#This Row],[Pipa 63 mm2]:[Pipa 1,800 mm21]])</f>
        <v>491.2</v>
      </c>
      <c r="BK33" s="356">
        <v>491.2</v>
      </c>
      <c r="BL33" s="356"/>
      <c r="BM33" s="356"/>
      <c r="BN33" s="356"/>
      <c r="BO33" s="356"/>
      <c r="BP33" s="356"/>
      <c r="BQ33" s="356"/>
      <c r="BR33" s="356"/>
      <c r="BS33" s="356"/>
      <c r="BT33" s="356"/>
      <c r="BU33" s="356"/>
      <c r="BV33" s="356"/>
      <c r="BW33" s="356"/>
      <c r="BX33" s="356"/>
      <c r="BY33" s="356"/>
      <c r="BZ33" s="356"/>
      <c r="CA33" s="356"/>
      <c r="CB33" s="356"/>
      <c r="CC33" s="356"/>
      <c r="CD33" s="356"/>
      <c r="CE33" s="32">
        <v>745</v>
      </c>
      <c r="CF33" s="32"/>
      <c r="CG33" s="32"/>
      <c r="CH33" s="32"/>
      <c r="CI33" s="32">
        <f t="shared" si="3"/>
        <v>745</v>
      </c>
      <c r="CJ33" s="65">
        <f>IF((Table1[[#This Row],["Volume
BA MC-0"]]-Table1[[#This Row],[Total Panjang Pipa Aktual
(Sum-&gt;)3]]-Table1[[#This Row],[Total Volume
tidak dapat dipasang]])&gt;=0,Table1[[#This Row],["Volume
BA MC-0"]]-Table1[[#This Row],[Total Panjang Pipa Aktual
(Sum-&gt;)3]]-Table1[[#This Row],[Total Volume
tidak dapat dipasang]],0)</f>
        <v>85.799999999999955</v>
      </c>
      <c r="CK33" s="47"/>
      <c r="CL33" s="131"/>
      <c r="CM33" s="35"/>
      <c r="CN33" s="131"/>
      <c r="CO33" s="131"/>
      <c r="CP3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 s="66">
        <f>IFERROR(Table1[[#This Row],[Progres Keg. Umum
(%)]]*Table1[[#This Row],[Nilai RAB Jaringan
(file pa aji)]],0)</f>
        <v>0</v>
      </c>
      <c r="CR33" s="66">
        <f>IFERROR(Table1[[#This Row],[Progres MOS
(%)]]*Table1[[#This Row],[Nilai RAB Jaringan
(file pa aji)]],0)</f>
        <v>0</v>
      </c>
      <c r="CS33" s="66">
        <f>IFERROR(Table1[[#This Row],[Progres Pemasangan
(%)]]*Table1[[#This Row],[Nilai RAB Jaringan
(file pa aji)]],0)</f>
        <v>0</v>
      </c>
      <c r="CT33" s="66">
        <f>IFERROR(Table1[[#This Row],[Progres Perizinan
(%)]]*Table1[[#This Row],[Nilai RAB Jaringan
(file pa aji)]],0)</f>
        <v>0</v>
      </c>
      <c r="CU33" s="329">
        <v>739384377</v>
      </c>
      <c r="CV33" s="329">
        <v>739384377</v>
      </c>
      <c r="CW33" s="583">
        <v>739384377</v>
      </c>
      <c r="CX33" s="329">
        <v>739384377</v>
      </c>
      <c r="CY33" s="47"/>
      <c r="CZ33" s="330">
        <v>45439</v>
      </c>
      <c r="DA33" s="330">
        <v>45466</v>
      </c>
      <c r="DB33" s="331"/>
      <c r="DC33" s="316"/>
      <c r="DD33" s="67"/>
      <c r="DE3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3" s="331"/>
      <c r="DG33" s="316"/>
      <c r="DH33" s="67"/>
      <c r="DI3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3" s="330">
        <v>45467</v>
      </c>
      <c r="DK33" s="330">
        <v>45536</v>
      </c>
      <c r="DL33" s="331">
        <v>45522</v>
      </c>
      <c r="DM33" s="357" t="s">
        <v>406</v>
      </c>
      <c r="DN3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 s="331">
        <v>45572</v>
      </c>
      <c r="DP33" s="316" t="s">
        <v>407</v>
      </c>
      <c r="DQ33" s="338" t="s">
        <v>371</v>
      </c>
      <c r="DR3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 s="330">
        <v>45467</v>
      </c>
      <c r="DT33" s="330" t="e">
        <v>#N/A</v>
      </c>
      <c r="DU33" s="330">
        <v>45508</v>
      </c>
      <c r="DV33" s="330" t="e">
        <v>#N/A</v>
      </c>
      <c r="DW33" s="331"/>
      <c r="DX33" s="316"/>
      <c r="DY33" s="334"/>
      <c r="DZ33" s="334"/>
      <c r="EA3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3" s="331"/>
      <c r="EC33" s="332"/>
      <c r="ED33" s="332"/>
      <c r="EE33" s="330"/>
      <c r="EF33" s="35">
        <v>1</v>
      </c>
      <c r="EG33" s="337">
        <v>1</v>
      </c>
      <c r="EH33" s="316" t="str">
        <f>IF(Table1[[#This Row],[PO Material Aktual 
(%)]]&gt;=100%,"Selesai PO = 100%",IF(Table1[[#This Row],[PO Material Aktual 
(%)]]&gt;=50%,"Proses PO &gt; 100%",IF(Table1[[#This Row],[PO Material Aktual 
(%)]]&gt;0%,"Proses PO &gt; 50%",IF(Table1[[#This Row],[PO Material Aktual 
(%)]]=0,"Belum PO = 0%"))))</f>
        <v>Selesai PO = 100%</v>
      </c>
      <c r="EI3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 s="330">
        <v>45509</v>
      </c>
      <c r="EK33" s="330" t="e">
        <v>#N/A</v>
      </c>
      <c r="EL33" s="330">
        <v>45620</v>
      </c>
      <c r="EM33" s="330" t="e">
        <v>#N/A</v>
      </c>
      <c r="EN33" s="331"/>
      <c r="EO33" s="332"/>
      <c r="EP33" s="332"/>
      <c r="EQ33" s="87">
        <v>1</v>
      </c>
      <c r="ER33" s="87">
        <v>1</v>
      </c>
      <c r="ES33" s="316" t="str">
        <f>IF(Table1[[#This Row],[Progres MOS]]&gt;=100%,"Selesai MOS = 100%",IF(Table1[[#This Row],[Progres MOS]]&gt;=50%,"Proses MOS &gt; 100%",IF(Table1[[#This Row],[Progres MOS]]&gt;0%,"Proses MOS &gt; 50%",IF(Table1[[#This Row],[Progres MOS]]=0,"Belum MOS = 0%"))))</f>
        <v>Selesai MOS = 100%</v>
      </c>
      <c r="ET3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 s="47"/>
      <c r="EV33" s="330">
        <v>45467</v>
      </c>
      <c r="EW33" s="330" t="e">
        <v>#N/A</v>
      </c>
      <c r="EX33" s="330">
        <v>45564</v>
      </c>
      <c r="EY33" s="330" t="e">
        <v>#N/A</v>
      </c>
      <c r="EZ33" s="352" t="s">
        <v>259</v>
      </c>
      <c r="FA33" s="336" t="s">
        <v>259</v>
      </c>
      <c r="FB33" s="330" t="s">
        <v>260</v>
      </c>
      <c r="FC33" s="330">
        <v>45565</v>
      </c>
      <c r="FD33" s="330" t="s">
        <v>260</v>
      </c>
      <c r="FE33" s="330">
        <v>45569</v>
      </c>
      <c r="FF33" s="330">
        <v>45691</v>
      </c>
      <c r="FG33" s="330" t="s">
        <v>260</v>
      </c>
      <c r="FH33" s="330" t="s">
        <v>260</v>
      </c>
      <c r="FI33" s="330">
        <v>45981</v>
      </c>
      <c r="FJ33" s="330" t="s">
        <v>260</v>
      </c>
      <c r="FK33" s="330">
        <v>46022</v>
      </c>
      <c r="FL33" s="336" t="s">
        <v>259</v>
      </c>
      <c r="FM33" s="336">
        <v>45565</v>
      </c>
      <c r="FN33" s="314">
        <f>IF(Table1[[#This Row],[Tanggal Pengajuan Dokumen]]="","",Table1[[#This Row],[PLAN PERMIT
start]]-Table1[[#This Row],[Tanggal Pengajuan Dokumen]])</f>
        <v>-98</v>
      </c>
      <c r="FO33" s="336"/>
      <c r="FP33" s="316"/>
      <c r="FQ33" s="338"/>
      <c r="FR33" s="352"/>
      <c r="FS33" s="338" t="str">
        <f t="shared" si="4"/>
        <v>Sudah Terbit</v>
      </c>
      <c r="FT3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 s="344">
        <f ca="1">IF(Table1[[#This Row],[Status Izin]]="Selesai",Table1[[#This Row],[PLAN PERMIT
finish]]-Table1[[#This Row],[Tanggal Terbit/ Target Izin Terbit]],ROUNDUP(Table1[[#This Row],[PLAN PERMIT
finish]]-NOW(),0))</f>
        <v>45564</v>
      </c>
      <c r="FV3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 s="344"/>
      <c r="FX33" s="47"/>
      <c r="FY33" s="340"/>
      <c r="FZ33" s="341"/>
      <c r="GA3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 s="330">
        <v>45538</v>
      </c>
      <c r="GC33" s="331">
        <v>45519</v>
      </c>
      <c r="GD3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 s="330">
        <v>45545</v>
      </c>
      <c r="GF33" s="331">
        <v>45519</v>
      </c>
      <c r="GG3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 s="330">
        <v>45551</v>
      </c>
      <c r="GI33" s="330">
        <v>45557</v>
      </c>
      <c r="GJ33" s="353">
        <v>45607</v>
      </c>
      <c r="GK3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3" s="330">
        <v>45565</v>
      </c>
      <c r="GM33" s="330" t="e">
        <v>#N/A</v>
      </c>
      <c r="GN33" s="330">
        <v>45690</v>
      </c>
      <c r="GO33" s="330" t="e">
        <v>#N/A</v>
      </c>
      <c r="GP33" s="316"/>
      <c r="GQ3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 s="330" t="s">
        <v>261</v>
      </c>
      <c r="GS33" s="330" t="s">
        <v>261</v>
      </c>
      <c r="GT33" s="354">
        <v>45650</v>
      </c>
      <c r="GU33" s="344" t="str">
        <f>IF(Table1[[#This Row],[Hydro Tes Actual
(tanggal)]]&lt;&gt;"","Sudah","Belum")</f>
        <v>Sudah</v>
      </c>
      <c r="GV33" s="330" t="s">
        <v>261</v>
      </c>
      <c r="GW33" s="330" t="s">
        <v>261</v>
      </c>
      <c r="GX33" s="331">
        <v>45742</v>
      </c>
      <c r="GY33" s="344" t="str">
        <f>IF(Table1[[#This Row],[Interkoneksi Actual
(tanggal)]]&lt;&gt;"","Sudah","Belum")</f>
        <v>Sudah</v>
      </c>
      <c r="GZ33" s="330" t="s">
        <v>261</v>
      </c>
      <c r="HA33" s="330" t="s">
        <v>261</v>
      </c>
      <c r="HB33" s="331">
        <v>45751</v>
      </c>
      <c r="HC33" s="344" t="str">
        <f>IF(Table1[[#This Row],[Flushing Actual
(tanggal)]]&lt;&gt;"","Sudah","Belum")</f>
        <v>Sudah</v>
      </c>
      <c r="HD33" s="330">
        <v>45677</v>
      </c>
      <c r="HE33" s="330" t="e">
        <v>#N/A</v>
      </c>
      <c r="HF33" s="330">
        <v>45683</v>
      </c>
      <c r="HG33" s="346">
        <v>45770</v>
      </c>
      <c r="HH3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 s="330" t="s">
        <v>261</v>
      </c>
      <c r="HJ33" s="330" t="s">
        <v>261</v>
      </c>
      <c r="HK33" s="331"/>
      <c r="HL33" s="316"/>
      <c r="HM33" s="330">
        <v>45702</v>
      </c>
      <c r="HN33" s="330">
        <v>45702</v>
      </c>
      <c r="HO33" s="330" t="e">
        <v>#N/A</v>
      </c>
      <c r="HP33" s="346">
        <v>45796</v>
      </c>
      <c r="HQ3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3" s="330">
        <v>45709</v>
      </c>
      <c r="HS33" s="330"/>
      <c r="HT33" s="330">
        <v>45709</v>
      </c>
      <c r="HU33" s="527"/>
      <c r="HV33" s="330">
        <f>IF(Table1[[#This Row],[MC-100 Aktual
(tanggal)]]&lt;&gt;"",Table1[[#This Row],[MC-100 Aktual
(tanggal)]]+5,"")</f>
        <v>45801</v>
      </c>
      <c r="HW3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3" s="47"/>
      <c r="HY33" s="352"/>
      <c r="HZ33" s="352"/>
      <c r="IB33" s="618">
        <f>IFERROR(ROUND((Table1[[#This Row],[PLAN TC
finish]]-Table1[[#This Row],[PLAN MC-0
start]])/30,2),"")</f>
        <v>4.4000000000000004</v>
      </c>
      <c r="IC33">
        <f>DATEDIF(Table1[[#This Row],[PLAN MC-0
start]],Table1[[#This Row],[PLAN TC
finish]],"m")</f>
        <v>4</v>
      </c>
    </row>
    <row r="34" spans="1:237" s="30" customFormat="1" ht="15" hidden="1" customHeight="1" x14ac:dyDescent="0.2">
      <c r="A34" s="77"/>
      <c r="B34" s="311">
        <f>SUBTOTAL(3,$D$5:D34)</f>
        <v>17</v>
      </c>
      <c r="C34" s="362">
        <v>30</v>
      </c>
      <c r="D34" s="363" t="s">
        <v>244</v>
      </c>
      <c r="E34" s="363" t="s">
        <v>408</v>
      </c>
      <c r="F34" s="363" t="s">
        <v>409</v>
      </c>
      <c r="G34" s="364">
        <v>45752</v>
      </c>
      <c r="H34" s="365" t="s">
        <v>247</v>
      </c>
      <c r="I34" s="363" t="s">
        <v>278</v>
      </c>
      <c r="J34" s="363"/>
      <c r="K34" s="366" t="s">
        <v>249</v>
      </c>
      <c r="L34" s="367" t="s">
        <v>250</v>
      </c>
      <c r="M34" s="367" t="s">
        <v>269</v>
      </c>
      <c r="N34" s="368">
        <v>1856</v>
      </c>
      <c r="O34" s="369" t="s">
        <v>252</v>
      </c>
      <c r="P34" s="37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 s="370" t="s">
        <v>389</v>
      </c>
      <c r="R34" s="88" t="e">
        <v>#N/A</v>
      </c>
      <c r="S34" s="88">
        <v>1</v>
      </c>
      <c r="T34" s="371">
        <f>Table1[[#This Row],[Progres Total Aktual
(%)]]</f>
        <v>0</v>
      </c>
      <c r="U34" s="372">
        <f>Table1[[#This Row],[Progres Aktual
(%)]]-Table1[[#This Row],[Target Progres
(%)]]</f>
        <v>-1</v>
      </c>
      <c r="V34" s="373">
        <f>Table1[[#This Row],["Volume
BA MC-0"]]</f>
        <v>0</v>
      </c>
      <c r="W34" s="374">
        <f>Table1[[#This Row],[Total Panjang Pipa Aktual
(Sum-&gt;)3]]</f>
        <v>0</v>
      </c>
      <c r="X34" s="47"/>
      <c r="Y34" s="375" t="s">
        <v>410</v>
      </c>
      <c r="Z34" s="375">
        <v>2556386697</v>
      </c>
      <c r="AA34" s="375">
        <f>ROUND((Table1[[#This Row],[Nilai RAB Jaringan
(Exclude Ppn)]]-Table1[[#This Row],[RAB Perizinan]])*1.11+Table1[[#This Row],[RAB Perizinan]],0)</f>
        <v>0</v>
      </c>
      <c r="AB34" s="370">
        <f>SUM(Table1[[#This Row],[RAB Kegiatan Umum]:[RAB Perizinan]])</f>
        <v>0</v>
      </c>
      <c r="AC34" s="370"/>
      <c r="AD34" s="370"/>
      <c r="AE34" s="370"/>
      <c r="AF34" s="370"/>
      <c r="AG34" s="370">
        <v>2254613130</v>
      </c>
      <c r="AH34" s="371" t="e">
        <f>SUM(Table1[[#This Row],[Bobot Keg Umum]:[Bobot Perizinan]])</f>
        <v>#DIV/0!</v>
      </c>
      <c r="AI34" s="371" t="e">
        <f>Table1[[#This Row],[RAB Kegiatan Umum]]/Table1[[#This Row],[Nilai RAB Jaringan
(Exclude Ppn)]]</f>
        <v>#DIV/0!</v>
      </c>
      <c r="AJ34" s="371" t="e">
        <f>Table1[[#This Row],[RAB Pemasangan]]/Table1[[#This Row],[Nilai RAB Jaringan
(Exclude Ppn)]]</f>
        <v>#DIV/0!</v>
      </c>
      <c r="AK34" s="371" t="e">
        <f>Table1[[#This Row],[RAB Pengadaan]]/Table1[[#This Row],[Nilai RAB Jaringan
(Exclude Ppn)]]</f>
        <v>#DIV/0!</v>
      </c>
      <c r="AL34" s="371" t="e">
        <f>Table1[[#This Row],[RAB Perizinan]]/Table1[[#This Row],[Nilai RAB Jaringan
(Exclude Ppn)]]</f>
        <v>#DIV/0!</v>
      </c>
      <c r="AM34" s="47"/>
      <c r="AN34" s="376">
        <v>0</v>
      </c>
      <c r="AO34" s="376">
        <f>SUM(Table1[[#This Row],[Pipa 63 mm]:[Pipa 1,800 mm]])</f>
        <v>0</v>
      </c>
      <c r="AP34" s="376"/>
      <c r="AQ34" s="376"/>
      <c r="AR34" s="376"/>
      <c r="AS34" s="376"/>
      <c r="AT34" s="376"/>
      <c r="AU34" s="376"/>
      <c r="AV34" s="376"/>
      <c r="AW34" s="376"/>
      <c r="AX34" s="376"/>
      <c r="AY34" s="376"/>
      <c r="AZ34" s="376"/>
      <c r="BA34" s="376"/>
      <c r="BB34" s="376"/>
      <c r="BC34" s="376"/>
      <c r="BD34" s="376"/>
      <c r="BE34" s="376"/>
      <c r="BF34" s="376"/>
      <c r="BG34" s="376"/>
      <c r="BH34" s="376"/>
      <c r="BI34" s="376"/>
      <c r="BJ34" s="377">
        <f>SUM(Table1[[#This Row],[Pipa 63 mm2]:[Pipa 1,800 mm21]])</f>
        <v>0</v>
      </c>
      <c r="BK34" s="378"/>
      <c r="BL34" s="378"/>
      <c r="BM34" s="378"/>
      <c r="BN34" s="378"/>
      <c r="BO34" s="378"/>
      <c r="BP34" s="378"/>
      <c r="BQ34" s="378"/>
      <c r="BR34" s="378"/>
      <c r="BS34" s="378"/>
      <c r="BT34" s="378"/>
      <c r="BU34" s="378"/>
      <c r="BV34" s="378"/>
      <c r="BW34" s="378"/>
      <c r="BX34" s="378"/>
      <c r="BY34" s="378"/>
      <c r="BZ34" s="378"/>
      <c r="CA34" s="378"/>
      <c r="CB34" s="378"/>
      <c r="CC34" s="378"/>
      <c r="CD34" s="378"/>
      <c r="CE34" s="378">
        <v>0</v>
      </c>
      <c r="CF34" s="378"/>
      <c r="CG34" s="378"/>
      <c r="CH34" s="378"/>
      <c r="CI34" s="378">
        <f t="shared" si="3"/>
        <v>0</v>
      </c>
      <c r="CJ34" s="378">
        <f>IF((Table1[[#This Row],["Volume
BA MC-0"]]-Table1[[#This Row],[Total Panjang Pipa Aktual
(Sum-&gt;)3]]-Table1[[#This Row],[Total Volume
tidak dapat dipasang]])&gt;=0,Table1[[#This Row],["Volume
BA MC-0"]]-Table1[[#This Row],[Total Panjang Pipa Aktual
(Sum-&gt;)3]]-Table1[[#This Row],[Total Volume
tidak dapat dipasang]],0)</f>
        <v>0</v>
      </c>
      <c r="CK34" s="47"/>
      <c r="CL34" s="379"/>
      <c r="CM34" s="371"/>
      <c r="CN34" s="379"/>
      <c r="CO34" s="379"/>
      <c r="CP3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4" s="380">
        <f>IFERROR(Table1[[#This Row],[Progres Keg. Umum
(%)]]*Table1[[#This Row],[Nilai RAB Jaringan
(file pa aji)]],0)</f>
        <v>0</v>
      </c>
      <c r="CR34" s="380">
        <f>IFERROR(Table1[[#This Row],[Progres MOS
(%)]]*Table1[[#This Row],[Nilai RAB Jaringan
(file pa aji)]],0)</f>
        <v>0</v>
      </c>
      <c r="CS34" s="380">
        <f>IFERROR(Table1[[#This Row],[Progres Pemasangan
(%)]]*Table1[[#This Row],[Nilai RAB Jaringan
(file pa aji)]],0)</f>
        <v>0</v>
      </c>
      <c r="CT34" s="380">
        <f>IFERROR(Table1[[#This Row],[Progres Perizinan
(%)]]*Table1[[#This Row],[Nilai RAB Jaringan
(file pa aji)]],0)</f>
        <v>0</v>
      </c>
      <c r="CU34" s="329">
        <v>0</v>
      </c>
      <c r="CV34" s="329">
        <v>0</v>
      </c>
      <c r="CW34" s="582">
        <v>0</v>
      </c>
      <c r="CX34" s="329">
        <v>0</v>
      </c>
      <c r="CY34" s="47"/>
      <c r="CZ34" s="330">
        <v>45439</v>
      </c>
      <c r="DA34" s="330">
        <v>45466</v>
      </c>
      <c r="DB34" s="331"/>
      <c r="DC34" s="367"/>
      <c r="DD34" s="375"/>
      <c r="DE3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4" s="331"/>
      <c r="DG34" s="367"/>
      <c r="DH34" s="375"/>
      <c r="DI34"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4" s="330">
        <v>45467</v>
      </c>
      <c r="DK34" s="330">
        <v>45536</v>
      </c>
      <c r="DL34" s="331">
        <v>45514</v>
      </c>
      <c r="DM34" s="381" t="s">
        <v>411</v>
      </c>
      <c r="DN3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 s="331">
        <v>45572</v>
      </c>
      <c r="DP34" s="367" t="s">
        <v>412</v>
      </c>
      <c r="DQ34" s="366" t="s">
        <v>371</v>
      </c>
      <c r="DR3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 s="330">
        <v>45467</v>
      </c>
      <c r="DT34" s="330" t="e">
        <v>#N/A</v>
      </c>
      <c r="DU34" s="330">
        <v>45508</v>
      </c>
      <c r="DV34" s="330" t="e">
        <v>#N/A</v>
      </c>
      <c r="DW34" s="331"/>
      <c r="DX34" s="367"/>
      <c r="DY34" s="382"/>
      <c r="DZ34" s="382"/>
      <c r="EA3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4" s="331"/>
      <c r="EC34" s="332"/>
      <c r="ED34" s="332"/>
      <c r="EE34" s="330"/>
      <c r="EF34" s="371" t="b">
        <v>0</v>
      </c>
      <c r="EG34" s="383" t="b">
        <v>0</v>
      </c>
      <c r="EH34" s="316" t="str">
        <f>IF(Table1[[#This Row],[PO Material Aktual 
(%)]]&gt;=100%,"Selesai PO = 100%",IF(Table1[[#This Row],[PO Material Aktual 
(%)]]&gt;=50%,"Proses PO &gt; 100%",IF(Table1[[#This Row],[PO Material Aktual 
(%)]]&gt;0%,"Proses PO &gt; 50%",IF(Table1[[#This Row],[PO Material Aktual 
(%)]]=0,"Belum PO = 0%"))))</f>
        <v>Selesai PO = 100%</v>
      </c>
      <c r="EI3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 s="330">
        <v>45509</v>
      </c>
      <c r="EK34" s="330" t="e">
        <v>#N/A</v>
      </c>
      <c r="EL34" s="330">
        <v>45620</v>
      </c>
      <c r="EM34" s="330" t="e">
        <v>#N/A</v>
      </c>
      <c r="EN34" s="331"/>
      <c r="EO34" s="332"/>
      <c r="EP34" s="332"/>
      <c r="EQ34" s="88" t="b">
        <v>0</v>
      </c>
      <c r="ER34" s="88" t="b">
        <v>0</v>
      </c>
      <c r="ES34" s="316" t="str">
        <f>IF(Table1[[#This Row],[Progres MOS]]&gt;=100%,"Selesai MOS = 100%",IF(Table1[[#This Row],[Progres MOS]]&gt;=50%,"Proses MOS &gt; 100%",IF(Table1[[#This Row],[Progres MOS]]&gt;0%,"Proses MOS &gt; 50%",IF(Table1[[#This Row],[Progres MOS]]=0,"Belum MOS = 0%"))))</f>
        <v>Selesai MOS = 100%</v>
      </c>
      <c r="ET3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4" s="47"/>
      <c r="EV34" s="330">
        <v>45467</v>
      </c>
      <c r="EW34" s="330" t="e">
        <v>#N/A</v>
      </c>
      <c r="EX34" s="330">
        <v>45564</v>
      </c>
      <c r="EY34" s="330" t="e">
        <v>#N/A</v>
      </c>
      <c r="EZ34" s="384" t="s">
        <v>259</v>
      </c>
      <c r="FA34" s="385" t="s">
        <v>389</v>
      </c>
      <c r="FB34" s="386" t="s">
        <v>260</v>
      </c>
      <c r="FC34" s="330">
        <v>45565</v>
      </c>
      <c r="FD34" s="386" t="s">
        <v>260</v>
      </c>
      <c r="FE34" s="386">
        <v>45569</v>
      </c>
      <c r="FF34" s="386">
        <v>45691</v>
      </c>
      <c r="FG34" s="386" t="s">
        <v>260</v>
      </c>
      <c r="FH34" s="386" t="s">
        <v>260</v>
      </c>
      <c r="FI34" s="386">
        <v>45981</v>
      </c>
      <c r="FJ34" s="386" t="s">
        <v>260</v>
      </c>
      <c r="FK34" s="386">
        <v>46022</v>
      </c>
      <c r="FL34" s="336" t="s">
        <v>259</v>
      </c>
      <c r="FM34" s="336">
        <v>45565</v>
      </c>
      <c r="FN34" s="314">
        <f>IF(Table1[[#This Row],[Tanggal Pengajuan Dokumen]]="","",Table1[[#This Row],[PLAN PERMIT
start]]-Table1[[#This Row],[Tanggal Pengajuan Dokumen]])</f>
        <v>-98</v>
      </c>
      <c r="FO34" s="336"/>
      <c r="FP34" s="367"/>
      <c r="FQ34" s="366"/>
      <c r="FR34" s="384"/>
      <c r="FS34" s="338" t="str">
        <f t="shared" si="4"/>
        <v>Sudah Terbit</v>
      </c>
      <c r="FT34"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 s="387">
        <f ca="1">IF(Table1[[#This Row],[Status Izin]]="Selesai",Table1[[#This Row],[PLAN PERMIT
finish]]-Table1[[#This Row],[Tanggal Terbit/ Target Izin Terbit]],ROUNDUP(Table1[[#This Row],[PLAN PERMIT
finish]]-NOW(),0))</f>
        <v>45564</v>
      </c>
      <c r="FV34"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 s="387"/>
      <c r="FX34" s="47"/>
      <c r="FY34" s="340"/>
      <c r="FZ34" s="341"/>
      <c r="GA3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 s="330">
        <v>45538</v>
      </c>
      <c r="GC34" s="388">
        <v>45519</v>
      </c>
      <c r="GD34"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 s="330">
        <v>45545</v>
      </c>
      <c r="GF34" s="388">
        <v>45519</v>
      </c>
      <c r="GG34"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 s="330">
        <v>45551</v>
      </c>
      <c r="GI34" s="330">
        <v>45557</v>
      </c>
      <c r="GJ34" s="393"/>
      <c r="GK34"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 s="330">
        <v>45565</v>
      </c>
      <c r="GM34" s="330" t="e">
        <v>#N/A</v>
      </c>
      <c r="GN34" s="330">
        <v>45690</v>
      </c>
      <c r="GO34" s="330" t="e">
        <v>#N/A</v>
      </c>
      <c r="GP34" s="367"/>
      <c r="GQ34"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 s="386" t="s">
        <v>261</v>
      </c>
      <c r="GS34" s="386" t="s">
        <v>261</v>
      </c>
      <c r="GT34" s="390"/>
      <c r="GU34" s="387" t="str">
        <f>IF(Table1[[#This Row],[Hydro Tes Actual
(tanggal)]]&lt;&gt;"","Sudah","Belum")</f>
        <v>Belum</v>
      </c>
      <c r="GV34" s="386" t="s">
        <v>261</v>
      </c>
      <c r="GW34" s="386" t="s">
        <v>261</v>
      </c>
      <c r="GX34" s="388"/>
      <c r="GY34" s="344" t="str">
        <f>IF(Table1[[#This Row],[Interkoneksi Actual
(tanggal)]]&lt;&gt;"","Sudah","Belum")</f>
        <v>Belum</v>
      </c>
      <c r="GZ34" s="386" t="s">
        <v>261</v>
      </c>
      <c r="HA34" s="386" t="s">
        <v>261</v>
      </c>
      <c r="HB34" s="388"/>
      <c r="HC34" s="344" t="str">
        <f>IF(Table1[[#This Row],[Flushing Actual
(tanggal)]]&lt;&gt;"","Sudah","Belum")</f>
        <v>Belum</v>
      </c>
      <c r="HD34" s="330">
        <v>45677</v>
      </c>
      <c r="HE34" s="330" t="e">
        <v>#N/A</v>
      </c>
      <c r="HF34" s="330">
        <v>45683</v>
      </c>
      <c r="HG34" s="391"/>
      <c r="HH34"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4" s="386" t="s">
        <v>261</v>
      </c>
      <c r="HJ34" s="386" t="s">
        <v>261</v>
      </c>
      <c r="HK34" s="388"/>
      <c r="HL34" s="367"/>
      <c r="HM34" s="330">
        <v>45702</v>
      </c>
      <c r="HN34" s="330">
        <v>45702</v>
      </c>
      <c r="HO34" s="330" t="e">
        <v>#N/A</v>
      </c>
      <c r="HP34" s="391"/>
      <c r="HQ34"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4" s="330">
        <v>45709</v>
      </c>
      <c r="HS34" s="330"/>
      <c r="HT34" s="330">
        <v>45709</v>
      </c>
      <c r="HU34" s="527"/>
      <c r="HV34" s="386"/>
      <c r="HW34"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4" s="47"/>
      <c r="HY34" s="384"/>
      <c r="HZ34" s="384"/>
      <c r="IB34" s="618">
        <f>IFERROR(ROUND((Table1[[#This Row],[PLAN TC
finish]]-Table1[[#This Row],[PLAN MC-0
start]])/30,2),"")</f>
        <v>4.4000000000000004</v>
      </c>
      <c r="IC34">
        <f>DATEDIF(Table1[[#This Row],[PLAN MC-0
start]],Table1[[#This Row],[PLAN TC
finish]],"m")</f>
        <v>4</v>
      </c>
    </row>
    <row r="35" spans="1:237" s="4" customFormat="1" ht="15" hidden="1" customHeight="1" x14ac:dyDescent="0.2">
      <c r="B35" s="311">
        <f>SUBTOTAL(3,$D$5:D35)</f>
        <v>17</v>
      </c>
      <c r="C35" s="348">
        <v>31</v>
      </c>
      <c r="D35" s="315" t="s">
        <v>244</v>
      </c>
      <c r="E35" s="315" t="s">
        <v>413</v>
      </c>
      <c r="F35" s="315" t="s">
        <v>414</v>
      </c>
      <c r="G35" s="349">
        <v>45752</v>
      </c>
      <c r="H35" s="314" t="s">
        <v>247</v>
      </c>
      <c r="I35" s="315" t="s">
        <v>278</v>
      </c>
      <c r="J35" s="315"/>
      <c r="K35" s="338" t="s">
        <v>249</v>
      </c>
      <c r="L35" s="316" t="s">
        <v>250</v>
      </c>
      <c r="M35" s="316" t="s">
        <v>269</v>
      </c>
      <c r="N35" s="107">
        <v>1233</v>
      </c>
      <c r="O35" s="31" t="s">
        <v>252</v>
      </c>
      <c r="P3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5" s="87" t="e">
        <v>#N/A</v>
      </c>
      <c r="S35" s="87">
        <v>1</v>
      </c>
      <c r="T35" s="35">
        <f>Table1[[#This Row],[Progres Total Aktual
(%)]]</f>
        <v>1</v>
      </c>
      <c r="U35" s="124">
        <f>Table1[[#This Row],[Progres Aktual
(%)]]-Table1[[#This Row],[Target Progres
(%)]]</f>
        <v>0</v>
      </c>
      <c r="V35" s="350">
        <f>Table1[[#This Row],["Volume
BA MC-0"]]</f>
        <v>2221</v>
      </c>
      <c r="W35" s="351">
        <f>Table1[[#This Row],[Total Panjang Pipa Aktual
(Sum-&gt;)3]]</f>
        <v>1320</v>
      </c>
      <c r="X35" s="47"/>
      <c r="Y35" s="67" t="s">
        <v>415</v>
      </c>
      <c r="Z35" s="67">
        <v>2117770214</v>
      </c>
      <c r="AA35" s="67">
        <f>ROUND((Table1[[#This Row],[Nilai RAB Jaringan
(Exclude Ppn)]]-Table1[[#This Row],[RAB Perizinan]])*1.11+Table1[[#This Row],[RAB Perizinan]],0)</f>
        <v>0</v>
      </c>
      <c r="AB35" s="320">
        <f>SUM(Table1[[#This Row],[RAB Kegiatan Umum]:[RAB Perizinan]])</f>
        <v>0</v>
      </c>
      <c r="AC35" s="320"/>
      <c r="AD35" s="320"/>
      <c r="AE35" s="320"/>
      <c r="AF35" s="320"/>
      <c r="AG35" s="320">
        <v>3094968933</v>
      </c>
      <c r="AH35" s="35" t="e">
        <f>SUM(Table1[[#This Row],[Bobot Keg Umum]:[Bobot Perizinan]])</f>
        <v>#DIV/0!</v>
      </c>
      <c r="AI35" s="35" t="e">
        <f>Table1[[#This Row],[RAB Kegiatan Umum]]/Table1[[#This Row],[Nilai RAB Jaringan
(Exclude Ppn)]]</f>
        <v>#DIV/0!</v>
      </c>
      <c r="AJ35" s="35" t="e">
        <f>Table1[[#This Row],[RAB Pemasangan]]/Table1[[#This Row],[Nilai RAB Jaringan
(Exclude Ppn)]]</f>
        <v>#DIV/0!</v>
      </c>
      <c r="AK35" s="35" t="e">
        <f>Table1[[#This Row],[RAB Pengadaan]]/Table1[[#This Row],[Nilai RAB Jaringan
(Exclude Ppn)]]</f>
        <v>#DIV/0!</v>
      </c>
      <c r="AL35" s="35" t="e">
        <f>Table1[[#This Row],[RAB Perizinan]]/Table1[[#This Row],[Nilai RAB Jaringan
(Exclude Ppn)]]</f>
        <v>#DIV/0!</v>
      </c>
      <c r="AM35" s="47"/>
      <c r="AN35" s="285">
        <v>2221</v>
      </c>
      <c r="AO35" s="285">
        <f>SUM(Table1[[#This Row],[Pipa 63 mm]:[Pipa 1,800 mm]])</f>
        <v>0</v>
      </c>
      <c r="AP35" s="285"/>
      <c r="AQ35" s="285"/>
      <c r="AR35" s="285"/>
      <c r="AS35" s="285"/>
      <c r="AT35" s="285"/>
      <c r="AU35" s="285"/>
      <c r="AV35" s="285"/>
      <c r="AW35" s="285"/>
      <c r="AX35" s="285"/>
      <c r="AY35" s="285"/>
      <c r="AZ35" s="285"/>
      <c r="BA35" s="285"/>
      <c r="BB35" s="285"/>
      <c r="BC35" s="285"/>
      <c r="BD35" s="285"/>
      <c r="BE35" s="285"/>
      <c r="BF35" s="285"/>
      <c r="BG35" s="285"/>
      <c r="BH35" s="285"/>
      <c r="BI35" s="285"/>
      <c r="BJ35" s="36">
        <f>SUM(Table1[[#This Row],[Pipa 63 mm2]:[Pipa 1,800 mm21]])</f>
        <v>1320</v>
      </c>
      <c r="BK35" s="32">
        <v>1320</v>
      </c>
      <c r="BL35" s="32"/>
      <c r="BM35" s="32"/>
      <c r="BN35" s="32"/>
      <c r="BO35" s="32"/>
      <c r="BP35" s="32"/>
      <c r="BQ35" s="32"/>
      <c r="BR35" s="32"/>
      <c r="BS35" s="32"/>
      <c r="BT35" s="32"/>
      <c r="BU35" s="32"/>
      <c r="BV35" s="32"/>
      <c r="BW35" s="32"/>
      <c r="BX35" s="32"/>
      <c r="BY35" s="32"/>
      <c r="BZ35" s="32"/>
      <c r="CA35" s="32"/>
      <c r="CB35" s="32"/>
      <c r="CC35" s="32"/>
      <c r="CD35" s="32"/>
      <c r="CE35" s="32">
        <v>1099</v>
      </c>
      <c r="CF35" s="32"/>
      <c r="CG35" s="32"/>
      <c r="CH35" s="32"/>
      <c r="CI35" s="32">
        <f t="shared" si="3"/>
        <v>1099</v>
      </c>
      <c r="CJ35" s="65">
        <f>IF((Table1[[#This Row],["Volume
BA MC-0"]]-Table1[[#This Row],[Total Panjang Pipa Aktual
(Sum-&gt;)3]]-Table1[[#This Row],[Total Volume
tidak dapat dipasang]])&gt;=0,Table1[[#This Row],["Volume
BA MC-0"]]-Table1[[#This Row],[Total Panjang Pipa Aktual
(Sum-&gt;)3]]-Table1[[#This Row],[Total Volume
tidak dapat dipasang]],0)</f>
        <v>0</v>
      </c>
      <c r="CK35" s="47"/>
      <c r="CL35" s="131"/>
      <c r="CM35" s="35"/>
      <c r="CN35" s="131"/>
      <c r="CO35" s="131"/>
      <c r="CP3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5" s="66">
        <f>IFERROR(Table1[[#This Row],[Progres Keg. Umum
(%)]]*Table1[[#This Row],[Nilai RAB Jaringan
(file pa aji)]],0)</f>
        <v>0</v>
      </c>
      <c r="CR35" s="66">
        <f>IFERROR(Table1[[#This Row],[Progres MOS
(%)]]*Table1[[#This Row],[Nilai RAB Jaringan
(file pa aji)]],0)</f>
        <v>0</v>
      </c>
      <c r="CS35" s="66">
        <f>IFERROR(Table1[[#This Row],[Progres Pemasangan
(%)]]*Table1[[#This Row],[Nilai RAB Jaringan
(file pa aji)]],0)</f>
        <v>0</v>
      </c>
      <c r="CT35" s="66">
        <f>IFERROR(Table1[[#This Row],[Progres Perizinan
(%)]]*Table1[[#This Row],[Nilai RAB Jaringan
(file pa aji)]],0)</f>
        <v>0</v>
      </c>
      <c r="CU35" s="329">
        <v>2081587006</v>
      </c>
      <c r="CV35" s="329">
        <v>2081587006</v>
      </c>
      <c r="CW35" s="583">
        <v>2081587006</v>
      </c>
      <c r="CX35" s="329">
        <v>2081587006</v>
      </c>
      <c r="CY35" s="47"/>
      <c r="CZ35" s="330">
        <v>45439</v>
      </c>
      <c r="DA35" s="330">
        <v>45466</v>
      </c>
      <c r="DB35" s="331"/>
      <c r="DC35" s="316"/>
      <c r="DD35" s="67"/>
      <c r="DE3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5" s="331"/>
      <c r="DG35" s="316"/>
      <c r="DH35" s="67"/>
      <c r="DI3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5" s="330">
        <v>45467</v>
      </c>
      <c r="DK35" s="330">
        <v>45536</v>
      </c>
      <c r="DL35" s="331">
        <v>45526</v>
      </c>
      <c r="DM35" s="357" t="s">
        <v>416</v>
      </c>
      <c r="DN3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5" s="331">
        <v>45562</v>
      </c>
      <c r="DP35" s="316" t="s">
        <v>417</v>
      </c>
      <c r="DQ35" s="338" t="s">
        <v>275</v>
      </c>
      <c r="DR3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 s="330">
        <v>45467</v>
      </c>
      <c r="DT35" s="330" t="e">
        <v>#N/A</v>
      </c>
      <c r="DU35" s="330">
        <v>45508</v>
      </c>
      <c r="DV35" s="330" t="e">
        <v>#N/A</v>
      </c>
      <c r="DW35" s="331"/>
      <c r="DX35" s="316"/>
      <c r="DY35" s="334"/>
      <c r="DZ35" s="334"/>
      <c r="EA3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5" s="331"/>
      <c r="EC35" s="332"/>
      <c r="ED35" s="332"/>
      <c r="EE35" s="330"/>
      <c r="EF35" s="35">
        <v>1</v>
      </c>
      <c r="EG35" s="337">
        <v>1</v>
      </c>
      <c r="EH35" s="316" t="str">
        <f>IF(Table1[[#This Row],[PO Material Aktual 
(%)]]&gt;=100%,"Selesai PO = 100%",IF(Table1[[#This Row],[PO Material Aktual 
(%)]]&gt;=50%,"Proses PO &gt; 100%",IF(Table1[[#This Row],[PO Material Aktual 
(%)]]&gt;0%,"Proses PO &gt; 50%",IF(Table1[[#This Row],[PO Material Aktual 
(%)]]=0,"Belum PO = 0%"))))</f>
        <v>Selesai PO = 100%</v>
      </c>
      <c r="EI3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 s="330">
        <v>45509</v>
      </c>
      <c r="EK35" s="330" t="e">
        <v>#N/A</v>
      </c>
      <c r="EL35" s="330">
        <v>45620</v>
      </c>
      <c r="EM35" s="330" t="e">
        <v>#N/A</v>
      </c>
      <c r="EN35" s="331"/>
      <c r="EO35" s="332"/>
      <c r="EP35" s="332"/>
      <c r="EQ35" s="87">
        <v>1</v>
      </c>
      <c r="ER35" s="87">
        <v>1</v>
      </c>
      <c r="ES35" s="316" t="str">
        <f>IF(Table1[[#This Row],[Progres MOS]]&gt;=100%,"Selesai MOS = 100%",IF(Table1[[#This Row],[Progres MOS]]&gt;=50%,"Proses MOS &gt; 100%",IF(Table1[[#This Row],[Progres MOS]]&gt;0%,"Proses MOS &gt; 50%",IF(Table1[[#This Row],[Progres MOS]]=0,"Belum MOS = 0%"))))</f>
        <v>Selesai MOS = 100%</v>
      </c>
      <c r="ET3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 s="47"/>
      <c r="EV35" s="330">
        <v>45467</v>
      </c>
      <c r="EW35" s="330" t="e">
        <v>#N/A</v>
      </c>
      <c r="EX35" s="330">
        <v>45564</v>
      </c>
      <c r="EY35" s="330" t="e">
        <v>#N/A</v>
      </c>
      <c r="EZ35" s="352" t="s">
        <v>298</v>
      </c>
      <c r="FA35" s="336" t="s">
        <v>259</v>
      </c>
      <c r="FB35" s="330" t="s">
        <v>260</v>
      </c>
      <c r="FC35" s="330">
        <v>45566</v>
      </c>
      <c r="FD35" s="330" t="s">
        <v>260</v>
      </c>
      <c r="FE35" s="330">
        <v>45569</v>
      </c>
      <c r="FF35" s="330">
        <v>45705</v>
      </c>
      <c r="FG35" s="330" t="s">
        <v>260</v>
      </c>
      <c r="FH35" s="330" t="s">
        <v>260</v>
      </c>
      <c r="FI35" s="330">
        <v>45972</v>
      </c>
      <c r="FJ35" s="330" t="s">
        <v>260</v>
      </c>
      <c r="FK35" s="330">
        <v>46094</v>
      </c>
      <c r="FL35" s="336" t="s">
        <v>298</v>
      </c>
      <c r="FM35" s="336">
        <v>45566</v>
      </c>
      <c r="FN35" s="314">
        <f>IF(Table1[[#This Row],[Tanggal Pengajuan Dokumen]]="","",Table1[[#This Row],[PLAN PERMIT
start]]-Table1[[#This Row],[Tanggal Pengajuan Dokumen]])</f>
        <v>-99</v>
      </c>
      <c r="FO35" s="336"/>
      <c r="FP35" s="316"/>
      <c r="FQ35" s="338"/>
      <c r="FR35" s="352"/>
      <c r="FS35" s="338" t="str">
        <f t="shared" si="4"/>
        <v>Sudah Terbit</v>
      </c>
      <c r="FT3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5" s="344">
        <f ca="1">IF(Table1[[#This Row],[Status Izin]]="Selesai",Table1[[#This Row],[PLAN PERMIT
finish]]-Table1[[#This Row],[Tanggal Terbit/ Target Izin Terbit]],ROUNDUP(Table1[[#This Row],[PLAN PERMIT
finish]]-NOW(),0))</f>
        <v>45564</v>
      </c>
      <c r="FV3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 s="344"/>
      <c r="FX35" s="47"/>
      <c r="FY35" s="340"/>
      <c r="FZ35" s="341"/>
      <c r="GA3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5" s="330">
        <v>45538</v>
      </c>
      <c r="GC35" s="331">
        <v>45519</v>
      </c>
      <c r="GD3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5" s="330">
        <v>45545</v>
      </c>
      <c r="GF35" s="331">
        <v>45519</v>
      </c>
      <c r="GG3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5" s="330">
        <v>45551</v>
      </c>
      <c r="GI35" s="330">
        <v>45557</v>
      </c>
      <c r="GJ35" s="353">
        <v>45604</v>
      </c>
      <c r="GK3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 s="330">
        <v>45565</v>
      </c>
      <c r="GM35" s="330" t="e">
        <v>#N/A</v>
      </c>
      <c r="GN35" s="330">
        <v>45690</v>
      </c>
      <c r="GO35" s="330" t="e">
        <v>#N/A</v>
      </c>
      <c r="GP35" s="316"/>
      <c r="GQ3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 s="330" t="s">
        <v>261</v>
      </c>
      <c r="GS35" s="330" t="s">
        <v>261</v>
      </c>
      <c r="GT35" s="354">
        <v>45643</v>
      </c>
      <c r="GU35" s="344" t="str">
        <f>IF(Table1[[#This Row],[Hydro Tes Actual
(tanggal)]]&lt;&gt;"","Sudah","Belum")</f>
        <v>Sudah</v>
      </c>
      <c r="GV35" s="330" t="s">
        <v>261</v>
      </c>
      <c r="GW35" s="330" t="s">
        <v>261</v>
      </c>
      <c r="GX35" s="331"/>
      <c r="GY35" s="344" t="str">
        <f>IF(Table1[[#This Row],[Interkoneksi Actual
(tanggal)]]&lt;&gt;"","Sudah","Belum")</f>
        <v>Belum</v>
      </c>
      <c r="GZ35" s="330" t="s">
        <v>261</v>
      </c>
      <c r="HA35" s="330" t="s">
        <v>261</v>
      </c>
      <c r="HB35" s="331">
        <v>45702</v>
      </c>
      <c r="HC35" s="344" t="str">
        <f>IF(Table1[[#This Row],[Flushing Actual
(tanggal)]]&lt;&gt;"","Sudah","Belum")</f>
        <v>Sudah</v>
      </c>
      <c r="HD35" s="330">
        <v>45677</v>
      </c>
      <c r="HE35" s="330" t="e">
        <v>#N/A</v>
      </c>
      <c r="HF35" s="330">
        <v>45683</v>
      </c>
      <c r="HG35" s="346">
        <v>45713</v>
      </c>
      <c r="HH3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5" s="330" t="s">
        <v>261</v>
      </c>
      <c r="HJ35" s="330" t="s">
        <v>261</v>
      </c>
      <c r="HK35" s="331"/>
      <c r="HL35" s="316"/>
      <c r="HM35" s="330">
        <v>45702</v>
      </c>
      <c r="HN35" s="330">
        <v>45702</v>
      </c>
      <c r="HO35" s="330" t="e">
        <v>#N/A</v>
      </c>
      <c r="HP35" s="346">
        <v>45750</v>
      </c>
      <c r="HQ3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5" s="330">
        <v>45709</v>
      </c>
      <c r="HS35" s="330"/>
      <c r="HT35" s="330">
        <v>45709</v>
      </c>
      <c r="HU35" s="527"/>
      <c r="HV35" s="330">
        <f>IF(Table1[[#This Row],[MC-100 Aktual
(tanggal)]]&lt;&gt;"",Table1[[#This Row],[MC-100 Aktual
(tanggal)]]+5,"")</f>
        <v>45755</v>
      </c>
      <c r="HW3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5" s="47"/>
      <c r="HY35" s="352"/>
      <c r="HZ35" s="352"/>
      <c r="IB35" s="618">
        <f>IFERROR(ROUND((Table1[[#This Row],[PLAN TC
finish]]-Table1[[#This Row],[PLAN MC-0
start]])/30,2),"")</f>
        <v>4.4000000000000004</v>
      </c>
      <c r="IC35">
        <f>DATEDIF(Table1[[#This Row],[PLAN MC-0
start]],Table1[[#This Row],[PLAN TC
finish]],"m")</f>
        <v>4</v>
      </c>
    </row>
    <row r="36" spans="1:237" s="4" customFormat="1" ht="15" hidden="1" customHeight="1" x14ac:dyDescent="0.2">
      <c r="B36" s="311">
        <f>SUBTOTAL(3,$D$5:D36)</f>
        <v>17</v>
      </c>
      <c r="C36" s="348">
        <v>32</v>
      </c>
      <c r="D36" s="315" t="s">
        <v>244</v>
      </c>
      <c r="E36" s="315" t="s">
        <v>418</v>
      </c>
      <c r="F36" s="315" t="s">
        <v>419</v>
      </c>
      <c r="G36" s="349">
        <v>45752</v>
      </c>
      <c r="H36" s="314" t="s">
        <v>247</v>
      </c>
      <c r="I36" s="315" t="s">
        <v>278</v>
      </c>
      <c r="J36" s="315"/>
      <c r="K36" s="338" t="s">
        <v>249</v>
      </c>
      <c r="L36" s="316" t="s">
        <v>250</v>
      </c>
      <c r="M36" s="316" t="s">
        <v>269</v>
      </c>
      <c r="N36" s="107">
        <v>4518</v>
      </c>
      <c r="O36" s="31" t="s">
        <v>252</v>
      </c>
      <c r="P3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6" s="87" t="e">
        <v>#N/A</v>
      </c>
      <c r="S36" s="87">
        <v>1</v>
      </c>
      <c r="T36" s="35">
        <f>Table1[[#This Row],[Progres Total Aktual
(%)]]</f>
        <v>1</v>
      </c>
      <c r="U36" s="124">
        <f>Table1[[#This Row],[Progres Aktual
(%)]]-Table1[[#This Row],[Target Progres
(%)]]</f>
        <v>0</v>
      </c>
      <c r="V36" s="350">
        <f>Table1[[#This Row],["Volume
BA MC-0"]]</f>
        <v>4499</v>
      </c>
      <c r="W36" s="351">
        <f>Table1[[#This Row],[Total Panjang Pipa Aktual
(Sum-&gt;)3]]</f>
        <v>1363</v>
      </c>
      <c r="X36" s="47"/>
      <c r="Y36" s="67" t="s">
        <v>420</v>
      </c>
      <c r="Z36" s="67">
        <v>7252233630</v>
      </c>
      <c r="AA36" s="67">
        <f>ROUND((Table1[[#This Row],[Nilai RAB Jaringan
(Exclude Ppn)]]-Table1[[#This Row],[RAB Perizinan]])*1.11+Table1[[#This Row],[RAB Perizinan]],0)</f>
        <v>0</v>
      </c>
      <c r="AB36" s="320">
        <f>SUM(Table1[[#This Row],[RAB Kegiatan Umum]:[RAB Perizinan]])</f>
        <v>0</v>
      </c>
      <c r="AC36" s="320"/>
      <c r="AD36" s="320"/>
      <c r="AE36" s="320"/>
      <c r="AF36" s="320"/>
      <c r="AG36" s="320">
        <v>4037807151</v>
      </c>
      <c r="AH36" s="35" t="e">
        <f>SUM(Table1[[#This Row],[Bobot Keg Umum]:[Bobot Perizinan]])</f>
        <v>#DIV/0!</v>
      </c>
      <c r="AI36" s="35" t="e">
        <f>Table1[[#This Row],[RAB Kegiatan Umum]]/Table1[[#This Row],[Nilai RAB Jaringan
(Exclude Ppn)]]</f>
        <v>#DIV/0!</v>
      </c>
      <c r="AJ36" s="35" t="e">
        <f>Table1[[#This Row],[RAB Pemasangan]]/Table1[[#This Row],[Nilai RAB Jaringan
(Exclude Ppn)]]</f>
        <v>#DIV/0!</v>
      </c>
      <c r="AK36" s="35" t="e">
        <f>Table1[[#This Row],[RAB Pengadaan]]/Table1[[#This Row],[Nilai RAB Jaringan
(Exclude Ppn)]]</f>
        <v>#DIV/0!</v>
      </c>
      <c r="AL36" s="35" t="e">
        <f>Table1[[#This Row],[RAB Perizinan]]/Table1[[#This Row],[Nilai RAB Jaringan
(Exclude Ppn)]]</f>
        <v>#DIV/0!</v>
      </c>
      <c r="AM36" s="47"/>
      <c r="AN36" s="285">
        <v>4499</v>
      </c>
      <c r="AO36" s="285">
        <f>SUM(Table1[[#This Row],[Pipa 63 mm]:[Pipa 1,800 mm]])</f>
        <v>0</v>
      </c>
      <c r="AP36" s="285"/>
      <c r="AQ36" s="285"/>
      <c r="AR36" s="285"/>
      <c r="AS36" s="285"/>
      <c r="AT36" s="285"/>
      <c r="AU36" s="285"/>
      <c r="AV36" s="285"/>
      <c r="AW36" s="285"/>
      <c r="AX36" s="285"/>
      <c r="AY36" s="285"/>
      <c r="AZ36" s="285"/>
      <c r="BA36" s="285"/>
      <c r="BB36" s="285"/>
      <c r="BC36" s="285"/>
      <c r="BD36" s="285"/>
      <c r="BE36" s="285"/>
      <c r="BF36" s="285"/>
      <c r="BG36" s="285"/>
      <c r="BH36" s="285"/>
      <c r="BI36" s="285"/>
      <c r="BJ36" s="36">
        <f>SUM(Table1[[#This Row],[Pipa 63 mm2]:[Pipa 1,800 mm21]])</f>
        <v>1363</v>
      </c>
      <c r="BK36" s="32">
        <v>1363</v>
      </c>
      <c r="BL36" s="32"/>
      <c r="BM36" s="32"/>
      <c r="BN36" s="32"/>
      <c r="BO36" s="32"/>
      <c r="BP36" s="32"/>
      <c r="BQ36" s="32"/>
      <c r="BR36" s="32"/>
      <c r="BS36" s="32"/>
      <c r="BT36" s="32"/>
      <c r="BU36" s="32"/>
      <c r="BV36" s="32"/>
      <c r="BW36" s="32"/>
      <c r="BX36" s="32"/>
      <c r="BY36" s="32"/>
      <c r="BZ36" s="32"/>
      <c r="CA36" s="32"/>
      <c r="CB36" s="32"/>
      <c r="CC36" s="32"/>
      <c r="CD36" s="32"/>
      <c r="CE36" s="32">
        <v>3260</v>
      </c>
      <c r="CF36" s="32"/>
      <c r="CG36" s="32"/>
      <c r="CH36" s="32"/>
      <c r="CI36" s="32">
        <f t="shared" si="3"/>
        <v>3260</v>
      </c>
      <c r="CJ36" s="65">
        <f>IF((Table1[[#This Row],["Volume
BA MC-0"]]-Table1[[#This Row],[Total Panjang Pipa Aktual
(Sum-&gt;)3]]-Table1[[#This Row],[Total Volume
tidak dapat dipasang]])&gt;=0,Table1[[#This Row],["Volume
BA MC-0"]]-Table1[[#This Row],[Total Panjang Pipa Aktual
(Sum-&gt;)3]]-Table1[[#This Row],[Total Volume
tidak dapat dipasang]],0)</f>
        <v>0</v>
      </c>
      <c r="CK36" s="47"/>
      <c r="CL36" s="131"/>
      <c r="CM36" s="35"/>
      <c r="CN36" s="131"/>
      <c r="CO36" s="131"/>
      <c r="CP3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6" s="66">
        <f>IFERROR(Table1[[#This Row],[Progres Keg. Umum
(%)]]*Table1[[#This Row],[Nilai RAB Jaringan
(file pa aji)]],0)</f>
        <v>0</v>
      </c>
      <c r="CR36" s="66">
        <f>IFERROR(Table1[[#This Row],[Progres MOS
(%)]]*Table1[[#This Row],[Nilai RAB Jaringan
(file pa aji)]],0)</f>
        <v>0</v>
      </c>
      <c r="CS36" s="66">
        <f>IFERROR(Table1[[#This Row],[Progres Pemasangan
(%)]]*Table1[[#This Row],[Nilai RAB Jaringan
(file pa aji)]],0)</f>
        <v>0</v>
      </c>
      <c r="CT36" s="66">
        <f>IFERROR(Table1[[#This Row],[Progres Perizinan
(%)]]*Table1[[#This Row],[Nilai RAB Jaringan
(file pa aji)]],0)</f>
        <v>0</v>
      </c>
      <c r="CU36" s="329">
        <v>2138513242</v>
      </c>
      <c r="CV36" s="329">
        <v>2138513242</v>
      </c>
      <c r="CW36" s="583">
        <v>2138513242</v>
      </c>
      <c r="CX36" s="329">
        <v>2138513242</v>
      </c>
      <c r="CY36" s="47"/>
      <c r="CZ36" s="330">
        <v>45439</v>
      </c>
      <c r="DA36" s="330">
        <v>45466</v>
      </c>
      <c r="DB36" s="331"/>
      <c r="DC36" s="316"/>
      <c r="DD36" s="67"/>
      <c r="DE3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6" s="331"/>
      <c r="DG36" s="316"/>
      <c r="DH36" s="67"/>
      <c r="DI3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6" s="330">
        <v>45467</v>
      </c>
      <c r="DK36" s="330">
        <v>45536</v>
      </c>
      <c r="DL36" s="331">
        <v>45522</v>
      </c>
      <c r="DM36" s="357" t="s">
        <v>421</v>
      </c>
      <c r="DN3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 s="331">
        <v>45562</v>
      </c>
      <c r="DP36" s="316" t="s">
        <v>422</v>
      </c>
      <c r="DQ36" s="338" t="s">
        <v>275</v>
      </c>
      <c r="DR3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 s="330">
        <v>45467</v>
      </c>
      <c r="DT36" s="330" t="e">
        <v>#N/A</v>
      </c>
      <c r="DU36" s="330">
        <v>45508</v>
      </c>
      <c r="DV36" s="330" t="e">
        <v>#N/A</v>
      </c>
      <c r="DW36" s="331"/>
      <c r="DX36" s="316"/>
      <c r="DY36" s="334"/>
      <c r="DZ36" s="334"/>
      <c r="EA3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6" s="331"/>
      <c r="EC36" s="332"/>
      <c r="ED36" s="332"/>
      <c r="EE36" s="330"/>
      <c r="EF36" s="35">
        <v>1</v>
      </c>
      <c r="EG36" s="337">
        <v>1</v>
      </c>
      <c r="EH36" s="316" t="str">
        <f>IF(Table1[[#This Row],[PO Material Aktual 
(%)]]&gt;=100%,"Selesai PO = 100%",IF(Table1[[#This Row],[PO Material Aktual 
(%)]]&gt;=50%,"Proses PO &gt; 100%",IF(Table1[[#This Row],[PO Material Aktual 
(%)]]&gt;0%,"Proses PO &gt; 50%",IF(Table1[[#This Row],[PO Material Aktual 
(%)]]=0,"Belum PO = 0%"))))</f>
        <v>Selesai PO = 100%</v>
      </c>
      <c r="EI3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 s="330">
        <v>45509</v>
      </c>
      <c r="EK36" s="330" t="e">
        <v>#N/A</v>
      </c>
      <c r="EL36" s="330">
        <v>45620</v>
      </c>
      <c r="EM36" s="330" t="e">
        <v>#N/A</v>
      </c>
      <c r="EN36" s="331"/>
      <c r="EO36" s="332"/>
      <c r="EP36" s="332"/>
      <c r="EQ36" s="87">
        <v>1</v>
      </c>
      <c r="ER36" s="87">
        <v>1</v>
      </c>
      <c r="ES36" s="316" t="str">
        <f>IF(Table1[[#This Row],[Progres MOS]]&gt;=100%,"Selesai MOS = 100%",IF(Table1[[#This Row],[Progres MOS]]&gt;=50%,"Proses MOS &gt; 100%",IF(Table1[[#This Row],[Progres MOS]]&gt;0%,"Proses MOS &gt; 50%",IF(Table1[[#This Row],[Progres MOS]]=0,"Belum MOS = 0%"))))</f>
        <v>Selesai MOS = 100%</v>
      </c>
      <c r="ET3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 s="47"/>
      <c r="EV36" s="330">
        <v>45467</v>
      </c>
      <c r="EW36" s="330" t="e">
        <v>#N/A</v>
      </c>
      <c r="EX36" s="330">
        <v>45564</v>
      </c>
      <c r="EY36" s="330" t="e">
        <v>#N/A</v>
      </c>
      <c r="EZ36" s="352" t="s">
        <v>298</v>
      </c>
      <c r="FA36" s="336" t="s">
        <v>259</v>
      </c>
      <c r="FB36" s="330" t="s">
        <v>260</v>
      </c>
      <c r="FC36" s="330">
        <v>45566</v>
      </c>
      <c r="FD36" s="330" t="s">
        <v>260</v>
      </c>
      <c r="FE36" s="330">
        <v>45569</v>
      </c>
      <c r="FF36" s="330">
        <v>45705</v>
      </c>
      <c r="FG36" s="330" t="s">
        <v>260</v>
      </c>
      <c r="FH36" s="330" t="s">
        <v>260</v>
      </c>
      <c r="FI36" s="330">
        <v>45972</v>
      </c>
      <c r="FJ36" s="330" t="s">
        <v>260</v>
      </c>
      <c r="FK36" s="330">
        <v>46094</v>
      </c>
      <c r="FL36" s="336" t="s">
        <v>298</v>
      </c>
      <c r="FM36" s="336">
        <v>45566</v>
      </c>
      <c r="FN36" s="314">
        <f>IF(Table1[[#This Row],[Tanggal Pengajuan Dokumen]]="","",Table1[[#This Row],[PLAN PERMIT
start]]-Table1[[#This Row],[Tanggal Pengajuan Dokumen]])</f>
        <v>-99</v>
      </c>
      <c r="FO36" s="336"/>
      <c r="FP36" s="316"/>
      <c r="FQ36" s="338"/>
      <c r="FR36" s="352"/>
      <c r="FS36" s="338" t="str">
        <f t="shared" si="4"/>
        <v>Sudah Terbit</v>
      </c>
      <c r="FT3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6" s="344">
        <f ca="1">IF(Table1[[#This Row],[Status Izin]]="Selesai",Table1[[#This Row],[PLAN PERMIT
finish]]-Table1[[#This Row],[Tanggal Terbit/ Target Izin Terbit]],ROUNDUP(Table1[[#This Row],[PLAN PERMIT
finish]]-NOW(),0))</f>
        <v>45564</v>
      </c>
      <c r="FV3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 s="344"/>
      <c r="FX36" s="47"/>
      <c r="FY36" s="340"/>
      <c r="FZ36" s="341"/>
      <c r="GA3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6" s="330">
        <v>45538</v>
      </c>
      <c r="GC36" s="331">
        <v>45519</v>
      </c>
      <c r="GD3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6" s="330">
        <v>45545</v>
      </c>
      <c r="GF36" s="331">
        <v>45519</v>
      </c>
      <c r="GG3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6" s="330">
        <v>45551</v>
      </c>
      <c r="GI36" s="330">
        <v>45557</v>
      </c>
      <c r="GJ36" s="353">
        <v>45621</v>
      </c>
      <c r="GK3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 s="330">
        <v>45565</v>
      </c>
      <c r="GM36" s="330" t="e">
        <v>#N/A</v>
      </c>
      <c r="GN36" s="330">
        <v>45690</v>
      </c>
      <c r="GO36" s="330" t="e">
        <v>#N/A</v>
      </c>
      <c r="GP36" s="316"/>
      <c r="GQ3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 s="330" t="s">
        <v>261</v>
      </c>
      <c r="GS36" s="330" t="s">
        <v>261</v>
      </c>
      <c r="GT36" s="354">
        <v>45674</v>
      </c>
      <c r="GU36" s="344" t="str">
        <f>IF(Table1[[#This Row],[Hydro Tes Actual
(tanggal)]]&lt;&gt;"","Sudah","Belum")</f>
        <v>Sudah</v>
      </c>
      <c r="GV36" s="330" t="s">
        <v>261</v>
      </c>
      <c r="GW36" s="330" t="s">
        <v>261</v>
      </c>
      <c r="GX36" s="331">
        <v>45695</v>
      </c>
      <c r="GY36" s="344" t="str">
        <f>IF(Table1[[#This Row],[Interkoneksi Actual
(tanggal)]]&lt;&gt;"","Sudah","Belum")</f>
        <v>Sudah</v>
      </c>
      <c r="GZ36" s="330" t="s">
        <v>261</v>
      </c>
      <c r="HA36" s="330" t="s">
        <v>261</v>
      </c>
      <c r="HB36" s="331">
        <v>45699</v>
      </c>
      <c r="HC36" s="344" t="str">
        <f>IF(Table1[[#This Row],[Flushing Actual
(tanggal)]]&lt;&gt;"","Sudah","Belum")</f>
        <v>Sudah</v>
      </c>
      <c r="HD36" s="330">
        <v>45677</v>
      </c>
      <c r="HE36" s="330" t="e">
        <v>#N/A</v>
      </c>
      <c r="HF36" s="330">
        <v>45683</v>
      </c>
      <c r="HG36" s="346">
        <v>45713</v>
      </c>
      <c r="HH3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6" s="330" t="s">
        <v>261</v>
      </c>
      <c r="HJ36" s="330" t="s">
        <v>261</v>
      </c>
      <c r="HK36" s="331"/>
      <c r="HL36" s="316"/>
      <c r="HM36" s="330">
        <v>45702</v>
      </c>
      <c r="HN36" s="330">
        <v>45702</v>
      </c>
      <c r="HO36" s="330" t="e">
        <v>#N/A</v>
      </c>
      <c r="HP36" s="346">
        <v>45750</v>
      </c>
      <c r="HQ3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6" s="330">
        <v>45709</v>
      </c>
      <c r="HS36" s="330"/>
      <c r="HT36" s="330">
        <v>45709</v>
      </c>
      <c r="HU36" s="527"/>
      <c r="HV36" s="330">
        <f>IF(Table1[[#This Row],[MC-100 Aktual
(tanggal)]]&lt;&gt;"",Table1[[#This Row],[MC-100 Aktual
(tanggal)]]+5,"")</f>
        <v>45755</v>
      </c>
      <c r="HW3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6" s="47"/>
      <c r="HY36" s="352"/>
      <c r="HZ36" s="352"/>
      <c r="IB36" s="618">
        <f>IFERROR(ROUND((Table1[[#This Row],[PLAN TC
finish]]-Table1[[#This Row],[PLAN MC-0
start]])/30,2),"")</f>
        <v>4.4000000000000004</v>
      </c>
      <c r="IC36">
        <f>DATEDIF(Table1[[#This Row],[PLAN MC-0
start]],Table1[[#This Row],[PLAN TC
finish]],"m")</f>
        <v>4</v>
      </c>
    </row>
    <row r="37" spans="1:237" s="4" customFormat="1" ht="15" hidden="1" customHeight="1" x14ac:dyDescent="0.2">
      <c r="B37" s="311">
        <f>SUBTOTAL(3,$D$5:D37)</f>
        <v>17</v>
      </c>
      <c r="C37" s="348">
        <v>33</v>
      </c>
      <c r="D37" s="315" t="s">
        <v>244</v>
      </c>
      <c r="E37" s="315" t="s">
        <v>423</v>
      </c>
      <c r="F37" s="315" t="s">
        <v>424</v>
      </c>
      <c r="G37" s="349">
        <v>45752</v>
      </c>
      <c r="H37" s="314" t="s">
        <v>247</v>
      </c>
      <c r="I37" s="315" t="s">
        <v>278</v>
      </c>
      <c r="J37" s="315"/>
      <c r="K37" s="338" t="s">
        <v>249</v>
      </c>
      <c r="L37" s="316" t="s">
        <v>250</v>
      </c>
      <c r="M37" s="316" t="s">
        <v>269</v>
      </c>
      <c r="N37" s="107">
        <v>2852</v>
      </c>
      <c r="O37" s="31" t="s">
        <v>252</v>
      </c>
      <c r="P37"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7" s="87" t="e">
        <v>#N/A</v>
      </c>
      <c r="S37" s="87">
        <v>1</v>
      </c>
      <c r="T37" s="35">
        <f>Table1[[#This Row],[Progres Total Aktual
(%)]]</f>
        <v>1</v>
      </c>
      <c r="U37" s="124">
        <f>Table1[[#This Row],[Progres Aktual
(%)]]-Table1[[#This Row],[Target Progres
(%)]]</f>
        <v>0</v>
      </c>
      <c r="V37" s="350">
        <f>Table1[[#This Row],["Volume
BA MC-0"]]</f>
        <v>2511</v>
      </c>
      <c r="W37" s="351">
        <f>Table1[[#This Row],[Total Panjang Pipa Aktual
(Sum-&gt;)3]]</f>
        <v>1361.3</v>
      </c>
      <c r="X37" s="47"/>
      <c r="Y37" s="67" t="s">
        <v>425</v>
      </c>
      <c r="Z37" s="67">
        <v>3893322100</v>
      </c>
      <c r="AA37" s="67">
        <f>ROUND((Table1[[#This Row],[Nilai RAB Jaringan
(Exclude Ppn)]]-Table1[[#This Row],[RAB Perizinan]])*1.11+Table1[[#This Row],[RAB Perizinan]],0)</f>
        <v>0</v>
      </c>
      <c r="AB37" s="320">
        <f>SUM(Table1[[#This Row],[RAB Kegiatan Umum]:[RAB Perizinan]])</f>
        <v>0</v>
      </c>
      <c r="AC37" s="320"/>
      <c r="AD37" s="320"/>
      <c r="AE37" s="320"/>
      <c r="AF37" s="320"/>
      <c r="AG37" s="320">
        <v>2398088511</v>
      </c>
      <c r="AH37" s="35" t="e">
        <f>SUM(Table1[[#This Row],[Bobot Keg Umum]:[Bobot Perizinan]])</f>
        <v>#DIV/0!</v>
      </c>
      <c r="AI37" s="35" t="e">
        <f>Table1[[#This Row],[RAB Kegiatan Umum]]/Table1[[#This Row],[Nilai RAB Jaringan
(Exclude Ppn)]]</f>
        <v>#DIV/0!</v>
      </c>
      <c r="AJ37" s="35" t="e">
        <f>Table1[[#This Row],[RAB Pemasangan]]/Table1[[#This Row],[Nilai RAB Jaringan
(Exclude Ppn)]]</f>
        <v>#DIV/0!</v>
      </c>
      <c r="AK37" s="35" t="e">
        <f>Table1[[#This Row],[RAB Pengadaan]]/Table1[[#This Row],[Nilai RAB Jaringan
(Exclude Ppn)]]</f>
        <v>#DIV/0!</v>
      </c>
      <c r="AL37" s="35" t="e">
        <f>Table1[[#This Row],[RAB Perizinan]]/Table1[[#This Row],[Nilai RAB Jaringan
(Exclude Ppn)]]</f>
        <v>#DIV/0!</v>
      </c>
      <c r="AM37" s="47"/>
      <c r="AN37" s="285">
        <v>2511</v>
      </c>
      <c r="AO37" s="285">
        <f>SUM(Table1[[#This Row],[Pipa 63 mm]:[Pipa 1,800 mm]])</f>
        <v>0</v>
      </c>
      <c r="AP37" s="285"/>
      <c r="AQ37" s="285"/>
      <c r="AR37" s="285"/>
      <c r="AS37" s="285"/>
      <c r="AT37" s="285"/>
      <c r="AU37" s="285"/>
      <c r="AV37" s="285"/>
      <c r="AW37" s="285"/>
      <c r="AX37" s="285"/>
      <c r="AY37" s="285"/>
      <c r="AZ37" s="285"/>
      <c r="BA37" s="285"/>
      <c r="BB37" s="285"/>
      <c r="BC37" s="285"/>
      <c r="BD37" s="285"/>
      <c r="BE37" s="285"/>
      <c r="BF37" s="285"/>
      <c r="BG37" s="285"/>
      <c r="BH37" s="285"/>
      <c r="BI37" s="285"/>
      <c r="BJ37" s="36">
        <f>SUM(Table1[[#This Row],[Pipa 63 mm2]:[Pipa 1,800 mm21]])</f>
        <v>1361.3</v>
      </c>
      <c r="BK37" s="356">
        <v>915</v>
      </c>
      <c r="BL37" s="356">
        <v>220.3</v>
      </c>
      <c r="BM37" s="356">
        <v>226</v>
      </c>
      <c r="BN37" s="356"/>
      <c r="BO37" s="356"/>
      <c r="BP37" s="356"/>
      <c r="BQ37" s="356"/>
      <c r="BR37" s="356"/>
      <c r="BS37" s="356"/>
      <c r="BT37" s="356"/>
      <c r="BU37" s="356"/>
      <c r="BV37" s="356"/>
      <c r="BW37" s="356"/>
      <c r="BX37" s="356"/>
      <c r="BY37" s="356"/>
      <c r="BZ37" s="356"/>
      <c r="CA37" s="356"/>
      <c r="CB37" s="356"/>
      <c r="CC37" s="356"/>
      <c r="CD37" s="356"/>
      <c r="CE37" s="32">
        <v>551</v>
      </c>
      <c r="CF37" s="32"/>
      <c r="CG37" s="32"/>
      <c r="CH37" s="32"/>
      <c r="CI37" s="32">
        <f t="shared" si="3"/>
        <v>551</v>
      </c>
      <c r="CJ37" s="65">
        <f>IF((Table1[[#This Row],["Volume
BA MC-0"]]-Table1[[#This Row],[Total Panjang Pipa Aktual
(Sum-&gt;)3]]-Table1[[#This Row],[Total Volume
tidak dapat dipasang]])&gt;=0,Table1[[#This Row],["Volume
BA MC-0"]]-Table1[[#This Row],[Total Panjang Pipa Aktual
(Sum-&gt;)3]]-Table1[[#This Row],[Total Volume
tidak dapat dipasang]],0)</f>
        <v>598.70000000000005</v>
      </c>
      <c r="CK37" s="47"/>
      <c r="CL37" s="131"/>
      <c r="CM37" s="35"/>
      <c r="CN37" s="131"/>
      <c r="CO37" s="131"/>
      <c r="CP3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7" s="66">
        <f>IFERROR(Table1[[#This Row],[Progres Keg. Umum
(%)]]*Table1[[#This Row],[Nilai RAB Jaringan
(file pa aji)]],0)</f>
        <v>0</v>
      </c>
      <c r="CR37" s="66">
        <f>IFERROR(Table1[[#This Row],[Progres MOS
(%)]]*Table1[[#This Row],[Nilai RAB Jaringan
(file pa aji)]],0)</f>
        <v>0</v>
      </c>
      <c r="CS37" s="66">
        <f>IFERROR(Table1[[#This Row],[Progres Pemasangan
(%)]]*Table1[[#This Row],[Nilai RAB Jaringan
(file pa aji)]],0)</f>
        <v>0</v>
      </c>
      <c r="CT37" s="66">
        <f>IFERROR(Table1[[#This Row],[Progres Perizinan
(%)]]*Table1[[#This Row],[Nilai RAB Jaringan
(file pa aji)]],0)</f>
        <v>0</v>
      </c>
      <c r="CU37" s="329">
        <v>2006365297</v>
      </c>
      <c r="CV37" s="329">
        <v>2006365297</v>
      </c>
      <c r="CW37" s="583">
        <v>2006365297</v>
      </c>
      <c r="CX37" s="329">
        <v>2006365297</v>
      </c>
      <c r="CY37" s="47"/>
      <c r="CZ37" s="330">
        <v>45439</v>
      </c>
      <c r="DA37" s="330">
        <v>45466</v>
      </c>
      <c r="DB37" s="331"/>
      <c r="DC37" s="316"/>
      <c r="DD37" s="67"/>
      <c r="DE3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7" s="331"/>
      <c r="DG37" s="316"/>
      <c r="DH37" s="67"/>
      <c r="DI3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7" s="330">
        <v>45467</v>
      </c>
      <c r="DK37" s="330">
        <v>45536</v>
      </c>
      <c r="DL37" s="331">
        <v>45515</v>
      </c>
      <c r="DM37" s="357" t="s">
        <v>426</v>
      </c>
      <c r="DN3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 s="331">
        <v>45562</v>
      </c>
      <c r="DP37" s="316" t="s">
        <v>427</v>
      </c>
      <c r="DQ37" s="338" t="s">
        <v>275</v>
      </c>
      <c r="DR3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 s="330">
        <v>45467</v>
      </c>
      <c r="DT37" s="330" t="e">
        <v>#N/A</v>
      </c>
      <c r="DU37" s="330">
        <v>45508</v>
      </c>
      <c r="DV37" s="330" t="e">
        <v>#N/A</v>
      </c>
      <c r="DW37" s="331"/>
      <c r="DX37" s="316"/>
      <c r="DY37" s="334"/>
      <c r="DZ37" s="334"/>
      <c r="EA3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7" s="331"/>
      <c r="EC37" s="332"/>
      <c r="ED37" s="332"/>
      <c r="EE37" s="330"/>
      <c r="EF37" s="35">
        <v>1</v>
      </c>
      <c r="EG37" s="337">
        <v>1</v>
      </c>
      <c r="EH37" s="316" t="str">
        <f>IF(Table1[[#This Row],[PO Material Aktual 
(%)]]&gt;=100%,"Selesai PO = 100%",IF(Table1[[#This Row],[PO Material Aktual 
(%)]]&gt;=50%,"Proses PO &gt; 100%",IF(Table1[[#This Row],[PO Material Aktual 
(%)]]&gt;0%,"Proses PO &gt; 50%",IF(Table1[[#This Row],[PO Material Aktual 
(%)]]=0,"Belum PO = 0%"))))</f>
        <v>Selesai PO = 100%</v>
      </c>
      <c r="EI3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 s="330">
        <v>45509</v>
      </c>
      <c r="EK37" s="330" t="e">
        <v>#N/A</v>
      </c>
      <c r="EL37" s="330">
        <v>45620</v>
      </c>
      <c r="EM37" s="330" t="e">
        <v>#N/A</v>
      </c>
      <c r="EN37" s="331"/>
      <c r="EO37" s="332"/>
      <c r="EP37" s="332"/>
      <c r="EQ37" s="87">
        <v>1</v>
      </c>
      <c r="ER37" s="87">
        <v>1</v>
      </c>
      <c r="ES37" s="316" t="str">
        <f>IF(Table1[[#This Row],[Progres MOS]]&gt;=100%,"Selesai MOS = 100%",IF(Table1[[#This Row],[Progres MOS]]&gt;=50%,"Proses MOS &gt; 100%",IF(Table1[[#This Row],[Progres MOS]]&gt;0%,"Proses MOS &gt; 50%",IF(Table1[[#This Row],[Progres MOS]]=0,"Belum MOS = 0%"))))</f>
        <v>Selesai MOS = 100%</v>
      </c>
      <c r="ET3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 s="47"/>
      <c r="EV37" s="330">
        <v>45467</v>
      </c>
      <c r="EW37" s="330" t="e">
        <v>#N/A</v>
      </c>
      <c r="EX37" s="330">
        <v>45564</v>
      </c>
      <c r="EY37" s="330" t="e">
        <v>#N/A</v>
      </c>
      <c r="EZ37" s="352" t="s">
        <v>259</v>
      </c>
      <c r="FA37" s="336" t="s">
        <v>259</v>
      </c>
      <c r="FB37" s="330" t="s">
        <v>260</v>
      </c>
      <c r="FC37" s="330">
        <v>45541</v>
      </c>
      <c r="FD37" s="330" t="s">
        <v>260</v>
      </c>
      <c r="FE37" s="330">
        <v>45566</v>
      </c>
      <c r="FF37" s="330">
        <v>45939</v>
      </c>
      <c r="FG37" s="330" t="s">
        <v>260</v>
      </c>
      <c r="FH37" s="330" t="s">
        <v>260</v>
      </c>
      <c r="FI37" s="330">
        <v>45845</v>
      </c>
      <c r="FJ37" s="330" t="s">
        <v>260</v>
      </c>
      <c r="FK37" s="330">
        <v>46009</v>
      </c>
      <c r="FL37" s="336" t="s">
        <v>259</v>
      </c>
      <c r="FM37" s="336">
        <v>45541</v>
      </c>
      <c r="FN37" s="314">
        <f>IF(Table1[[#This Row],[Tanggal Pengajuan Dokumen]]="","",Table1[[#This Row],[PLAN PERMIT
start]]-Table1[[#This Row],[Tanggal Pengajuan Dokumen]])</f>
        <v>-74</v>
      </c>
      <c r="FO37" s="336">
        <v>46009</v>
      </c>
      <c r="FP37" s="316"/>
      <c r="FQ37" s="338"/>
      <c r="FR37" s="352"/>
      <c r="FS37" s="338" t="str">
        <f t="shared" ref="FS37:FS68" si="5">IF(COUNTIF(EZ37:FR37,"*terbit*")&gt;=1,"Sudah Terbit","On Going")</f>
        <v>Sudah Terbit</v>
      </c>
      <c r="FT3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7" s="344">
        <f ca="1">IF(Table1[[#This Row],[Status Izin]]="Selesai",Table1[[#This Row],[PLAN PERMIT
finish]]-Table1[[#This Row],[Tanggal Terbit/ Target Izin Terbit]],ROUNDUP(Table1[[#This Row],[PLAN PERMIT
finish]]-NOW(),0))</f>
        <v>-445</v>
      </c>
      <c r="FV3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 s="344"/>
      <c r="FX37" s="47"/>
      <c r="FY37" s="340"/>
      <c r="FZ37" s="341"/>
      <c r="GA3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7" s="330">
        <v>45538</v>
      </c>
      <c r="GC37" s="331">
        <v>45519</v>
      </c>
      <c r="GD3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7" s="330">
        <v>45545</v>
      </c>
      <c r="GF37" s="331">
        <v>45519</v>
      </c>
      <c r="GG3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7" s="330">
        <v>45551</v>
      </c>
      <c r="GI37" s="330">
        <v>45557</v>
      </c>
      <c r="GJ37" s="353">
        <v>45609</v>
      </c>
      <c r="GK3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 s="330">
        <v>45565</v>
      </c>
      <c r="GM37" s="330" t="e">
        <v>#N/A</v>
      </c>
      <c r="GN37" s="330">
        <v>45690</v>
      </c>
      <c r="GO37" s="330" t="e">
        <v>#N/A</v>
      </c>
      <c r="GP37" s="316"/>
      <c r="GQ3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 s="330" t="s">
        <v>261</v>
      </c>
      <c r="GS37" s="330" t="s">
        <v>261</v>
      </c>
      <c r="GT37" s="354">
        <v>45647</v>
      </c>
      <c r="GU37" s="344" t="str">
        <f>IF(Table1[[#This Row],[Hydro Tes Actual
(tanggal)]]&lt;&gt;"","Sudah","Belum")</f>
        <v>Sudah</v>
      </c>
      <c r="GV37" s="330" t="s">
        <v>261</v>
      </c>
      <c r="GW37" s="330" t="s">
        <v>261</v>
      </c>
      <c r="GX37" s="331">
        <v>45684</v>
      </c>
      <c r="GY37" s="344" t="str">
        <f>IF(Table1[[#This Row],[Interkoneksi Actual
(tanggal)]]&lt;&gt;"","Sudah","Belum")</f>
        <v>Sudah</v>
      </c>
      <c r="GZ37" s="330" t="s">
        <v>261</v>
      </c>
      <c r="HA37" s="330" t="s">
        <v>261</v>
      </c>
      <c r="HB37" s="331">
        <v>45702</v>
      </c>
      <c r="HC37" s="344" t="str">
        <f>IF(Table1[[#This Row],[Flushing Actual
(tanggal)]]&lt;&gt;"","Sudah","Belum")</f>
        <v>Sudah</v>
      </c>
      <c r="HD37" s="330">
        <v>45677</v>
      </c>
      <c r="HE37" s="330" t="e">
        <v>#N/A</v>
      </c>
      <c r="HF37" s="330">
        <v>45683</v>
      </c>
      <c r="HG37" s="346">
        <v>45742</v>
      </c>
      <c r="HH3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7" s="330" t="s">
        <v>261</v>
      </c>
      <c r="HJ37" s="330" t="s">
        <v>261</v>
      </c>
      <c r="HK37" s="331"/>
      <c r="HL37" s="316"/>
      <c r="HM37" s="330">
        <v>45702</v>
      </c>
      <c r="HN37" s="330">
        <v>45702</v>
      </c>
      <c r="HO37" s="330" t="e">
        <v>#N/A</v>
      </c>
      <c r="HP37" s="346">
        <v>45750</v>
      </c>
      <c r="HQ3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7" s="330">
        <v>45709</v>
      </c>
      <c r="HS37" s="330"/>
      <c r="HT37" s="330">
        <v>45709</v>
      </c>
      <c r="HU37" s="527"/>
      <c r="HV37" s="330">
        <f>IF(Table1[[#This Row],[MC-100 Aktual
(tanggal)]]&lt;&gt;"",Table1[[#This Row],[MC-100 Aktual
(tanggal)]]+5,"")</f>
        <v>45755</v>
      </c>
      <c r="HW3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7" s="47"/>
      <c r="HY37" s="352"/>
      <c r="HZ37" s="352"/>
      <c r="IB37" s="618">
        <f>IFERROR(ROUND((Table1[[#This Row],[PLAN TC
finish]]-Table1[[#This Row],[PLAN MC-0
start]])/30,2),"")</f>
        <v>4.4000000000000004</v>
      </c>
      <c r="IC37">
        <f>DATEDIF(Table1[[#This Row],[PLAN MC-0
start]],Table1[[#This Row],[PLAN TC
finish]],"m")</f>
        <v>4</v>
      </c>
    </row>
    <row r="38" spans="1:237" s="4" customFormat="1" ht="15" customHeight="1" x14ac:dyDescent="0.2">
      <c r="B38" s="311">
        <f>SUBTOTAL(3,$D$5:D38)</f>
        <v>18</v>
      </c>
      <c r="C38" s="348">
        <v>34</v>
      </c>
      <c r="D38" s="315" t="s">
        <v>244</v>
      </c>
      <c r="E38" s="315" t="s">
        <v>428</v>
      </c>
      <c r="F38" s="315" t="s">
        <v>429</v>
      </c>
      <c r="G38" s="349">
        <v>45752</v>
      </c>
      <c r="H38" s="314" t="s">
        <v>247</v>
      </c>
      <c r="I38" s="315" t="s">
        <v>278</v>
      </c>
      <c r="J38" s="315"/>
      <c r="K38" s="338" t="s">
        <v>249</v>
      </c>
      <c r="L38" s="316" t="s">
        <v>250</v>
      </c>
      <c r="M38" s="316" t="s">
        <v>269</v>
      </c>
      <c r="N38" s="107">
        <v>1541</v>
      </c>
      <c r="O38" s="31" t="s">
        <v>252</v>
      </c>
      <c r="P3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8" s="87" t="e">
        <v>#N/A</v>
      </c>
      <c r="S38" s="87">
        <v>1</v>
      </c>
      <c r="T38" s="35">
        <f>Table1[[#This Row],[Progres Total Aktual
(%)]]</f>
        <v>1</v>
      </c>
      <c r="U38" s="124">
        <f>Table1[[#This Row],[Progres Aktual
(%)]]-Table1[[#This Row],[Target Progres
(%)]]</f>
        <v>0</v>
      </c>
      <c r="V38" s="350">
        <f>Table1[[#This Row],["Volume
BA MC-0"]]</f>
        <v>1541</v>
      </c>
      <c r="W38" s="351">
        <f>Table1[[#This Row],[Total Panjang Pipa Aktual
(Sum-&gt;)3]]</f>
        <v>607.70000000000005</v>
      </c>
      <c r="X38" s="47"/>
      <c r="Y38" s="67" t="s">
        <v>430</v>
      </c>
      <c r="Z38" s="67">
        <v>2053558319</v>
      </c>
      <c r="AA38" s="67">
        <f>ROUND((Table1[[#This Row],[Nilai RAB Jaringan
(Exclude Ppn)]]-Table1[[#This Row],[RAB Perizinan]])*1.11+Table1[[#This Row],[RAB Perizinan]],0)</f>
        <v>0</v>
      </c>
      <c r="AB38" s="320">
        <f>SUM(Table1[[#This Row],[RAB Kegiatan Umum]:[RAB Perizinan]])</f>
        <v>0</v>
      </c>
      <c r="AC38" s="320"/>
      <c r="AD38" s="320"/>
      <c r="AE38" s="320"/>
      <c r="AF38" s="320"/>
      <c r="AG38" s="320">
        <v>3222047128</v>
      </c>
      <c r="AH38" s="35" t="e">
        <f>SUM(Table1[[#This Row],[Bobot Keg Umum]:[Bobot Perizinan]])</f>
        <v>#DIV/0!</v>
      </c>
      <c r="AI38" s="35" t="e">
        <f>Table1[[#This Row],[RAB Kegiatan Umum]]/Table1[[#This Row],[Nilai RAB Jaringan
(Exclude Ppn)]]</f>
        <v>#DIV/0!</v>
      </c>
      <c r="AJ38" s="35" t="e">
        <f>Table1[[#This Row],[RAB Pemasangan]]/Table1[[#This Row],[Nilai RAB Jaringan
(Exclude Ppn)]]</f>
        <v>#DIV/0!</v>
      </c>
      <c r="AK38" s="35" t="e">
        <f>Table1[[#This Row],[RAB Pengadaan]]/Table1[[#This Row],[Nilai RAB Jaringan
(Exclude Ppn)]]</f>
        <v>#DIV/0!</v>
      </c>
      <c r="AL38" s="35" t="e">
        <f>Table1[[#This Row],[RAB Perizinan]]/Table1[[#This Row],[Nilai RAB Jaringan
(Exclude Ppn)]]</f>
        <v>#DIV/0!</v>
      </c>
      <c r="AM38" s="47"/>
      <c r="AN38" s="285">
        <v>1541</v>
      </c>
      <c r="AO38" s="285">
        <f>SUM(Table1[[#This Row],[Pipa 63 mm]:[Pipa 1,800 mm]])</f>
        <v>0</v>
      </c>
      <c r="AP38" s="285"/>
      <c r="AQ38" s="285"/>
      <c r="AR38" s="285"/>
      <c r="AS38" s="285"/>
      <c r="AT38" s="285"/>
      <c r="AU38" s="285"/>
      <c r="AV38" s="285"/>
      <c r="AW38" s="285"/>
      <c r="AX38" s="285"/>
      <c r="AY38" s="285"/>
      <c r="AZ38" s="285"/>
      <c r="BA38" s="285"/>
      <c r="BB38" s="285"/>
      <c r="BC38" s="285"/>
      <c r="BD38" s="285"/>
      <c r="BE38" s="285"/>
      <c r="BF38" s="285"/>
      <c r="BG38" s="285"/>
      <c r="BH38" s="285"/>
      <c r="BI38" s="285"/>
      <c r="BJ38" s="36">
        <f>SUM(Table1[[#This Row],[Pipa 63 mm2]:[Pipa 1,800 mm21]])</f>
        <v>607.70000000000005</v>
      </c>
      <c r="BK38" s="356">
        <v>607.70000000000005</v>
      </c>
      <c r="BL38" s="356"/>
      <c r="BM38" s="356"/>
      <c r="BN38" s="356"/>
      <c r="BO38" s="356"/>
      <c r="BP38" s="356"/>
      <c r="BQ38" s="356"/>
      <c r="BR38" s="356"/>
      <c r="BS38" s="356"/>
      <c r="BT38" s="356"/>
      <c r="BU38" s="356"/>
      <c r="BV38" s="356"/>
      <c r="BW38" s="356"/>
      <c r="BX38" s="356"/>
      <c r="BY38" s="356"/>
      <c r="BZ38" s="356"/>
      <c r="CA38" s="356"/>
      <c r="CB38" s="356"/>
      <c r="CC38" s="356"/>
      <c r="CD38" s="356"/>
      <c r="CE38" s="32">
        <v>992</v>
      </c>
      <c r="CF38" s="32"/>
      <c r="CG38" s="32"/>
      <c r="CH38" s="32"/>
      <c r="CI38" s="32">
        <f t="shared" si="3"/>
        <v>992</v>
      </c>
      <c r="CJ38" s="65">
        <f>IF((Table1[[#This Row],["Volume
BA MC-0"]]-Table1[[#This Row],[Total Panjang Pipa Aktual
(Sum-&gt;)3]]-Table1[[#This Row],[Total Volume
tidak dapat dipasang]])&gt;=0,Table1[[#This Row],["Volume
BA MC-0"]]-Table1[[#This Row],[Total Panjang Pipa Aktual
(Sum-&gt;)3]]-Table1[[#This Row],[Total Volume
tidak dapat dipasang]],0)</f>
        <v>0</v>
      </c>
      <c r="CK38" s="47"/>
      <c r="CL38" s="131"/>
      <c r="CM38" s="35"/>
      <c r="CN38" s="131"/>
      <c r="CO38" s="131"/>
      <c r="CP3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8" s="66">
        <f>IFERROR(Table1[[#This Row],[Progres Keg. Umum
(%)]]*Table1[[#This Row],[Nilai RAB Jaringan
(file pa aji)]],0)</f>
        <v>0</v>
      </c>
      <c r="CR38" s="66">
        <f>IFERROR(Table1[[#This Row],[Progres MOS
(%)]]*Table1[[#This Row],[Nilai RAB Jaringan
(file pa aji)]],0)</f>
        <v>0</v>
      </c>
      <c r="CS38" s="66">
        <f>IFERROR(Table1[[#This Row],[Progres Pemasangan
(%)]]*Table1[[#This Row],[Nilai RAB Jaringan
(file pa aji)]],0)</f>
        <v>0</v>
      </c>
      <c r="CT38" s="66">
        <f>IFERROR(Table1[[#This Row],[Progres Perizinan
(%)]]*Table1[[#This Row],[Nilai RAB Jaringan
(file pa aji)]],0)</f>
        <v>0</v>
      </c>
      <c r="CU38" s="329">
        <v>810979757</v>
      </c>
      <c r="CV38" s="329">
        <v>810979757</v>
      </c>
      <c r="CW38" s="583">
        <v>810979757</v>
      </c>
      <c r="CX38" s="329">
        <v>810979757</v>
      </c>
      <c r="CY38" s="47"/>
      <c r="CZ38" s="330">
        <v>45439</v>
      </c>
      <c r="DA38" s="330">
        <v>45466</v>
      </c>
      <c r="DB38" s="331"/>
      <c r="DC38" s="316"/>
      <c r="DD38" s="67"/>
      <c r="DE3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8" s="331"/>
      <c r="DG38" s="316"/>
      <c r="DH38" s="67"/>
      <c r="DI3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8" s="330">
        <v>45467</v>
      </c>
      <c r="DK38" s="330">
        <v>45536</v>
      </c>
      <c r="DL38" s="331">
        <v>45515</v>
      </c>
      <c r="DM38" s="357" t="s">
        <v>431</v>
      </c>
      <c r="DN3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 s="331">
        <v>45540</v>
      </c>
      <c r="DP38" s="316" t="s">
        <v>432</v>
      </c>
      <c r="DQ38" s="338" t="s">
        <v>433</v>
      </c>
      <c r="DR3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 s="330">
        <v>45467</v>
      </c>
      <c r="DT38" s="330" t="e">
        <v>#N/A</v>
      </c>
      <c r="DU38" s="330">
        <v>45508</v>
      </c>
      <c r="DV38" s="330" t="e">
        <v>#N/A</v>
      </c>
      <c r="DW38" s="331"/>
      <c r="DX38" s="316"/>
      <c r="DY38" s="334"/>
      <c r="DZ38" s="334"/>
      <c r="EA3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8" s="331"/>
      <c r="EC38" s="332"/>
      <c r="ED38" s="332"/>
      <c r="EE38" s="330"/>
      <c r="EF38" s="35">
        <v>1</v>
      </c>
      <c r="EG38" s="337">
        <v>1</v>
      </c>
      <c r="EH38" s="316" t="str">
        <f>IF(Table1[[#This Row],[PO Material Aktual 
(%)]]&gt;=100%,"Selesai PO = 100%",IF(Table1[[#This Row],[PO Material Aktual 
(%)]]&gt;=50%,"Proses PO &gt; 100%",IF(Table1[[#This Row],[PO Material Aktual 
(%)]]&gt;0%,"Proses PO &gt; 50%",IF(Table1[[#This Row],[PO Material Aktual 
(%)]]=0,"Belum PO = 0%"))))</f>
        <v>Selesai PO = 100%</v>
      </c>
      <c r="EI3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 s="330">
        <v>45509</v>
      </c>
      <c r="EK38" s="330" t="e">
        <v>#N/A</v>
      </c>
      <c r="EL38" s="330">
        <v>45620</v>
      </c>
      <c r="EM38" s="330" t="e">
        <v>#N/A</v>
      </c>
      <c r="EN38" s="331"/>
      <c r="EO38" s="332"/>
      <c r="EP38" s="332"/>
      <c r="EQ38" s="87">
        <v>1</v>
      </c>
      <c r="ER38" s="87">
        <v>1</v>
      </c>
      <c r="ES38" s="316" t="str">
        <f>IF(Table1[[#This Row],[Progres MOS]]&gt;=100%,"Selesai MOS = 100%",IF(Table1[[#This Row],[Progres MOS]]&gt;=50%,"Proses MOS &gt; 100%",IF(Table1[[#This Row],[Progres MOS]]&gt;0%,"Proses MOS &gt; 50%",IF(Table1[[#This Row],[Progres MOS]]=0,"Belum MOS = 0%"))))</f>
        <v>Selesai MOS = 100%</v>
      </c>
      <c r="ET3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 s="47"/>
      <c r="EV38" s="330">
        <v>45467</v>
      </c>
      <c r="EW38" s="330" t="e">
        <v>#N/A</v>
      </c>
      <c r="EX38" s="330">
        <v>45564</v>
      </c>
      <c r="EY38" s="330" t="e">
        <v>#N/A</v>
      </c>
      <c r="EZ38" s="352" t="s">
        <v>259</v>
      </c>
      <c r="FA38" s="336" t="s">
        <v>259</v>
      </c>
      <c r="FB38" s="330" t="s">
        <v>260</v>
      </c>
      <c r="FC38" s="330">
        <v>45541</v>
      </c>
      <c r="FD38" s="330" t="s">
        <v>260</v>
      </c>
      <c r="FE38" s="330">
        <v>45566</v>
      </c>
      <c r="FF38" s="330">
        <v>45939</v>
      </c>
      <c r="FG38" s="330" t="s">
        <v>260</v>
      </c>
      <c r="FH38" s="330" t="s">
        <v>260</v>
      </c>
      <c r="FI38" s="330">
        <v>45845</v>
      </c>
      <c r="FJ38" s="330" t="s">
        <v>260</v>
      </c>
      <c r="FK38" s="330">
        <v>46009</v>
      </c>
      <c r="FL38" s="336" t="s">
        <v>259</v>
      </c>
      <c r="FM38" s="336">
        <v>45541</v>
      </c>
      <c r="FN38" s="314">
        <f>IF(Table1[[#This Row],[Tanggal Pengajuan Dokumen]]="","",Table1[[#This Row],[PLAN PERMIT
start]]-Table1[[#This Row],[Tanggal Pengajuan Dokumen]])</f>
        <v>-74</v>
      </c>
      <c r="FO38" s="336">
        <v>46009</v>
      </c>
      <c r="FP38" s="316"/>
      <c r="FQ38" s="338"/>
      <c r="FR38" s="352"/>
      <c r="FS38" s="338" t="str">
        <f t="shared" si="5"/>
        <v>Sudah Terbit</v>
      </c>
      <c r="FT3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8" s="344">
        <f ca="1">IF(Table1[[#This Row],[Status Izin]]="Selesai",Table1[[#This Row],[PLAN PERMIT
finish]]-Table1[[#This Row],[Tanggal Terbit/ Target Izin Terbit]],ROUNDUP(Table1[[#This Row],[PLAN PERMIT
finish]]-NOW(),0))</f>
        <v>-445</v>
      </c>
      <c r="FV3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 s="344"/>
      <c r="FX38" s="47"/>
      <c r="FY38" s="340"/>
      <c r="FZ38" s="341"/>
      <c r="GA3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8" s="330">
        <v>45538</v>
      </c>
      <c r="GC38" s="331">
        <v>45519</v>
      </c>
      <c r="GD3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 s="330">
        <v>45545</v>
      </c>
      <c r="GF38" s="331">
        <v>45519</v>
      </c>
      <c r="GG3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 s="330">
        <v>45551</v>
      </c>
      <c r="GI38" s="330">
        <v>45557</v>
      </c>
      <c r="GJ38" s="353">
        <v>45554</v>
      </c>
      <c r="GK3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 s="330">
        <v>45565</v>
      </c>
      <c r="GM38" s="330" t="e">
        <v>#N/A</v>
      </c>
      <c r="GN38" s="330">
        <v>45690</v>
      </c>
      <c r="GO38" s="330" t="e">
        <v>#N/A</v>
      </c>
      <c r="GP38" s="316"/>
      <c r="GQ3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 s="330" t="s">
        <v>261</v>
      </c>
      <c r="GS38" s="330" t="s">
        <v>261</v>
      </c>
      <c r="GT38" s="354">
        <v>45638</v>
      </c>
      <c r="GU38" s="344" t="str">
        <f>IF(Table1[[#This Row],[Hydro Tes Actual
(tanggal)]]&lt;&gt;"","Sudah","Belum")</f>
        <v>Sudah</v>
      </c>
      <c r="GV38" s="330" t="s">
        <v>261</v>
      </c>
      <c r="GW38" s="330" t="s">
        <v>261</v>
      </c>
      <c r="GX38" s="331">
        <v>45626</v>
      </c>
      <c r="GY38" s="344" t="str">
        <f>IF(Table1[[#This Row],[Interkoneksi Actual
(tanggal)]]&lt;&gt;"","Sudah","Belum")</f>
        <v>Sudah</v>
      </c>
      <c r="GZ38" s="330" t="s">
        <v>261</v>
      </c>
      <c r="HA38" s="330" t="s">
        <v>261</v>
      </c>
      <c r="HB38" s="331">
        <v>45681</v>
      </c>
      <c r="HC38" s="344" t="str">
        <f>IF(Table1[[#This Row],[Flushing Actual
(tanggal)]]&lt;&gt;"","Sudah","Belum")</f>
        <v>Sudah</v>
      </c>
      <c r="HD38" s="330">
        <v>45677</v>
      </c>
      <c r="HE38" s="330" t="e">
        <v>#N/A</v>
      </c>
      <c r="HF38" s="330">
        <v>45683</v>
      </c>
      <c r="HG38" s="346">
        <v>45713</v>
      </c>
      <c r="HH3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8" s="330" t="s">
        <v>261</v>
      </c>
      <c r="HJ38" s="330" t="s">
        <v>261</v>
      </c>
      <c r="HK38" s="331"/>
      <c r="HL38" s="316"/>
      <c r="HM38" s="330">
        <v>45702</v>
      </c>
      <c r="HN38" s="330">
        <v>45702</v>
      </c>
      <c r="HO38" s="330" t="e">
        <v>#N/A</v>
      </c>
      <c r="HP38" s="346">
        <v>45741</v>
      </c>
      <c r="HQ3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8" s="330">
        <v>45709</v>
      </c>
      <c r="HS38" s="330"/>
      <c r="HT38" s="330">
        <v>45709</v>
      </c>
      <c r="HU38" s="527"/>
      <c r="HV38" s="330">
        <f>IF(Table1[[#This Row],[MC-100 Aktual
(tanggal)]]&lt;&gt;"",Table1[[#This Row],[MC-100 Aktual
(tanggal)]]+5,"")</f>
        <v>45746</v>
      </c>
      <c r="HW3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8" s="47"/>
      <c r="HY38" s="352"/>
      <c r="HZ38" s="352"/>
      <c r="IB38" s="618">
        <f>IFERROR(ROUND((Table1[[#This Row],[PLAN TC
finish]]-Table1[[#This Row],[PLAN MC-0
start]])/30,2),"")</f>
        <v>4.4000000000000004</v>
      </c>
      <c r="IC38">
        <f>DATEDIF(Table1[[#This Row],[PLAN MC-0
start]],Table1[[#This Row],[PLAN TC
finish]],"m")</f>
        <v>4</v>
      </c>
    </row>
    <row r="39" spans="1:237" s="4" customFormat="1" ht="15" hidden="1" customHeight="1" x14ac:dyDescent="0.2">
      <c r="B39" s="311">
        <f>SUBTOTAL(3,$D$5:D39)</f>
        <v>18</v>
      </c>
      <c r="C39" s="348">
        <v>35</v>
      </c>
      <c r="D39" s="315" t="s">
        <v>244</v>
      </c>
      <c r="E39" s="315" t="s">
        <v>434</v>
      </c>
      <c r="F39" s="315" t="s">
        <v>435</v>
      </c>
      <c r="G39" s="349">
        <v>45752</v>
      </c>
      <c r="H39" s="314" t="s">
        <v>247</v>
      </c>
      <c r="I39" s="315" t="s">
        <v>278</v>
      </c>
      <c r="J39" s="315"/>
      <c r="K39" s="338" t="s">
        <v>249</v>
      </c>
      <c r="L39" s="316" t="s">
        <v>250</v>
      </c>
      <c r="M39" s="316" t="s">
        <v>269</v>
      </c>
      <c r="N39" s="107">
        <v>4237</v>
      </c>
      <c r="O39" s="31" t="s">
        <v>252</v>
      </c>
      <c r="P3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9" s="87" t="e">
        <v>#N/A</v>
      </c>
      <c r="S39" s="87">
        <v>1</v>
      </c>
      <c r="T39" s="35">
        <f>Table1[[#This Row],[Progres Total Aktual
(%)]]</f>
        <v>1</v>
      </c>
      <c r="U39" s="124">
        <f>Table1[[#This Row],[Progres Aktual
(%)]]-Table1[[#This Row],[Target Progres
(%)]]</f>
        <v>0</v>
      </c>
      <c r="V39" s="350">
        <f>Table1[[#This Row],["Volume
BA MC-0"]]</f>
        <v>4093</v>
      </c>
      <c r="W39" s="351">
        <f>Table1[[#This Row],[Total Panjang Pipa Aktual
(Sum-&gt;)3]]</f>
        <v>3301.9</v>
      </c>
      <c r="X39" s="47"/>
      <c r="Y39" s="67" t="s">
        <v>436</v>
      </c>
      <c r="Z39" s="67">
        <v>5884646075</v>
      </c>
      <c r="AA39" s="67">
        <f>ROUND((Table1[[#This Row],[Nilai RAB Jaringan
(Exclude Ppn)]]-Table1[[#This Row],[RAB Perizinan]])*1.11+Table1[[#This Row],[RAB Perizinan]],0)</f>
        <v>0</v>
      </c>
      <c r="AB39" s="320">
        <f>SUM(Table1[[#This Row],[RAB Kegiatan Umum]:[RAB Perizinan]])</f>
        <v>0</v>
      </c>
      <c r="AC39" s="320"/>
      <c r="AD39" s="320"/>
      <c r="AE39" s="320"/>
      <c r="AF39" s="320"/>
      <c r="AG39" s="320">
        <v>6159193142</v>
      </c>
      <c r="AH39" s="35" t="e">
        <f>SUM(Table1[[#This Row],[Bobot Keg Umum]:[Bobot Perizinan]])</f>
        <v>#DIV/0!</v>
      </c>
      <c r="AI39" s="35" t="e">
        <f>Table1[[#This Row],[RAB Kegiatan Umum]]/Table1[[#This Row],[Nilai RAB Jaringan
(Exclude Ppn)]]</f>
        <v>#DIV/0!</v>
      </c>
      <c r="AJ39" s="35" t="e">
        <f>Table1[[#This Row],[RAB Pemasangan]]/Table1[[#This Row],[Nilai RAB Jaringan
(Exclude Ppn)]]</f>
        <v>#DIV/0!</v>
      </c>
      <c r="AK39" s="35" t="e">
        <f>Table1[[#This Row],[RAB Pengadaan]]/Table1[[#This Row],[Nilai RAB Jaringan
(Exclude Ppn)]]</f>
        <v>#DIV/0!</v>
      </c>
      <c r="AL39" s="35" t="e">
        <f>Table1[[#This Row],[RAB Perizinan]]/Table1[[#This Row],[Nilai RAB Jaringan
(Exclude Ppn)]]</f>
        <v>#DIV/0!</v>
      </c>
      <c r="AM39" s="47"/>
      <c r="AN39" s="285">
        <v>4093</v>
      </c>
      <c r="AO39" s="285">
        <f>SUM(Table1[[#This Row],[Pipa 63 mm]:[Pipa 1,800 mm]])</f>
        <v>0</v>
      </c>
      <c r="AP39" s="285"/>
      <c r="AQ39" s="285"/>
      <c r="AR39" s="285"/>
      <c r="AS39" s="285"/>
      <c r="AT39" s="285"/>
      <c r="AU39" s="285"/>
      <c r="AV39" s="285"/>
      <c r="AW39" s="285"/>
      <c r="AX39" s="285"/>
      <c r="AY39" s="285"/>
      <c r="AZ39" s="285"/>
      <c r="BA39" s="285"/>
      <c r="BB39" s="285"/>
      <c r="BC39" s="285"/>
      <c r="BD39" s="285"/>
      <c r="BE39" s="285"/>
      <c r="BF39" s="285"/>
      <c r="BG39" s="285"/>
      <c r="BH39" s="285"/>
      <c r="BI39" s="285"/>
      <c r="BJ39" s="36">
        <f>SUM(Table1[[#This Row],[Pipa 63 mm2]:[Pipa 1,800 mm21]])</f>
        <v>3301.9</v>
      </c>
      <c r="BK39" s="356">
        <v>3301.9</v>
      </c>
      <c r="BL39" s="356"/>
      <c r="BM39" s="356"/>
      <c r="BN39" s="356"/>
      <c r="BO39" s="356"/>
      <c r="BP39" s="356"/>
      <c r="BQ39" s="356"/>
      <c r="BR39" s="356"/>
      <c r="BS39" s="356"/>
      <c r="BT39" s="356"/>
      <c r="BU39" s="356"/>
      <c r="BV39" s="356"/>
      <c r="BW39" s="356"/>
      <c r="BX39" s="356"/>
      <c r="BY39" s="356"/>
      <c r="BZ39" s="356"/>
      <c r="CA39" s="356"/>
      <c r="CB39" s="356"/>
      <c r="CC39" s="356"/>
      <c r="CD39" s="356"/>
      <c r="CE39" s="32">
        <v>1109</v>
      </c>
      <c r="CF39" s="32"/>
      <c r="CG39" s="32"/>
      <c r="CH39" s="32"/>
      <c r="CI39" s="32">
        <f t="shared" si="3"/>
        <v>1109</v>
      </c>
      <c r="CJ39" s="65">
        <f>IF((Table1[[#This Row],["Volume
BA MC-0"]]-Table1[[#This Row],[Total Panjang Pipa Aktual
(Sum-&gt;)3]]-Table1[[#This Row],[Total Volume
tidak dapat dipasang]])&gt;=0,Table1[[#This Row],["Volume
BA MC-0"]]-Table1[[#This Row],[Total Panjang Pipa Aktual
(Sum-&gt;)3]]-Table1[[#This Row],[Total Volume
tidak dapat dipasang]],0)</f>
        <v>0</v>
      </c>
      <c r="CK39" s="47"/>
      <c r="CL39" s="131"/>
      <c r="CM39" s="35"/>
      <c r="CN39" s="131"/>
      <c r="CO39" s="131"/>
      <c r="CP3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9" s="66">
        <f>IFERROR(Table1[[#This Row],[Progres Keg. Umum
(%)]]*Table1[[#This Row],[Nilai RAB Jaringan
(file pa aji)]],0)</f>
        <v>0</v>
      </c>
      <c r="CR39" s="66">
        <f>IFERROR(Table1[[#This Row],[Progres MOS
(%)]]*Table1[[#This Row],[Nilai RAB Jaringan
(file pa aji)]],0)</f>
        <v>0</v>
      </c>
      <c r="CS39" s="66">
        <f>IFERROR(Table1[[#This Row],[Progres Pemasangan
(%)]]*Table1[[#This Row],[Nilai RAB Jaringan
(file pa aji)]],0)</f>
        <v>0</v>
      </c>
      <c r="CT39" s="66">
        <f>IFERROR(Table1[[#This Row],[Progres Perizinan
(%)]]*Table1[[#This Row],[Nilai RAB Jaringan
(file pa aji)]],0)</f>
        <v>0</v>
      </c>
      <c r="CU39" s="329">
        <v>4237639506</v>
      </c>
      <c r="CV39" s="329">
        <v>4237639506</v>
      </c>
      <c r="CW39" s="583">
        <v>4237639506</v>
      </c>
      <c r="CX39" s="329">
        <v>4237639506</v>
      </c>
      <c r="CY39" s="47"/>
      <c r="CZ39" s="330">
        <v>45439</v>
      </c>
      <c r="DA39" s="330">
        <v>45466</v>
      </c>
      <c r="DB39" s="331"/>
      <c r="DC39" s="316"/>
      <c r="DD39" s="67"/>
      <c r="DE3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9" s="331"/>
      <c r="DG39" s="316"/>
      <c r="DH39" s="67"/>
      <c r="DI3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9" s="330">
        <v>45467</v>
      </c>
      <c r="DK39" s="330">
        <v>45536</v>
      </c>
      <c r="DL39" s="331">
        <v>45515</v>
      </c>
      <c r="DM39" s="357" t="s">
        <v>437</v>
      </c>
      <c r="DN3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 s="331">
        <v>45540</v>
      </c>
      <c r="DP39" s="316" t="s">
        <v>438</v>
      </c>
      <c r="DQ39" s="338" t="s">
        <v>433</v>
      </c>
      <c r="DR3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9" s="330">
        <v>45467</v>
      </c>
      <c r="DT39" s="330" t="e">
        <v>#N/A</v>
      </c>
      <c r="DU39" s="330">
        <v>45508</v>
      </c>
      <c r="DV39" s="330" t="e">
        <v>#N/A</v>
      </c>
      <c r="DW39" s="331"/>
      <c r="DX39" s="316"/>
      <c r="DY39" s="334"/>
      <c r="DZ39" s="334"/>
      <c r="EA3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9" s="331"/>
      <c r="EC39" s="332"/>
      <c r="ED39" s="332"/>
      <c r="EE39" s="330"/>
      <c r="EF39" s="35">
        <v>1</v>
      </c>
      <c r="EG39" s="337">
        <v>1</v>
      </c>
      <c r="EH39" s="316" t="str">
        <f>IF(Table1[[#This Row],[PO Material Aktual 
(%)]]&gt;=100%,"Selesai PO = 100%",IF(Table1[[#This Row],[PO Material Aktual 
(%)]]&gt;=50%,"Proses PO &gt; 100%",IF(Table1[[#This Row],[PO Material Aktual 
(%)]]&gt;0%,"Proses PO &gt; 50%",IF(Table1[[#This Row],[PO Material Aktual 
(%)]]=0,"Belum PO = 0%"))))</f>
        <v>Selesai PO = 100%</v>
      </c>
      <c r="EI3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 s="330">
        <v>45509</v>
      </c>
      <c r="EK39" s="330" t="e">
        <v>#N/A</v>
      </c>
      <c r="EL39" s="330">
        <v>45620</v>
      </c>
      <c r="EM39" s="330" t="e">
        <v>#N/A</v>
      </c>
      <c r="EN39" s="331"/>
      <c r="EO39" s="332"/>
      <c r="EP39" s="332"/>
      <c r="EQ39" s="87">
        <v>1</v>
      </c>
      <c r="ER39" s="87">
        <v>1</v>
      </c>
      <c r="ES39" s="316" t="str">
        <f>IF(Table1[[#This Row],[Progres MOS]]&gt;=100%,"Selesai MOS = 100%",IF(Table1[[#This Row],[Progres MOS]]&gt;=50%,"Proses MOS &gt; 100%",IF(Table1[[#This Row],[Progres MOS]]&gt;0%,"Proses MOS &gt; 50%",IF(Table1[[#This Row],[Progres MOS]]=0,"Belum MOS = 0%"))))</f>
        <v>Selesai MOS = 100%</v>
      </c>
      <c r="ET3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 s="47"/>
      <c r="EV39" s="330">
        <v>45467</v>
      </c>
      <c r="EW39" s="330" t="e">
        <v>#N/A</v>
      </c>
      <c r="EX39" s="330">
        <v>45564</v>
      </c>
      <c r="EY39" s="330" t="e">
        <v>#N/A</v>
      </c>
      <c r="EZ39" s="352" t="s">
        <v>259</v>
      </c>
      <c r="FA39" s="336" t="s">
        <v>259</v>
      </c>
      <c r="FB39" s="330" t="s">
        <v>260</v>
      </c>
      <c r="FC39" s="330">
        <v>45541</v>
      </c>
      <c r="FD39" s="330" t="s">
        <v>260</v>
      </c>
      <c r="FE39" s="330">
        <v>45566</v>
      </c>
      <c r="FF39" s="330">
        <v>45939</v>
      </c>
      <c r="FG39" s="330" t="s">
        <v>260</v>
      </c>
      <c r="FH39" s="330" t="s">
        <v>260</v>
      </c>
      <c r="FI39" s="330">
        <v>45845</v>
      </c>
      <c r="FJ39" s="330" t="s">
        <v>260</v>
      </c>
      <c r="FK39" s="330">
        <v>46009</v>
      </c>
      <c r="FL39" s="336" t="s">
        <v>259</v>
      </c>
      <c r="FM39" s="336">
        <v>45541</v>
      </c>
      <c r="FN39" s="314">
        <f>IF(Table1[[#This Row],[Tanggal Pengajuan Dokumen]]="","",Table1[[#This Row],[PLAN PERMIT
start]]-Table1[[#This Row],[Tanggal Pengajuan Dokumen]])</f>
        <v>-74</v>
      </c>
      <c r="FO39" s="336">
        <v>46009</v>
      </c>
      <c r="FP39" s="316"/>
      <c r="FQ39" s="338"/>
      <c r="FR39" s="352"/>
      <c r="FS39" s="338" t="str">
        <f t="shared" si="5"/>
        <v>Sudah Terbit</v>
      </c>
      <c r="FT3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9" s="344">
        <f ca="1">IF(Table1[[#This Row],[Status Izin]]="Selesai",Table1[[#This Row],[PLAN PERMIT
finish]]-Table1[[#This Row],[Tanggal Terbit/ Target Izin Terbit]],ROUNDUP(Table1[[#This Row],[PLAN PERMIT
finish]]-NOW(),0))</f>
        <v>-445</v>
      </c>
      <c r="FV3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 s="344"/>
      <c r="FX39" s="47"/>
      <c r="FY39" s="340"/>
      <c r="FZ39" s="341"/>
      <c r="GA3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9" s="330">
        <v>45538</v>
      </c>
      <c r="GC39" s="331">
        <v>45519</v>
      </c>
      <c r="GD3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 s="330">
        <v>45545</v>
      </c>
      <c r="GF39" s="331">
        <v>45519</v>
      </c>
      <c r="GG3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 s="330">
        <v>45551</v>
      </c>
      <c r="GI39" s="330">
        <v>45557</v>
      </c>
      <c r="GJ39" s="353">
        <v>45562</v>
      </c>
      <c r="GK3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9" s="330">
        <v>45565</v>
      </c>
      <c r="GM39" s="330" t="e">
        <v>#N/A</v>
      </c>
      <c r="GN39" s="330">
        <v>45690</v>
      </c>
      <c r="GO39" s="330" t="e">
        <v>#N/A</v>
      </c>
      <c r="GP39" s="316"/>
      <c r="GQ3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9" s="330" t="s">
        <v>261</v>
      </c>
      <c r="GS39" s="330" t="s">
        <v>261</v>
      </c>
      <c r="GT39" s="354">
        <v>45594</v>
      </c>
      <c r="GU39" s="344" t="str">
        <f>IF(Table1[[#This Row],[Hydro Tes Actual
(tanggal)]]&lt;&gt;"","Sudah","Belum")</f>
        <v>Sudah</v>
      </c>
      <c r="GV39" s="330" t="s">
        <v>261</v>
      </c>
      <c r="GW39" s="330" t="s">
        <v>261</v>
      </c>
      <c r="GX39" s="331">
        <v>45697</v>
      </c>
      <c r="GY39" s="344" t="str">
        <f>IF(Table1[[#This Row],[Interkoneksi Actual
(tanggal)]]&lt;&gt;"","Sudah","Belum")</f>
        <v>Sudah</v>
      </c>
      <c r="GZ39" s="330" t="s">
        <v>261</v>
      </c>
      <c r="HA39" s="330" t="s">
        <v>261</v>
      </c>
      <c r="HB39" s="331">
        <v>45699</v>
      </c>
      <c r="HC39" s="344" t="str">
        <f>IF(Table1[[#This Row],[Flushing Actual
(tanggal)]]&lt;&gt;"","Sudah","Belum")</f>
        <v>Sudah</v>
      </c>
      <c r="HD39" s="330">
        <v>45677</v>
      </c>
      <c r="HE39" s="330" t="e">
        <v>#N/A</v>
      </c>
      <c r="HF39" s="330">
        <v>45683</v>
      </c>
      <c r="HG39" s="346">
        <v>45714</v>
      </c>
      <c r="HH3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9" s="330" t="s">
        <v>261</v>
      </c>
      <c r="HJ39" s="330" t="s">
        <v>261</v>
      </c>
      <c r="HK39" s="331"/>
      <c r="HL39" s="316"/>
      <c r="HM39" s="330">
        <v>45702</v>
      </c>
      <c r="HN39" s="330">
        <v>45702</v>
      </c>
      <c r="HO39" s="330" t="e">
        <v>#N/A</v>
      </c>
      <c r="HP39" s="346">
        <v>45750</v>
      </c>
      <c r="HQ3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9" s="330">
        <v>45709</v>
      </c>
      <c r="HS39" s="330"/>
      <c r="HT39" s="330">
        <v>45709</v>
      </c>
      <c r="HU39" s="527"/>
      <c r="HV39" s="330">
        <f>IF(Table1[[#This Row],[MC-100 Aktual
(tanggal)]]&lt;&gt;"",Table1[[#This Row],[MC-100 Aktual
(tanggal)]]+5,"")</f>
        <v>45755</v>
      </c>
      <c r="HW3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9" s="47"/>
      <c r="HY39" s="352"/>
      <c r="HZ39" s="352"/>
      <c r="IB39" s="618">
        <f>IFERROR(ROUND((Table1[[#This Row],[PLAN TC
finish]]-Table1[[#This Row],[PLAN MC-0
start]])/30,2),"")</f>
        <v>4.4000000000000004</v>
      </c>
      <c r="IC39">
        <f>DATEDIF(Table1[[#This Row],[PLAN MC-0
start]],Table1[[#This Row],[PLAN TC
finish]],"m")</f>
        <v>4</v>
      </c>
    </row>
    <row r="40" spans="1:237" s="4" customFormat="1" ht="15" customHeight="1" x14ac:dyDescent="0.2">
      <c r="B40" s="311">
        <f>SUBTOTAL(3,$D$5:D40)</f>
        <v>19</v>
      </c>
      <c r="C40" s="348">
        <v>36</v>
      </c>
      <c r="D40" s="315" t="s">
        <v>244</v>
      </c>
      <c r="E40" s="315" t="s">
        <v>439</v>
      </c>
      <c r="F40" s="315" t="s">
        <v>440</v>
      </c>
      <c r="G40" s="349">
        <v>45752</v>
      </c>
      <c r="H40" s="314" t="s">
        <v>247</v>
      </c>
      <c r="I40" s="315" t="s">
        <v>278</v>
      </c>
      <c r="J40" s="315"/>
      <c r="K40" s="338" t="s">
        <v>249</v>
      </c>
      <c r="L40" s="316" t="s">
        <v>250</v>
      </c>
      <c r="M40" s="316" t="s">
        <v>269</v>
      </c>
      <c r="N40" s="107">
        <v>845</v>
      </c>
      <c r="O40" s="31" t="s">
        <v>252</v>
      </c>
      <c r="P4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0" s="87" t="e">
        <v>#N/A</v>
      </c>
      <c r="S40" s="87">
        <v>1</v>
      </c>
      <c r="T40" s="35">
        <f>Table1[[#This Row],[Progres Total Aktual
(%)]]</f>
        <v>1</v>
      </c>
      <c r="U40" s="124">
        <f>Table1[[#This Row],[Progres Aktual
(%)]]-Table1[[#This Row],[Target Progres
(%)]]</f>
        <v>0</v>
      </c>
      <c r="V40" s="350">
        <f>Table1[[#This Row],["Volume
BA MC-0"]]</f>
        <v>873</v>
      </c>
      <c r="W40" s="351">
        <f>Table1[[#This Row],[Total Panjang Pipa Aktual
(Sum-&gt;)3]]</f>
        <v>285.39999999999998</v>
      </c>
      <c r="X40" s="47"/>
      <c r="Y40" s="67" t="s">
        <v>441</v>
      </c>
      <c r="Z40" s="67">
        <v>1138504626</v>
      </c>
      <c r="AA40" s="67">
        <f>ROUND((Table1[[#This Row],[Nilai RAB Jaringan
(Exclude Ppn)]]-Table1[[#This Row],[RAB Perizinan]])*1.11+Table1[[#This Row],[RAB Perizinan]],0)</f>
        <v>0</v>
      </c>
      <c r="AB40" s="320">
        <f>SUM(Table1[[#This Row],[RAB Kegiatan Umum]:[RAB Perizinan]])</f>
        <v>0</v>
      </c>
      <c r="AC40" s="320"/>
      <c r="AD40" s="320"/>
      <c r="AE40" s="320"/>
      <c r="AF40" s="320"/>
      <c r="AG40" s="320">
        <v>3984516296</v>
      </c>
      <c r="AH40" s="35" t="e">
        <f>SUM(Table1[[#This Row],[Bobot Keg Umum]:[Bobot Perizinan]])</f>
        <v>#DIV/0!</v>
      </c>
      <c r="AI40" s="35" t="e">
        <f>Table1[[#This Row],[RAB Kegiatan Umum]]/Table1[[#This Row],[Nilai RAB Jaringan
(Exclude Ppn)]]</f>
        <v>#DIV/0!</v>
      </c>
      <c r="AJ40" s="35" t="e">
        <f>Table1[[#This Row],[RAB Pemasangan]]/Table1[[#This Row],[Nilai RAB Jaringan
(Exclude Ppn)]]</f>
        <v>#DIV/0!</v>
      </c>
      <c r="AK40" s="35" t="e">
        <f>Table1[[#This Row],[RAB Pengadaan]]/Table1[[#This Row],[Nilai RAB Jaringan
(Exclude Ppn)]]</f>
        <v>#DIV/0!</v>
      </c>
      <c r="AL40" s="35" t="e">
        <f>Table1[[#This Row],[RAB Perizinan]]/Table1[[#This Row],[Nilai RAB Jaringan
(Exclude Ppn)]]</f>
        <v>#DIV/0!</v>
      </c>
      <c r="AM40" s="47"/>
      <c r="AN40" s="285">
        <v>873</v>
      </c>
      <c r="AO40" s="285">
        <f>SUM(Table1[[#This Row],[Pipa 63 mm]:[Pipa 1,800 mm]])</f>
        <v>0</v>
      </c>
      <c r="AP40" s="285"/>
      <c r="AQ40" s="285"/>
      <c r="AR40" s="285"/>
      <c r="AS40" s="285"/>
      <c r="AT40" s="285"/>
      <c r="AU40" s="285"/>
      <c r="AV40" s="285"/>
      <c r="AW40" s="285"/>
      <c r="AX40" s="285"/>
      <c r="AY40" s="285"/>
      <c r="AZ40" s="285"/>
      <c r="BA40" s="285"/>
      <c r="BB40" s="285"/>
      <c r="BC40" s="285"/>
      <c r="BD40" s="285"/>
      <c r="BE40" s="285"/>
      <c r="BF40" s="285"/>
      <c r="BG40" s="285"/>
      <c r="BH40" s="285"/>
      <c r="BI40" s="285"/>
      <c r="BJ40" s="36">
        <f>SUM(Table1[[#This Row],[Pipa 63 mm2]:[Pipa 1,800 mm21]])</f>
        <v>285.39999999999998</v>
      </c>
      <c r="BK40" s="32">
        <v>285.39999999999998</v>
      </c>
      <c r="BL40" s="32"/>
      <c r="BM40" s="32"/>
      <c r="BN40" s="32"/>
      <c r="BO40" s="32"/>
      <c r="BP40" s="32"/>
      <c r="BQ40" s="32"/>
      <c r="BR40" s="32"/>
      <c r="BS40" s="32"/>
      <c r="BT40" s="32"/>
      <c r="BU40" s="32"/>
      <c r="BV40" s="32"/>
      <c r="BW40" s="32"/>
      <c r="BX40" s="32"/>
      <c r="BY40" s="32"/>
      <c r="BZ40" s="32"/>
      <c r="CA40" s="32"/>
      <c r="CB40" s="32"/>
      <c r="CC40" s="32"/>
      <c r="CD40" s="32"/>
      <c r="CE40" s="32">
        <v>584</v>
      </c>
      <c r="CF40" s="32"/>
      <c r="CG40" s="32"/>
      <c r="CH40" s="32"/>
      <c r="CI40" s="32">
        <f t="shared" si="3"/>
        <v>584</v>
      </c>
      <c r="CJ40" s="65">
        <f>IF((Table1[[#This Row],["Volume
BA MC-0"]]-Table1[[#This Row],[Total Panjang Pipa Aktual
(Sum-&gt;)3]]-Table1[[#This Row],[Total Volume
tidak dapat dipasang]])&gt;=0,Table1[[#This Row],["Volume
BA MC-0"]]-Table1[[#This Row],[Total Panjang Pipa Aktual
(Sum-&gt;)3]]-Table1[[#This Row],[Total Volume
tidak dapat dipasang]],0)</f>
        <v>3.6000000000000227</v>
      </c>
      <c r="CK40" s="47"/>
      <c r="CL40" s="131"/>
      <c r="CM40" s="35"/>
      <c r="CN40" s="131"/>
      <c r="CO40" s="131"/>
      <c r="CP4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0" s="66">
        <f>IFERROR(Table1[[#This Row],[Progres Keg. Umum
(%)]]*Table1[[#This Row],[Nilai RAB Jaringan
(file pa aji)]],0)</f>
        <v>0</v>
      </c>
      <c r="CR40" s="66">
        <f>IFERROR(Table1[[#This Row],[Progres MOS
(%)]]*Table1[[#This Row],[Nilai RAB Jaringan
(file pa aji)]],0)</f>
        <v>0</v>
      </c>
      <c r="CS40" s="66">
        <f>IFERROR(Table1[[#This Row],[Progres Pemasangan
(%)]]*Table1[[#This Row],[Nilai RAB Jaringan
(file pa aji)]],0)</f>
        <v>0</v>
      </c>
      <c r="CT40" s="66">
        <f>IFERROR(Table1[[#This Row],[Progres Perizinan
(%)]]*Table1[[#This Row],[Nilai RAB Jaringan
(file pa aji)]],0)</f>
        <v>0</v>
      </c>
      <c r="CU40" s="329">
        <v>425508030</v>
      </c>
      <c r="CV40" s="329">
        <v>425508030</v>
      </c>
      <c r="CW40" s="583">
        <v>425508030</v>
      </c>
      <c r="CX40" s="329">
        <v>425508030</v>
      </c>
      <c r="CY40" s="47"/>
      <c r="CZ40" s="330">
        <v>45439</v>
      </c>
      <c r="DA40" s="330">
        <v>45466</v>
      </c>
      <c r="DB40" s="331"/>
      <c r="DC40" s="316"/>
      <c r="DD40" s="67"/>
      <c r="DE4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0" s="331"/>
      <c r="DG40" s="316"/>
      <c r="DH40" s="67"/>
      <c r="DI4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0" s="330">
        <v>45467</v>
      </c>
      <c r="DK40" s="330">
        <v>45536</v>
      </c>
      <c r="DL40" s="331">
        <v>45523</v>
      </c>
      <c r="DM40" s="357" t="s">
        <v>442</v>
      </c>
      <c r="DN4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 s="331">
        <v>45540</v>
      </c>
      <c r="DP40" s="316" t="s">
        <v>443</v>
      </c>
      <c r="DQ40" s="338" t="s">
        <v>433</v>
      </c>
      <c r="DR4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 s="330">
        <v>45467</v>
      </c>
      <c r="DT40" s="330" t="e">
        <v>#N/A</v>
      </c>
      <c r="DU40" s="330">
        <v>45508</v>
      </c>
      <c r="DV40" s="330" t="e">
        <v>#N/A</v>
      </c>
      <c r="DW40" s="331"/>
      <c r="DX40" s="316"/>
      <c r="DY40" s="334"/>
      <c r="DZ40" s="334"/>
      <c r="EA4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0" s="331"/>
      <c r="EC40" s="332"/>
      <c r="ED40" s="332"/>
      <c r="EE40" s="330"/>
      <c r="EF40" s="35">
        <v>1</v>
      </c>
      <c r="EG40" s="337">
        <v>1</v>
      </c>
      <c r="EH40" s="316" t="str">
        <f>IF(Table1[[#This Row],[PO Material Aktual 
(%)]]&gt;=100%,"Selesai PO = 100%",IF(Table1[[#This Row],[PO Material Aktual 
(%)]]&gt;=50%,"Proses PO &gt; 100%",IF(Table1[[#This Row],[PO Material Aktual 
(%)]]&gt;0%,"Proses PO &gt; 50%",IF(Table1[[#This Row],[PO Material Aktual 
(%)]]=0,"Belum PO = 0%"))))</f>
        <v>Selesai PO = 100%</v>
      </c>
      <c r="EI4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 s="330">
        <v>45509</v>
      </c>
      <c r="EK40" s="330" t="e">
        <v>#N/A</v>
      </c>
      <c r="EL40" s="330">
        <v>45620</v>
      </c>
      <c r="EM40" s="330" t="e">
        <v>#N/A</v>
      </c>
      <c r="EN40" s="331"/>
      <c r="EO40" s="332"/>
      <c r="EP40" s="332"/>
      <c r="EQ40" s="87">
        <v>1</v>
      </c>
      <c r="ER40" s="87">
        <v>1</v>
      </c>
      <c r="ES40" s="316" t="str">
        <f>IF(Table1[[#This Row],[Progres MOS]]&gt;=100%,"Selesai MOS = 100%",IF(Table1[[#This Row],[Progres MOS]]&gt;=50%,"Proses MOS &gt; 100%",IF(Table1[[#This Row],[Progres MOS]]&gt;0%,"Proses MOS &gt; 50%",IF(Table1[[#This Row],[Progres MOS]]=0,"Belum MOS = 0%"))))</f>
        <v>Selesai MOS = 100%</v>
      </c>
      <c r="ET4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 s="47"/>
      <c r="EV40" s="330">
        <v>45467</v>
      </c>
      <c r="EW40" s="330" t="e">
        <v>#N/A</v>
      </c>
      <c r="EX40" s="330">
        <v>45564</v>
      </c>
      <c r="EY40" s="330" t="e">
        <v>#N/A</v>
      </c>
      <c r="EZ40" s="352" t="s">
        <v>259</v>
      </c>
      <c r="FA40" s="336" t="s">
        <v>259</v>
      </c>
      <c r="FB40" s="330" t="s">
        <v>260</v>
      </c>
      <c r="FC40" s="330">
        <v>45541</v>
      </c>
      <c r="FD40" s="330" t="s">
        <v>260</v>
      </c>
      <c r="FE40" s="330">
        <v>45566</v>
      </c>
      <c r="FF40" s="330">
        <v>45939</v>
      </c>
      <c r="FG40" s="330" t="s">
        <v>260</v>
      </c>
      <c r="FH40" s="330" t="s">
        <v>260</v>
      </c>
      <c r="FI40" s="330">
        <v>45845</v>
      </c>
      <c r="FJ40" s="330" t="s">
        <v>260</v>
      </c>
      <c r="FK40" s="330">
        <v>46009</v>
      </c>
      <c r="FL40" s="336" t="s">
        <v>259</v>
      </c>
      <c r="FM40" s="336">
        <v>45541</v>
      </c>
      <c r="FN40" s="314">
        <f>IF(Table1[[#This Row],[Tanggal Pengajuan Dokumen]]="","",Table1[[#This Row],[PLAN PERMIT
start]]-Table1[[#This Row],[Tanggal Pengajuan Dokumen]])</f>
        <v>-74</v>
      </c>
      <c r="FO40" s="336">
        <v>46009</v>
      </c>
      <c r="FP40" s="316"/>
      <c r="FQ40" s="338"/>
      <c r="FR40" s="352"/>
      <c r="FS40" s="338" t="str">
        <f t="shared" si="5"/>
        <v>Sudah Terbit</v>
      </c>
      <c r="FT4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0" s="344">
        <f ca="1">IF(Table1[[#This Row],[Status Izin]]="Selesai",Table1[[#This Row],[PLAN PERMIT
finish]]-Table1[[#This Row],[Tanggal Terbit/ Target Izin Terbit]],ROUNDUP(Table1[[#This Row],[PLAN PERMIT
finish]]-NOW(),0))</f>
        <v>-445</v>
      </c>
      <c r="FV4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 s="344"/>
      <c r="FX40" s="47"/>
      <c r="FY40" s="340"/>
      <c r="FZ40" s="341"/>
      <c r="GA4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0" s="330">
        <v>45538</v>
      </c>
      <c r="GC40" s="331">
        <v>45519</v>
      </c>
      <c r="GD4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 s="330">
        <v>45545</v>
      </c>
      <c r="GF40" s="331">
        <v>45519</v>
      </c>
      <c r="GG4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 s="330">
        <v>45551</v>
      </c>
      <c r="GI40" s="330">
        <v>45557</v>
      </c>
      <c r="GJ40" s="353">
        <v>45561</v>
      </c>
      <c r="GK4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 s="330">
        <v>45565</v>
      </c>
      <c r="GM40" s="330" t="e">
        <v>#N/A</v>
      </c>
      <c r="GN40" s="330">
        <v>45690</v>
      </c>
      <c r="GO40" s="330" t="e">
        <v>#N/A</v>
      </c>
      <c r="GP40" s="316"/>
      <c r="GQ4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0" s="330" t="s">
        <v>261</v>
      </c>
      <c r="GS40" s="330" t="s">
        <v>261</v>
      </c>
      <c r="GT40" s="354">
        <v>45619</v>
      </c>
      <c r="GU40" s="344" t="str">
        <f>IF(Table1[[#This Row],[Hydro Tes Actual
(tanggal)]]&lt;&gt;"","Sudah","Belum")</f>
        <v>Sudah</v>
      </c>
      <c r="GV40" s="330" t="s">
        <v>261</v>
      </c>
      <c r="GW40" s="330" t="s">
        <v>261</v>
      </c>
      <c r="GX40" s="331">
        <v>45643</v>
      </c>
      <c r="GY40" s="344" t="str">
        <f>IF(Table1[[#This Row],[Interkoneksi Actual
(tanggal)]]&lt;&gt;"","Sudah","Belum")</f>
        <v>Sudah</v>
      </c>
      <c r="GZ40" s="330" t="s">
        <v>261</v>
      </c>
      <c r="HA40" s="330" t="s">
        <v>261</v>
      </c>
      <c r="HB40" s="331">
        <v>45681</v>
      </c>
      <c r="HC40" s="344" t="str">
        <f>IF(Table1[[#This Row],[Flushing Actual
(tanggal)]]&lt;&gt;"","Sudah","Belum")</f>
        <v>Sudah</v>
      </c>
      <c r="HD40" s="330">
        <v>45677</v>
      </c>
      <c r="HE40" s="330" t="e">
        <v>#N/A</v>
      </c>
      <c r="HF40" s="330">
        <v>45683</v>
      </c>
      <c r="HG40" s="346">
        <v>45714</v>
      </c>
      <c r="HH4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0" s="330" t="s">
        <v>261</v>
      </c>
      <c r="HJ40" s="330" t="s">
        <v>261</v>
      </c>
      <c r="HK40" s="331"/>
      <c r="HL40" s="316"/>
      <c r="HM40" s="330">
        <v>45702</v>
      </c>
      <c r="HN40" s="330">
        <v>45702</v>
      </c>
      <c r="HO40" s="330" t="e">
        <v>#N/A</v>
      </c>
      <c r="HP40" s="346">
        <v>45737</v>
      </c>
      <c r="HQ4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0" s="330">
        <v>45709</v>
      </c>
      <c r="HS40" s="330"/>
      <c r="HT40" s="330">
        <v>45709</v>
      </c>
      <c r="HU40" s="527"/>
      <c r="HV40" s="330">
        <f>IF(Table1[[#This Row],[MC-100 Aktual
(tanggal)]]&lt;&gt;"",Table1[[#This Row],[MC-100 Aktual
(tanggal)]]+5,"")</f>
        <v>45742</v>
      </c>
      <c r="HW4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0" s="47"/>
      <c r="HY40" s="352"/>
      <c r="HZ40" s="352"/>
      <c r="IB40" s="618">
        <f>IFERROR(ROUND((Table1[[#This Row],[PLAN TC
finish]]-Table1[[#This Row],[PLAN MC-0
start]])/30,2),"")</f>
        <v>4.4000000000000004</v>
      </c>
      <c r="IC40">
        <f>DATEDIF(Table1[[#This Row],[PLAN MC-0
start]],Table1[[#This Row],[PLAN TC
finish]],"m")</f>
        <v>4</v>
      </c>
    </row>
    <row r="41" spans="1:237" s="4" customFormat="1" ht="15" hidden="1" customHeight="1" x14ac:dyDescent="0.2">
      <c r="B41" s="311">
        <f>SUBTOTAL(3,$D$5:D41)</f>
        <v>19</v>
      </c>
      <c r="C41" s="348">
        <v>37</v>
      </c>
      <c r="D41" s="315" t="s">
        <v>244</v>
      </c>
      <c r="E41" s="315" t="s">
        <v>444</v>
      </c>
      <c r="F41" s="315" t="s">
        <v>445</v>
      </c>
      <c r="G41" s="349">
        <v>45752</v>
      </c>
      <c r="H41" s="314" t="s">
        <v>247</v>
      </c>
      <c r="I41" s="315" t="s">
        <v>278</v>
      </c>
      <c r="J41" s="315"/>
      <c r="K41" s="338" t="s">
        <v>249</v>
      </c>
      <c r="L41" s="316" t="s">
        <v>250</v>
      </c>
      <c r="M41" s="316" t="s">
        <v>269</v>
      </c>
      <c r="N41" s="107">
        <v>672</v>
      </c>
      <c r="O41" s="31" t="s">
        <v>252</v>
      </c>
      <c r="P4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1" s="87" t="e">
        <v>#N/A</v>
      </c>
      <c r="S41" s="87">
        <v>1</v>
      </c>
      <c r="T41" s="35">
        <f>Table1[[#This Row],[Progres Total Aktual
(%)]]</f>
        <v>1</v>
      </c>
      <c r="U41" s="124">
        <f>Table1[[#This Row],[Progres Aktual
(%)]]-Table1[[#This Row],[Target Progres
(%)]]</f>
        <v>0</v>
      </c>
      <c r="V41" s="350">
        <f>Table1[[#This Row],["Volume
BA MC-0"]]</f>
        <v>704</v>
      </c>
      <c r="W41" s="351">
        <f>Table1[[#This Row],[Total Panjang Pipa Aktual
(Sum-&gt;)3]]</f>
        <v>550.9</v>
      </c>
      <c r="X41" s="47"/>
      <c r="Y41" s="67" t="s">
        <v>446</v>
      </c>
      <c r="Z41" s="67">
        <v>1005198039</v>
      </c>
      <c r="AA41" s="67">
        <f>ROUND((Table1[[#This Row],[Nilai RAB Jaringan
(Exclude Ppn)]]-Table1[[#This Row],[RAB Perizinan]])*1.11+Table1[[#This Row],[RAB Perizinan]],0)</f>
        <v>0</v>
      </c>
      <c r="AB41" s="320">
        <f>SUM(Table1[[#This Row],[RAB Kegiatan Umum]:[RAB Perizinan]])</f>
        <v>0</v>
      </c>
      <c r="AC41" s="320"/>
      <c r="AD41" s="320"/>
      <c r="AE41" s="320"/>
      <c r="AF41" s="320"/>
      <c r="AG41" s="320">
        <v>2678890329</v>
      </c>
      <c r="AH41" s="35" t="e">
        <f>SUM(Table1[[#This Row],[Bobot Keg Umum]:[Bobot Perizinan]])</f>
        <v>#DIV/0!</v>
      </c>
      <c r="AI41" s="35" t="e">
        <f>Table1[[#This Row],[RAB Kegiatan Umum]]/Table1[[#This Row],[Nilai RAB Jaringan
(Exclude Ppn)]]</f>
        <v>#DIV/0!</v>
      </c>
      <c r="AJ41" s="35" t="e">
        <f>Table1[[#This Row],[RAB Pemasangan]]/Table1[[#This Row],[Nilai RAB Jaringan
(Exclude Ppn)]]</f>
        <v>#DIV/0!</v>
      </c>
      <c r="AK41" s="35" t="e">
        <f>Table1[[#This Row],[RAB Pengadaan]]/Table1[[#This Row],[Nilai RAB Jaringan
(Exclude Ppn)]]</f>
        <v>#DIV/0!</v>
      </c>
      <c r="AL41" s="35" t="e">
        <f>Table1[[#This Row],[RAB Perizinan]]/Table1[[#This Row],[Nilai RAB Jaringan
(Exclude Ppn)]]</f>
        <v>#DIV/0!</v>
      </c>
      <c r="AM41" s="47"/>
      <c r="AN41" s="285">
        <v>704</v>
      </c>
      <c r="AO41" s="285">
        <f>SUM(Table1[[#This Row],[Pipa 63 mm]:[Pipa 1,800 mm]])</f>
        <v>0</v>
      </c>
      <c r="AP41" s="285"/>
      <c r="AQ41" s="285"/>
      <c r="AR41" s="285"/>
      <c r="AS41" s="285"/>
      <c r="AT41" s="285"/>
      <c r="AU41" s="285"/>
      <c r="AV41" s="285"/>
      <c r="AW41" s="285"/>
      <c r="AX41" s="285"/>
      <c r="AY41" s="285"/>
      <c r="AZ41" s="285"/>
      <c r="BA41" s="285"/>
      <c r="BB41" s="285"/>
      <c r="BC41" s="285"/>
      <c r="BD41" s="285"/>
      <c r="BE41" s="285"/>
      <c r="BF41" s="285"/>
      <c r="BG41" s="285"/>
      <c r="BH41" s="285"/>
      <c r="BI41" s="285"/>
      <c r="BJ41" s="36">
        <f>SUM(Table1[[#This Row],[Pipa 63 mm2]:[Pipa 1,800 mm21]])</f>
        <v>550.9</v>
      </c>
      <c r="BK41" s="356">
        <v>550.9</v>
      </c>
      <c r="BL41" s="356"/>
      <c r="BM41" s="356"/>
      <c r="BN41" s="356"/>
      <c r="BO41" s="356"/>
      <c r="BP41" s="356"/>
      <c r="BQ41" s="356"/>
      <c r="BR41" s="356"/>
      <c r="BS41" s="356"/>
      <c r="BT41" s="356"/>
      <c r="BU41" s="356"/>
      <c r="BV41" s="356"/>
      <c r="BW41" s="356"/>
      <c r="BX41" s="356"/>
      <c r="BY41" s="356"/>
      <c r="BZ41" s="356"/>
      <c r="CA41" s="356"/>
      <c r="CB41" s="356"/>
      <c r="CC41" s="356"/>
      <c r="CD41" s="356"/>
      <c r="CE41" s="32">
        <v>226</v>
      </c>
      <c r="CF41" s="32"/>
      <c r="CG41" s="32"/>
      <c r="CH41" s="32"/>
      <c r="CI41" s="32">
        <f t="shared" si="3"/>
        <v>226</v>
      </c>
      <c r="CJ41" s="65">
        <f>IF((Table1[[#This Row],["Volume
BA MC-0"]]-Table1[[#This Row],[Total Panjang Pipa Aktual
(Sum-&gt;)3]]-Table1[[#This Row],[Total Volume
tidak dapat dipasang]])&gt;=0,Table1[[#This Row],["Volume
BA MC-0"]]-Table1[[#This Row],[Total Panjang Pipa Aktual
(Sum-&gt;)3]]-Table1[[#This Row],[Total Volume
tidak dapat dipasang]],0)</f>
        <v>0</v>
      </c>
      <c r="CK41" s="47"/>
      <c r="CL41" s="131"/>
      <c r="CM41" s="35"/>
      <c r="CN41" s="131"/>
      <c r="CO41" s="131"/>
      <c r="CP4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1" s="66">
        <f>IFERROR(Table1[[#This Row],[Progres Keg. Umum
(%)]]*Table1[[#This Row],[Nilai RAB Jaringan
(file pa aji)]],0)</f>
        <v>0</v>
      </c>
      <c r="CR41" s="66">
        <f>IFERROR(Table1[[#This Row],[Progres MOS
(%)]]*Table1[[#This Row],[Nilai RAB Jaringan
(file pa aji)]],0)</f>
        <v>0</v>
      </c>
      <c r="CS41" s="66">
        <f>IFERROR(Table1[[#This Row],[Progres Pemasangan
(%)]]*Table1[[#This Row],[Nilai RAB Jaringan
(file pa aji)]],0)</f>
        <v>0</v>
      </c>
      <c r="CT41" s="66">
        <f>IFERROR(Table1[[#This Row],[Progres Perizinan
(%)]]*Table1[[#This Row],[Nilai RAB Jaringan
(file pa aji)]],0)</f>
        <v>0</v>
      </c>
      <c r="CU41" s="329">
        <v>842000544</v>
      </c>
      <c r="CV41" s="329">
        <v>842000544</v>
      </c>
      <c r="CW41" s="583">
        <v>842000544</v>
      </c>
      <c r="CX41" s="329">
        <v>842000544</v>
      </c>
      <c r="CY41" s="47"/>
      <c r="CZ41" s="330">
        <v>45439</v>
      </c>
      <c r="DA41" s="330">
        <v>45466</v>
      </c>
      <c r="DB41" s="331"/>
      <c r="DC41" s="316"/>
      <c r="DD41" s="67"/>
      <c r="DE4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1" s="331"/>
      <c r="DG41" s="316"/>
      <c r="DH41" s="67"/>
      <c r="DI4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1" s="330">
        <v>45467</v>
      </c>
      <c r="DK41" s="330">
        <v>45536</v>
      </c>
      <c r="DL41" s="331">
        <v>45515</v>
      </c>
      <c r="DM41" s="394" t="s">
        <v>447</v>
      </c>
      <c r="DN4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 s="331">
        <v>45540</v>
      </c>
      <c r="DP41" s="316" t="s">
        <v>448</v>
      </c>
      <c r="DQ41" s="338" t="s">
        <v>433</v>
      </c>
      <c r="DR4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 s="330">
        <v>45467</v>
      </c>
      <c r="DT41" s="330" t="e">
        <v>#N/A</v>
      </c>
      <c r="DU41" s="330">
        <v>45508</v>
      </c>
      <c r="DV41" s="330" t="e">
        <v>#N/A</v>
      </c>
      <c r="DW41" s="331"/>
      <c r="DX41" s="316"/>
      <c r="DY41" s="334"/>
      <c r="DZ41" s="334"/>
      <c r="EA4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1" s="331"/>
      <c r="EC41" s="332"/>
      <c r="ED41" s="332"/>
      <c r="EE41" s="330"/>
      <c r="EF41" s="35">
        <v>1</v>
      </c>
      <c r="EG41" s="337">
        <v>1</v>
      </c>
      <c r="EH41" s="316" t="str">
        <f>IF(Table1[[#This Row],[PO Material Aktual 
(%)]]&gt;=100%,"Selesai PO = 100%",IF(Table1[[#This Row],[PO Material Aktual 
(%)]]&gt;=50%,"Proses PO &gt; 100%",IF(Table1[[#This Row],[PO Material Aktual 
(%)]]&gt;0%,"Proses PO &gt; 50%",IF(Table1[[#This Row],[PO Material Aktual 
(%)]]=0,"Belum PO = 0%"))))</f>
        <v>Selesai PO = 100%</v>
      </c>
      <c r="EI4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 s="330">
        <v>45509</v>
      </c>
      <c r="EK41" s="330" t="e">
        <v>#N/A</v>
      </c>
      <c r="EL41" s="330">
        <v>45620</v>
      </c>
      <c r="EM41" s="330" t="e">
        <v>#N/A</v>
      </c>
      <c r="EN41" s="331"/>
      <c r="EO41" s="332"/>
      <c r="EP41" s="332"/>
      <c r="EQ41" s="87">
        <v>1</v>
      </c>
      <c r="ER41" s="87">
        <v>1</v>
      </c>
      <c r="ES41" s="316" t="str">
        <f>IF(Table1[[#This Row],[Progres MOS]]&gt;=100%,"Selesai MOS = 100%",IF(Table1[[#This Row],[Progres MOS]]&gt;=50%,"Proses MOS &gt; 100%",IF(Table1[[#This Row],[Progres MOS]]&gt;0%,"Proses MOS &gt; 50%",IF(Table1[[#This Row],[Progres MOS]]=0,"Belum MOS = 0%"))))</f>
        <v>Selesai MOS = 100%</v>
      </c>
      <c r="ET4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 s="47"/>
      <c r="EV41" s="330">
        <v>45467</v>
      </c>
      <c r="EW41" s="330" t="e">
        <v>#N/A</v>
      </c>
      <c r="EX41" s="330">
        <v>45564</v>
      </c>
      <c r="EY41" s="330" t="e">
        <v>#N/A</v>
      </c>
      <c r="EZ41" s="352" t="s">
        <v>259</v>
      </c>
      <c r="FA41" s="336" t="s">
        <v>259</v>
      </c>
      <c r="FB41" s="330" t="s">
        <v>260</v>
      </c>
      <c r="FC41" s="330">
        <v>45541</v>
      </c>
      <c r="FD41" s="330" t="s">
        <v>260</v>
      </c>
      <c r="FE41" s="330">
        <v>45566</v>
      </c>
      <c r="FF41" s="330">
        <v>45939</v>
      </c>
      <c r="FG41" s="330" t="s">
        <v>260</v>
      </c>
      <c r="FH41" s="330" t="s">
        <v>260</v>
      </c>
      <c r="FI41" s="330">
        <v>45845</v>
      </c>
      <c r="FJ41" s="330" t="s">
        <v>260</v>
      </c>
      <c r="FK41" s="330">
        <v>46009</v>
      </c>
      <c r="FL41" s="336" t="s">
        <v>259</v>
      </c>
      <c r="FM41" s="336">
        <v>45541</v>
      </c>
      <c r="FN41" s="314">
        <f>IF(Table1[[#This Row],[Tanggal Pengajuan Dokumen]]="","",Table1[[#This Row],[PLAN PERMIT
start]]-Table1[[#This Row],[Tanggal Pengajuan Dokumen]])</f>
        <v>-74</v>
      </c>
      <c r="FO41" s="336">
        <v>46009</v>
      </c>
      <c r="FP41" s="316"/>
      <c r="FQ41" s="338"/>
      <c r="FR41" s="352"/>
      <c r="FS41" s="338" t="str">
        <f t="shared" si="5"/>
        <v>Sudah Terbit</v>
      </c>
      <c r="FT4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1" s="344">
        <f ca="1">IF(Table1[[#This Row],[Status Izin]]="Selesai",Table1[[#This Row],[PLAN PERMIT
finish]]-Table1[[#This Row],[Tanggal Terbit/ Target Izin Terbit]],ROUNDUP(Table1[[#This Row],[PLAN PERMIT
finish]]-NOW(),0))</f>
        <v>-445</v>
      </c>
      <c r="FV4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 s="344"/>
      <c r="FX41" s="47"/>
      <c r="FY41" s="340"/>
      <c r="FZ41" s="341"/>
      <c r="GA4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1" s="330">
        <v>45538</v>
      </c>
      <c r="GC41" s="331">
        <v>45519</v>
      </c>
      <c r="GD4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1" s="330">
        <v>45545</v>
      </c>
      <c r="GF41" s="331">
        <v>45519</v>
      </c>
      <c r="GG4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1" s="330">
        <v>45551</v>
      </c>
      <c r="GI41" s="330">
        <v>45557</v>
      </c>
      <c r="GJ41" s="353">
        <v>45559</v>
      </c>
      <c r="GK4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 s="330">
        <v>45565</v>
      </c>
      <c r="GM41" s="330" t="e">
        <v>#N/A</v>
      </c>
      <c r="GN41" s="330">
        <v>45690</v>
      </c>
      <c r="GO41" s="330" t="e">
        <v>#N/A</v>
      </c>
      <c r="GP41" s="316"/>
      <c r="GQ4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 s="330" t="s">
        <v>261</v>
      </c>
      <c r="GS41" s="330" t="s">
        <v>261</v>
      </c>
      <c r="GT41" s="354">
        <v>45644</v>
      </c>
      <c r="GU41" s="344" t="str">
        <f>IF(Table1[[#This Row],[Hydro Tes Actual
(tanggal)]]&lt;&gt;"","Sudah","Belum")</f>
        <v>Sudah</v>
      </c>
      <c r="GV41" s="330" t="s">
        <v>261</v>
      </c>
      <c r="GW41" s="330" t="s">
        <v>261</v>
      </c>
      <c r="GX41" s="331">
        <v>45654</v>
      </c>
      <c r="GY41" s="344" t="str">
        <f>IF(Table1[[#This Row],[Interkoneksi Actual
(tanggal)]]&lt;&gt;"","Sudah","Belum")</f>
        <v>Sudah</v>
      </c>
      <c r="GZ41" s="330" t="s">
        <v>261</v>
      </c>
      <c r="HA41" s="330" t="s">
        <v>261</v>
      </c>
      <c r="HB41" s="331">
        <v>45681</v>
      </c>
      <c r="HC41" s="344" t="str">
        <f>IF(Table1[[#This Row],[Flushing Actual
(tanggal)]]&lt;&gt;"","Sudah","Belum")</f>
        <v>Sudah</v>
      </c>
      <c r="HD41" s="330">
        <v>45677</v>
      </c>
      <c r="HE41" s="330" t="e">
        <v>#N/A</v>
      </c>
      <c r="HF41" s="330">
        <v>45683</v>
      </c>
      <c r="HG41" s="346">
        <v>45714</v>
      </c>
      <c r="HH4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1" s="330" t="s">
        <v>261</v>
      </c>
      <c r="HJ41" s="330" t="s">
        <v>261</v>
      </c>
      <c r="HK41" s="331"/>
      <c r="HL41" s="316"/>
      <c r="HM41" s="330">
        <v>45702</v>
      </c>
      <c r="HN41" s="330">
        <v>45702</v>
      </c>
      <c r="HO41" s="330" t="e">
        <v>#N/A</v>
      </c>
      <c r="HP41" s="346">
        <v>45750</v>
      </c>
      <c r="HQ4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1" s="330">
        <v>45709</v>
      </c>
      <c r="HS41" s="330"/>
      <c r="HT41" s="330">
        <v>45709</v>
      </c>
      <c r="HU41" s="527"/>
      <c r="HV41" s="330">
        <f>IF(Table1[[#This Row],[MC-100 Aktual
(tanggal)]]&lt;&gt;"",Table1[[#This Row],[MC-100 Aktual
(tanggal)]]+5,"")</f>
        <v>45755</v>
      </c>
      <c r="HW4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1" s="47"/>
      <c r="HY41" s="352"/>
      <c r="HZ41" s="352"/>
      <c r="IB41" s="618">
        <f>IFERROR(ROUND((Table1[[#This Row],[PLAN TC
finish]]-Table1[[#This Row],[PLAN MC-0
start]])/30,2),"")</f>
        <v>4.4000000000000004</v>
      </c>
      <c r="IC41">
        <f>DATEDIF(Table1[[#This Row],[PLAN MC-0
start]],Table1[[#This Row],[PLAN TC
finish]],"m")</f>
        <v>4</v>
      </c>
    </row>
    <row r="42" spans="1:237" s="4" customFormat="1" ht="15" customHeight="1" x14ac:dyDescent="0.2">
      <c r="B42" s="311">
        <f>SUBTOTAL(3,$D$5:D42)</f>
        <v>20</v>
      </c>
      <c r="C42" s="348">
        <v>38</v>
      </c>
      <c r="D42" s="315" t="s">
        <v>244</v>
      </c>
      <c r="E42" s="315" t="s">
        <v>449</v>
      </c>
      <c r="F42" s="315" t="s">
        <v>450</v>
      </c>
      <c r="G42" s="349">
        <v>45752</v>
      </c>
      <c r="H42" s="314" t="s">
        <v>247</v>
      </c>
      <c r="I42" s="315" t="s">
        <v>278</v>
      </c>
      <c r="J42" s="315"/>
      <c r="K42" s="338" t="s">
        <v>249</v>
      </c>
      <c r="L42" s="316" t="s">
        <v>250</v>
      </c>
      <c r="M42" s="316" t="s">
        <v>269</v>
      </c>
      <c r="N42" s="107">
        <v>823</v>
      </c>
      <c r="O42" s="31" t="s">
        <v>252</v>
      </c>
      <c r="P4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2" s="87" t="e">
        <v>#N/A</v>
      </c>
      <c r="S42" s="87">
        <v>1</v>
      </c>
      <c r="T42" s="35">
        <f>Table1[[#This Row],[Progres Total Aktual
(%)]]</f>
        <v>1</v>
      </c>
      <c r="U42" s="124">
        <f>Table1[[#This Row],[Progres Aktual
(%)]]-Table1[[#This Row],[Target Progres
(%)]]</f>
        <v>0</v>
      </c>
      <c r="V42" s="350">
        <f>Table1[[#This Row],["Volume
BA MC-0"]]</f>
        <v>670</v>
      </c>
      <c r="W42" s="351">
        <f>Table1[[#This Row],[Total Panjang Pipa Aktual
(Sum-&gt;)3]]</f>
        <v>695</v>
      </c>
      <c r="X42" s="47"/>
      <c r="Y42" s="67" t="s">
        <v>451</v>
      </c>
      <c r="Z42" s="67">
        <v>1053017055</v>
      </c>
      <c r="AA42" s="67">
        <f>ROUND((Table1[[#This Row],[Nilai RAB Jaringan
(Exclude Ppn)]]-Table1[[#This Row],[RAB Perizinan]])*1.11+Table1[[#This Row],[RAB Perizinan]],0)</f>
        <v>0</v>
      </c>
      <c r="AB42" s="320">
        <f>SUM(Table1[[#This Row],[RAB Kegiatan Umum]:[RAB Perizinan]])</f>
        <v>0</v>
      </c>
      <c r="AC42" s="320"/>
      <c r="AD42" s="320"/>
      <c r="AE42" s="320"/>
      <c r="AF42" s="320"/>
      <c r="AG42" s="320">
        <v>2123435639</v>
      </c>
      <c r="AH42" s="35" t="e">
        <f>SUM(Table1[[#This Row],[Bobot Keg Umum]:[Bobot Perizinan]])</f>
        <v>#DIV/0!</v>
      </c>
      <c r="AI42" s="35" t="e">
        <f>Table1[[#This Row],[RAB Kegiatan Umum]]/Table1[[#This Row],[Nilai RAB Jaringan
(Exclude Ppn)]]</f>
        <v>#DIV/0!</v>
      </c>
      <c r="AJ42" s="35" t="e">
        <f>Table1[[#This Row],[RAB Pemasangan]]/Table1[[#This Row],[Nilai RAB Jaringan
(Exclude Ppn)]]</f>
        <v>#DIV/0!</v>
      </c>
      <c r="AK42" s="35" t="e">
        <f>Table1[[#This Row],[RAB Pengadaan]]/Table1[[#This Row],[Nilai RAB Jaringan
(Exclude Ppn)]]</f>
        <v>#DIV/0!</v>
      </c>
      <c r="AL42" s="35" t="e">
        <f>Table1[[#This Row],[RAB Perizinan]]/Table1[[#This Row],[Nilai RAB Jaringan
(Exclude Ppn)]]</f>
        <v>#DIV/0!</v>
      </c>
      <c r="AM42" s="47"/>
      <c r="AN42" s="285">
        <v>670</v>
      </c>
      <c r="AO42" s="285">
        <f>SUM(Table1[[#This Row],[Pipa 63 mm]:[Pipa 1,800 mm]])</f>
        <v>0</v>
      </c>
      <c r="AP42" s="285"/>
      <c r="AQ42" s="285"/>
      <c r="AR42" s="285"/>
      <c r="AS42" s="285"/>
      <c r="AT42" s="285"/>
      <c r="AU42" s="285"/>
      <c r="AV42" s="285"/>
      <c r="AW42" s="285"/>
      <c r="AX42" s="285"/>
      <c r="AY42" s="285"/>
      <c r="AZ42" s="285"/>
      <c r="BA42" s="285"/>
      <c r="BB42" s="285"/>
      <c r="BC42" s="285"/>
      <c r="BD42" s="285"/>
      <c r="BE42" s="285"/>
      <c r="BF42" s="285"/>
      <c r="BG42" s="285"/>
      <c r="BH42" s="285"/>
      <c r="BI42" s="285"/>
      <c r="BJ42" s="36">
        <f>SUM(Table1[[#This Row],[Pipa 63 mm2]:[Pipa 1,800 mm21]])</f>
        <v>695</v>
      </c>
      <c r="BK42" s="32">
        <v>695</v>
      </c>
      <c r="BL42" s="32"/>
      <c r="BM42" s="32"/>
      <c r="BN42" s="32"/>
      <c r="BO42" s="32"/>
      <c r="BP42" s="32"/>
      <c r="BQ42" s="32"/>
      <c r="BR42" s="32"/>
      <c r="BS42" s="32"/>
      <c r="BT42" s="32"/>
      <c r="BU42" s="32"/>
      <c r="BV42" s="32"/>
      <c r="BW42" s="32"/>
      <c r="BX42" s="32"/>
      <c r="BY42" s="32"/>
      <c r="BZ42" s="32"/>
      <c r="CA42" s="32"/>
      <c r="CB42" s="32"/>
      <c r="CC42" s="32"/>
      <c r="CD42" s="32"/>
      <c r="CE42" s="32">
        <v>106</v>
      </c>
      <c r="CF42" s="32"/>
      <c r="CG42" s="32"/>
      <c r="CH42" s="32"/>
      <c r="CI42" s="32">
        <f t="shared" si="3"/>
        <v>106</v>
      </c>
      <c r="CJ42" s="65">
        <f>IF((Table1[[#This Row],["Volume
BA MC-0"]]-Table1[[#This Row],[Total Panjang Pipa Aktual
(Sum-&gt;)3]]-Table1[[#This Row],[Total Volume
tidak dapat dipasang]])&gt;=0,Table1[[#This Row],["Volume
BA MC-0"]]-Table1[[#This Row],[Total Panjang Pipa Aktual
(Sum-&gt;)3]]-Table1[[#This Row],[Total Volume
tidak dapat dipasang]],0)</f>
        <v>0</v>
      </c>
      <c r="CK42" s="47"/>
      <c r="CL42" s="131"/>
      <c r="CM42" s="35"/>
      <c r="CN42" s="131"/>
      <c r="CO42" s="131"/>
      <c r="CP4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2" s="66">
        <f>IFERROR(Table1[[#This Row],[Progres Keg. Umum
(%)]]*Table1[[#This Row],[Nilai RAB Jaringan
(file pa aji)]],0)</f>
        <v>0</v>
      </c>
      <c r="CR42" s="66">
        <f>IFERROR(Table1[[#This Row],[Progres MOS
(%)]]*Table1[[#This Row],[Nilai RAB Jaringan
(file pa aji)]],0)</f>
        <v>0</v>
      </c>
      <c r="CS42" s="66">
        <f>IFERROR(Table1[[#This Row],[Progres Pemasangan
(%)]]*Table1[[#This Row],[Nilai RAB Jaringan
(file pa aji)]],0)</f>
        <v>0</v>
      </c>
      <c r="CT42" s="66">
        <f>IFERROR(Table1[[#This Row],[Progres Perizinan
(%)]]*Table1[[#This Row],[Nilai RAB Jaringan
(file pa aji)]],0)</f>
        <v>0</v>
      </c>
      <c r="CU42" s="329">
        <v>852451248</v>
      </c>
      <c r="CV42" s="329">
        <v>852451248</v>
      </c>
      <c r="CW42" s="583">
        <v>852451248</v>
      </c>
      <c r="CX42" s="329">
        <v>852451248</v>
      </c>
      <c r="CY42" s="47"/>
      <c r="CZ42" s="330">
        <v>45439</v>
      </c>
      <c r="DA42" s="330">
        <v>45466</v>
      </c>
      <c r="DB42" s="331"/>
      <c r="DC42" s="316"/>
      <c r="DD42" s="67"/>
      <c r="DE4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2" s="331"/>
      <c r="DG42" s="316"/>
      <c r="DH42" s="67"/>
      <c r="DI4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2" s="330">
        <v>45467</v>
      </c>
      <c r="DK42" s="330">
        <v>45536</v>
      </c>
      <c r="DL42" s="331">
        <v>45470</v>
      </c>
      <c r="DM42" s="357" t="s">
        <v>452</v>
      </c>
      <c r="DN4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 s="331">
        <v>45482</v>
      </c>
      <c r="DP42" s="316" t="s">
        <v>453</v>
      </c>
      <c r="DQ42" s="338" t="s">
        <v>371</v>
      </c>
      <c r="DR4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 s="330">
        <v>45467</v>
      </c>
      <c r="DT42" s="330" t="e">
        <v>#N/A</v>
      </c>
      <c r="DU42" s="330">
        <v>45508</v>
      </c>
      <c r="DV42" s="330" t="e">
        <v>#N/A</v>
      </c>
      <c r="DW42" s="331"/>
      <c r="DX42" s="316"/>
      <c r="DY42" s="334"/>
      <c r="DZ42" s="334"/>
      <c r="EA4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2" s="331"/>
      <c r="EC42" s="332"/>
      <c r="ED42" s="332"/>
      <c r="EE42" s="330"/>
      <c r="EF42" s="35">
        <v>1</v>
      </c>
      <c r="EG42" s="337">
        <v>1</v>
      </c>
      <c r="EH42" s="316" t="str">
        <f>IF(Table1[[#This Row],[PO Material Aktual 
(%)]]&gt;=100%,"Selesai PO = 100%",IF(Table1[[#This Row],[PO Material Aktual 
(%)]]&gt;=50%,"Proses PO &gt; 100%",IF(Table1[[#This Row],[PO Material Aktual 
(%)]]&gt;0%,"Proses PO &gt; 50%",IF(Table1[[#This Row],[PO Material Aktual 
(%)]]=0,"Belum PO = 0%"))))</f>
        <v>Selesai PO = 100%</v>
      </c>
      <c r="EI4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 s="330">
        <v>45509</v>
      </c>
      <c r="EK42" s="330" t="e">
        <v>#N/A</v>
      </c>
      <c r="EL42" s="330">
        <v>45620</v>
      </c>
      <c r="EM42" s="330" t="e">
        <v>#N/A</v>
      </c>
      <c r="EN42" s="331"/>
      <c r="EO42" s="332"/>
      <c r="EP42" s="332"/>
      <c r="EQ42" s="87">
        <v>1</v>
      </c>
      <c r="ER42" s="87">
        <v>1</v>
      </c>
      <c r="ES42" s="316" t="str">
        <f>IF(Table1[[#This Row],[Progres MOS]]&gt;=100%,"Selesai MOS = 100%",IF(Table1[[#This Row],[Progres MOS]]&gt;=50%,"Proses MOS &gt; 100%",IF(Table1[[#This Row],[Progres MOS]]&gt;0%,"Proses MOS &gt; 50%",IF(Table1[[#This Row],[Progres MOS]]=0,"Belum MOS = 0%"))))</f>
        <v>Selesai MOS = 100%</v>
      </c>
      <c r="ET4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 s="47"/>
      <c r="EV42" s="330">
        <v>45467</v>
      </c>
      <c r="EW42" s="330" t="e">
        <v>#N/A</v>
      </c>
      <c r="EX42" s="330">
        <v>45564</v>
      </c>
      <c r="EY42" s="330" t="e">
        <v>#N/A</v>
      </c>
      <c r="EZ42" s="352" t="s">
        <v>259</v>
      </c>
      <c r="FA42" s="336" t="s">
        <v>259</v>
      </c>
      <c r="FB42" s="330" t="s">
        <v>260</v>
      </c>
      <c r="FC42" s="330">
        <v>45327</v>
      </c>
      <c r="FD42" s="330" t="s">
        <v>260</v>
      </c>
      <c r="FE42" s="330"/>
      <c r="FF42" s="330">
        <v>45442</v>
      </c>
      <c r="FG42" s="330" t="s">
        <v>260</v>
      </c>
      <c r="FH42" s="330" t="s">
        <v>260</v>
      </c>
      <c r="FI42" s="330">
        <v>45513</v>
      </c>
      <c r="FJ42" s="330" t="s">
        <v>260</v>
      </c>
      <c r="FK42" s="330">
        <v>45709</v>
      </c>
      <c r="FL42" s="336" t="s">
        <v>259</v>
      </c>
      <c r="FM42" s="336">
        <v>45327</v>
      </c>
      <c r="FN42" s="314">
        <f>IF(Table1[[#This Row],[Tanggal Pengajuan Dokumen]]="","",Table1[[#This Row],[PLAN PERMIT
start]]-Table1[[#This Row],[Tanggal Pengajuan Dokumen]])</f>
        <v>140</v>
      </c>
      <c r="FO42" s="336">
        <v>45709</v>
      </c>
      <c r="FP42" s="316"/>
      <c r="FQ42" s="338"/>
      <c r="FR42" s="352"/>
      <c r="FS42" s="338" t="str">
        <f t="shared" si="5"/>
        <v>Sudah Terbit</v>
      </c>
      <c r="FT4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2" s="344">
        <f ca="1">IF(Table1[[#This Row],[Status Izin]]="Selesai",Table1[[#This Row],[PLAN PERMIT
finish]]-Table1[[#This Row],[Tanggal Terbit/ Target Izin Terbit]],ROUNDUP(Table1[[#This Row],[PLAN PERMIT
finish]]-NOW(),0))</f>
        <v>-145</v>
      </c>
      <c r="FV4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 s="344"/>
      <c r="FX42" s="47"/>
      <c r="FY42" s="340"/>
      <c r="FZ42" s="341"/>
      <c r="GA4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2" s="330">
        <v>45538</v>
      </c>
      <c r="GC42" s="331">
        <v>45488</v>
      </c>
      <c r="GD4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 s="330">
        <v>45545</v>
      </c>
      <c r="GF42" s="331">
        <v>45488</v>
      </c>
      <c r="GG4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 s="330">
        <v>45551</v>
      </c>
      <c r="GI42" s="330">
        <v>45557</v>
      </c>
      <c r="GJ42" s="353">
        <v>45490</v>
      </c>
      <c r="GK4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 s="330">
        <v>45565</v>
      </c>
      <c r="GM42" s="330" t="e">
        <v>#N/A</v>
      </c>
      <c r="GN42" s="330">
        <v>45690</v>
      </c>
      <c r="GO42" s="330" t="e">
        <v>#N/A</v>
      </c>
      <c r="GP42" s="316"/>
      <c r="GQ4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 s="330" t="s">
        <v>261</v>
      </c>
      <c r="GS42" s="330" t="s">
        <v>261</v>
      </c>
      <c r="GT42" s="354">
        <v>45537</v>
      </c>
      <c r="GU42" s="344" t="str">
        <f>IF(Table1[[#This Row],[Hydro Tes Actual
(tanggal)]]&lt;&gt;"","Sudah","Belum")</f>
        <v>Sudah</v>
      </c>
      <c r="GV42" s="330" t="s">
        <v>261</v>
      </c>
      <c r="GW42" s="330" t="s">
        <v>261</v>
      </c>
      <c r="GX42" s="331">
        <v>45556</v>
      </c>
      <c r="GY42" s="344" t="str">
        <f>IF(Table1[[#This Row],[Interkoneksi Actual
(tanggal)]]&lt;&gt;"","Sudah","Belum")</f>
        <v>Sudah</v>
      </c>
      <c r="GZ42" s="330" t="s">
        <v>261</v>
      </c>
      <c r="HA42" s="330" t="s">
        <v>261</v>
      </c>
      <c r="HB42" s="331">
        <v>45537</v>
      </c>
      <c r="HC42" s="344" t="str">
        <f>IF(Table1[[#This Row],[Flushing Actual
(tanggal)]]&lt;&gt;"","Sudah","Belum")</f>
        <v>Sudah</v>
      </c>
      <c r="HD42" s="330">
        <v>45677</v>
      </c>
      <c r="HE42" s="330" t="e">
        <v>#N/A</v>
      </c>
      <c r="HF42" s="330">
        <v>45683</v>
      </c>
      <c r="HG42" s="346">
        <v>45699</v>
      </c>
      <c r="HH4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2" s="330" t="s">
        <v>261</v>
      </c>
      <c r="HJ42" s="330" t="s">
        <v>261</v>
      </c>
      <c r="HK42" s="331"/>
      <c r="HL42" s="316"/>
      <c r="HM42" s="330">
        <v>45702</v>
      </c>
      <c r="HN42" s="330">
        <v>45702</v>
      </c>
      <c r="HO42" s="330" t="e">
        <v>#N/A</v>
      </c>
      <c r="HP42" s="346">
        <v>45733</v>
      </c>
      <c r="HQ4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2" s="330">
        <v>45709</v>
      </c>
      <c r="HS42" s="330"/>
      <c r="HT42" s="330">
        <v>45709</v>
      </c>
      <c r="HU42" s="527"/>
      <c r="HV42" s="330">
        <f>IF(Table1[[#This Row],[MC-100 Aktual
(tanggal)]]&lt;&gt;"",Table1[[#This Row],[MC-100 Aktual
(tanggal)]]+5,"")</f>
        <v>45738</v>
      </c>
      <c r="HW4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2" s="47"/>
      <c r="HY42" s="352"/>
      <c r="HZ42" s="352"/>
      <c r="IB42" s="618">
        <f>IFERROR(ROUND((Table1[[#This Row],[PLAN TC
finish]]-Table1[[#This Row],[PLAN MC-0
start]])/30,2),"")</f>
        <v>4.4000000000000004</v>
      </c>
      <c r="IC42">
        <f>DATEDIF(Table1[[#This Row],[PLAN MC-0
start]],Table1[[#This Row],[PLAN TC
finish]],"m")</f>
        <v>4</v>
      </c>
    </row>
    <row r="43" spans="1:237" s="4" customFormat="1" ht="15" hidden="1" customHeight="1" x14ac:dyDescent="0.2">
      <c r="B43" s="311">
        <f>SUBTOTAL(3,$D$5:D43)</f>
        <v>20</v>
      </c>
      <c r="C43" s="348">
        <v>39</v>
      </c>
      <c r="D43" s="315" t="s">
        <v>244</v>
      </c>
      <c r="E43" s="315" t="s">
        <v>454</v>
      </c>
      <c r="F43" s="315" t="s">
        <v>455</v>
      </c>
      <c r="G43" s="349">
        <v>45752</v>
      </c>
      <c r="H43" s="314" t="s">
        <v>247</v>
      </c>
      <c r="I43" s="315" t="s">
        <v>278</v>
      </c>
      <c r="J43" s="315"/>
      <c r="K43" s="338" t="s">
        <v>249</v>
      </c>
      <c r="L43" s="316" t="s">
        <v>250</v>
      </c>
      <c r="M43" s="316" t="s">
        <v>269</v>
      </c>
      <c r="N43" s="107">
        <v>4149</v>
      </c>
      <c r="O43" s="31" t="s">
        <v>252</v>
      </c>
      <c r="P4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 s="87" t="e">
        <v>#N/A</v>
      </c>
      <c r="S43" s="87">
        <v>1</v>
      </c>
      <c r="T43" s="35">
        <f>Table1[[#This Row],[Progres Total Aktual
(%)]]</f>
        <v>1</v>
      </c>
      <c r="U43" s="124">
        <f>Table1[[#This Row],[Progres Aktual
(%)]]-Table1[[#This Row],[Target Progres
(%)]]</f>
        <v>0</v>
      </c>
      <c r="V43" s="350">
        <f>Table1[[#This Row],["Volume
BA MC-0"]]</f>
        <v>3987</v>
      </c>
      <c r="W43" s="351">
        <f>Table1[[#This Row],[Total Panjang Pipa Aktual
(Sum-&gt;)3]]</f>
        <v>4212</v>
      </c>
      <c r="X43" s="47"/>
      <c r="Y43" s="67" t="s">
        <v>456</v>
      </c>
      <c r="Z43" s="67">
        <v>7496818880</v>
      </c>
      <c r="AA43" s="67">
        <f>ROUND((Table1[[#This Row],[Nilai RAB Jaringan
(Exclude Ppn)]]-Table1[[#This Row],[RAB Perizinan]])*1.11+Table1[[#This Row],[RAB Perizinan]],0)</f>
        <v>0</v>
      </c>
      <c r="AB43" s="320">
        <f>SUM(Table1[[#This Row],[RAB Kegiatan Umum]:[RAB Perizinan]])</f>
        <v>0</v>
      </c>
      <c r="AC43" s="320"/>
      <c r="AD43" s="320"/>
      <c r="AE43" s="320"/>
      <c r="AF43" s="320"/>
      <c r="AG43" s="320">
        <v>2941245311</v>
      </c>
      <c r="AH43" s="35" t="e">
        <f>SUM(Table1[[#This Row],[Bobot Keg Umum]:[Bobot Perizinan]])</f>
        <v>#DIV/0!</v>
      </c>
      <c r="AI43" s="35" t="e">
        <f>Table1[[#This Row],[RAB Kegiatan Umum]]/Table1[[#This Row],[Nilai RAB Jaringan
(Exclude Ppn)]]</f>
        <v>#DIV/0!</v>
      </c>
      <c r="AJ43" s="35" t="e">
        <f>Table1[[#This Row],[RAB Pemasangan]]/Table1[[#This Row],[Nilai RAB Jaringan
(Exclude Ppn)]]</f>
        <v>#DIV/0!</v>
      </c>
      <c r="AK43" s="35" t="e">
        <f>Table1[[#This Row],[RAB Pengadaan]]/Table1[[#This Row],[Nilai RAB Jaringan
(Exclude Ppn)]]</f>
        <v>#DIV/0!</v>
      </c>
      <c r="AL43" s="35" t="e">
        <f>Table1[[#This Row],[RAB Perizinan]]/Table1[[#This Row],[Nilai RAB Jaringan
(Exclude Ppn)]]</f>
        <v>#DIV/0!</v>
      </c>
      <c r="AM43" s="47"/>
      <c r="AN43" s="285">
        <v>3987</v>
      </c>
      <c r="AO43" s="285">
        <f>SUM(Table1[[#This Row],[Pipa 63 mm]:[Pipa 1,800 mm]])</f>
        <v>0</v>
      </c>
      <c r="AP43" s="285"/>
      <c r="AQ43" s="285"/>
      <c r="AR43" s="285"/>
      <c r="AS43" s="285"/>
      <c r="AT43" s="285"/>
      <c r="AU43" s="285"/>
      <c r="AV43" s="285"/>
      <c r="AW43" s="285"/>
      <c r="AX43" s="285"/>
      <c r="AY43" s="285"/>
      <c r="AZ43" s="285"/>
      <c r="BA43" s="285"/>
      <c r="BB43" s="285"/>
      <c r="BC43" s="285"/>
      <c r="BD43" s="285"/>
      <c r="BE43" s="285"/>
      <c r="BF43" s="285"/>
      <c r="BG43" s="285"/>
      <c r="BH43" s="285"/>
      <c r="BI43" s="285"/>
      <c r="BJ43" s="36">
        <f>SUM(Table1[[#This Row],[Pipa 63 mm2]:[Pipa 1,800 mm21]])</f>
        <v>4212</v>
      </c>
      <c r="BK43" s="32">
        <v>1050.5999999999999</v>
      </c>
      <c r="BL43" s="32">
        <v>1140.0999999999999</v>
      </c>
      <c r="BM43" s="32">
        <v>896.2</v>
      </c>
      <c r="BN43" s="32">
        <v>352.6</v>
      </c>
      <c r="BO43" s="32">
        <v>553</v>
      </c>
      <c r="BP43" s="32">
        <v>219.5</v>
      </c>
      <c r="BQ43" s="32"/>
      <c r="BR43" s="32"/>
      <c r="BS43" s="32"/>
      <c r="BT43" s="32"/>
      <c r="BU43" s="32"/>
      <c r="BV43" s="32"/>
      <c r="BW43" s="32"/>
      <c r="BX43" s="32"/>
      <c r="BY43" s="32"/>
      <c r="BZ43" s="32"/>
      <c r="CA43" s="32"/>
      <c r="CB43" s="32"/>
      <c r="CC43" s="32"/>
      <c r="CD43" s="32"/>
      <c r="CE43" s="32">
        <v>48</v>
      </c>
      <c r="CF43" s="32"/>
      <c r="CG43" s="32"/>
      <c r="CH43" s="32"/>
      <c r="CI43" s="32">
        <f t="shared" si="3"/>
        <v>48</v>
      </c>
      <c r="CJ43" s="65">
        <f>IF((Table1[[#This Row],["Volume
BA MC-0"]]-Table1[[#This Row],[Total Panjang Pipa Aktual
(Sum-&gt;)3]]-Table1[[#This Row],[Total Volume
tidak dapat dipasang]])&gt;=0,Table1[[#This Row],["Volume
BA MC-0"]]-Table1[[#This Row],[Total Panjang Pipa Aktual
(Sum-&gt;)3]]-Table1[[#This Row],[Total Volume
tidak dapat dipasang]],0)</f>
        <v>0</v>
      </c>
      <c r="CK43" s="47"/>
      <c r="CL43" s="131"/>
      <c r="CM43" s="35"/>
      <c r="CN43" s="131"/>
      <c r="CO43" s="131"/>
      <c r="CP4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3" s="66">
        <f>IFERROR(Table1[[#This Row],[Progres Keg. Umum
(%)]]*Table1[[#This Row],[Nilai RAB Jaringan
(file pa aji)]],0)</f>
        <v>0</v>
      </c>
      <c r="CR43" s="66">
        <f>IFERROR(Table1[[#This Row],[Progres MOS
(%)]]*Table1[[#This Row],[Nilai RAB Jaringan
(file pa aji)]],0)</f>
        <v>0</v>
      </c>
      <c r="CS43" s="66">
        <f>IFERROR(Table1[[#This Row],[Progres Pemasangan
(%)]]*Table1[[#This Row],[Nilai RAB Jaringan
(file pa aji)]],0)</f>
        <v>0</v>
      </c>
      <c r="CT43" s="66">
        <f>IFERROR(Table1[[#This Row],[Progres Perizinan
(%)]]*Table1[[#This Row],[Nilai RAB Jaringan
(file pa aji)]],0)</f>
        <v>0</v>
      </c>
      <c r="CU43" s="329">
        <v>7030455174.4700003</v>
      </c>
      <c r="CV43" s="329">
        <v>7030455174.4700003</v>
      </c>
      <c r="CW43" s="583">
        <v>7030455174.4700003</v>
      </c>
      <c r="CX43" s="329">
        <v>7030455174.4700003</v>
      </c>
      <c r="CY43" s="47"/>
      <c r="CZ43" s="330">
        <v>45439</v>
      </c>
      <c r="DA43" s="330">
        <v>45466</v>
      </c>
      <c r="DB43" s="331"/>
      <c r="DC43" s="316"/>
      <c r="DD43" s="67"/>
      <c r="DE4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3" s="331"/>
      <c r="DG43" s="316"/>
      <c r="DH43" s="67"/>
      <c r="DI4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 s="330">
        <v>45467</v>
      </c>
      <c r="DK43" s="330">
        <v>45536</v>
      </c>
      <c r="DL43" s="331">
        <v>45471</v>
      </c>
      <c r="DM43" s="394" t="s">
        <v>457</v>
      </c>
      <c r="DN4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 s="331">
        <v>45482</v>
      </c>
      <c r="DP43" s="316" t="s">
        <v>458</v>
      </c>
      <c r="DQ43" s="338" t="s">
        <v>371</v>
      </c>
      <c r="DR4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 s="330">
        <v>45467</v>
      </c>
      <c r="DT43" s="330" t="e">
        <v>#N/A</v>
      </c>
      <c r="DU43" s="330">
        <v>45508</v>
      </c>
      <c r="DV43" s="330" t="e">
        <v>#N/A</v>
      </c>
      <c r="DW43" s="331"/>
      <c r="DX43" s="316"/>
      <c r="DY43" s="334"/>
      <c r="DZ43" s="334"/>
      <c r="EA4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 s="331"/>
      <c r="EC43" s="332"/>
      <c r="ED43" s="332"/>
      <c r="EE43" s="330"/>
      <c r="EF43" s="35">
        <v>1</v>
      </c>
      <c r="EG43" s="337">
        <v>1</v>
      </c>
      <c r="EH43" s="316" t="str">
        <f>IF(Table1[[#This Row],[PO Material Aktual 
(%)]]&gt;=100%,"Selesai PO = 100%",IF(Table1[[#This Row],[PO Material Aktual 
(%)]]&gt;=50%,"Proses PO &gt; 100%",IF(Table1[[#This Row],[PO Material Aktual 
(%)]]&gt;0%,"Proses PO &gt; 50%",IF(Table1[[#This Row],[PO Material Aktual 
(%)]]=0,"Belum PO = 0%"))))</f>
        <v>Selesai PO = 100%</v>
      </c>
      <c r="EI4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 s="330">
        <v>45509</v>
      </c>
      <c r="EK43" s="330" t="e">
        <v>#N/A</v>
      </c>
      <c r="EL43" s="330">
        <v>45620</v>
      </c>
      <c r="EM43" s="330" t="e">
        <v>#N/A</v>
      </c>
      <c r="EN43" s="331"/>
      <c r="EO43" s="332"/>
      <c r="EP43" s="332"/>
      <c r="EQ43" s="87">
        <v>1</v>
      </c>
      <c r="ER43" s="87">
        <v>1</v>
      </c>
      <c r="ES43" s="316" t="str">
        <f>IF(Table1[[#This Row],[Progres MOS]]&gt;=100%,"Selesai MOS = 100%",IF(Table1[[#This Row],[Progres MOS]]&gt;=50%,"Proses MOS &gt; 100%",IF(Table1[[#This Row],[Progres MOS]]&gt;0%,"Proses MOS &gt; 50%",IF(Table1[[#This Row],[Progres MOS]]=0,"Belum MOS = 0%"))))</f>
        <v>Selesai MOS = 100%</v>
      </c>
      <c r="ET4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 s="47"/>
      <c r="EV43" s="330">
        <v>45467</v>
      </c>
      <c r="EW43" s="330" t="e">
        <v>#N/A</v>
      </c>
      <c r="EX43" s="330">
        <v>45564</v>
      </c>
      <c r="EY43" s="330" t="e">
        <v>#N/A</v>
      </c>
      <c r="EZ43" s="352" t="s">
        <v>259</v>
      </c>
      <c r="FA43" s="336" t="s">
        <v>259</v>
      </c>
      <c r="FB43" s="330" t="s">
        <v>260</v>
      </c>
      <c r="FC43" s="330">
        <v>45327</v>
      </c>
      <c r="FD43" s="330" t="s">
        <v>260</v>
      </c>
      <c r="FE43" s="330"/>
      <c r="FF43" s="330">
        <v>45450</v>
      </c>
      <c r="FG43" s="330" t="s">
        <v>260</v>
      </c>
      <c r="FH43" s="330" t="s">
        <v>260</v>
      </c>
      <c r="FI43" s="330">
        <v>45516</v>
      </c>
      <c r="FJ43" s="330" t="s">
        <v>260</v>
      </c>
      <c r="FK43" s="330">
        <v>45709</v>
      </c>
      <c r="FL43" s="336" t="s">
        <v>259</v>
      </c>
      <c r="FM43" s="336">
        <v>45327</v>
      </c>
      <c r="FN43" s="314">
        <f>IF(Table1[[#This Row],[Tanggal Pengajuan Dokumen]]="","",Table1[[#This Row],[PLAN PERMIT
start]]-Table1[[#This Row],[Tanggal Pengajuan Dokumen]])</f>
        <v>140</v>
      </c>
      <c r="FO43" s="336">
        <v>45709</v>
      </c>
      <c r="FP43" s="316"/>
      <c r="FQ43" s="338"/>
      <c r="FR43" s="352"/>
      <c r="FS43" s="338" t="str">
        <f t="shared" si="5"/>
        <v>Sudah Terbit</v>
      </c>
      <c r="FT4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3" s="344">
        <f ca="1">IF(Table1[[#This Row],[Status Izin]]="Selesai",Table1[[#This Row],[PLAN PERMIT
finish]]-Table1[[#This Row],[Tanggal Terbit/ Target Izin Terbit]],ROUNDUP(Table1[[#This Row],[PLAN PERMIT
finish]]-NOW(),0))</f>
        <v>-145</v>
      </c>
      <c r="FV4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 s="344"/>
      <c r="FX43" s="47"/>
      <c r="FY43" s="340"/>
      <c r="FZ43" s="341"/>
      <c r="GA4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 s="330">
        <v>45538</v>
      </c>
      <c r="GC43" s="331">
        <v>45488</v>
      </c>
      <c r="GD4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 s="330">
        <v>45545</v>
      </c>
      <c r="GF43" s="331">
        <v>45488</v>
      </c>
      <c r="GG4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 s="330">
        <v>45551</v>
      </c>
      <c r="GI43" s="330">
        <v>45557</v>
      </c>
      <c r="GJ43" s="353">
        <v>45491</v>
      </c>
      <c r="GK4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 s="330">
        <v>45565</v>
      </c>
      <c r="GM43" s="330" t="e">
        <v>#N/A</v>
      </c>
      <c r="GN43" s="330">
        <v>45690</v>
      </c>
      <c r="GO43" s="330" t="e">
        <v>#N/A</v>
      </c>
      <c r="GP43" s="316"/>
      <c r="GQ4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 s="330" t="s">
        <v>261</v>
      </c>
      <c r="GS43" s="330" t="s">
        <v>261</v>
      </c>
      <c r="GT43" s="354">
        <v>45591</v>
      </c>
      <c r="GU43" s="344" t="str">
        <f>IF(Table1[[#This Row],[Hydro Tes Actual
(tanggal)]]&lt;&gt;"","Sudah","Belum")</f>
        <v>Sudah</v>
      </c>
      <c r="GV43" s="330" t="s">
        <v>261</v>
      </c>
      <c r="GW43" s="330" t="s">
        <v>261</v>
      </c>
      <c r="GX43" s="331">
        <v>45608</v>
      </c>
      <c r="GY43" s="344" t="str">
        <f>IF(Table1[[#This Row],[Interkoneksi Actual
(tanggal)]]&lt;&gt;"","Sudah","Belum")</f>
        <v>Sudah</v>
      </c>
      <c r="GZ43" s="330" t="s">
        <v>261</v>
      </c>
      <c r="HA43" s="330" t="s">
        <v>261</v>
      </c>
      <c r="HB43" s="331">
        <v>45738</v>
      </c>
      <c r="HC43" s="344" t="str">
        <f>IF(Table1[[#This Row],[Flushing Actual
(tanggal)]]&lt;&gt;"","Sudah","Belum")</f>
        <v>Sudah</v>
      </c>
      <c r="HD43" s="330">
        <v>45677</v>
      </c>
      <c r="HE43" s="330" t="e">
        <v>#N/A</v>
      </c>
      <c r="HF43" s="330">
        <v>45683</v>
      </c>
      <c r="HG43" s="346">
        <v>45746</v>
      </c>
      <c r="HH4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3" s="330" t="s">
        <v>261</v>
      </c>
      <c r="HJ43" s="330" t="s">
        <v>261</v>
      </c>
      <c r="HK43" s="331"/>
      <c r="HL43" s="316"/>
      <c r="HM43" s="330">
        <v>45702</v>
      </c>
      <c r="HN43" s="330">
        <v>45702</v>
      </c>
      <c r="HO43" s="330" t="e">
        <v>#N/A</v>
      </c>
      <c r="HP43" s="346">
        <v>45758</v>
      </c>
      <c r="HQ4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3" s="330">
        <v>45709</v>
      </c>
      <c r="HS43" s="330"/>
      <c r="HT43" s="330">
        <v>45709</v>
      </c>
      <c r="HU43" s="527"/>
      <c r="HV43" s="330">
        <f>IF(Table1[[#This Row],[MC-100 Aktual
(tanggal)]]&lt;&gt;"",Table1[[#This Row],[MC-100 Aktual
(tanggal)]]+5,"")</f>
        <v>45763</v>
      </c>
      <c r="HW4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3" s="47"/>
      <c r="HY43" s="352"/>
      <c r="HZ43" s="352"/>
      <c r="IB43" s="618">
        <f>IFERROR(ROUND((Table1[[#This Row],[PLAN TC
finish]]-Table1[[#This Row],[PLAN MC-0
start]])/30,2),"")</f>
        <v>4.4000000000000004</v>
      </c>
      <c r="IC43">
        <f>DATEDIF(Table1[[#This Row],[PLAN MC-0
start]],Table1[[#This Row],[PLAN TC
finish]],"m")</f>
        <v>4</v>
      </c>
    </row>
    <row r="44" spans="1:237" s="4" customFormat="1" ht="15" customHeight="1" x14ac:dyDescent="0.2">
      <c r="B44" s="311">
        <f>SUBTOTAL(3,$D$5:D44)</f>
        <v>21</v>
      </c>
      <c r="C44" s="348">
        <v>40</v>
      </c>
      <c r="D44" s="315" t="s">
        <v>244</v>
      </c>
      <c r="E44" s="315" t="s">
        <v>459</v>
      </c>
      <c r="F44" s="315" t="s">
        <v>460</v>
      </c>
      <c r="G44" s="349">
        <v>45752</v>
      </c>
      <c r="H44" s="314" t="s">
        <v>247</v>
      </c>
      <c r="I44" s="315" t="s">
        <v>278</v>
      </c>
      <c r="J44" s="315"/>
      <c r="K44" s="338" t="s">
        <v>249</v>
      </c>
      <c r="L44" s="316" t="s">
        <v>250</v>
      </c>
      <c r="M44" s="316" t="s">
        <v>269</v>
      </c>
      <c r="N44" s="107">
        <v>2885</v>
      </c>
      <c r="O44" s="31" t="s">
        <v>252</v>
      </c>
      <c r="P44"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4" s="87" t="e">
        <v>#N/A</v>
      </c>
      <c r="S44" s="87">
        <v>1</v>
      </c>
      <c r="T44" s="35">
        <f>Table1[[#This Row],[Progres Total Aktual
(%)]]</f>
        <v>1</v>
      </c>
      <c r="U44" s="124">
        <f>Table1[[#This Row],[Progres Aktual
(%)]]-Table1[[#This Row],[Target Progres
(%)]]</f>
        <v>0</v>
      </c>
      <c r="V44" s="350">
        <f>Table1[[#This Row],["Volume
BA MC-0"]]</f>
        <v>2919</v>
      </c>
      <c r="W44" s="351">
        <f>Table1[[#This Row],[Total Panjang Pipa Aktual
(Sum-&gt;)3]]</f>
        <v>2489</v>
      </c>
      <c r="X44" s="47"/>
      <c r="Y44" s="67" t="s">
        <v>461</v>
      </c>
      <c r="Z44" s="67">
        <v>4482892526</v>
      </c>
      <c r="AA44" s="67">
        <f>ROUND((Table1[[#This Row],[Nilai RAB Jaringan
(Exclude Ppn)]]-Table1[[#This Row],[RAB Perizinan]])*1.11+Table1[[#This Row],[RAB Perizinan]],0)</f>
        <v>0</v>
      </c>
      <c r="AB44" s="320">
        <f>SUM(Table1[[#This Row],[RAB Kegiatan Umum]:[RAB Perizinan]])</f>
        <v>0</v>
      </c>
      <c r="AC44" s="320"/>
      <c r="AD44" s="320"/>
      <c r="AE44" s="320"/>
      <c r="AF44" s="320"/>
      <c r="AG44" s="320">
        <v>2457528312</v>
      </c>
      <c r="AH44" s="35" t="e">
        <f>SUM(Table1[[#This Row],[Bobot Keg Umum]:[Bobot Perizinan]])</f>
        <v>#DIV/0!</v>
      </c>
      <c r="AI44" s="35" t="e">
        <f>Table1[[#This Row],[RAB Kegiatan Umum]]/Table1[[#This Row],[Nilai RAB Jaringan
(Exclude Ppn)]]</f>
        <v>#DIV/0!</v>
      </c>
      <c r="AJ44" s="35" t="e">
        <f>Table1[[#This Row],[RAB Pemasangan]]/Table1[[#This Row],[Nilai RAB Jaringan
(Exclude Ppn)]]</f>
        <v>#DIV/0!</v>
      </c>
      <c r="AK44" s="35" t="e">
        <f>Table1[[#This Row],[RAB Pengadaan]]/Table1[[#This Row],[Nilai RAB Jaringan
(Exclude Ppn)]]</f>
        <v>#DIV/0!</v>
      </c>
      <c r="AL44" s="35" t="e">
        <f>Table1[[#This Row],[RAB Perizinan]]/Table1[[#This Row],[Nilai RAB Jaringan
(Exclude Ppn)]]</f>
        <v>#DIV/0!</v>
      </c>
      <c r="AM44" s="47"/>
      <c r="AN44" s="285">
        <v>2919</v>
      </c>
      <c r="AO44" s="285">
        <f>SUM(Table1[[#This Row],[Pipa 63 mm]:[Pipa 1,800 mm]])</f>
        <v>0</v>
      </c>
      <c r="AP44" s="285"/>
      <c r="AQ44" s="285"/>
      <c r="AR44" s="285"/>
      <c r="AS44" s="285"/>
      <c r="AT44" s="285"/>
      <c r="AU44" s="285"/>
      <c r="AV44" s="285"/>
      <c r="AW44" s="285"/>
      <c r="AX44" s="285"/>
      <c r="AY44" s="285"/>
      <c r="AZ44" s="285"/>
      <c r="BA44" s="285"/>
      <c r="BB44" s="285"/>
      <c r="BC44" s="285"/>
      <c r="BD44" s="285"/>
      <c r="BE44" s="285"/>
      <c r="BF44" s="285"/>
      <c r="BG44" s="285"/>
      <c r="BH44" s="285"/>
      <c r="BI44" s="285"/>
      <c r="BJ44" s="36">
        <f>SUM(Table1[[#This Row],[Pipa 63 mm2]:[Pipa 1,800 mm21]])</f>
        <v>2489</v>
      </c>
      <c r="BK44" s="32">
        <v>1894</v>
      </c>
      <c r="BL44" s="32">
        <v>282</v>
      </c>
      <c r="BM44" s="32">
        <v>254</v>
      </c>
      <c r="BN44" s="32">
        <v>59</v>
      </c>
      <c r="BO44" s="32"/>
      <c r="BP44" s="32"/>
      <c r="BQ44" s="32"/>
      <c r="BR44" s="32"/>
      <c r="BS44" s="32"/>
      <c r="BT44" s="32"/>
      <c r="BU44" s="32"/>
      <c r="BV44" s="32"/>
      <c r="BW44" s="32"/>
      <c r="BX44" s="32"/>
      <c r="BY44" s="32"/>
      <c r="BZ44" s="32"/>
      <c r="CA44" s="32"/>
      <c r="CB44" s="32"/>
      <c r="CC44" s="32"/>
      <c r="CD44" s="32"/>
      <c r="CE44" s="32">
        <v>797</v>
      </c>
      <c r="CF44" s="32"/>
      <c r="CG44" s="32"/>
      <c r="CH44" s="32"/>
      <c r="CI44" s="32">
        <f t="shared" si="3"/>
        <v>797</v>
      </c>
      <c r="CJ44" s="65">
        <f>IF((Table1[[#This Row],["Volume
BA MC-0"]]-Table1[[#This Row],[Total Panjang Pipa Aktual
(Sum-&gt;)3]]-Table1[[#This Row],[Total Volume
tidak dapat dipasang]])&gt;=0,Table1[[#This Row],["Volume
BA MC-0"]]-Table1[[#This Row],[Total Panjang Pipa Aktual
(Sum-&gt;)3]]-Table1[[#This Row],[Total Volume
tidak dapat dipasang]],0)</f>
        <v>0</v>
      </c>
      <c r="CK44" s="47"/>
      <c r="CL44" s="131"/>
      <c r="CM44" s="35"/>
      <c r="CN44" s="131"/>
      <c r="CO44" s="131"/>
      <c r="CP4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4" s="66">
        <f>IFERROR(Table1[[#This Row],[Progres Keg. Umum
(%)]]*Table1[[#This Row],[Nilai RAB Jaringan
(file pa aji)]],0)</f>
        <v>0</v>
      </c>
      <c r="CR44" s="66">
        <f>IFERROR(Table1[[#This Row],[Progres MOS
(%)]]*Table1[[#This Row],[Nilai RAB Jaringan
(file pa aji)]],0)</f>
        <v>0</v>
      </c>
      <c r="CS44" s="66">
        <f>IFERROR(Table1[[#This Row],[Progres Pemasangan
(%)]]*Table1[[#This Row],[Nilai RAB Jaringan
(file pa aji)]],0)</f>
        <v>0</v>
      </c>
      <c r="CT44" s="66">
        <f>IFERROR(Table1[[#This Row],[Progres Perizinan
(%)]]*Table1[[#This Row],[Nilai RAB Jaringan
(file pa aji)]],0)</f>
        <v>0</v>
      </c>
      <c r="CU44" s="329">
        <v>3321423265</v>
      </c>
      <c r="CV44" s="329">
        <v>3321423265</v>
      </c>
      <c r="CW44" s="583">
        <v>3321423265</v>
      </c>
      <c r="CX44" s="329">
        <v>3321423265</v>
      </c>
      <c r="CY44" s="47"/>
      <c r="CZ44" s="330">
        <v>45439</v>
      </c>
      <c r="DA44" s="330">
        <v>45466</v>
      </c>
      <c r="DB44" s="331"/>
      <c r="DC44" s="316"/>
      <c r="DD44" s="67"/>
      <c r="DE4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 s="331"/>
      <c r="DG44" s="316"/>
      <c r="DH44" s="67"/>
      <c r="DI4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 s="330">
        <v>45467</v>
      </c>
      <c r="DK44" s="330">
        <v>45536</v>
      </c>
      <c r="DL44" s="331">
        <v>45475</v>
      </c>
      <c r="DM44" s="357" t="s">
        <v>462</v>
      </c>
      <c r="DN4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4" s="331">
        <v>45482</v>
      </c>
      <c r="DP44" s="316" t="s">
        <v>463</v>
      </c>
      <c r="DQ44" s="338" t="s">
        <v>275</v>
      </c>
      <c r="DR4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4" s="330">
        <v>45467</v>
      </c>
      <c r="DT44" s="330" t="e">
        <v>#N/A</v>
      </c>
      <c r="DU44" s="330">
        <v>45508</v>
      </c>
      <c r="DV44" s="330" t="e">
        <v>#N/A</v>
      </c>
      <c r="DW44" s="331"/>
      <c r="DX44" s="316"/>
      <c r="DY44" s="334"/>
      <c r="DZ44" s="334"/>
      <c r="EA4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 s="331"/>
      <c r="EC44" s="332"/>
      <c r="ED44" s="332"/>
      <c r="EE44" s="330"/>
      <c r="EF44" s="35">
        <v>1</v>
      </c>
      <c r="EG44" s="337">
        <v>1</v>
      </c>
      <c r="EH44" s="316" t="str">
        <f>IF(Table1[[#This Row],[PO Material Aktual 
(%)]]&gt;=100%,"Selesai PO = 100%",IF(Table1[[#This Row],[PO Material Aktual 
(%)]]&gt;=50%,"Proses PO &gt; 100%",IF(Table1[[#This Row],[PO Material Aktual 
(%)]]&gt;0%,"Proses PO &gt; 50%",IF(Table1[[#This Row],[PO Material Aktual 
(%)]]=0,"Belum PO = 0%"))))</f>
        <v>Selesai PO = 100%</v>
      </c>
      <c r="EI4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 s="330">
        <v>45509</v>
      </c>
      <c r="EK44" s="330" t="e">
        <v>#N/A</v>
      </c>
      <c r="EL44" s="330">
        <v>45620</v>
      </c>
      <c r="EM44" s="330" t="e">
        <v>#N/A</v>
      </c>
      <c r="EN44" s="331"/>
      <c r="EO44" s="332"/>
      <c r="EP44" s="332"/>
      <c r="EQ44" s="87">
        <v>1</v>
      </c>
      <c r="ER44" s="87">
        <v>1</v>
      </c>
      <c r="ES44" s="316" t="str">
        <f>IF(Table1[[#This Row],[Progres MOS]]&gt;=100%,"Selesai MOS = 100%",IF(Table1[[#This Row],[Progres MOS]]&gt;=50%,"Proses MOS &gt; 100%",IF(Table1[[#This Row],[Progres MOS]]&gt;0%,"Proses MOS &gt; 50%",IF(Table1[[#This Row],[Progres MOS]]=0,"Belum MOS = 0%"))))</f>
        <v>Selesai MOS = 100%</v>
      </c>
      <c r="ET4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 s="47"/>
      <c r="EV44" s="330">
        <v>45467</v>
      </c>
      <c r="EW44" s="330" t="e">
        <v>#N/A</v>
      </c>
      <c r="EX44" s="330">
        <v>45564</v>
      </c>
      <c r="EY44" s="330" t="e">
        <v>#N/A</v>
      </c>
      <c r="EZ44" s="352" t="s">
        <v>259</v>
      </c>
      <c r="FA44" s="336" t="s">
        <v>259</v>
      </c>
      <c r="FB44" s="330" t="s">
        <v>260</v>
      </c>
      <c r="FC44" s="330">
        <v>45327</v>
      </c>
      <c r="FD44" s="330" t="s">
        <v>260</v>
      </c>
      <c r="FE44" s="330"/>
      <c r="FF44" s="330">
        <v>45443</v>
      </c>
      <c r="FG44" s="330" t="s">
        <v>260</v>
      </c>
      <c r="FH44" s="330" t="s">
        <v>260</v>
      </c>
      <c r="FI44" s="330">
        <v>45513</v>
      </c>
      <c r="FJ44" s="330" t="s">
        <v>260</v>
      </c>
      <c r="FK44" s="330">
        <v>45709</v>
      </c>
      <c r="FL44" s="336" t="s">
        <v>259</v>
      </c>
      <c r="FM44" s="336">
        <v>45327</v>
      </c>
      <c r="FN44" s="314">
        <f>IF(Table1[[#This Row],[Tanggal Pengajuan Dokumen]]="","",Table1[[#This Row],[PLAN PERMIT
start]]-Table1[[#This Row],[Tanggal Pengajuan Dokumen]])</f>
        <v>140</v>
      </c>
      <c r="FO44" s="336">
        <v>45709</v>
      </c>
      <c r="FP44" s="316"/>
      <c r="FQ44" s="338"/>
      <c r="FR44" s="352"/>
      <c r="FS44" s="338" t="str">
        <f t="shared" si="5"/>
        <v>Sudah Terbit</v>
      </c>
      <c r="FT4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4" s="344">
        <f ca="1">IF(Table1[[#This Row],[Status Izin]]="Selesai",Table1[[#This Row],[PLAN PERMIT
finish]]-Table1[[#This Row],[Tanggal Terbit/ Target Izin Terbit]],ROUNDUP(Table1[[#This Row],[PLAN PERMIT
finish]]-NOW(),0))</f>
        <v>-145</v>
      </c>
      <c r="FV4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 s="344"/>
      <c r="FX44" s="47"/>
      <c r="FY44" s="340"/>
      <c r="FZ44" s="341"/>
      <c r="GA4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 s="330">
        <v>45538</v>
      </c>
      <c r="GC44" s="331">
        <v>45488</v>
      </c>
      <c r="GD4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4" s="330">
        <v>45545</v>
      </c>
      <c r="GF44" s="331">
        <v>45488</v>
      </c>
      <c r="GG4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4" s="330">
        <v>45551</v>
      </c>
      <c r="GI44" s="330">
        <v>45557</v>
      </c>
      <c r="GJ44" s="353">
        <v>45491</v>
      </c>
      <c r="GK4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4" s="330">
        <v>45565</v>
      </c>
      <c r="GM44" s="330" t="e">
        <v>#N/A</v>
      </c>
      <c r="GN44" s="330">
        <v>45690</v>
      </c>
      <c r="GO44" s="330" t="e">
        <v>#N/A</v>
      </c>
      <c r="GP44" s="316"/>
      <c r="GQ4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 s="330" t="s">
        <v>261</v>
      </c>
      <c r="GS44" s="330" t="s">
        <v>261</v>
      </c>
      <c r="GT44" s="354">
        <v>45584</v>
      </c>
      <c r="GU44" s="344" t="str">
        <f>IF(Table1[[#This Row],[Hydro Tes Actual
(tanggal)]]&lt;&gt;"","Sudah","Belum")</f>
        <v>Sudah</v>
      </c>
      <c r="GV44" s="330" t="s">
        <v>261</v>
      </c>
      <c r="GW44" s="330" t="s">
        <v>261</v>
      </c>
      <c r="GX44" s="331">
        <v>45618</v>
      </c>
      <c r="GY44" s="344" t="str">
        <f>IF(Table1[[#This Row],[Interkoneksi Actual
(tanggal)]]&lt;&gt;"","Sudah","Belum")</f>
        <v>Sudah</v>
      </c>
      <c r="GZ44" s="330" t="s">
        <v>261</v>
      </c>
      <c r="HA44" s="330" t="s">
        <v>261</v>
      </c>
      <c r="HB44" s="331">
        <v>45677</v>
      </c>
      <c r="HC44" s="344" t="str">
        <f>IF(Table1[[#This Row],[Flushing Actual
(tanggal)]]&lt;&gt;"","Sudah","Belum")</f>
        <v>Sudah</v>
      </c>
      <c r="HD44" s="330">
        <v>45677</v>
      </c>
      <c r="HE44" s="330" t="e">
        <v>#N/A</v>
      </c>
      <c r="HF44" s="330">
        <v>45683</v>
      </c>
      <c r="HG44" s="346">
        <v>45701</v>
      </c>
      <c r="HH4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4" s="330" t="s">
        <v>261</v>
      </c>
      <c r="HJ44" s="330" t="s">
        <v>261</v>
      </c>
      <c r="HK44" s="331"/>
      <c r="HL44" s="316"/>
      <c r="HM44" s="330">
        <v>45702</v>
      </c>
      <c r="HN44" s="330">
        <v>45702</v>
      </c>
      <c r="HO44" s="330" t="e">
        <v>#N/A</v>
      </c>
      <c r="HP44" s="346">
        <v>45737</v>
      </c>
      <c r="HQ4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4" s="330">
        <v>45709</v>
      </c>
      <c r="HS44" s="330"/>
      <c r="HT44" s="330">
        <v>45709</v>
      </c>
      <c r="HU44" s="527"/>
      <c r="HV44" s="330">
        <f>IF(Table1[[#This Row],[MC-100 Aktual
(tanggal)]]&lt;&gt;"",Table1[[#This Row],[MC-100 Aktual
(tanggal)]]+5,"")</f>
        <v>45742</v>
      </c>
      <c r="HW4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4" s="47"/>
      <c r="HY44" s="352"/>
      <c r="HZ44" s="352"/>
      <c r="IB44" s="618">
        <f>IFERROR(ROUND((Table1[[#This Row],[PLAN TC
finish]]-Table1[[#This Row],[PLAN MC-0
start]])/30,2),"")</f>
        <v>4.4000000000000004</v>
      </c>
      <c r="IC44">
        <f>DATEDIF(Table1[[#This Row],[PLAN MC-0
start]],Table1[[#This Row],[PLAN TC
finish]],"m")</f>
        <v>4</v>
      </c>
    </row>
    <row r="45" spans="1:237" s="4" customFormat="1" ht="15" customHeight="1" x14ac:dyDescent="0.2">
      <c r="B45" s="311">
        <f>SUBTOTAL(3,$D$5:D45)</f>
        <v>22</v>
      </c>
      <c r="C45" s="348">
        <v>41</v>
      </c>
      <c r="D45" s="315" t="s">
        <v>244</v>
      </c>
      <c r="E45" s="315" t="s">
        <v>464</v>
      </c>
      <c r="F45" s="315" t="s">
        <v>465</v>
      </c>
      <c r="G45" s="349">
        <v>45752</v>
      </c>
      <c r="H45" s="314" t="s">
        <v>247</v>
      </c>
      <c r="I45" s="315" t="s">
        <v>278</v>
      </c>
      <c r="J45" s="315"/>
      <c r="K45" s="338" t="s">
        <v>249</v>
      </c>
      <c r="L45" s="316" t="s">
        <v>250</v>
      </c>
      <c r="M45" s="316" t="s">
        <v>269</v>
      </c>
      <c r="N45" s="107">
        <v>4186</v>
      </c>
      <c r="O45" s="31" t="s">
        <v>252</v>
      </c>
      <c r="P4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5" s="87" t="e">
        <v>#N/A</v>
      </c>
      <c r="S45" s="87">
        <v>1</v>
      </c>
      <c r="T45" s="35">
        <f>Table1[[#This Row],[Progres Total Aktual
(%)]]</f>
        <v>1</v>
      </c>
      <c r="U45" s="124">
        <f>Table1[[#This Row],[Progres Aktual
(%)]]-Table1[[#This Row],[Target Progres
(%)]]</f>
        <v>0</v>
      </c>
      <c r="V45" s="350">
        <f>Table1[[#This Row],["Volume
BA MC-0"]]</f>
        <v>4050</v>
      </c>
      <c r="W45" s="351">
        <f>Table1[[#This Row],[Total Panjang Pipa Aktual
(Sum-&gt;)3]]</f>
        <v>3486.5</v>
      </c>
      <c r="X45" s="47"/>
      <c r="Y45" s="67" t="s">
        <v>466</v>
      </c>
      <c r="Z45" s="67">
        <v>5697778606</v>
      </c>
      <c r="AA45" s="67">
        <f>ROUND((Table1[[#This Row],[Nilai RAB Jaringan
(Exclude Ppn)]]-Table1[[#This Row],[RAB Perizinan]])*1.11+Table1[[#This Row],[RAB Perizinan]],0)</f>
        <v>0</v>
      </c>
      <c r="AB45" s="320">
        <f>SUM(Table1[[#This Row],[RAB Kegiatan Umum]:[RAB Perizinan]])</f>
        <v>0</v>
      </c>
      <c r="AC45" s="320"/>
      <c r="AD45" s="320"/>
      <c r="AE45" s="320"/>
      <c r="AF45" s="320"/>
      <c r="AG45" s="320">
        <v>2748578371</v>
      </c>
      <c r="AH45" s="35" t="e">
        <f>SUM(Table1[[#This Row],[Bobot Keg Umum]:[Bobot Perizinan]])</f>
        <v>#DIV/0!</v>
      </c>
      <c r="AI45" s="35" t="e">
        <f>Table1[[#This Row],[RAB Kegiatan Umum]]/Table1[[#This Row],[Nilai RAB Jaringan
(Exclude Ppn)]]</f>
        <v>#DIV/0!</v>
      </c>
      <c r="AJ45" s="35" t="e">
        <f>Table1[[#This Row],[RAB Pemasangan]]/Table1[[#This Row],[Nilai RAB Jaringan
(Exclude Ppn)]]</f>
        <v>#DIV/0!</v>
      </c>
      <c r="AK45" s="35" t="e">
        <f>Table1[[#This Row],[RAB Pengadaan]]/Table1[[#This Row],[Nilai RAB Jaringan
(Exclude Ppn)]]</f>
        <v>#DIV/0!</v>
      </c>
      <c r="AL45" s="35" t="e">
        <f>Table1[[#This Row],[RAB Perizinan]]/Table1[[#This Row],[Nilai RAB Jaringan
(Exclude Ppn)]]</f>
        <v>#DIV/0!</v>
      </c>
      <c r="AM45" s="47"/>
      <c r="AN45" s="285">
        <v>4050</v>
      </c>
      <c r="AO45" s="285">
        <f>SUM(Table1[[#This Row],[Pipa 63 mm]:[Pipa 1,800 mm]])</f>
        <v>0</v>
      </c>
      <c r="AP45" s="285"/>
      <c r="AQ45" s="285"/>
      <c r="AR45" s="285"/>
      <c r="AS45" s="285"/>
      <c r="AT45" s="285"/>
      <c r="AU45" s="285"/>
      <c r="AV45" s="285"/>
      <c r="AW45" s="285"/>
      <c r="AX45" s="285"/>
      <c r="AY45" s="285"/>
      <c r="AZ45" s="285"/>
      <c r="BA45" s="285"/>
      <c r="BB45" s="285"/>
      <c r="BC45" s="285"/>
      <c r="BD45" s="285"/>
      <c r="BE45" s="285"/>
      <c r="BF45" s="285"/>
      <c r="BG45" s="285"/>
      <c r="BH45" s="285"/>
      <c r="BI45" s="285"/>
      <c r="BJ45" s="36">
        <f>SUM(Table1[[#This Row],[Pipa 63 mm2]:[Pipa 1,800 mm21]])</f>
        <v>3486.5</v>
      </c>
      <c r="BK45" s="356">
        <v>2115.6999999999998</v>
      </c>
      <c r="BL45" s="356">
        <v>1370.8</v>
      </c>
      <c r="BM45" s="356"/>
      <c r="BN45" s="356"/>
      <c r="BO45" s="356"/>
      <c r="BP45" s="356"/>
      <c r="BQ45" s="356"/>
      <c r="BR45" s="356"/>
      <c r="BS45" s="356"/>
      <c r="BT45" s="356"/>
      <c r="BU45" s="356"/>
      <c r="BV45" s="356"/>
      <c r="BW45" s="356"/>
      <c r="BX45" s="356"/>
      <c r="BY45" s="356"/>
      <c r="BZ45" s="356"/>
      <c r="CA45" s="356"/>
      <c r="CB45" s="356"/>
      <c r="CC45" s="356"/>
      <c r="CD45" s="356"/>
      <c r="CE45" s="32">
        <v>1426</v>
      </c>
      <c r="CF45" s="32"/>
      <c r="CG45" s="32"/>
      <c r="CH45" s="32"/>
      <c r="CI45" s="32">
        <f t="shared" si="3"/>
        <v>1426</v>
      </c>
      <c r="CJ45" s="65">
        <f>IF((Table1[[#This Row],["Volume
BA MC-0"]]-Table1[[#This Row],[Total Panjang Pipa Aktual
(Sum-&gt;)3]]-Table1[[#This Row],[Total Volume
tidak dapat dipasang]])&gt;=0,Table1[[#This Row],["Volume
BA MC-0"]]-Table1[[#This Row],[Total Panjang Pipa Aktual
(Sum-&gt;)3]]-Table1[[#This Row],[Total Volume
tidak dapat dipasang]],0)</f>
        <v>0</v>
      </c>
      <c r="CK45" s="47"/>
      <c r="CL45" s="131"/>
      <c r="CM45" s="35"/>
      <c r="CN45" s="131"/>
      <c r="CO45" s="131"/>
      <c r="CP4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5" s="66">
        <f>IFERROR(Table1[[#This Row],[Progres Keg. Umum
(%)]]*Table1[[#This Row],[Nilai RAB Jaringan
(file pa aji)]],0)</f>
        <v>0</v>
      </c>
      <c r="CR45" s="66">
        <f>IFERROR(Table1[[#This Row],[Progres MOS
(%)]]*Table1[[#This Row],[Nilai RAB Jaringan
(file pa aji)]],0)</f>
        <v>0</v>
      </c>
      <c r="CS45" s="66">
        <f>IFERROR(Table1[[#This Row],[Progres Pemasangan
(%)]]*Table1[[#This Row],[Nilai RAB Jaringan
(file pa aji)]],0)</f>
        <v>0</v>
      </c>
      <c r="CT45" s="66">
        <f>IFERROR(Table1[[#This Row],[Progres Perizinan
(%)]]*Table1[[#This Row],[Nilai RAB Jaringan
(file pa aji)]],0)</f>
        <v>0</v>
      </c>
      <c r="CU45" s="329">
        <v>4430159358</v>
      </c>
      <c r="CV45" s="329">
        <v>4430159358</v>
      </c>
      <c r="CW45" s="583">
        <v>4430159358</v>
      </c>
      <c r="CX45" s="329">
        <v>4430159358</v>
      </c>
      <c r="CY45" s="47"/>
      <c r="CZ45" s="330">
        <v>45439</v>
      </c>
      <c r="DA45" s="330">
        <v>45466</v>
      </c>
      <c r="DB45" s="331"/>
      <c r="DC45" s="316"/>
      <c r="DD45" s="67"/>
      <c r="DE4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 s="331"/>
      <c r="DG45" s="316"/>
      <c r="DH45" s="67"/>
      <c r="DI4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 s="330">
        <v>45467</v>
      </c>
      <c r="DK45" s="330">
        <v>45536</v>
      </c>
      <c r="DL45" s="331">
        <v>45478</v>
      </c>
      <c r="DM45" s="357" t="s">
        <v>467</v>
      </c>
      <c r="DN4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5" s="331">
        <v>45483</v>
      </c>
      <c r="DP45" s="316" t="s">
        <v>468</v>
      </c>
      <c r="DQ45" s="338" t="s">
        <v>275</v>
      </c>
      <c r="DR4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5" s="330">
        <v>45467</v>
      </c>
      <c r="DT45" s="330" t="e">
        <v>#N/A</v>
      </c>
      <c r="DU45" s="330">
        <v>45508</v>
      </c>
      <c r="DV45" s="330" t="e">
        <v>#N/A</v>
      </c>
      <c r="DW45" s="331"/>
      <c r="DX45" s="316"/>
      <c r="DY45" s="334"/>
      <c r="DZ45" s="334"/>
      <c r="EA4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 s="331"/>
      <c r="EC45" s="332"/>
      <c r="ED45" s="332"/>
      <c r="EE45" s="330"/>
      <c r="EF45" s="35">
        <v>1</v>
      </c>
      <c r="EG45" s="337">
        <v>1</v>
      </c>
      <c r="EH45" s="316" t="str">
        <f>IF(Table1[[#This Row],[PO Material Aktual 
(%)]]&gt;=100%,"Selesai PO = 100%",IF(Table1[[#This Row],[PO Material Aktual 
(%)]]&gt;=50%,"Proses PO &gt; 100%",IF(Table1[[#This Row],[PO Material Aktual 
(%)]]&gt;0%,"Proses PO &gt; 50%",IF(Table1[[#This Row],[PO Material Aktual 
(%)]]=0,"Belum PO = 0%"))))</f>
        <v>Selesai PO = 100%</v>
      </c>
      <c r="EI4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 s="330">
        <v>45509</v>
      </c>
      <c r="EK45" s="330" t="e">
        <v>#N/A</v>
      </c>
      <c r="EL45" s="330">
        <v>45620</v>
      </c>
      <c r="EM45" s="330" t="e">
        <v>#N/A</v>
      </c>
      <c r="EN45" s="331"/>
      <c r="EO45" s="332"/>
      <c r="EP45" s="332"/>
      <c r="EQ45" s="87">
        <v>1</v>
      </c>
      <c r="ER45" s="87">
        <v>1</v>
      </c>
      <c r="ES45" s="316" t="str">
        <f>IF(Table1[[#This Row],[Progres MOS]]&gt;=100%,"Selesai MOS = 100%",IF(Table1[[#This Row],[Progres MOS]]&gt;=50%,"Proses MOS &gt; 100%",IF(Table1[[#This Row],[Progres MOS]]&gt;0%,"Proses MOS &gt; 50%",IF(Table1[[#This Row],[Progres MOS]]=0,"Belum MOS = 0%"))))</f>
        <v>Selesai MOS = 100%</v>
      </c>
      <c r="ET4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 s="47"/>
      <c r="EV45" s="330">
        <v>45467</v>
      </c>
      <c r="EW45" s="330" t="e">
        <v>#N/A</v>
      </c>
      <c r="EX45" s="330">
        <v>45564</v>
      </c>
      <c r="EY45" s="330" t="e">
        <v>#N/A</v>
      </c>
      <c r="EZ45" s="352" t="s">
        <v>259</v>
      </c>
      <c r="FA45" s="336" t="s">
        <v>259</v>
      </c>
      <c r="FB45" s="330" t="s">
        <v>260</v>
      </c>
      <c r="FC45" s="330">
        <v>45328</v>
      </c>
      <c r="FD45" s="330" t="s">
        <v>260</v>
      </c>
      <c r="FE45" s="330"/>
      <c r="FF45" s="330">
        <v>45443</v>
      </c>
      <c r="FG45" s="330" t="s">
        <v>260</v>
      </c>
      <c r="FH45" s="330" t="s">
        <v>260</v>
      </c>
      <c r="FI45" s="330">
        <v>45516</v>
      </c>
      <c r="FJ45" s="330" t="s">
        <v>260</v>
      </c>
      <c r="FK45" s="330">
        <v>45709</v>
      </c>
      <c r="FL45" s="336" t="s">
        <v>259</v>
      </c>
      <c r="FM45" s="336">
        <v>45328</v>
      </c>
      <c r="FN45" s="314">
        <f>IF(Table1[[#This Row],[Tanggal Pengajuan Dokumen]]="","",Table1[[#This Row],[PLAN PERMIT
start]]-Table1[[#This Row],[Tanggal Pengajuan Dokumen]])</f>
        <v>139</v>
      </c>
      <c r="FO45" s="336">
        <v>45709</v>
      </c>
      <c r="FP45" s="316"/>
      <c r="FQ45" s="338"/>
      <c r="FR45" s="352"/>
      <c r="FS45" s="338" t="str">
        <f t="shared" si="5"/>
        <v>Sudah Terbit</v>
      </c>
      <c r="FT4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5" s="344">
        <f ca="1">IF(Table1[[#This Row],[Status Izin]]="Selesai",Table1[[#This Row],[PLAN PERMIT
finish]]-Table1[[#This Row],[Tanggal Terbit/ Target Izin Terbit]],ROUNDUP(Table1[[#This Row],[PLAN PERMIT
finish]]-NOW(),0))</f>
        <v>-145</v>
      </c>
      <c r="FV4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 s="344"/>
      <c r="FX45" s="47"/>
      <c r="FY45" s="340"/>
      <c r="FZ45" s="341"/>
      <c r="GA4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 s="330">
        <v>45538</v>
      </c>
      <c r="GC45" s="331">
        <v>45488</v>
      </c>
      <c r="GD4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5" s="330">
        <v>45545</v>
      </c>
      <c r="GF45" s="331">
        <v>45488</v>
      </c>
      <c r="GG4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5" s="330">
        <v>45551</v>
      </c>
      <c r="GI45" s="330">
        <v>45557</v>
      </c>
      <c r="GJ45" s="353">
        <v>45492</v>
      </c>
      <c r="GK4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5" s="330">
        <v>45565</v>
      </c>
      <c r="GM45" s="330" t="e">
        <v>#N/A</v>
      </c>
      <c r="GN45" s="330">
        <v>45690</v>
      </c>
      <c r="GO45" s="330" t="e">
        <v>#N/A</v>
      </c>
      <c r="GP45" s="316"/>
      <c r="GQ4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 s="330" t="s">
        <v>261</v>
      </c>
      <c r="GS45" s="330" t="s">
        <v>261</v>
      </c>
      <c r="GT45" s="354">
        <v>45638</v>
      </c>
      <c r="GU45" s="344" t="str">
        <f>IF(Table1[[#This Row],[Hydro Tes Actual
(tanggal)]]&lt;&gt;"","Sudah","Belum")</f>
        <v>Sudah</v>
      </c>
      <c r="GV45" s="330" t="s">
        <v>261</v>
      </c>
      <c r="GW45" s="330" t="s">
        <v>261</v>
      </c>
      <c r="GX45" s="331">
        <v>45629</v>
      </c>
      <c r="GY45" s="344" t="str">
        <f>IF(Table1[[#This Row],[Interkoneksi Actual
(tanggal)]]&lt;&gt;"","Sudah","Belum")</f>
        <v>Sudah</v>
      </c>
      <c r="GZ45" s="330" t="s">
        <v>261</v>
      </c>
      <c r="HA45" s="330" t="s">
        <v>261</v>
      </c>
      <c r="HB45" s="331">
        <v>45677</v>
      </c>
      <c r="HC45" s="344" t="str">
        <f>IF(Table1[[#This Row],[Flushing Actual
(tanggal)]]&lt;&gt;"","Sudah","Belum")</f>
        <v>Sudah</v>
      </c>
      <c r="HD45" s="330">
        <v>45677</v>
      </c>
      <c r="HE45" s="330" t="e">
        <v>#N/A</v>
      </c>
      <c r="HF45" s="330">
        <v>45683</v>
      </c>
      <c r="HG45" s="346">
        <v>45702</v>
      </c>
      <c r="HH4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5" s="330" t="s">
        <v>261</v>
      </c>
      <c r="HJ45" s="330" t="s">
        <v>261</v>
      </c>
      <c r="HK45" s="331"/>
      <c r="HL45" s="316"/>
      <c r="HM45" s="330">
        <v>45702</v>
      </c>
      <c r="HN45" s="330">
        <v>45702</v>
      </c>
      <c r="HO45" s="330" t="e">
        <v>#N/A</v>
      </c>
      <c r="HP45" s="346">
        <v>45733</v>
      </c>
      <c r="HQ4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5" s="330">
        <v>45709</v>
      </c>
      <c r="HS45" s="330"/>
      <c r="HT45" s="330">
        <v>45709</v>
      </c>
      <c r="HU45" s="527"/>
      <c r="HV45" s="330">
        <f>IF(Table1[[#This Row],[MC-100 Aktual
(tanggal)]]&lt;&gt;"",Table1[[#This Row],[MC-100 Aktual
(tanggal)]]+5,"")</f>
        <v>45738</v>
      </c>
      <c r="HW4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5" s="47"/>
      <c r="HY45" s="352"/>
      <c r="HZ45" s="352"/>
      <c r="IB45" s="618">
        <f>IFERROR(ROUND((Table1[[#This Row],[PLAN TC
finish]]-Table1[[#This Row],[PLAN MC-0
start]])/30,2),"")</f>
        <v>4.4000000000000004</v>
      </c>
      <c r="IC45">
        <f>DATEDIF(Table1[[#This Row],[PLAN MC-0
start]],Table1[[#This Row],[PLAN TC
finish]],"m")</f>
        <v>4</v>
      </c>
    </row>
    <row r="46" spans="1:237" s="4" customFormat="1" ht="15" customHeight="1" x14ac:dyDescent="0.2">
      <c r="B46" s="311">
        <f>SUBTOTAL(3,$D$5:D46)</f>
        <v>23</v>
      </c>
      <c r="C46" s="348">
        <v>42</v>
      </c>
      <c r="D46" s="315" t="s">
        <v>244</v>
      </c>
      <c r="E46" s="315" t="s">
        <v>469</v>
      </c>
      <c r="F46" s="315" t="s">
        <v>470</v>
      </c>
      <c r="G46" s="349">
        <v>45752</v>
      </c>
      <c r="H46" s="314" t="s">
        <v>247</v>
      </c>
      <c r="I46" s="315" t="s">
        <v>278</v>
      </c>
      <c r="J46" s="315"/>
      <c r="K46" s="338" t="s">
        <v>249</v>
      </c>
      <c r="L46" s="316" t="s">
        <v>250</v>
      </c>
      <c r="M46" s="316" t="s">
        <v>269</v>
      </c>
      <c r="N46" s="107">
        <v>4515</v>
      </c>
      <c r="O46" s="31" t="s">
        <v>252</v>
      </c>
      <c r="P4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6" s="87" t="e">
        <v>#N/A</v>
      </c>
      <c r="S46" s="87">
        <v>1</v>
      </c>
      <c r="T46" s="35">
        <f>Table1[[#This Row],[Progres Total Aktual
(%)]]</f>
        <v>1</v>
      </c>
      <c r="U46" s="124">
        <f>Table1[[#This Row],[Progres Aktual
(%)]]-Table1[[#This Row],[Target Progres
(%)]]</f>
        <v>0</v>
      </c>
      <c r="V46" s="350">
        <f>Table1[[#This Row],["Volume
BA MC-0"]]</f>
        <v>3548</v>
      </c>
      <c r="W46" s="351">
        <f>Table1[[#This Row],[Total Panjang Pipa Aktual
(Sum-&gt;)3]]</f>
        <v>1995</v>
      </c>
      <c r="X46" s="47"/>
      <c r="Y46" s="67" t="s">
        <v>471</v>
      </c>
      <c r="Z46" s="67">
        <v>6416519434</v>
      </c>
      <c r="AA46" s="67">
        <f>ROUND((Table1[[#This Row],[Nilai RAB Jaringan
(Exclude Ppn)]]-Table1[[#This Row],[RAB Perizinan]])*1.11+Table1[[#This Row],[RAB Perizinan]],0)</f>
        <v>0</v>
      </c>
      <c r="AB46" s="320">
        <f>SUM(Table1[[#This Row],[RAB Kegiatan Umum]:[RAB Perizinan]])</f>
        <v>0</v>
      </c>
      <c r="AC46" s="320"/>
      <c r="AD46" s="320"/>
      <c r="AE46" s="320"/>
      <c r="AF46" s="320"/>
      <c r="AG46" s="320">
        <v>4638354103</v>
      </c>
      <c r="AH46" s="35" t="e">
        <f>SUM(Table1[[#This Row],[Bobot Keg Umum]:[Bobot Perizinan]])</f>
        <v>#DIV/0!</v>
      </c>
      <c r="AI46" s="35" t="e">
        <f>Table1[[#This Row],[RAB Kegiatan Umum]]/Table1[[#This Row],[Nilai RAB Jaringan
(Exclude Ppn)]]</f>
        <v>#DIV/0!</v>
      </c>
      <c r="AJ46" s="35" t="e">
        <f>Table1[[#This Row],[RAB Pemasangan]]/Table1[[#This Row],[Nilai RAB Jaringan
(Exclude Ppn)]]</f>
        <v>#DIV/0!</v>
      </c>
      <c r="AK46" s="35" t="e">
        <f>Table1[[#This Row],[RAB Pengadaan]]/Table1[[#This Row],[Nilai RAB Jaringan
(Exclude Ppn)]]</f>
        <v>#DIV/0!</v>
      </c>
      <c r="AL46" s="35" t="e">
        <f>Table1[[#This Row],[RAB Perizinan]]/Table1[[#This Row],[Nilai RAB Jaringan
(Exclude Ppn)]]</f>
        <v>#DIV/0!</v>
      </c>
      <c r="AM46" s="47"/>
      <c r="AN46" s="285">
        <v>3548</v>
      </c>
      <c r="AO46" s="285">
        <f>SUM(Table1[[#This Row],[Pipa 63 mm]:[Pipa 1,800 mm]])</f>
        <v>0</v>
      </c>
      <c r="AP46" s="285"/>
      <c r="AQ46" s="285"/>
      <c r="AR46" s="285"/>
      <c r="AS46" s="285"/>
      <c r="AT46" s="285"/>
      <c r="AU46" s="285"/>
      <c r="AV46" s="285"/>
      <c r="AW46" s="285"/>
      <c r="AX46" s="285"/>
      <c r="AY46" s="285"/>
      <c r="AZ46" s="285"/>
      <c r="BA46" s="285"/>
      <c r="BB46" s="285"/>
      <c r="BC46" s="285"/>
      <c r="BD46" s="285"/>
      <c r="BE46" s="285"/>
      <c r="BF46" s="285"/>
      <c r="BG46" s="285"/>
      <c r="BH46" s="285"/>
      <c r="BI46" s="285"/>
      <c r="BJ46" s="36">
        <f>SUM(Table1[[#This Row],[Pipa 63 mm2]:[Pipa 1,800 mm21]])</f>
        <v>1995</v>
      </c>
      <c r="BK46" s="32">
        <v>1160</v>
      </c>
      <c r="BL46" s="32"/>
      <c r="BM46" s="32">
        <v>835</v>
      </c>
      <c r="BN46" s="32"/>
      <c r="BO46" s="32"/>
      <c r="BP46" s="32"/>
      <c r="BQ46" s="32"/>
      <c r="BR46" s="32"/>
      <c r="BS46" s="32"/>
      <c r="BT46" s="32"/>
      <c r="BU46" s="32"/>
      <c r="BV46" s="32"/>
      <c r="BW46" s="32"/>
      <c r="BX46" s="32"/>
      <c r="BY46" s="32"/>
      <c r="BZ46" s="32"/>
      <c r="CA46" s="32"/>
      <c r="CB46" s="32"/>
      <c r="CC46" s="32"/>
      <c r="CD46" s="32"/>
      <c r="CE46" s="32">
        <v>2055</v>
      </c>
      <c r="CF46" s="32"/>
      <c r="CG46" s="32"/>
      <c r="CH46" s="32"/>
      <c r="CI46" s="32">
        <f t="shared" si="3"/>
        <v>2055</v>
      </c>
      <c r="CJ46" s="65">
        <f>IF((Table1[[#This Row],["Volume
BA MC-0"]]-Table1[[#This Row],[Total Panjang Pipa Aktual
(Sum-&gt;)3]]-Table1[[#This Row],[Total Volume
tidak dapat dipasang]])&gt;=0,Table1[[#This Row],["Volume
BA MC-0"]]-Table1[[#This Row],[Total Panjang Pipa Aktual
(Sum-&gt;)3]]-Table1[[#This Row],[Total Volume
tidak dapat dipasang]],0)</f>
        <v>0</v>
      </c>
      <c r="CK46" s="47"/>
      <c r="CL46" s="131"/>
      <c r="CM46" s="35"/>
      <c r="CN46" s="131"/>
      <c r="CO46" s="131"/>
      <c r="CP4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6" s="66">
        <f>IFERROR(Table1[[#This Row],[Progres Keg. Umum
(%)]]*Table1[[#This Row],[Nilai RAB Jaringan
(file pa aji)]],0)</f>
        <v>0</v>
      </c>
      <c r="CR46" s="66">
        <f>IFERROR(Table1[[#This Row],[Progres MOS
(%)]]*Table1[[#This Row],[Nilai RAB Jaringan
(file pa aji)]],0)</f>
        <v>0</v>
      </c>
      <c r="CS46" s="66">
        <f>IFERROR(Table1[[#This Row],[Progres Pemasangan
(%)]]*Table1[[#This Row],[Nilai RAB Jaringan
(file pa aji)]],0)</f>
        <v>0</v>
      </c>
      <c r="CT46" s="66">
        <f>IFERROR(Table1[[#This Row],[Progres Perizinan
(%)]]*Table1[[#This Row],[Nilai RAB Jaringan
(file pa aji)]],0)</f>
        <v>0</v>
      </c>
      <c r="CU46" s="329">
        <v>2851468769</v>
      </c>
      <c r="CV46" s="329">
        <v>2851468769</v>
      </c>
      <c r="CW46" s="583">
        <v>2851468769</v>
      </c>
      <c r="CX46" s="329">
        <v>2851468769</v>
      </c>
      <c r="CY46" s="47"/>
      <c r="CZ46" s="330">
        <v>45439</v>
      </c>
      <c r="DA46" s="330">
        <v>45466</v>
      </c>
      <c r="DB46" s="331"/>
      <c r="DC46" s="316"/>
      <c r="DD46" s="67"/>
      <c r="DE4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 s="331"/>
      <c r="DG46" s="316"/>
      <c r="DH46" s="67"/>
      <c r="DI4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 s="330">
        <v>45467</v>
      </c>
      <c r="DK46" s="330">
        <v>45536</v>
      </c>
      <c r="DL46" s="331">
        <v>45478</v>
      </c>
      <c r="DM46" s="357" t="s">
        <v>472</v>
      </c>
      <c r="DN4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6" s="331">
        <v>45503</v>
      </c>
      <c r="DP46" s="316" t="s">
        <v>473</v>
      </c>
      <c r="DQ46" s="338" t="s">
        <v>275</v>
      </c>
      <c r="DR4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6" s="330">
        <v>45467</v>
      </c>
      <c r="DT46" s="330" t="e">
        <v>#N/A</v>
      </c>
      <c r="DU46" s="330">
        <v>45508</v>
      </c>
      <c r="DV46" s="330" t="e">
        <v>#N/A</v>
      </c>
      <c r="DW46" s="331"/>
      <c r="DX46" s="316"/>
      <c r="DY46" s="334"/>
      <c r="DZ46" s="334"/>
      <c r="EA4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 s="331"/>
      <c r="EC46" s="332"/>
      <c r="ED46" s="332"/>
      <c r="EE46" s="330"/>
      <c r="EF46" s="35">
        <v>1</v>
      </c>
      <c r="EG46" s="337">
        <v>1</v>
      </c>
      <c r="EH46" s="316" t="str">
        <f>IF(Table1[[#This Row],[PO Material Aktual 
(%)]]&gt;=100%,"Selesai PO = 100%",IF(Table1[[#This Row],[PO Material Aktual 
(%)]]&gt;=50%,"Proses PO &gt; 100%",IF(Table1[[#This Row],[PO Material Aktual 
(%)]]&gt;0%,"Proses PO &gt; 50%",IF(Table1[[#This Row],[PO Material Aktual 
(%)]]=0,"Belum PO = 0%"))))</f>
        <v>Selesai PO = 100%</v>
      </c>
      <c r="EI4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 s="330">
        <v>45509</v>
      </c>
      <c r="EK46" s="330" t="e">
        <v>#N/A</v>
      </c>
      <c r="EL46" s="330">
        <v>45620</v>
      </c>
      <c r="EM46" s="330" t="e">
        <v>#N/A</v>
      </c>
      <c r="EN46" s="331"/>
      <c r="EO46" s="332"/>
      <c r="EP46" s="332"/>
      <c r="EQ46" s="87">
        <v>1</v>
      </c>
      <c r="ER46" s="87">
        <v>1</v>
      </c>
      <c r="ES46" s="316" t="str">
        <f>IF(Table1[[#This Row],[Progres MOS]]&gt;=100%,"Selesai MOS = 100%",IF(Table1[[#This Row],[Progres MOS]]&gt;=50%,"Proses MOS &gt; 100%",IF(Table1[[#This Row],[Progres MOS]]&gt;0%,"Proses MOS &gt; 50%",IF(Table1[[#This Row],[Progres MOS]]=0,"Belum MOS = 0%"))))</f>
        <v>Selesai MOS = 100%</v>
      </c>
      <c r="ET4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 s="47"/>
      <c r="EV46" s="330">
        <v>45467</v>
      </c>
      <c r="EW46" s="330" t="e">
        <v>#N/A</v>
      </c>
      <c r="EX46" s="330">
        <v>45564</v>
      </c>
      <c r="EY46" s="330" t="e">
        <v>#N/A</v>
      </c>
      <c r="EZ46" s="352" t="s">
        <v>298</v>
      </c>
      <c r="FA46" s="336" t="s">
        <v>259</v>
      </c>
      <c r="FB46" s="330" t="s">
        <v>260</v>
      </c>
      <c r="FC46" s="330">
        <v>45736</v>
      </c>
      <c r="FD46" s="330" t="s">
        <v>260</v>
      </c>
      <c r="FE46" s="330">
        <v>45874</v>
      </c>
      <c r="FF46" s="330">
        <v>45894</v>
      </c>
      <c r="FG46" s="330" t="s">
        <v>260</v>
      </c>
      <c r="FH46" s="330" t="s">
        <v>260</v>
      </c>
      <c r="FI46" s="330">
        <v>46020</v>
      </c>
      <c r="FJ46" s="330" t="s">
        <v>260</v>
      </c>
      <c r="FK46" s="330">
        <v>46087</v>
      </c>
      <c r="FL46" s="336" t="s">
        <v>298</v>
      </c>
      <c r="FM46" s="336">
        <v>45736</v>
      </c>
      <c r="FN46" s="314">
        <f>IF(Table1[[#This Row],[Tanggal Pengajuan Dokumen]]="","",Table1[[#This Row],[PLAN PERMIT
start]]-Table1[[#This Row],[Tanggal Pengajuan Dokumen]])</f>
        <v>-269</v>
      </c>
      <c r="FO46" s="336"/>
      <c r="FP46" s="316"/>
      <c r="FQ46" s="338"/>
      <c r="FR46" s="352"/>
      <c r="FS46" s="338" t="str">
        <f t="shared" si="5"/>
        <v>Sudah Terbit</v>
      </c>
      <c r="FT4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6" s="344">
        <f ca="1">IF(Table1[[#This Row],[Status Izin]]="Selesai",Table1[[#This Row],[PLAN PERMIT
finish]]-Table1[[#This Row],[Tanggal Terbit/ Target Izin Terbit]],ROUNDUP(Table1[[#This Row],[PLAN PERMIT
finish]]-NOW(),0))</f>
        <v>45564</v>
      </c>
      <c r="FV4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 s="344"/>
      <c r="FX46" s="47"/>
      <c r="FY46" s="340"/>
      <c r="FZ46" s="341"/>
      <c r="GA4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 s="330">
        <v>45538</v>
      </c>
      <c r="GC46" s="331">
        <v>45488</v>
      </c>
      <c r="GD4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6" s="330">
        <v>45545</v>
      </c>
      <c r="GF46" s="331">
        <v>45488</v>
      </c>
      <c r="GG4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6" s="330">
        <v>45551</v>
      </c>
      <c r="GI46" s="330">
        <v>45557</v>
      </c>
      <c r="GJ46" s="353">
        <v>45491</v>
      </c>
      <c r="GK4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6" s="330">
        <v>45565</v>
      </c>
      <c r="GM46" s="330" t="e">
        <v>#N/A</v>
      </c>
      <c r="GN46" s="330">
        <v>45690</v>
      </c>
      <c r="GO46" s="330" t="e">
        <v>#N/A</v>
      </c>
      <c r="GP46" s="316"/>
      <c r="GQ4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 s="330" t="s">
        <v>261</v>
      </c>
      <c r="GS46" s="330" t="s">
        <v>261</v>
      </c>
      <c r="GT46" s="354">
        <v>45639</v>
      </c>
      <c r="GU46" s="344" t="str">
        <f>IF(Table1[[#This Row],[Hydro Tes Actual
(tanggal)]]&lt;&gt;"","Sudah","Belum")</f>
        <v>Sudah</v>
      </c>
      <c r="GV46" s="330" t="s">
        <v>261</v>
      </c>
      <c r="GW46" s="330" t="s">
        <v>261</v>
      </c>
      <c r="GX46" s="331">
        <v>45645</v>
      </c>
      <c r="GY46" s="344" t="str">
        <f>IF(Table1[[#This Row],[Interkoneksi Actual
(tanggal)]]&lt;&gt;"","Sudah","Belum")</f>
        <v>Sudah</v>
      </c>
      <c r="GZ46" s="330" t="s">
        <v>261</v>
      </c>
      <c r="HA46" s="330" t="s">
        <v>261</v>
      </c>
      <c r="HB46" s="331">
        <v>45677</v>
      </c>
      <c r="HC46" s="344" t="str">
        <f>IF(Table1[[#This Row],[Flushing Actual
(tanggal)]]&lt;&gt;"","Sudah","Belum")</f>
        <v>Sudah</v>
      </c>
      <c r="HD46" s="330">
        <v>45677</v>
      </c>
      <c r="HE46" s="330" t="e">
        <v>#N/A</v>
      </c>
      <c r="HF46" s="330">
        <v>45683</v>
      </c>
      <c r="HG46" s="346">
        <v>45703</v>
      </c>
      <c r="HH4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6" s="330" t="s">
        <v>261</v>
      </c>
      <c r="HJ46" s="330" t="s">
        <v>261</v>
      </c>
      <c r="HK46" s="331"/>
      <c r="HL46" s="316"/>
      <c r="HM46" s="330">
        <v>45702</v>
      </c>
      <c r="HN46" s="330">
        <v>45702</v>
      </c>
      <c r="HO46" s="330" t="e">
        <v>#N/A</v>
      </c>
      <c r="HP46" s="346">
        <v>45737</v>
      </c>
      <c r="HQ4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6" s="330">
        <v>45709</v>
      </c>
      <c r="HS46" s="330"/>
      <c r="HT46" s="330">
        <v>45709</v>
      </c>
      <c r="HU46" s="527"/>
      <c r="HV46" s="330">
        <f>IF(Table1[[#This Row],[MC-100 Aktual
(tanggal)]]&lt;&gt;"",Table1[[#This Row],[MC-100 Aktual
(tanggal)]]+5,"")</f>
        <v>45742</v>
      </c>
      <c r="HW4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6" s="47"/>
      <c r="HY46" s="352"/>
      <c r="HZ46" s="352"/>
      <c r="IB46" s="618">
        <f>IFERROR(ROUND((Table1[[#This Row],[PLAN TC
finish]]-Table1[[#This Row],[PLAN MC-0
start]])/30,2),"")</f>
        <v>4.4000000000000004</v>
      </c>
      <c r="IC46">
        <f>DATEDIF(Table1[[#This Row],[PLAN MC-0
start]],Table1[[#This Row],[PLAN TC
finish]],"m")</f>
        <v>4</v>
      </c>
    </row>
    <row r="47" spans="1:237" s="4" customFormat="1" ht="15" customHeight="1" x14ac:dyDescent="0.2">
      <c r="B47" s="311">
        <f>SUBTOTAL(3,$D$5:D47)</f>
        <v>24</v>
      </c>
      <c r="C47" s="348">
        <v>43</v>
      </c>
      <c r="D47" s="315" t="s">
        <v>244</v>
      </c>
      <c r="E47" s="315" t="s">
        <v>474</v>
      </c>
      <c r="F47" s="315" t="s">
        <v>475</v>
      </c>
      <c r="G47" s="349">
        <v>45752</v>
      </c>
      <c r="H47" s="314" t="s">
        <v>247</v>
      </c>
      <c r="I47" s="315" t="s">
        <v>278</v>
      </c>
      <c r="J47" s="315"/>
      <c r="K47" s="338" t="s">
        <v>249</v>
      </c>
      <c r="L47" s="316" t="s">
        <v>250</v>
      </c>
      <c r="M47" s="316" t="s">
        <v>269</v>
      </c>
      <c r="N47" s="107">
        <v>3460</v>
      </c>
      <c r="O47" s="31" t="s">
        <v>252</v>
      </c>
      <c r="P47"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7" s="87" t="e">
        <v>#N/A</v>
      </c>
      <c r="S47" s="87">
        <v>1</v>
      </c>
      <c r="T47" s="35">
        <f>Table1[[#This Row],[Progres Total Aktual
(%)]]</f>
        <v>1</v>
      </c>
      <c r="U47" s="124">
        <f>Table1[[#This Row],[Progres Aktual
(%)]]-Table1[[#This Row],[Target Progres
(%)]]</f>
        <v>0</v>
      </c>
      <c r="V47" s="350">
        <f>Table1[[#This Row],["Volume
BA MC-0"]]</f>
        <v>3290</v>
      </c>
      <c r="W47" s="351">
        <f>Table1[[#This Row],[Total Panjang Pipa Aktual
(Sum-&gt;)3]]</f>
        <v>3005.8</v>
      </c>
      <c r="X47" s="47"/>
      <c r="Y47" s="67" t="s">
        <v>476</v>
      </c>
      <c r="Z47" s="67">
        <v>5118988153</v>
      </c>
      <c r="AA47" s="67">
        <f>ROUND((Table1[[#This Row],[Nilai RAB Jaringan
(Exclude Ppn)]]-Table1[[#This Row],[RAB Perizinan]])*1.11+Table1[[#This Row],[RAB Perizinan]],0)</f>
        <v>0</v>
      </c>
      <c r="AB47" s="320">
        <f>SUM(Table1[[#This Row],[RAB Kegiatan Umum]:[RAB Perizinan]])</f>
        <v>0</v>
      </c>
      <c r="AC47" s="320"/>
      <c r="AD47" s="320"/>
      <c r="AE47" s="320"/>
      <c r="AF47" s="320"/>
      <c r="AG47" s="320">
        <v>4640403752</v>
      </c>
      <c r="AH47" s="35" t="e">
        <f>SUM(Table1[[#This Row],[Bobot Keg Umum]:[Bobot Perizinan]])</f>
        <v>#DIV/0!</v>
      </c>
      <c r="AI47" s="35" t="e">
        <f>Table1[[#This Row],[RAB Kegiatan Umum]]/Table1[[#This Row],[Nilai RAB Jaringan
(Exclude Ppn)]]</f>
        <v>#DIV/0!</v>
      </c>
      <c r="AJ47" s="35" t="e">
        <f>Table1[[#This Row],[RAB Pemasangan]]/Table1[[#This Row],[Nilai RAB Jaringan
(Exclude Ppn)]]</f>
        <v>#DIV/0!</v>
      </c>
      <c r="AK47" s="35" t="e">
        <f>Table1[[#This Row],[RAB Pengadaan]]/Table1[[#This Row],[Nilai RAB Jaringan
(Exclude Ppn)]]</f>
        <v>#DIV/0!</v>
      </c>
      <c r="AL47" s="35" t="e">
        <f>Table1[[#This Row],[RAB Perizinan]]/Table1[[#This Row],[Nilai RAB Jaringan
(Exclude Ppn)]]</f>
        <v>#DIV/0!</v>
      </c>
      <c r="AM47" s="47"/>
      <c r="AN47" s="285">
        <v>3290</v>
      </c>
      <c r="AO47" s="285">
        <f>SUM(Table1[[#This Row],[Pipa 63 mm]:[Pipa 1,800 mm]])</f>
        <v>0</v>
      </c>
      <c r="AP47" s="285"/>
      <c r="AQ47" s="285"/>
      <c r="AR47" s="285"/>
      <c r="AS47" s="285"/>
      <c r="AT47" s="285"/>
      <c r="AU47" s="285"/>
      <c r="AV47" s="285"/>
      <c r="AW47" s="285"/>
      <c r="AX47" s="285"/>
      <c r="AY47" s="285"/>
      <c r="AZ47" s="285"/>
      <c r="BA47" s="285"/>
      <c r="BB47" s="285"/>
      <c r="BC47" s="285"/>
      <c r="BD47" s="285"/>
      <c r="BE47" s="285"/>
      <c r="BF47" s="285"/>
      <c r="BG47" s="285"/>
      <c r="BH47" s="285"/>
      <c r="BI47" s="285"/>
      <c r="BJ47" s="36">
        <f>SUM(Table1[[#This Row],[Pipa 63 mm2]:[Pipa 1,800 mm21]])</f>
        <v>3005.8</v>
      </c>
      <c r="BK47" s="356">
        <v>1798.8</v>
      </c>
      <c r="BL47" s="356">
        <v>471</v>
      </c>
      <c r="BM47" s="356">
        <v>736</v>
      </c>
      <c r="BN47" s="356"/>
      <c r="BO47" s="356"/>
      <c r="BP47" s="356"/>
      <c r="BQ47" s="356"/>
      <c r="BR47" s="356"/>
      <c r="BS47" s="356"/>
      <c r="BT47" s="356"/>
      <c r="BU47" s="356"/>
      <c r="BV47" s="356"/>
      <c r="BW47" s="356"/>
      <c r="BX47" s="356"/>
      <c r="BY47" s="356"/>
      <c r="BZ47" s="356"/>
      <c r="CA47" s="356"/>
      <c r="CB47" s="356"/>
      <c r="CC47" s="356"/>
      <c r="CD47" s="356"/>
      <c r="CE47" s="32">
        <v>863</v>
      </c>
      <c r="CF47" s="32"/>
      <c r="CG47" s="32"/>
      <c r="CH47" s="32"/>
      <c r="CI47" s="32">
        <f t="shared" si="3"/>
        <v>863</v>
      </c>
      <c r="CJ47" s="65">
        <f>IF((Table1[[#This Row],["Volume
BA MC-0"]]-Table1[[#This Row],[Total Panjang Pipa Aktual
(Sum-&gt;)3]]-Table1[[#This Row],[Total Volume
tidak dapat dipasang]])&gt;=0,Table1[[#This Row],["Volume
BA MC-0"]]-Table1[[#This Row],[Total Panjang Pipa Aktual
(Sum-&gt;)3]]-Table1[[#This Row],[Total Volume
tidak dapat dipasang]],0)</f>
        <v>0</v>
      </c>
      <c r="CK47" s="47"/>
      <c r="CL47" s="131"/>
      <c r="CM47" s="35"/>
      <c r="CN47" s="131"/>
      <c r="CO47" s="131"/>
      <c r="CP4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7" s="66">
        <f>IFERROR(Table1[[#This Row],[Progres Keg. Umum
(%)]]*Table1[[#This Row],[Nilai RAB Jaringan
(file pa aji)]],0)</f>
        <v>0</v>
      </c>
      <c r="CR47" s="66">
        <f>IFERROR(Table1[[#This Row],[Progres MOS
(%)]]*Table1[[#This Row],[Nilai RAB Jaringan
(file pa aji)]],0)</f>
        <v>0</v>
      </c>
      <c r="CS47" s="66">
        <f>IFERROR(Table1[[#This Row],[Progres Pemasangan
(%)]]*Table1[[#This Row],[Nilai RAB Jaringan
(file pa aji)]],0)</f>
        <v>0</v>
      </c>
      <c r="CT47" s="66">
        <f>IFERROR(Table1[[#This Row],[Progres Perizinan
(%)]]*Table1[[#This Row],[Nilai RAB Jaringan
(file pa aji)]],0)</f>
        <v>0</v>
      </c>
      <c r="CU47" s="329">
        <v>4879057186</v>
      </c>
      <c r="CV47" s="329">
        <v>4879057186</v>
      </c>
      <c r="CW47" s="583">
        <v>4879057186</v>
      </c>
      <c r="CX47" s="329">
        <v>4879057186</v>
      </c>
      <c r="CY47" s="47"/>
      <c r="CZ47" s="330">
        <v>45439</v>
      </c>
      <c r="DA47" s="330">
        <v>45466</v>
      </c>
      <c r="DB47" s="331"/>
      <c r="DC47" s="316"/>
      <c r="DD47" s="67"/>
      <c r="DE4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7" s="331"/>
      <c r="DG47" s="316"/>
      <c r="DH47" s="67"/>
      <c r="DI4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7" s="330">
        <v>45467</v>
      </c>
      <c r="DK47" s="330">
        <v>45536</v>
      </c>
      <c r="DL47" s="331">
        <v>45476</v>
      </c>
      <c r="DM47" s="357" t="s">
        <v>477</v>
      </c>
      <c r="DN4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7" s="331">
        <v>45482</v>
      </c>
      <c r="DP47" s="316" t="s">
        <v>478</v>
      </c>
      <c r="DQ47" s="338" t="s">
        <v>479</v>
      </c>
      <c r="DR4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7" s="330">
        <v>45467</v>
      </c>
      <c r="DT47" s="330" t="e">
        <v>#N/A</v>
      </c>
      <c r="DU47" s="330">
        <v>45508</v>
      </c>
      <c r="DV47" s="330" t="e">
        <v>#N/A</v>
      </c>
      <c r="DW47" s="331"/>
      <c r="DX47" s="316"/>
      <c r="DY47" s="334"/>
      <c r="DZ47" s="334"/>
      <c r="EA4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7" s="331"/>
      <c r="EC47" s="332"/>
      <c r="ED47" s="332"/>
      <c r="EE47" s="330"/>
      <c r="EF47" s="35">
        <v>1</v>
      </c>
      <c r="EG47" s="337">
        <v>1</v>
      </c>
      <c r="EH47" s="316" t="str">
        <f>IF(Table1[[#This Row],[PO Material Aktual 
(%)]]&gt;=100%,"Selesai PO = 100%",IF(Table1[[#This Row],[PO Material Aktual 
(%)]]&gt;=50%,"Proses PO &gt; 100%",IF(Table1[[#This Row],[PO Material Aktual 
(%)]]&gt;0%,"Proses PO &gt; 50%",IF(Table1[[#This Row],[PO Material Aktual 
(%)]]=0,"Belum PO = 0%"))))</f>
        <v>Selesai PO = 100%</v>
      </c>
      <c r="EI4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7" s="330">
        <v>45509</v>
      </c>
      <c r="EK47" s="330" t="e">
        <v>#N/A</v>
      </c>
      <c r="EL47" s="330">
        <v>45620</v>
      </c>
      <c r="EM47" s="330" t="e">
        <v>#N/A</v>
      </c>
      <c r="EN47" s="331"/>
      <c r="EO47" s="332"/>
      <c r="EP47" s="332"/>
      <c r="EQ47" s="87">
        <v>1</v>
      </c>
      <c r="ER47" s="87">
        <v>1</v>
      </c>
      <c r="ES47" s="316" t="str">
        <f>IF(Table1[[#This Row],[Progres MOS]]&gt;=100%,"Selesai MOS = 100%",IF(Table1[[#This Row],[Progres MOS]]&gt;=50%,"Proses MOS &gt; 100%",IF(Table1[[#This Row],[Progres MOS]]&gt;0%,"Proses MOS &gt; 50%",IF(Table1[[#This Row],[Progres MOS]]=0,"Belum MOS = 0%"))))</f>
        <v>Selesai MOS = 100%</v>
      </c>
      <c r="ET4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7" s="47"/>
      <c r="EV47" s="330">
        <v>45467</v>
      </c>
      <c r="EW47" s="330" t="e">
        <v>#N/A</v>
      </c>
      <c r="EX47" s="330">
        <v>45564</v>
      </c>
      <c r="EY47" s="330" t="e">
        <v>#N/A</v>
      </c>
      <c r="EZ47" s="352" t="s">
        <v>298</v>
      </c>
      <c r="FA47" s="336" t="s">
        <v>259</v>
      </c>
      <c r="FB47" s="330" t="s">
        <v>260</v>
      </c>
      <c r="FC47" s="330">
        <v>45736</v>
      </c>
      <c r="FD47" s="330" t="s">
        <v>260</v>
      </c>
      <c r="FE47" s="330">
        <v>45874</v>
      </c>
      <c r="FF47" s="330">
        <v>45894</v>
      </c>
      <c r="FG47" s="330" t="s">
        <v>260</v>
      </c>
      <c r="FH47" s="330" t="s">
        <v>260</v>
      </c>
      <c r="FI47" s="330">
        <v>46020</v>
      </c>
      <c r="FJ47" s="330" t="s">
        <v>260</v>
      </c>
      <c r="FK47" s="330">
        <v>46087</v>
      </c>
      <c r="FL47" s="336" t="s">
        <v>298</v>
      </c>
      <c r="FM47" s="336">
        <v>45736</v>
      </c>
      <c r="FN47" s="314">
        <f>IF(Table1[[#This Row],[Tanggal Pengajuan Dokumen]]="","",Table1[[#This Row],[PLAN PERMIT
start]]-Table1[[#This Row],[Tanggal Pengajuan Dokumen]])</f>
        <v>-269</v>
      </c>
      <c r="FO47" s="336"/>
      <c r="FP47" s="316"/>
      <c r="FQ47" s="338"/>
      <c r="FR47" s="352"/>
      <c r="FS47" s="338" t="str">
        <f t="shared" si="5"/>
        <v>Sudah Terbit</v>
      </c>
      <c r="FT4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7" s="344">
        <f ca="1">IF(Table1[[#This Row],[Status Izin]]="Selesai",Table1[[#This Row],[PLAN PERMIT
finish]]-Table1[[#This Row],[Tanggal Terbit/ Target Izin Terbit]],ROUNDUP(Table1[[#This Row],[PLAN PERMIT
finish]]-NOW(),0))</f>
        <v>45564</v>
      </c>
      <c r="FV4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7" s="344"/>
      <c r="FX47" s="47"/>
      <c r="FY47" s="340"/>
      <c r="FZ47" s="341"/>
      <c r="GA4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7" s="330">
        <v>45538</v>
      </c>
      <c r="GC47" s="331">
        <v>45488</v>
      </c>
      <c r="GD4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7" s="330">
        <v>45545</v>
      </c>
      <c r="GF47" s="331">
        <v>45488</v>
      </c>
      <c r="GG4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7" s="330">
        <v>45551</v>
      </c>
      <c r="GI47" s="330">
        <v>45557</v>
      </c>
      <c r="GJ47" s="353">
        <v>45491</v>
      </c>
      <c r="GK4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7" s="330">
        <v>45565</v>
      </c>
      <c r="GM47" s="330" t="e">
        <v>#N/A</v>
      </c>
      <c r="GN47" s="330">
        <v>45690</v>
      </c>
      <c r="GO47" s="330" t="e">
        <v>#N/A</v>
      </c>
      <c r="GP47" s="316"/>
      <c r="GQ4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7" s="330" t="s">
        <v>261</v>
      </c>
      <c r="GS47" s="330" t="s">
        <v>261</v>
      </c>
      <c r="GT47" s="354">
        <v>45602</v>
      </c>
      <c r="GU47" s="344" t="str">
        <f>IF(Table1[[#This Row],[Hydro Tes Actual
(tanggal)]]&lt;&gt;"","Sudah","Belum")</f>
        <v>Sudah</v>
      </c>
      <c r="GV47" s="330" t="s">
        <v>261</v>
      </c>
      <c r="GW47" s="330" t="s">
        <v>261</v>
      </c>
      <c r="GX47" s="331">
        <v>45621</v>
      </c>
      <c r="GY47" s="344" t="str">
        <f>IF(Table1[[#This Row],[Interkoneksi Actual
(tanggal)]]&lt;&gt;"","Sudah","Belum")</f>
        <v>Sudah</v>
      </c>
      <c r="GZ47" s="330" t="s">
        <v>261</v>
      </c>
      <c r="HA47" s="330" t="s">
        <v>261</v>
      </c>
      <c r="HB47" s="331">
        <v>45677</v>
      </c>
      <c r="HC47" s="344" t="str">
        <f>IF(Table1[[#This Row],[Flushing Actual
(tanggal)]]&lt;&gt;"","Sudah","Belum")</f>
        <v>Sudah</v>
      </c>
      <c r="HD47" s="330">
        <v>45677</v>
      </c>
      <c r="HE47" s="330" t="e">
        <v>#N/A</v>
      </c>
      <c r="HF47" s="330">
        <v>45683</v>
      </c>
      <c r="HG47" s="346">
        <v>45704</v>
      </c>
      <c r="HH4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7" s="330" t="s">
        <v>261</v>
      </c>
      <c r="HJ47" s="330" t="s">
        <v>261</v>
      </c>
      <c r="HK47" s="331"/>
      <c r="HL47" s="316"/>
      <c r="HM47" s="330">
        <v>45702</v>
      </c>
      <c r="HN47" s="330">
        <v>45702</v>
      </c>
      <c r="HO47" s="330" t="e">
        <v>#N/A</v>
      </c>
      <c r="HP47" s="346">
        <v>45733</v>
      </c>
      <c r="HQ4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7" s="330">
        <v>45709</v>
      </c>
      <c r="HS47" s="330"/>
      <c r="HT47" s="330">
        <v>45709</v>
      </c>
      <c r="HU47" s="527"/>
      <c r="HV47" s="330">
        <f>IF(Table1[[#This Row],[MC-100 Aktual
(tanggal)]]&lt;&gt;"",Table1[[#This Row],[MC-100 Aktual
(tanggal)]]+5,"")</f>
        <v>45738</v>
      </c>
      <c r="HW4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7" s="47"/>
      <c r="HY47" s="352"/>
      <c r="HZ47" s="352"/>
      <c r="IB47" s="618">
        <f>IFERROR(ROUND((Table1[[#This Row],[PLAN TC
finish]]-Table1[[#This Row],[PLAN MC-0
start]])/30,2),"")</f>
        <v>4.4000000000000004</v>
      </c>
      <c r="IC47">
        <f>DATEDIF(Table1[[#This Row],[PLAN MC-0
start]],Table1[[#This Row],[PLAN TC
finish]],"m")</f>
        <v>4</v>
      </c>
    </row>
    <row r="48" spans="1:237" s="4" customFormat="1" ht="15" hidden="1" customHeight="1" x14ac:dyDescent="0.2">
      <c r="B48" s="311">
        <f>SUBTOTAL(3,$D$5:D48)</f>
        <v>24</v>
      </c>
      <c r="C48" s="348">
        <v>44</v>
      </c>
      <c r="D48" s="315" t="s">
        <v>244</v>
      </c>
      <c r="E48" s="315" t="s">
        <v>480</v>
      </c>
      <c r="F48" s="315" t="s">
        <v>481</v>
      </c>
      <c r="G48" s="349">
        <v>45752</v>
      </c>
      <c r="H48" s="314" t="s">
        <v>247</v>
      </c>
      <c r="I48" s="315" t="s">
        <v>278</v>
      </c>
      <c r="J48" s="315"/>
      <c r="K48" s="338" t="s">
        <v>249</v>
      </c>
      <c r="L48" s="316" t="s">
        <v>250</v>
      </c>
      <c r="M48" s="316" t="s">
        <v>269</v>
      </c>
      <c r="N48" s="107">
        <v>4533</v>
      </c>
      <c r="O48" s="31" t="s">
        <v>252</v>
      </c>
      <c r="P4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8" s="87" t="e">
        <v>#N/A</v>
      </c>
      <c r="S48" s="87">
        <v>1</v>
      </c>
      <c r="T48" s="35">
        <f>Table1[[#This Row],[Progres Total Aktual
(%)]]</f>
        <v>1</v>
      </c>
      <c r="U48" s="124">
        <f>Table1[[#This Row],[Progres Aktual
(%)]]-Table1[[#This Row],[Target Progres
(%)]]</f>
        <v>0</v>
      </c>
      <c r="V48" s="350">
        <f>Table1[[#This Row],["Volume
BA MC-0"]]</f>
        <v>5129</v>
      </c>
      <c r="W48" s="351">
        <f>Table1[[#This Row],[Total Panjang Pipa Aktual
(Sum-&gt;)3]]</f>
        <v>1976.5</v>
      </c>
      <c r="X48" s="47"/>
      <c r="Y48" s="67" t="s">
        <v>482</v>
      </c>
      <c r="Z48" s="67">
        <v>9297004378</v>
      </c>
      <c r="AA48" s="67">
        <f>ROUND((Table1[[#This Row],[Nilai RAB Jaringan
(Exclude Ppn)]]-Table1[[#This Row],[RAB Perizinan]])*1.11+Table1[[#This Row],[RAB Perizinan]],0)</f>
        <v>0</v>
      </c>
      <c r="AB48" s="320">
        <f>SUM(Table1[[#This Row],[RAB Kegiatan Umum]:[RAB Perizinan]])</f>
        <v>0</v>
      </c>
      <c r="AC48" s="320"/>
      <c r="AD48" s="320"/>
      <c r="AE48" s="320"/>
      <c r="AF48" s="320"/>
      <c r="AG48" s="320">
        <v>6116150528</v>
      </c>
      <c r="AH48" s="35" t="e">
        <f>SUM(Table1[[#This Row],[Bobot Keg Umum]:[Bobot Perizinan]])</f>
        <v>#DIV/0!</v>
      </c>
      <c r="AI48" s="35" t="e">
        <f>Table1[[#This Row],[RAB Kegiatan Umum]]/Table1[[#This Row],[Nilai RAB Jaringan
(Exclude Ppn)]]</f>
        <v>#DIV/0!</v>
      </c>
      <c r="AJ48" s="35" t="e">
        <f>Table1[[#This Row],[RAB Pemasangan]]/Table1[[#This Row],[Nilai RAB Jaringan
(Exclude Ppn)]]</f>
        <v>#DIV/0!</v>
      </c>
      <c r="AK48" s="35" t="e">
        <f>Table1[[#This Row],[RAB Pengadaan]]/Table1[[#This Row],[Nilai RAB Jaringan
(Exclude Ppn)]]</f>
        <v>#DIV/0!</v>
      </c>
      <c r="AL48" s="35" t="e">
        <f>Table1[[#This Row],[RAB Perizinan]]/Table1[[#This Row],[Nilai RAB Jaringan
(Exclude Ppn)]]</f>
        <v>#DIV/0!</v>
      </c>
      <c r="AM48" s="47"/>
      <c r="AN48" s="285">
        <v>5129</v>
      </c>
      <c r="AO48" s="285">
        <f>SUM(Table1[[#This Row],[Pipa 63 mm]:[Pipa 1,800 mm]])</f>
        <v>0</v>
      </c>
      <c r="AP48" s="285"/>
      <c r="AQ48" s="285"/>
      <c r="AR48" s="285"/>
      <c r="AS48" s="285"/>
      <c r="AT48" s="285"/>
      <c r="AU48" s="285"/>
      <c r="AV48" s="285"/>
      <c r="AW48" s="285"/>
      <c r="AX48" s="285"/>
      <c r="AY48" s="285"/>
      <c r="AZ48" s="285"/>
      <c r="BA48" s="285"/>
      <c r="BB48" s="285"/>
      <c r="BC48" s="285"/>
      <c r="BD48" s="285"/>
      <c r="BE48" s="285"/>
      <c r="BF48" s="285"/>
      <c r="BG48" s="285"/>
      <c r="BH48" s="285"/>
      <c r="BI48" s="285"/>
      <c r="BJ48" s="36">
        <f>SUM(Table1[[#This Row],[Pipa 63 mm2]:[Pipa 1,800 mm21]])</f>
        <v>1976.5</v>
      </c>
      <c r="BK48" s="356">
        <v>1106.2</v>
      </c>
      <c r="BL48" s="356">
        <v>97.1</v>
      </c>
      <c r="BM48" s="356"/>
      <c r="BN48" s="356"/>
      <c r="BO48" s="356"/>
      <c r="BP48" s="356">
        <v>94.3</v>
      </c>
      <c r="BQ48" s="356">
        <v>678.9</v>
      </c>
      <c r="BR48" s="356"/>
      <c r="BS48" s="356"/>
      <c r="BT48" s="356"/>
      <c r="BU48" s="356"/>
      <c r="BV48" s="356"/>
      <c r="BW48" s="356"/>
      <c r="BX48" s="356"/>
      <c r="BY48" s="356"/>
      <c r="BZ48" s="356"/>
      <c r="CA48" s="356"/>
      <c r="CB48" s="356"/>
      <c r="CC48" s="356"/>
      <c r="CD48" s="356"/>
      <c r="CE48" s="32">
        <v>2564</v>
      </c>
      <c r="CF48" s="32"/>
      <c r="CG48" s="32"/>
      <c r="CH48" s="32"/>
      <c r="CI48" s="32">
        <f t="shared" si="3"/>
        <v>2564</v>
      </c>
      <c r="CJ48" s="65">
        <f>IF((Table1[[#This Row],["Volume
BA MC-0"]]-Table1[[#This Row],[Total Panjang Pipa Aktual
(Sum-&gt;)3]]-Table1[[#This Row],[Total Volume
tidak dapat dipasang]])&gt;=0,Table1[[#This Row],["Volume
BA MC-0"]]-Table1[[#This Row],[Total Panjang Pipa Aktual
(Sum-&gt;)3]]-Table1[[#This Row],[Total Volume
tidak dapat dipasang]],0)</f>
        <v>588.5</v>
      </c>
      <c r="CK48" s="47"/>
      <c r="CL48" s="131"/>
      <c r="CM48" s="35"/>
      <c r="CN48" s="131"/>
      <c r="CO48" s="131"/>
      <c r="CP4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8" s="66">
        <f>IFERROR(Table1[[#This Row],[Progres Keg. Umum
(%)]]*Table1[[#This Row],[Nilai RAB Jaringan
(file pa aji)]],0)</f>
        <v>0</v>
      </c>
      <c r="CR48" s="66">
        <f>IFERROR(Table1[[#This Row],[Progres MOS
(%)]]*Table1[[#This Row],[Nilai RAB Jaringan
(file pa aji)]],0)</f>
        <v>0</v>
      </c>
      <c r="CS48" s="66">
        <f>IFERROR(Table1[[#This Row],[Progres Pemasangan
(%)]]*Table1[[#This Row],[Nilai RAB Jaringan
(file pa aji)]],0)</f>
        <v>0</v>
      </c>
      <c r="CT48" s="66">
        <f>IFERROR(Table1[[#This Row],[Progres Perizinan
(%)]]*Table1[[#This Row],[Nilai RAB Jaringan
(file pa aji)]],0)</f>
        <v>0</v>
      </c>
      <c r="CU48" s="329">
        <v>6416913974</v>
      </c>
      <c r="CV48" s="329">
        <v>6416913974</v>
      </c>
      <c r="CW48" s="583">
        <v>6416913974</v>
      </c>
      <c r="CX48" s="329">
        <v>6416913974</v>
      </c>
      <c r="CY48" s="47"/>
      <c r="CZ48" s="330">
        <v>45439</v>
      </c>
      <c r="DA48" s="330">
        <v>45466</v>
      </c>
      <c r="DB48" s="331"/>
      <c r="DC48" s="316"/>
      <c r="DD48" s="67"/>
      <c r="DE4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8" s="331"/>
      <c r="DG48" s="316"/>
      <c r="DH48" s="67"/>
      <c r="DI4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8" s="330">
        <v>45467</v>
      </c>
      <c r="DK48" s="330">
        <v>45536</v>
      </c>
      <c r="DL48" s="331">
        <v>45498</v>
      </c>
      <c r="DM48" s="357" t="s">
        <v>483</v>
      </c>
      <c r="DN4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8" s="331">
        <v>45527</v>
      </c>
      <c r="DP48" s="316" t="s">
        <v>484</v>
      </c>
      <c r="DQ48" s="338" t="s">
        <v>485</v>
      </c>
      <c r="DR4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8" s="330">
        <v>45467</v>
      </c>
      <c r="DT48" s="330" t="e">
        <v>#N/A</v>
      </c>
      <c r="DU48" s="330">
        <v>45508</v>
      </c>
      <c r="DV48" s="330" t="e">
        <v>#N/A</v>
      </c>
      <c r="DW48" s="331"/>
      <c r="DX48" s="316"/>
      <c r="DY48" s="334"/>
      <c r="DZ48" s="334"/>
      <c r="EA4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8" s="331"/>
      <c r="EC48" s="332"/>
      <c r="ED48" s="332"/>
      <c r="EE48" s="330"/>
      <c r="EF48" s="35">
        <v>1</v>
      </c>
      <c r="EG48" s="337">
        <v>1</v>
      </c>
      <c r="EH48" s="316" t="str">
        <f>IF(Table1[[#This Row],[PO Material Aktual 
(%)]]&gt;=100%,"Selesai PO = 100%",IF(Table1[[#This Row],[PO Material Aktual 
(%)]]&gt;=50%,"Proses PO &gt; 100%",IF(Table1[[#This Row],[PO Material Aktual 
(%)]]&gt;0%,"Proses PO &gt; 50%",IF(Table1[[#This Row],[PO Material Aktual 
(%)]]=0,"Belum PO = 0%"))))</f>
        <v>Selesai PO = 100%</v>
      </c>
      <c r="EI4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8" s="330">
        <v>45509</v>
      </c>
      <c r="EK48" s="330" t="e">
        <v>#N/A</v>
      </c>
      <c r="EL48" s="330">
        <v>45620</v>
      </c>
      <c r="EM48" s="330" t="e">
        <v>#N/A</v>
      </c>
      <c r="EN48" s="331"/>
      <c r="EO48" s="332"/>
      <c r="EP48" s="332"/>
      <c r="EQ48" s="87">
        <v>1</v>
      </c>
      <c r="ER48" s="87">
        <v>1</v>
      </c>
      <c r="ES48" s="316" t="str">
        <f>IF(Table1[[#This Row],[Progres MOS]]&gt;=100%,"Selesai MOS = 100%",IF(Table1[[#This Row],[Progres MOS]]&gt;=50%,"Proses MOS &gt; 100%",IF(Table1[[#This Row],[Progres MOS]]&gt;0%,"Proses MOS &gt; 50%",IF(Table1[[#This Row],[Progres MOS]]=0,"Belum MOS = 0%"))))</f>
        <v>Selesai MOS = 100%</v>
      </c>
      <c r="ET4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8" s="47"/>
      <c r="EV48" s="330">
        <v>45467</v>
      </c>
      <c r="EW48" s="330" t="e">
        <v>#N/A</v>
      </c>
      <c r="EX48" s="330">
        <v>45564</v>
      </c>
      <c r="EY48" s="330" t="e">
        <v>#N/A</v>
      </c>
      <c r="EZ48" s="352" t="s">
        <v>259</v>
      </c>
      <c r="FA48" s="336" t="s">
        <v>259</v>
      </c>
      <c r="FB48" s="330" t="s">
        <v>260</v>
      </c>
      <c r="FC48" s="330">
        <v>45553</v>
      </c>
      <c r="FD48" s="330" t="s">
        <v>260</v>
      </c>
      <c r="FE48" s="330">
        <v>45607</v>
      </c>
      <c r="FF48" s="330">
        <v>45671</v>
      </c>
      <c r="FG48" s="330" t="s">
        <v>260</v>
      </c>
      <c r="FH48" s="330" t="s">
        <v>260</v>
      </c>
      <c r="FI48" s="330">
        <v>45972</v>
      </c>
      <c r="FJ48" s="330" t="s">
        <v>260</v>
      </c>
      <c r="FK48" s="330">
        <v>46050</v>
      </c>
      <c r="FL48" s="336" t="s">
        <v>259</v>
      </c>
      <c r="FM48" s="336">
        <v>45553</v>
      </c>
      <c r="FN48" s="314">
        <f>IF(Table1[[#This Row],[Tanggal Pengajuan Dokumen]]="","",Table1[[#This Row],[PLAN PERMIT
start]]-Table1[[#This Row],[Tanggal Pengajuan Dokumen]])</f>
        <v>-86</v>
      </c>
      <c r="FO48" s="336"/>
      <c r="FP48" s="316"/>
      <c r="FQ48" s="338"/>
      <c r="FR48" s="352"/>
      <c r="FS48" s="338" t="str">
        <f t="shared" si="5"/>
        <v>Sudah Terbit</v>
      </c>
      <c r="FT4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8" s="344">
        <f ca="1">IF(Table1[[#This Row],[Status Izin]]="Selesai",Table1[[#This Row],[PLAN PERMIT
finish]]-Table1[[#This Row],[Tanggal Terbit/ Target Izin Terbit]],ROUNDUP(Table1[[#This Row],[PLAN PERMIT
finish]]-NOW(),0))</f>
        <v>45564</v>
      </c>
      <c r="FV4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8" s="344"/>
      <c r="FX48" s="47"/>
      <c r="FY48" s="340"/>
      <c r="FZ48" s="341"/>
      <c r="GA4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8" s="330">
        <v>45538</v>
      </c>
      <c r="GC48" s="331">
        <v>45519</v>
      </c>
      <c r="GD4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8" s="330">
        <v>45545</v>
      </c>
      <c r="GF48" s="331">
        <v>45519</v>
      </c>
      <c r="GG4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8" s="330">
        <v>45551</v>
      </c>
      <c r="GI48" s="330">
        <v>45557</v>
      </c>
      <c r="GJ48" s="353">
        <v>45553</v>
      </c>
      <c r="GK4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8" s="330">
        <v>45565</v>
      </c>
      <c r="GM48" s="330" t="e">
        <v>#N/A</v>
      </c>
      <c r="GN48" s="330">
        <v>45690</v>
      </c>
      <c r="GO48" s="330" t="e">
        <v>#N/A</v>
      </c>
      <c r="GP48" s="316"/>
      <c r="GQ4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8" s="330" t="s">
        <v>261</v>
      </c>
      <c r="GS48" s="330" t="s">
        <v>261</v>
      </c>
      <c r="GT48" s="354">
        <v>45740</v>
      </c>
      <c r="GU48" s="344" t="str">
        <f>IF(Table1[[#This Row],[Hydro Tes Actual
(tanggal)]]&lt;&gt;"","Sudah","Belum")</f>
        <v>Sudah</v>
      </c>
      <c r="GV48" s="330" t="s">
        <v>261</v>
      </c>
      <c r="GW48" s="330" t="s">
        <v>261</v>
      </c>
      <c r="GX48" s="331">
        <v>45699</v>
      </c>
      <c r="GY48" s="344" t="str">
        <f>IF(Table1[[#This Row],[Interkoneksi Actual
(tanggal)]]&lt;&gt;"","Sudah","Belum")</f>
        <v>Sudah</v>
      </c>
      <c r="GZ48" s="330" t="s">
        <v>261</v>
      </c>
      <c r="HA48" s="330" t="s">
        <v>261</v>
      </c>
      <c r="HB48" s="331">
        <v>45744</v>
      </c>
      <c r="HC48" s="344" t="str">
        <f>IF(Table1[[#This Row],[Flushing Actual
(tanggal)]]&lt;&gt;"","Sudah","Belum")</f>
        <v>Sudah</v>
      </c>
      <c r="HD48" s="330">
        <v>45677</v>
      </c>
      <c r="HE48" s="330" t="e">
        <v>#N/A</v>
      </c>
      <c r="HF48" s="330">
        <v>45683</v>
      </c>
      <c r="HG48" s="346">
        <v>45720</v>
      </c>
      <c r="HH4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8" s="330" t="s">
        <v>261</v>
      </c>
      <c r="HJ48" s="330" t="s">
        <v>261</v>
      </c>
      <c r="HK48" s="331"/>
      <c r="HL48" s="316"/>
      <c r="HM48" s="330">
        <v>45702</v>
      </c>
      <c r="HN48" s="330">
        <v>45702</v>
      </c>
      <c r="HO48" s="330" t="e">
        <v>#N/A</v>
      </c>
      <c r="HP48" s="346">
        <v>45810</v>
      </c>
      <c r="HQ4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8" s="330">
        <v>45709</v>
      </c>
      <c r="HS48" s="330"/>
      <c r="HT48" s="330">
        <v>45709</v>
      </c>
      <c r="HU48" s="527"/>
      <c r="HV48" s="330">
        <f>IF(Table1[[#This Row],[MC-100 Aktual
(tanggal)]]&lt;&gt;"",Table1[[#This Row],[MC-100 Aktual
(tanggal)]]+5,"")</f>
        <v>45815</v>
      </c>
      <c r="HW4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8" s="47"/>
      <c r="HY48" s="352"/>
      <c r="HZ48" s="352"/>
      <c r="IB48" s="618">
        <f>IFERROR(ROUND((Table1[[#This Row],[PLAN TC
finish]]-Table1[[#This Row],[PLAN MC-0
start]])/30,2),"")</f>
        <v>4.4000000000000004</v>
      </c>
      <c r="IC48">
        <f>DATEDIF(Table1[[#This Row],[PLAN MC-0
start]],Table1[[#This Row],[PLAN TC
finish]],"m")</f>
        <v>4</v>
      </c>
    </row>
    <row r="49" spans="1:237" s="4" customFormat="1" ht="15" hidden="1" customHeight="1" x14ac:dyDescent="0.2">
      <c r="B49" s="311">
        <f>SUBTOTAL(3,$D$5:D49)</f>
        <v>24</v>
      </c>
      <c r="C49" s="348">
        <v>45</v>
      </c>
      <c r="D49" s="315" t="s">
        <v>244</v>
      </c>
      <c r="E49" s="315" t="s">
        <v>486</v>
      </c>
      <c r="F49" s="315" t="s">
        <v>487</v>
      </c>
      <c r="G49" s="349">
        <v>45752</v>
      </c>
      <c r="H49" s="314" t="s">
        <v>247</v>
      </c>
      <c r="I49" s="315" t="s">
        <v>278</v>
      </c>
      <c r="J49" s="315"/>
      <c r="K49" s="338" t="s">
        <v>249</v>
      </c>
      <c r="L49" s="316" t="s">
        <v>250</v>
      </c>
      <c r="M49" s="316" t="s">
        <v>269</v>
      </c>
      <c r="N49" s="107">
        <v>6501</v>
      </c>
      <c r="O49" s="31" t="s">
        <v>252</v>
      </c>
      <c r="P4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9" s="87" t="e">
        <v>#N/A</v>
      </c>
      <c r="S49" s="87">
        <v>1</v>
      </c>
      <c r="T49" s="35">
        <f>Table1[[#This Row],[Progres Total Aktual
(%)]]</f>
        <v>1</v>
      </c>
      <c r="U49" s="124">
        <f>Table1[[#This Row],[Progres Aktual
(%)]]-Table1[[#This Row],[Target Progres
(%)]]</f>
        <v>0</v>
      </c>
      <c r="V49" s="350">
        <f>Table1[[#This Row],["Volume
BA MC-0"]]</f>
        <v>6208</v>
      </c>
      <c r="W49" s="351">
        <f>Table1[[#This Row],[Total Panjang Pipa Aktual
(Sum-&gt;)3]]</f>
        <v>4127</v>
      </c>
      <c r="X49" s="47"/>
      <c r="Y49" s="67" t="s">
        <v>488</v>
      </c>
      <c r="Z49" s="67">
        <v>11040926895</v>
      </c>
      <c r="AA49" s="67">
        <f>ROUND((Table1[[#This Row],[Nilai RAB Jaringan
(Exclude Ppn)]]-Table1[[#This Row],[RAB Perizinan]])*1.11+Table1[[#This Row],[RAB Perizinan]],0)</f>
        <v>0</v>
      </c>
      <c r="AB49" s="320">
        <f>SUM(Table1[[#This Row],[RAB Kegiatan Umum]:[RAB Perizinan]])</f>
        <v>0</v>
      </c>
      <c r="AC49" s="320"/>
      <c r="AD49" s="320"/>
      <c r="AE49" s="320"/>
      <c r="AF49" s="320"/>
      <c r="AG49" s="320">
        <v>5558646190</v>
      </c>
      <c r="AH49" s="35" t="e">
        <f>SUM(Table1[[#This Row],[Bobot Keg Umum]:[Bobot Perizinan]])</f>
        <v>#DIV/0!</v>
      </c>
      <c r="AI49" s="35" t="e">
        <f>Table1[[#This Row],[RAB Kegiatan Umum]]/Table1[[#This Row],[Nilai RAB Jaringan
(Exclude Ppn)]]</f>
        <v>#DIV/0!</v>
      </c>
      <c r="AJ49" s="35" t="e">
        <f>Table1[[#This Row],[RAB Pemasangan]]/Table1[[#This Row],[Nilai RAB Jaringan
(Exclude Ppn)]]</f>
        <v>#DIV/0!</v>
      </c>
      <c r="AK49" s="35" t="e">
        <f>Table1[[#This Row],[RAB Pengadaan]]/Table1[[#This Row],[Nilai RAB Jaringan
(Exclude Ppn)]]</f>
        <v>#DIV/0!</v>
      </c>
      <c r="AL49" s="35" t="e">
        <f>Table1[[#This Row],[RAB Perizinan]]/Table1[[#This Row],[Nilai RAB Jaringan
(Exclude Ppn)]]</f>
        <v>#DIV/0!</v>
      </c>
      <c r="AM49" s="47"/>
      <c r="AN49" s="285">
        <v>6208</v>
      </c>
      <c r="AO49" s="285">
        <f>SUM(Table1[[#This Row],[Pipa 63 mm]:[Pipa 1,800 mm]])</f>
        <v>0</v>
      </c>
      <c r="AP49" s="285"/>
      <c r="AQ49" s="285"/>
      <c r="AR49" s="285"/>
      <c r="AS49" s="285"/>
      <c r="AT49" s="285"/>
      <c r="AU49" s="285"/>
      <c r="AV49" s="285"/>
      <c r="AW49" s="285"/>
      <c r="AX49" s="285"/>
      <c r="AY49" s="285"/>
      <c r="AZ49" s="285"/>
      <c r="BA49" s="285"/>
      <c r="BB49" s="285"/>
      <c r="BC49" s="285"/>
      <c r="BD49" s="285"/>
      <c r="BE49" s="285"/>
      <c r="BF49" s="285"/>
      <c r="BG49" s="285"/>
      <c r="BH49" s="285"/>
      <c r="BI49" s="285"/>
      <c r="BJ49" s="36">
        <f>SUM(Table1[[#This Row],[Pipa 63 mm2]:[Pipa 1,800 mm21]])</f>
        <v>4127</v>
      </c>
      <c r="BK49" s="32">
        <v>2229.6999999999998</v>
      </c>
      <c r="BL49" s="32">
        <v>444.4</v>
      </c>
      <c r="BM49" s="32">
        <v>741.2</v>
      </c>
      <c r="BN49" s="32">
        <v>438.2</v>
      </c>
      <c r="BO49" s="32">
        <v>264.2</v>
      </c>
      <c r="BP49" s="32">
        <v>9.3000000000000007</v>
      </c>
      <c r="BQ49" s="32"/>
      <c r="BR49" s="32"/>
      <c r="BS49" s="32"/>
      <c r="BT49" s="32"/>
      <c r="BU49" s="32"/>
      <c r="BV49" s="32"/>
      <c r="BW49" s="32"/>
      <c r="BX49" s="32"/>
      <c r="BY49" s="32"/>
      <c r="BZ49" s="32"/>
      <c r="CA49" s="32"/>
      <c r="CB49" s="32"/>
      <c r="CC49" s="32"/>
      <c r="CD49" s="32"/>
      <c r="CE49" s="32">
        <v>1860</v>
      </c>
      <c r="CF49" s="32"/>
      <c r="CG49" s="32"/>
      <c r="CH49" s="32"/>
      <c r="CI49" s="32">
        <f t="shared" si="3"/>
        <v>1860</v>
      </c>
      <c r="CJ49" s="65">
        <f>IF((Table1[[#This Row],["Volume
BA MC-0"]]-Table1[[#This Row],[Total Panjang Pipa Aktual
(Sum-&gt;)3]]-Table1[[#This Row],[Total Volume
tidak dapat dipasang]])&gt;=0,Table1[[#This Row],["Volume
BA MC-0"]]-Table1[[#This Row],[Total Panjang Pipa Aktual
(Sum-&gt;)3]]-Table1[[#This Row],[Total Volume
tidak dapat dipasang]],0)</f>
        <v>221</v>
      </c>
      <c r="CK49" s="47"/>
      <c r="CL49" s="131"/>
      <c r="CM49" s="35"/>
      <c r="CN49" s="131"/>
      <c r="CO49" s="131"/>
      <c r="CP4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9" s="66">
        <f>IFERROR(Table1[[#This Row],[Progres Keg. Umum
(%)]]*Table1[[#This Row],[Nilai RAB Jaringan
(file pa aji)]],0)</f>
        <v>0</v>
      </c>
      <c r="CR49" s="66">
        <f>IFERROR(Table1[[#This Row],[Progres MOS
(%)]]*Table1[[#This Row],[Nilai RAB Jaringan
(file pa aji)]],0)</f>
        <v>0</v>
      </c>
      <c r="CS49" s="66">
        <f>IFERROR(Table1[[#This Row],[Progres Pemasangan
(%)]]*Table1[[#This Row],[Nilai RAB Jaringan
(file pa aji)]],0)</f>
        <v>0</v>
      </c>
      <c r="CT49" s="66">
        <f>IFERROR(Table1[[#This Row],[Progres Perizinan
(%)]]*Table1[[#This Row],[Nilai RAB Jaringan
(file pa aji)]],0)</f>
        <v>0</v>
      </c>
      <c r="CU49" s="329">
        <v>6237279855</v>
      </c>
      <c r="CV49" s="329">
        <v>6237279855</v>
      </c>
      <c r="CW49" s="583">
        <v>6237279855</v>
      </c>
      <c r="CX49" s="329">
        <v>6237279855</v>
      </c>
      <c r="CY49" s="47"/>
      <c r="CZ49" s="330">
        <v>45439</v>
      </c>
      <c r="DA49" s="330">
        <v>45466</v>
      </c>
      <c r="DB49" s="331"/>
      <c r="DC49" s="316"/>
      <c r="DD49" s="67"/>
      <c r="DE4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9" s="331"/>
      <c r="DG49" s="316"/>
      <c r="DH49" s="67"/>
      <c r="DI4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9" s="330">
        <v>45467</v>
      </c>
      <c r="DK49" s="330">
        <v>45536</v>
      </c>
      <c r="DL49" s="331">
        <v>45498</v>
      </c>
      <c r="DM49" s="357" t="s">
        <v>489</v>
      </c>
      <c r="DN4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9" s="331">
        <v>45530</v>
      </c>
      <c r="DP49" s="316" t="s">
        <v>490</v>
      </c>
      <c r="DQ49" s="338" t="s">
        <v>485</v>
      </c>
      <c r="DR4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9" s="330">
        <v>45467</v>
      </c>
      <c r="DT49" s="330" t="e">
        <v>#N/A</v>
      </c>
      <c r="DU49" s="330">
        <v>45508</v>
      </c>
      <c r="DV49" s="330" t="e">
        <v>#N/A</v>
      </c>
      <c r="DW49" s="331"/>
      <c r="DX49" s="316"/>
      <c r="DY49" s="334"/>
      <c r="DZ49" s="334"/>
      <c r="EA4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9" s="331"/>
      <c r="EC49" s="332"/>
      <c r="ED49" s="332"/>
      <c r="EE49" s="330"/>
      <c r="EF49" s="35">
        <v>1</v>
      </c>
      <c r="EG49" s="337">
        <v>1</v>
      </c>
      <c r="EH49" s="316" t="str">
        <f>IF(Table1[[#This Row],[PO Material Aktual 
(%)]]&gt;=100%,"Selesai PO = 100%",IF(Table1[[#This Row],[PO Material Aktual 
(%)]]&gt;=50%,"Proses PO &gt; 100%",IF(Table1[[#This Row],[PO Material Aktual 
(%)]]&gt;0%,"Proses PO &gt; 50%",IF(Table1[[#This Row],[PO Material Aktual 
(%)]]=0,"Belum PO = 0%"))))</f>
        <v>Selesai PO = 100%</v>
      </c>
      <c r="EI4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9" s="330">
        <v>45509</v>
      </c>
      <c r="EK49" s="330" t="e">
        <v>#N/A</v>
      </c>
      <c r="EL49" s="330">
        <v>45620</v>
      </c>
      <c r="EM49" s="330" t="e">
        <v>#N/A</v>
      </c>
      <c r="EN49" s="331"/>
      <c r="EO49" s="332"/>
      <c r="EP49" s="332"/>
      <c r="EQ49" s="87">
        <v>1</v>
      </c>
      <c r="ER49" s="87">
        <v>1</v>
      </c>
      <c r="ES49" s="316" t="str">
        <f>IF(Table1[[#This Row],[Progres MOS]]&gt;=100%,"Selesai MOS = 100%",IF(Table1[[#This Row],[Progres MOS]]&gt;=50%,"Proses MOS &gt; 100%",IF(Table1[[#This Row],[Progres MOS]]&gt;0%,"Proses MOS &gt; 50%",IF(Table1[[#This Row],[Progres MOS]]=0,"Belum MOS = 0%"))))</f>
        <v>Selesai MOS = 100%</v>
      </c>
      <c r="ET4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9" s="47"/>
      <c r="EV49" s="330">
        <v>45467</v>
      </c>
      <c r="EW49" s="330" t="e">
        <v>#N/A</v>
      </c>
      <c r="EX49" s="330">
        <v>45564</v>
      </c>
      <c r="EY49" s="330" t="e">
        <v>#N/A</v>
      </c>
      <c r="EZ49" s="352" t="s">
        <v>259</v>
      </c>
      <c r="FA49" s="336" t="s">
        <v>259</v>
      </c>
      <c r="FB49" s="330" t="s">
        <v>260</v>
      </c>
      <c r="FC49" s="330">
        <v>45603</v>
      </c>
      <c r="FD49" s="330" t="s">
        <v>260</v>
      </c>
      <c r="FE49" s="330">
        <v>45679</v>
      </c>
      <c r="FF49" s="330">
        <v>45698</v>
      </c>
      <c r="FG49" s="330" t="s">
        <v>260</v>
      </c>
      <c r="FH49" s="330" t="s">
        <v>260</v>
      </c>
      <c r="FI49" s="330">
        <v>45981</v>
      </c>
      <c r="FJ49" s="330" t="s">
        <v>260</v>
      </c>
      <c r="FK49" s="330">
        <v>46022</v>
      </c>
      <c r="FL49" s="336" t="s">
        <v>259</v>
      </c>
      <c r="FM49" s="336">
        <v>45603</v>
      </c>
      <c r="FN49" s="314">
        <f>IF(Table1[[#This Row],[Tanggal Pengajuan Dokumen]]="","",Table1[[#This Row],[PLAN PERMIT
start]]-Table1[[#This Row],[Tanggal Pengajuan Dokumen]])</f>
        <v>-136</v>
      </c>
      <c r="FO49" s="336"/>
      <c r="FP49" s="316"/>
      <c r="FQ49" s="338"/>
      <c r="FR49" s="352"/>
      <c r="FS49" s="338" t="str">
        <f t="shared" si="5"/>
        <v>Sudah Terbit</v>
      </c>
      <c r="FT4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9" s="344">
        <f ca="1">IF(Table1[[#This Row],[Status Izin]]="Selesai",Table1[[#This Row],[PLAN PERMIT
finish]]-Table1[[#This Row],[Tanggal Terbit/ Target Izin Terbit]],ROUNDUP(Table1[[#This Row],[PLAN PERMIT
finish]]-NOW(),0))</f>
        <v>45564</v>
      </c>
      <c r="FV4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9" s="344"/>
      <c r="FX49" s="47"/>
      <c r="FY49" s="340"/>
      <c r="FZ49" s="341"/>
      <c r="GA4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9" s="330">
        <v>45538</v>
      </c>
      <c r="GC49" s="331">
        <v>45519</v>
      </c>
      <c r="GD4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9" s="330">
        <v>45545</v>
      </c>
      <c r="GF49" s="331">
        <v>45519</v>
      </c>
      <c r="GG4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9" s="330">
        <v>45551</v>
      </c>
      <c r="GI49" s="330">
        <v>45557</v>
      </c>
      <c r="GJ49" s="353">
        <v>45523</v>
      </c>
      <c r="GK4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9" s="330">
        <v>45565</v>
      </c>
      <c r="GM49" s="330" t="e">
        <v>#N/A</v>
      </c>
      <c r="GN49" s="330">
        <v>45690</v>
      </c>
      <c r="GO49" s="330" t="e">
        <v>#N/A</v>
      </c>
      <c r="GP49" s="316"/>
      <c r="GQ4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9" s="330" t="s">
        <v>261</v>
      </c>
      <c r="GS49" s="330" t="s">
        <v>261</v>
      </c>
      <c r="GT49" s="354">
        <v>45701</v>
      </c>
      <c r="GU49" s="344" t="str">
        <f>IF(Table1[[#This Row],[Hydro Tes Actual
(tanggal)]]&lt;&gt;"","Sudah","Belum")</f>
        <v>Sudah</v>
      </c>
      <c r="GV49" s="330" t="s">
        <v>261</v>
      </c>
      <c r="GW49" s="330" t="s">
        <v>261</v>
      </c>
      <c r="GX49" s="331">
        <v>45720</v>
      </c>
      <c r="GY49" s="344" t="str">
        <f>IF(Table1[[#This Row],[Interkoneksi Actual
(tanggal)]]&lt;&gt;"","Sudah","Belum")</f>
        <v>Sudah</v>
      </c>
      <c r="GZ49" s="330" t="s">
        <v>261</v>
      </c>
      <c r="HA49" s="330" t="s">
        <v>261</v>
      </c>
      <c r="HB49" s="331">
        <v>45744</v>
      </c>
      <c r="HC49" s="344" t="str">
        <f>IF(Table1[[#This Row],[Flushing Actual
(tanggal)]]&lt;&gt;"","Sudah","Belum")</f>
        <v>Sudah</v>
      </c>
      <c r="HD49" s="330">
        <v>45677</v>
      </c>
      <c r="HE49" s="330" t="e">
        <v>#N/A</v>
      </c>
      <c r="HF49" s="330">
        <v>45683</v>
      </c>
      <c r="HG49" s="346">
        <v>45793</v>
      </c>
      <c r="HH4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9" s="330" t="s">
        <v>261</v>
      </c>
      <c r="HJ49" s="330" t="s">
        <v>261</v>
      </c>
      <c r="HK49" s="331"/>
      <c r="HL49" s="316"/>
      <c r="HM49" s="330">
        <v>45702</v>
      </c>
      <c r="HN49" s="330">
        <v>45702</v>
      </c>
      <c r="HO49" s="330" t="e">
        <v>#N/A</v>
      </c>
      <c r="HP49" s="346">
        <v>45805</v>
      </c>
      <c r="HQ4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9" s="330">
        <v>45709</v>
      </c>
      <c r="HS49" s="330"/>
      <c r="HT49" s="330">
        <v>45709</v>
      </c>
      <c r="HU49" s="527"/>
      <c r="HV49" s="330">
        <f>IF(Table1[[#This Row],[MC-100 Aktual
(tanggal)]]&lt;&gt;"",Table1[[#This Row],[MC-100 Aktual
(tanggal)]]+5,"")</f>
        <v>45810</v>
      </c>
      <c r="HW4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9" s="47"/>
      <c r="HY49" s="352"/>
      <c r="HZ49" s="352"/>
      <c r="IB49" s="618">
        <f>IFERROR(ROUND((Table1[[#This Row],[PLAN TC
finish]]-Table1[[#This Row],[PLAN MC-0
start]])/30,2),"")</f>
        <v>4.4000000000000004</v>
      </c>
      <c r="IC49">
        <f>DATEDIF(Table1[[#This Row],[PLAN MC-0
start]],Table1[[#This Row],[PLAN TC
finish]],"m")</f>
        <v>4</v>
      </c>
    </row>
    <row r="50" spans="1:237" s="4" customFormat="1" ht="15" customHeight="1" x14ac:dyDescent="0.2">
      <c r="B50" s="311">
        <f>SUBTOTAL(3,$D$5:D50)</f>
        <v>25</v>
      </c>
      <c r="C50" s="348">
        <v>46</v>
      </c>
      <c r="D50" s="315" t="s">
        <v>244</v>
      </c>
      <c r="E50" s="315" t="s">
        <v>491</v>
      </c>
      <c r="F50" s="315" t="s">
        <v>492</v>
      </c>
      <c r="G50" s="349">
        <v>45752</v>
      </c>
      <c r="H50" s="314" t="s">
        <v>247</v>
      </c>
      <c r="I50" s="315" t="s">
        <v>278</v>
      </c>
      <c r="J50" s="315"/>
      <c r="K50" s="338" t="s">
        <v>249</v>
      </c>
      <c r="L50" s="316" t="s">
        <v>250</v>
      </c>
      <c r="M50" s="316" t="s">
        <v>269</v>
      </c>
      <c r="N50" s="107">
        <v>525</v>
      </c>
      <c r="O50" s="31" t="s">
        <v>252</v>
      </c>
      <c r="P5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0" s="87" t="e">
        <v>#N/A</v>
      </c>
      <c r="S50" s="87">
        <v>1</v>
      </c>
      <c r="T50" s="35">
        <f>Table1[[#This Row],[Progres Total Aktual
(%)]]</f>
        <v>1</v>
      </c>
      <c r="U50" s="124">
        <f>Table1[[#This Row],[Progres Aktual
(%)]]-Table1[[#This Row],[Target Progres
(%)]]</f>
        <v>0</v>
      </c>
      <c r="V50" s="350">
        <f>Table1[[#This Row],["Volume
BA MC-0"]]</f>
        <v>500</v>
      </c>
      <c r="W50" s="351">
        <f>Table1[[#This Row],[Total Panjang Pipa Aktual
(Sum-&gt;)3]]</f>
        <v>466.9</v>
      </c>
      <c r="X50" s="47"/>
      <c r="Y50" s="67" t="s">
        <v>493</v>
      </c>
      <c r="Z50" s="67">
        <v>788603901</v>
      </c>
      <c r="AA50" s="67">
        <f>ROUND((Table1[[#This Row],[Nilai RAB Jaringan
(Exclude Ppn)]]-Table1[[#This Row],[RAB Perizinan]])*1.11+Table1[[#This Row],[RAB Perizinan]],0)</f>
        <v>0</v>
      </c>
      <c r="AB50" s="320">
        <f>SUM(Table1[[#This Row],[RAB Kegiatan Umum]:[RAB Perizinan]])</f>
        <v>0</v>
      </c>
      <c r="AC50" s="320"/>
      <c r="AD50" s="320"/>
      <c r="AE50" s="320"/>
      <c r="AF50" s="320"/>
      <c r="AG50" s="320">
        <v>4201779015</v>
      </c>
      <c r="AH50" s="35" t="e">
        <f>SUM(Table1[[#This Row],[Bobot Keg Umum]:[Bobot Perizinan]])</f>
        <v>#DIV/0!</v>
      </c>
      <c r="AI50" s="35" t="e">
        <f>Table1[[#This Row],[RAB Kegiatan Umum]]/Table1[[#This Row],[Nilai RAB Jaringan
(Exclude Ppn)]]</f>
        <v>#DIV/0!</v>
      </c>
      <c r="AJ50" s="35" t="e">
        <f>Table1[[#This Row],[RAB Pemasangan]]/Table1[[#This Row],[Nilai RAB Jaringan
(Exclude Ppn)]]</f>
        <v>#DIV/0!</v>
      </c>
      <c r="AK50" s="35" t="e">
        <f>Table1[[#This Row],[RAB Pengadaan]]/Table1[[#This Row],[Nilai RAB Jaringan
(Exclude Ppn)]]</f>
        <v>#DIV/0!</v>
      </c>
      <c r="AL50" s="35" t="e">
        <f>Table1[[#This Row],[RAB Perizinan]]/Table1[[#This Row],[Nilai RAB Jaringan
(Exclude Ppn)]]</f>
        <v>#DIV/0!</v>
      </c>
      <c r="AM50" s="47"/>
      <c r="AN50" s="285">
        <v>500</v>
      </c>
      <c r="AO50" s="285">
        <f>SUM(Table1[[#This Row],[Pipa 63 mm]:[Pipa 1,800 mm]])</f>
        <v>0</v>
      </c>
      <c r="AP50" s="285"/>
      <c r="AQ50" s="285"/>
      <c r="AR50" s="285"/>
      <c r="AS50" s="285"/>
      <c r="AT50" s="285"/>
      <c r="AU50" s="285"/>
      <c r="AV50" s="285"/>
      <c r="AW50" s="285"/>
      <c r="AX50" s="285"/>
      <c r="AY50" s="285"/>
      <c r="AZ50" s="285"/>
      <c r="BA50" s="285"/>
      <c r="BB50" s="285"/>
      <c r="BC50" s="285"/>
      <c r="BD50" s="285"/>
      <c r="BE50" s="285"/>
      <c r="BF50" s="285"/>
      <c r="BG50" s="285"/>
      <c r="BH50" s="285"/>
      <c r="BI50" s="285"/>
      <c r="BJ50" s="36">
        <f>SUM(Table1[[#This Row],[Pipa 63 mm2]:[Pipa 1,800 mm21]])</f>
        <v>466.9</v>
      </c>
      <c r="BK50" s="356">
        <v>424.9</v>
      </c>
      <c r="BL50" s="356">
        <v>42</v>
      </c>
      <c r="BM50" s="356"/>
      <c r="BN50" s="356"/>
      <c r="BO50" s="356"/>
      <c r="BP50" s="356"/>
      <c r="BQ50" s="356"/>
      <c r="BR50" s="356"/>
      <c r="BS50" s="356"/>
      <c r="BT50" s="356"/>
      <c r="BU50" s="356"/>
      <c r="BV50" s="356"/>
      <c r="BW50" s="356"/>
      <c r="BX50" s="356"/>
      <c r="BY50" s="356"/>
      <c r="BZ50" s="356"/>
      <c r="CA50" s="356"/>
      <c r="CB50" s="356"/>
      <c r="CC50" s="356"/>
      <c r="CD50" s="356"/>
      <c r="CE50" s="32">
        <v>278</v>
      </c>
      <c r="CF50" s="32"/>
      <c r="CG50" s="32"/>
      <c r="CH50" s="32"/>
      <c r="CI50" s="32">
        <f t="shared" si="3"/>
        <v>278</v>
      </c>
      <c r="CJ50" s="65">
        <f>IF((Table1[[#This Row],["Volume
BA MC-0"]]-Table1[[#This Row],[Total Panjang Pipa Aktual
(Sum-&gt;)3]]-Table1[[#This Row],[Total Volume
tidak dapat dipasang]])&gt;=0,Table1[[#This Row],["Volume
BA MC-0"]]-Table1[[#This Row],[Total Panjang Pipa Aktual
(Sum-&gt;)3]]-Table1[[#This Row],[Total Volume
tidak dapat dipasang]],0)</f>
        <v>0</v>
      </c>
      <c r="CK50" s="47"/>
      <c r="CL50" s="131"/>
      <c r="CM50" s="35"/>
      <c r="CN50" s="131"/>
      <c r="CO50" s="131"/>
      <c r="CP5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0" s="66">
        <f>IFERROR(Table1[[#This Row],[Progres Keg. Umum
(%)]]*Table1[[#This Row],[Nilai RAB Jaringan
(file pa aji)]],0)</f>
        <v>0</v>
      </c>
      <c r="CR50" s="66">
        <f>IFERROR(Table1[[#This Row],[Progres MOS
(%)]]*Table1[[#This Row],[Nilai RAB Jaringan
(file pa aji)]],0)</f>
        <v>0</v>
      </c>
      <c r="CS50" s="66">
        <f>IFERROR(Table1[[#This Row],[Progres Pemasangan
(%)]]*Table1[[#This Row],[Nilai RAB Jaringan
(file pa aji)]],0)</f>
        <v>0</v>
      </c>
      <c r="CT50" s="66">
        <f>IFERROR(Table1[[#This Row],[Progres Perizinan
(%)]]*Table1[[#This Row],[Nilai RAB Jaringan
(file pa aji)]],0)</f>
        <v>0</v>
      </c>
      <c r="CU50" s="329">
        <v>567304695</v>
      </c>
      <c r="CV50" s="329">
        <v>567304695</v>
      </c>
      <c r="CW50" s="583">
        <v>567304695</v>
      </c>
      <c r="CX50" s="329">
        <v>567304695</v>
      </c>
      <c r="CY50" s="47"/>
      <c r="CZ50" s="330">
        <v>45439</v>
      </c>
      <c r="DA50" s="330">
        <v>45466</v>
      </c>
      <c r="DB50" s="331"/>
      <c r="DC50" s="316"/>
      <c r="DD50" s="67"/>
      <c r="DE5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0" s="331"/>
      <c r="DG50" s="316"/>
      <c r="DH50" s="67"/>
      <c r="DI5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0" s="330">
        <v>45467</v>
      </c>
      <c r="DK50" s="330">
        <v>45536</v>
      </c>
      <c r="DL50" s="331">
        <v>45526</v>
      </c>
      <c r="DM50" s="357" t="s">
        <v>494</v>
      </c>
      <c r="DN5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0" s="331">
        <v>45560</v>
      </c>
      <c r="DP50" s="316" t="s">
        <v>495</v>
      </c>
      <c r="DQ50" s="338" t="s">
        <v>485</v>
      </c>
      <c r="DR5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50" s="330">
        <v>45467</v>
      </c>
      <c r="DT50" s="330" t="e">
        <v>#N/A</v>
      </c>
      <c r="DU50" s="330">
        <v>45508</v>
      </c>
      <c r="DV50" s="330" t="e">
        <v>#N/A</v>
      </c>
      <c r="DW50" s="331"/>
      <c r="DX50" s="316"/>
      <c r="DY50" s="334"/>
      <c r="DZ50" s="334"/>
      <c r="EA5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0" s="331"/>
      <c r="EC50" s="332"/>
      <c r="ED50" s="332"/>
      <c r="EE50" s="330"/>
      <c r="EF50" s="35">
        <v>1</v>
      </c>
      <c r="EG50" s="337">
        <v>1</v>
      </c>
      <c r="EH50" s="316" t="str">
        <f>IF(Table1[[#This Row],[PO Material Aktual 
(%)]]&gt;=100%,"Selesai PO = 100%",IF(Table1[[#This Row],[PO Material Aktual 
(%)]]&gt;=50%,"Proses PO &gt; 100%",IF(Table1[[#This Row],[PO Material Aktual 
(%)]]&gt;0%,"Proses PO &gt; 50%",IF(Table1[[#This Row],[PO Material Aktual 
(%)]]=0,"Belum PO = 0%"))))</f>
        <v>Selesai PO = 100%</v>
      </c>
      <c r="EI5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0" s="330">
        <v>45509</v>
      </c>
      <c r="EK50" s="330" t="e">
        <v>#N/A</v>
      </c>
      <c r="EL50" s="330">
        <v>45620</v>
      </c>
      <c r="EM50" s="330" t="e">
        <v>#N/A</v>
      </c>
      <c r="EN50" s="331"/>
      <c r="EO50" s="332"/>
      <c r="EP50" s="332"/>
      <c r="EQ50" s="87">
        <v>1</v>
      </c>
      <c r="ER50" s="87">
        <v>1</v>
      </c>
      <c r="ES50" s="316" t="str">
        <f>IF(Table1[[#This Row],[Progres MOS]]&gt;=100%,"Selesai MOS = 100%",IF(Table1[[#This Row],[Progres MOS]]&gt;=50%,"Proses MOS &gt; 100%",IF(Table1[[#This Row],[Progres MOS]]&gt;0%,"Proses MOS &gt; 50%",IF(Table1[[#This Row],[Progres MOS]]=0,"Belum MOS = 0%"))))</f>
        <v>Selesai MOS = 100%</v>
      </c>
      <c r="ET5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0" s="47"/>
      <c r="EV50" s="330">
        <v>45467</v>
      </c>
      <c r="EW50" s="330" t="e">
        <v>#N/A</v>
      </c>
      <c r="EX50" s="330">
        <v>45564</v>
      </c>
      <c r="EY50" s="330" t="e">
        <v>#N/A</v>
      </c>
      <c r="EZ50" s="352" t="s">
        <v>259</v>
      </c>
      <c r="FA50" s="336" t="s">
        <v>259</v>
      </c>
      <c r="FB50" s="330" t="s">
        <v>260</v>
      </c>
      <c r="FC50" s="330">
        <v>45603</v>
      </c>
      <c r="FD50" s="330" t="s">
        <v>260</v>
      </c>
      <c r="FE50" s="330">
        <v>45679</v>
      </c>
      <c r="FF50" s="330">
        <v>45698</v>
      </c>
      <c r="FG50" s="330" t="s">
        <v>260</v>
      </c>
      <c r="FH50" s="330" t="s">
        <v>260</v>
      </c>
      <c r="FI50" s="330">
        <v>45981</v>
      </c>
      <c r="FJ50" s="330" t="s">
        <v>260</v>
      </c>
      <c r="FK50" s="330">
        <v>46022</v>
      </c>
      <c r="FL50" s="336" t="s">
        <v>259</v>
      </c>
      <c r="FM50" s="336">
        <v>45603</v>
      </c>
      <c r="FN50" s="314">
        <f>IF(Table1[[#This Row],[Tanggal Pengajuan Dokumen]]="","",Table1[[#This Row],[PLAN PERMIT
start]]-Table1[[#This Row],[Tanggal Pengajuan Dokumen]])</f>
        <v>-136</v>
      </c>
      <c r="FO50" s="336"/>
      <c r="FP50" s="316"/>
      <c r="FQ50" s="338"/>
      <c r="FR50" s="352"/>
      <c r="FS50" s="338" t="str">
        <f t="shared" si="5"/>
        <v>Sudah Terbit</v>
      </c>
      <c r="FT5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0" s="344">
        <f ca="1">IF(Table1[[#This Row],[Status Izin]]="Selesai",Table1[[#This Row],[PLAN PERMIT
finish]]-Table1[[#This Row],[Tanggal Terbit/ Target Izin Terbit]],ROUNDUP(Table1[[#This Row],[PLAN PERMIT
finish]]-NOW(),0))</f>
        <v>45564</v>
      </c>
      <c r="FV5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0" s="344"/>
      <c r="FX50" s="47"/>
      <c r="FY50" s="340"/>
      <c r="FZ50" s="341"/>
      <c r="GA5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0" s="330">
        <v>45538</v>
      </c>
      <c r="GC50" s="331">
        <v>45519</v>
      </c>
      <c r="GD5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0" s="330">
        <v>45545</v>
      </c>
      <c r="GF50" s="331">
        <v>45519</v>
      </c>
      <c r="GG5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0" s="330">
        <v>45551</v>
      </c>
      <c r="GI50" s="330">
        <v>45557</v>
      </c>
      <c r="GJ50" s="353">
        <v>45523</v>
      </c>
      <c r="GK5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0" s="330">
        <v>45565</v>
      </c>
      <c r="GM50" s="330" t="e">
        <v>#N/A</v>
      </c>
      <c r="GN50" s="330">
        <v>45690</v>
      </c>
      <c r="GO50" s="330" t="e">
        <v>#N/A</v>
      </c>
      <c r="GP50" s="316"/>
      <c r="GQ5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0" s="330" t="s">
        <v>261</v>
      </c>
      <c r="GS50" s="330" t="s">
        <v>261</v>
      </c>
      <c r="GT50" s="354">
        <v>45693</v>
      </c>
      <c r="GU50" s="344" t="str">
        <f>IF(Table1[[#This Row],[Hydro Tes Actual
(tanggal)]]&lt;&gt;"","Sudah","Belum")</f>
        <v>Sudah</v>
      </c>
      <c r="GV50" s="330" t="s">
        <v>261</v>
      </c>
      <c r="GW50" s="330" t="s">
        <v>261</v>
      </c>
      <c r="GX50" s="331">
        <v>45696</v>
      </c>
      <c r="GY50" s="344" t="str">
        <f>IF(Table1[[#This Row],[Interkoneksi Actual
(tanggal)]]&lt;&gt;"","Sudah","Belum")</f>
        <v>Sudah</v>
      </c>
      <c r="GZ50" s="330" t="s">
        <v>261</v>
      </c>
      <c r="HA50" s="330" t="s">
        <v>261</v>
      </c>
      <c r="HB50" s="331">
        <v>45712</v>
      </c>
      <c r="HC50" s="344" t="str">
        <f>IF(Table1[[#This Row],[Flushing Actual
(tanggal)]]&lt;&gt;"","Sudah","Belum")</f>
        <v>Sudah</v>
      </c>
      <c r="HD50" s="330">
        <v>45677</v>
      </c>
      <c r="HE50" s="330" t="e">
        <v>#N/A</v>
      </c>
      <c r="HF50" s="330">
        <v>45683</v>
      </c>
      <c r="HG50" s="346">
        <v>45723</v>
      </c>
      <c r="HH5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0" s="330" t="s">
        <v>261</v>
      </c>
      <c r="HJ50" s="330" t="s">
        <v>261</v>
      </c>
      <c r="HK50" s="331"/>
      <c r="HL50" s="316"/>
      <c r="HM50" s="330">
        <v>45702</v>
      </c>
      <c r="HN50" s="330">
        <v>45702</v>
      </c>
      <c r="HO50" s="330" t="e">
        <v>#N/A</v>
      </c>
      <c r="HP50" s="346">
        <v>45743</v>
      </c>
      <c r="HQ5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50" s="330">
        <v>45709</v>
      </c>
      <c r="HS50" s="330"/>
      <c r="HT50" s="330">
        <v>45709</v>
      </c>
      <c r="HU50" s="527"/>
      <c r="HV50" s="330">
        <f>IF(Table1[[#This Row],[MC-100 Aktual
(tanggal)]]&lt;&gt;"",Table1[[#This Row],[MC-100 Aktual
(tanggal)]]+5,"")</f>
        <v>45748</v>
      </c>
      <c r="HW5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50" s="47"/>
      <c r="HY50" s="352"/>
      <c r="HZ50" s="352"/>
      <c r="IB50" s="618">
        <f>IFERROR(ROUND((Table1[[#This Row],[PLAN TC
finish]]-Table1[[#This Row],[PLAN MC-0
start]])/30,2),"")</f>
        <v>4.4000000000000004</v>
      </c>
      <c r="IC50">
        <f>DATEDIF(Table1[[#This Row],[PLAN MC-0
start]],Table1[[#This Row],[PLAN TC
finish]],"m")</f>
        <v>4</v>
      </c>
    </row>
    <row r="51" spans="1:237" s="4" customFormat="1" ht="15" hidden="1" customHeight="1" x14ac:dyDescent="0.2">
      <c r="B51" s="311">
        <f>SUBTOTAL(3,$D$5:D51)</f>
        <v>25</v>
      </c>
      <c r="C51" s="348">
        <v>47</v>
      </c>
      <c r="D51" s="315" t="s">
        <v>244</v>
      </c>
      <c r="E51" s="315" t="s">
        <v>496</v>
      </c>
      <c r="F51" s="315" t="s">
        <v>497</v>
      </c>
      <c r="G51" s="349">
        <v>45752</v>
      </c>
      <c r="H51" s="314" t="s">
        <v>247</v>
      </c>
      <c r="I51" s="315" t="s">
        <v>278</v>
      </c>
      <c r="J51" s="315"/>
      <c r="K51" s="338" t="s">
        <v>249</v>
      </c>
      <c r="L51" s="316" t="s">
        <v>250</v>
      </c>
      <c r="M51" s="316" t="s">
        <v>269</v>
      </c>
      <c r="N51" s="107">
        <v>1586</v>
      </c>
      <c r="O51" s="31" t="s">
        <v>252</v>
      </c>
      <c r="P5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1" s="87" t="e">
        <v>#N/A</v>
      </c>
      <c r="S51" s="87">
        <v>1</v>
      </c>
      <c r="T51" s="35">
        <f>Table1[[#This Row],[Progres Total Aktual
(%)]]</f>
        <v>1</v>
      </c>
      <c r="U51" s="124">
        <f>Table1[[#This Row],[Progres Aktual
(%)]]-Table1[[#This Row],[Target Progres
(%)]]</f>
        <v>0</v>
      </c>
      <c r="V51" s="350">
        <f>Table1[[#This Row],["Volume
BA MC-0"]]</f>
        <v>1447</v>
      </c>
      <c r="W51" s="351">
        <f>Table1[[#This Row],[Total Panjang Pipa Aktual
(Sum-&gt;)3]]</f>
        <v>1284.3</v>
      </c>
      <c r="X51" s="47"/>
      <c r="Y51" s="67" t="s">
        <v>498</v>
      </c>
      <c r="Z51" s="67">
        <v>2811131794</v>
      </c>
      <c r="AA51" s="67">
        <f>ROUND((Table1[[#This Row],[Nilai RAB Jaringan
(Exclude Ppn)]]-Table1[[#This Row],[RAB Perizinan]])*1.11+Table1[[#This Row],[RAB Perizinan]],0)</f>
        <v>0</v>
      </c>
      <c r="AB51" s="320">
        <f>SUM(Table1[[#This Row],[RAB Kegiatan Umum]:[RAB Perizinan]])</f>
        <v>0</v>
      </c>
      <c r="AC51" s="320"/>
      <c r="AD51" s="320"/>
      <c r="AE51" s="320"/>
      <c r="AF51" s="320"/>
      <c r="AG51" s="320">
        <v>3539742615</v>
      </c>
      <c r="AH51" s="35" t="e">
        <f>SUM(Table1[[#This Row],[Bobot Keg Umum]:[Bobot Perizinan]])</f>
        <v>#DIV/0!</v>
      </c>
      <c r="AI51" s="35" t="e">
        <f>Table1[[#This Row],[RAB Kegiatan Umum]]/Table1[[#This Row],[Nilai RAB Jaringan
(Exclude Ppn)]]</f>
        <v>#DIV/0!</v>
      </c>
      <c r="AJ51" s="35" t="e">
        <f>Table1[[#This Row],[RAB Pemasangan]]/Table1[[#This Row],[Nilai RAB Jaringan
(Exclude Ppn)]]</f>
        <v>#DIV/0!</v>
      </c>
      <c r="AK51" s="35" t="e">
        <f>Table1[[#This Row],[RAB Pengadaan]]/Table1[[#This Row],[Nilai RAB Jaringan
(Exclude Ppn)]]</f>
        <v>#DIV/0!</v>
      </c>
      <c r="AL51" s="35" t="e">
        <f>Table1[[#This Row],[RAB Perizinan]]/Table1[[#This Row],[Nilai RAB Jaringan
(Exclude Ppn)]]</f>
        <v>#DIV/0!</v>
      </c>
      <c r="AM51" s="47"/>
      <c r="AN51" s="285">
        <v>1447</v>
      </c>
      <c r="AO51" s="285">
        <f>SUM(Table1[[#This Row],[Pipa 63 mm]:[Pipa 1,800 mm]])</f>
        <v>0</v>
      </c>
      <c r="AP51" s="285"/>
      <c r="AQ51" s="285"/>
      <c r="AR51" s="285"/>
      <c r="AS51" s="285"/>
      <c r="AT51" s="285"/>
      <c r="AU51" s="285"/>
      <c r="AV51" s="285"/>
      <c r="AW51" s="285"/>
      <c r="AX51" s="285"/>
      <c r="AY51" s="285"/>
      <c r="AZ51" s="285"/>
      <c r="BA51" s="285"/>
      <c r="BB51" s="285"/>
      <c r="BC51" s="285"/>
      <c r="BD51" s="285"/>
      <c r="BE51" s="285"/>
      <c r="BF51" s="285"/>
      <c r="BG51" s="285"/>
      <c r="BH51" s="285"/>
      <c r="BI51" s="285"/>
      <c r="BJ51" s="36">
        <f>SUM(Table1[[#This Row],[Pipa 63 mm2]:[Pipa 1,800 mm21]])</f>
        <v>1284.3</v>
      </c>
      <c r="BK51" s="356">
        <v>485.3</v>
      </c>
      <c r="BL51" s="356">
        <v>799</v>
      </c>
      <c r="BM51" s="356"/>
      <c r="BN51" s="356"/>
      <c r="BO51" s="356"/>
      <c r="BP51" s="356"/>
      <c r="BQ51" s="356"/>
      <c r="BR51" s="356"/>
      <c r="BS51" s="356"/>
      <c r="BT51" s="356"/>
      <c r="BU51" s="356"/>
      <c r="BV51" s="356"/>
      <c r="BW51" s="356"/>
      <c r="BX51" s="356"/>
      <c r="BY51" s="356"/>
      <c r="BZ51" s="356"/>
      <c r="CA51" s="356"/>
      <c r="CB51" s="356"/>
      <c r="CC51" s="356"/>
      <c r="CD51" s="356"/>
      <c r="CE51" s="32">
        <v>298</v>
      </c>
      <c r="CF51" s="32"/>
      <c r="CG51" s="32"/>
      <c r="CH51" s="32"/>
      <c r="CI51" s="32">
        <f t="shared" si="3"/>
        <v>298</v>
      </c>
      <c r="CJ51" s="65">
        <f>IF((Table1[[#This Row],["Volume
BA MC-0"]]-Table1[[#This Row],[Total Panjang Pipa Aktual
(Sum-&gt;)3]]-Table1[[#This Row],[Total Volume
tidak dapat dipasang]])&gt;=0,Table1[[#This Row],["Volume
BA MC-0"]]-Table1[[#This Row],[Total Panjang Pipa Aktual
(Sum-&gt;)3]]-Table1[[#This Row],[Total Volume
tidak dapat dipasang]],0)</f>
        <v>0</v>
      </c>
      <c r="CK51" s="47"/>
      <c r="CL51" s="131"/>
      <c r="CM51" s="35"/>
      <c r="CN51" s="131"/>
      <c r="CO51" s="131"/>
      <c r="CP5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1" s="66">
        <f>IFERROR(Table1[[#This Row],[Progres Keg. Umum
(%)]]*Table1[[#This Row],[Nilai RAB Jaringan
(file pa aji)]],0)</f>
        <v>0</v>
      </c>
      <c r="CR51" s="66">
        <f>IFERROR(Table1[[#This Row],[Progres MOS
(%)]]*Table1[[#This Row],[Nilai RAB Jaringan
(file pa aji)]],0)</f>
        <v>0</v>
      </c>
      <c r="CS51" s="66">
        <f>IFERROR(Table1[[#This Row],[Progres Pemasangan
(%)]]*Table1[[#This Row],[Nilai RAB Jaringan
(file pa aji)]],0)</f>
        <v>0</v>
      </c>
      <c r="CT51" s="66">
        <f>IFERROR(Table1[[#This Row],[Progres Perizinan
(%)]]*Table1[[#This Row],[Nilai RAB Jaringan
(file pa aji)]],0)</f>
        <v>0</v>
      </c>
      <c r="CU51" s="329">
        <v>2017603182</v>
      </c>
      <c r="CV51" s="329">
        <v>2017603182</v>
      </c>
      <c r="CW51" s="583">
        <v>2017603182</v>
      </c>
      <c r="CX51" s="329">
        <v>2017603182</v>
      </c>
      <c r="CY51" s="47"/>
      <c r="CZ51" s="330">
        <v>45439</v>
      </c>
      <c r="DA51" s="330">
        <v>45466</v>
      </c>
      <c r="DB51" s="331"/>
      <c r="DC51" s="316"/>
      <c r="DD51" s="67"/>
      <c r="DE5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1" s="331"/>
      <c r="DG51" s="316"/>
      <c r="DH51" s="67"/>
      <c r="DI5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1" s="330">
        <v>45467</v>
      </c>
      <c r="DK51" s="330">
        <v>45536</v>
      </c>
      <c r="DL51" s="331">
        <v>45505</v>
      </c>
      <c r="DM51" s="357" t="s">
        <v>499</v>
      </c>
      <c r="DN5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1" s="331">
        <v>45530</v>
      </c>
      <c r="DP51" s="316" t="s">
        <v>500</v>
      </c>
      <c r="DQ51" s="338" t="s">
        <v>501</v>
      </c>
      <c r="DR5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1" s="330">
        <v>45467</v>
      </c>
      <c r="DT51" s="330" t="e">
        <v>#N/A</v>
      </c>
      <c r="DU51" s="330">
        <v>45508</v>
      </c>
      <c r="DV51" s="330" t="e">
        <v>#N/A</v>
      </c>
      <c r="DW51" s="331"/>
      <c r="DX51" s="316"/>
      <c r="DY51" s="334"/>
      <c r="DZ51" s="334"/>
      <c r="EA5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1" s="331"/>
      <c r="EC51" s="332"/>
      <c r="ED51" s="332"/>
      <c r="EE51" s="330"/>
      <c r="EF51" s="35">
        <v>1</v>
      </c>
      <c r="EG51" s="337">
        <v>1</v>
      </c>
      <c r="EH51" s="316" t="str">
        <f>IF(Table1[[#This Row],[PO Material Aktual 
(%)]]&gt;=100%,"Selesai PO = 100%",IF(Table1[[#This Row],[PO Material Aktual 
(%)]]&gt;=50%,"Proses PO &gt; 100%",IF(Table1[[#This Row],[PO Material Aktual 
(%)]]&gt;0%,"Proses PO &gt; 50%",IF(Table1[[#This Row],[PO Material Aktual 
(%)]]=0,"Belum PO = 0%"))))</f>
        <v>Selesai PO = 100%</v>
      </c>
      <c r="EI5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1" s="330">
        <v>45509</v>
      </c>
      <c r="EK51" s="330" t="e">
        <v>#N/A</v>
      </c>
      <c r="EL51" s="330">
        <v>45620</v>
      </c>
      <c r="EM51" s="330" t="e">
        <v>#N/A</v>
      </c>
      <c r="EN51" s="331"/>
      <c r="EO51" s="332"/>
      <c r="EP51" s="332"/>
      <c r="EQ51" s="87">
        <v>1</v>
      </c>
      <c r="ER51" s="87">
        <v>1</v>
      </c>
      <c r="ES51" s="316" t="str">
        <f>IF(Table1[[#This Row],[Progres MOS]]&gt;=100%,"Selesai MOS = 100%",IF(Table1[[#This Row],[Progres MOS]]&gt;=50%,"Proses MOS &gt; 100%",IF(Table1[[#This Row],[Progres MOS]]&gt;0%,"Proses MOS &gt; 50%",IF(Table1[[#This Row],[Progres MOS]]=0,"Belum MOS = 0%"))))</f>
        <v>Selesai MOS = 100%</v>
      </c>
      <c r="ET5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1" s="47"/>
      <c r="EV51" s="330">
        <v>45467</v>
      </c>
      <c r="EW51" s="330" t="e">
        <v>#N/A</v>
      </c>
      <c r="EX51" s="330">
        <v>45564</v>
      </c>
      <c r="EY51" s="330" t="e">
        <v>#N/A</v>
      </c>
      <c r="EZ51" s="352" t="s">
        <v>259</v>
      </c>
      <c r="FA51" s="336" t="s">
        <v>259</v>
      </c>
      <c r="FB51" s="330" t="s">
        <v>260</v>
      </c>
      <c r="FC51" s="330">
        <v>45603</v>
      </c>
      <c r="FD51" s="330" t="s">
        <v>260</v>
      </c>
      <c r="FE51" s="330">
        <v>45680</v>
      </c>
      <c r="FF51" s="330">
        <v>45698</v>
      </c>
      <c r="FG51" s="330" t="s">
        <v>260</v>
      </c>
      <c r="FH51" s="330" t="s">
        <v>260</v>
      </c>
      <c r="FI51" s="330">
        <v>45981</v>
      </c>
      <c r="FJ51" s="330" t="s">
        <v>260</v>
      </c>
      <c r="FK51" s="330">
        <v>46049</v>
      </c>
      <c r="FL51" s="336" t="s">
        <v>259</v>
      </c>
      <c r="FM51" s="336">
        <v>45603</v>
      </c>
      <c r="FN51" s="314">
        <f>IF(Table1[[#This Row],[Tanggal Pengajuan Dokumen]]="","",Table1[[#This Row],[PLAN PERMIT
start]]-Table1[[#This Row],[Tanggal Pengajuan Dokumen]])</f>
        <v>-136</v>
      </c>
      <c r="FO51" s="336"/>
      <c r="FP51" s="316"/>
      <c r="FQ51" s="338"/>
      <c r="FR51" s="352"/>
      <c r="FS51" s="338" t="str">
        <f t="shared" si="5"/>
        <v>Sudah Terbit</v>
      </c>
      <c r="FT5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1" s="344">
        <f ca="1">IF(Table1[[#This Row],[Status Izin]]="Selesai",Table1[[#This Row],[PLAN PERMIT
finish]]-Table1[[#This Row],[Tanggal Terbit/ Target Izin Terbit]],ROUNDUP(Table1[[#This Row],[PLAN PERMIT
finish]]-NOW(),0))</f>
        <v>45564</v>
      </c>
      <c r="FV5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1" s="344"/>
      <c r="FX51" s="47"/>
      <c r="FY51" s="340"/>
      <c r="FZ51" s="341"/>
      <c r="GA5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1" s="330">
        <v>45538</v>
      </c>
      <c r="GC51" s="331">
        <v>45519</v>
      </c>
      <c r="GD5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1" s="330">
        <v>45545</v>
      </c>
      <c r="GF51" s="331">
        <v>45519</v>
      </c>
      <c r="GG5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1" s="330">
        <v>45551</v>
      </c>
      <c r="GI51" s="330">
        <v>45557</v>
      </c>
      <c r="GJ51" s="353">
        <v>45527</v>
      </c>
      <c r="GK5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1" s="330">
        <v>45565</v>
      </c>
      <c r="GM51" s="330" t="e">
        <v>#N/A</v>
      </c>
      <c r="GN51" s="330">
        <v>45690</v>
      </c>
      <c r="GO51" s="330" t="e">
        <v>#N/A</v>
      </c>
      <c r="GP51" s="316"/>
      <c r="GQ5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1" s="330" t="s">
        <v>261</v>
      </c>
      <c r="GS51" s="330" t="s">
        <v>261</v>
      </c>
      <c r="GT51" s="354">
        <v>45603</v>
      </c>
      <c r="GU51" s="344" t="str">
        <f>IF(Table1[[#This Row],[Hydro Tes Actual
(tanggal)]]&lt;&gt;"","Sudah","Belum")</f>
        <v>Sudah</v>
      </c>
      <c r="GV51" s="330" t="s">
        <v>261</v>
      </c>
      <c r="GW51" s="330" t="s">
        <v>261</v>
      </c>
      <c r="GX51" s="331">
        <v>45709</v>
      </c>
      <c r="GY51" s="344" t="str">
        <f>IF(Table1[[#This Row],[Interkoneksi Actual
(tanggal)]]&lt;&gt;"","Sudah","Belum")</f>
        <v>Sudah</v>
      </c>
      <c r="GZ51" s="330" t="s">
        <v>261</v>
      </c>
      <c r="HA51" s="330" t="s">
        <v>261</v>
      </c>
      <c r="HB51" s="331">
        <v>45712</v>
      </c>
      <c r="HC51" s="344" t="str">
        <f>IF(Table1[[#This Row],[Flushing Actual
(tanggal)]]&lt;&gt;"","Sudah","Belum")</f>
        <v>Sudah</v>
      </c>
      <c r="HD51" s="330">
        <v>45677</v>
      </c>
      <c r="HE51" s="330" t="e">
        <v>#N/A</v>
      </c>
      <c r="HF51" s="330">
        <v>45683</v>
      </c>
      <c r="HG51" s="346">
        <v>45717</v>
      </c>
      <c r="HH5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1" s="330" t="s">
        <v>261</v>
      </c>
      <c r="HJ51" s="330" t="s">
        <v>261</v>
      </c>
      <c r="HK51" s="331"/>
      <c r="HL51" s="316"/>
      <c r="HM51" s="330">
        <v>45702</v>
      </c>
      <c r="HN51" s="330">
        <v>45702</v>
      </c>
      <c r="HO51" s="330" t="e">
        <v>#N/A</v>
      </c>
      <c r="HP51" s="346">
        <v>45758</v>
      </c>
      <c r="HQ5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51" s="330">
        <v>45709</v>
      </c>
      <c r="HS51" s="330"/>
      <c r="HT51" s="330">
        <v>45709</v>
      </c>
      <c r="HU51" s="527"/>
      <c r="HV51" s="330">
        <f>IF(Table1[[#This Row],[MC-100 Aktual
(tanggal)]]&lt;&gt;"",Table1[[#This Row],[MC-100 Aktual
(tanggal)]]+5,"")</f>
        <v>45763</v>
      </c>
      <c r="HW5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51" s="47"/>
      <c r="HY51" s="352"/>
      <c r="HZ51" s="352"/>
      <c r="IB51" s="618">
        <f>IFERROR(ROUND((Table1[[#This Row],[PLAN TC
finish]]-Table1[[#This Row],[PLAN MC-0
start]])/30,2),"")</f>
        <v>4.4000000000000004</v>
      </c>
      <c r="IC51">
        <f>DATEDIF(Table1[[#This Row],[PLAN MC-0
start]],Table1[[#This Row],[PLAN TC
finish]],"m")</f>
        <v>4</v>
      </c>
    </row>
    <row r="52" spans="1:237" s="4" customFormat="1" ht="15" hidden="1" customHeight="1" x14ac:dyDescent="0.2">
      <c r="B52" s="311">
        <f>SUBTOTAL(3,$D$5:D52)</f>
        <v>25</v>
      </c>
      <c r="C52" s="348">
        <v>48</v>
      </c>
      <c r="D52" s="315" t="s">
        <v>244</v>
      </c>
      <c r="E52" s="315" t="s">
        <v>502</v>
      </c>
      <c r="F52" s="315" t="s">
        <v>503</v>
      </c>
      <c r="G52" s="349">
        <v>45752</v>
      </c>
      <c r="H52" s="314" t="s">
        <v>247</v>
      </c>
      <c r="I52" s="315" t="s">
        <v>278</v>
      </c>
      <c r="J52" s="315"/>
      <c r="K52" s="338" t="s">
        <v>249</v>
      </c>
      <c r="L52" s="316" t="s">
        <v>250</v>
      </c>
      <c r="M52" s="316" t="s">
        <v>269</v>
      </c>
      <c r="N52" s="107">
        <v>1282</v>
      </c>
      <c r="O52" s="31" t="s">
        <v>252</v>
      </c>
      <c r="P5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2" s="87" t="e">
        <v>#N/A</v>
      </c>
      <c r="S52" s="87">
        <v>1</v>
      </c>
      <c r="T52" s="35">
        <f>Table1[[#This Row],[Progres Total Aktual
(%)]]</f>
        <v>1</v>
      </c>
      <c r="U52" s="124">
        <f>Table1[[#This Row],[Progres Aktual
(%)]]-Table1[[#This Row],[Target Progres
(%)]]</f>
        <v>0</v>
      </c>
      <c r="V52" s="350">
        <f>Table1[[#This Row],["Volume
BA MC-0"]]</f>
        <v>1140</v>
      </c>
      <c r="W52" s="351">
        <f>Table1[[#This Row],[Total Panjang Pipa Aktual
(Sum-&gt;)3]]</f>
        <v>536.4</v>
      </c>
      <c r="X52" s="47"/>
      <c r="Y52" s="67" t="s">
        <v>504</v>
      </c>
      <c r="Z52" s="67">
        <v>1911435195</v>
      </c>
      <c r="AA52" s="67">
        <f>ROUND((Table1[[#This Row],[Nilai RAB Jaringan
(Exclude Ppn)]]-Table1[[#This Row],[RAB Perizinan]])*1.11+Table1[[#This Row],[RAB Perizinan]],0)</f>
        <v>0</v>
      </c>
      <c r="AB52" s="320">
        <f>SUM(Table1[[#This Row],[RAB Kegiatan Umum]:[RAB Perizinan]])</f>
        <v>0</v>
      </c>
      <c r="AC52" s="320"/>
      <c r="AD52" s="320"/>
      <c r="AE52" s="320"/>
      <c r="AF52" s="320"/>
      <c r="AG52" s="320">
        <v>3271238687</v>
      </c>
      <c r="AH52" s="35" t="e">
        <f>SUM(Table1[[#This Row],[Bobot Keg Umum]:[Bobot Perizinan]])</f>
        <v>#DIV/0!</v>
      </c>
      <c r="AI52" s="35" t="e">
        <f>Table1[[#This Row],[RAB Kegiatan Umum]]/Table1[[#This Row],[Nilai RAB Jaringan
(Exclude Ppn)]]</f>
        <v>#DIV/0!</v>
      </c>
      <c r="AJ52" s="35" t="e">
        <f>Table1[[#This Row],[RAB Pemasangan]]/Table1[[#This Row],[Nilai RAB Jaringan
(Exclude Ppn)]]</f>
        <v>#DIV/0!</v>
      </c>
      <c r="AK52" s="35" t="e">
        <f>Table1[[#This Row],[RAB Pengadaan]]/Table1[[#This Row],[Nilai RAB Jaringan
(Exclude Ppn)]]</f>
        <v>#DIV/0!</v>
      </c>
      <c r="AL52" s="35" t="e">
        <f>Table1[[#This Row],[RAB Perizinan]]/Table1[[#This Row],[Nilai RAB Jaringan
(Exclude Ppn)]]</f>
        <v>#DIV/0!</v>
      </c>
      <c r="AM52" s="47"/>
      <c r="AN52" s="285">
        <v>1140</v>
      </c>
      <c r="AO52" s="285">
        <f>SUM(Table1[[#This Row],[Pipa 63 mm]:[Pipa 1,800 mm]])</f>
        <v>0</v>
      </c>
      <c r="AP52" s="285"/>
      <c r="AQ52" s="285"/>
      <c r="AR52" s="285"/>
      <c r="AS52" s="285"/>
      <c r="AT52" s="285"/>
      <c r="AU52" s="285"/>
      <c r="AV52" s="285"/>
      <c r="AW52" s="285"/>
      <c r="AX52" s="285"/>
      <c r="AY52" s="285"/>
      <c r="AZ52" s="285"/>
      <c r="BA52" s="285"/>
      <c r="BB52" s="285"/>
      <c r="BC52" s="285"/>
      <c r="BD52" s="285"/>
      <c r="BE52" s="285"/>
      <c r="BF52" s="285"/>
      <c r="BG52" s="285"/>
      <c r="BH52" s="285"/>
      <c r="BI52" s="285"/>
      <c r="BJ52" s="36">
        <f>SUM(Table1[[#This Row],[Pipa 63 mm2]:[Pipa 1,800 mm21]])</f>
        <v>536.4</v>
      </c>
      <c r="BK52" s="356">
        <v>313.3</v>
      </c>
      <c r="BL52" s="356">
        <v>223.1</v>
      </c>
      <c r="BM52" s="356"/>
      <c r="BN52" s="356"/>
      <c r="BO52" s="356"/>
      <c r="BP52" s="356"/>
      <c r="BQ52" s="356"/>
      <c r="BR52" s="356"/>
      <c r="BS52" s="356"/>
      <c r="BT52" s="356"/>
      <c r="BU52" s="356"/>
      <c r="BV52" s="356"/>
      <c r="BW52" s="356"/>
      <c r="BX52" s="356"/>
      <c r="BY52" s="356"/>
      <c r="BZ52" s="356"/>
      <c r="CA52" s="356"/>
      <c r="CB52" s="356"/>
      <c r="CC52" s="356"/>
      <c r="CD52" s="356"/>
      <c r="CE52" s="32">
        <v>763</v>
      </c>
      <c r="CF52" s="32"/>
      <c r="CG52" s="32"/>
      <c r="CH52" s="32"/>
      <c r="CI52" s="32">
        <f t="shared" si="3"/>
        <v>763</v>
      </c>
      <c r="CJ52" s="65">
        <f>IF((Table1[[#This Row],["Volume
BA MC-0"]]-Table1[[#This Row],[Total Panjang Pipa Aktual
(Sum-&gt;)3]]-Table1[[#This Row],[Total Volume
tidak dapat dipasang]])&gt;=0,Table1[[#This Row],["Volume
BA MC-0"]]-Table1[[#This Row],[Total Panjang Pipa Aktual
(Sum-&gt;)3]]-Table1[[#This Row],[Total Volume
tidak dapat dipasang]],0)</f>
        <v>0</v>
      </c>
      <c r="CK52" s="47"/>
      <c r="CL52" s="131"/>
      <c r="CM52" s="35"/>
      <c r="CN52" s="131"/>
      <c r="CO52" s="131"/>
      <c r="CP5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2" s="66">
        <f>IFERROR(Table1[[#This Row],[Progres Keg. Umum
(%)]]*Table1[[#This Row],[Nilai RAB Jaringan
(file pa aji)]],0)</f>
        <v>0</v>
      </c>
      <c r="CR52" s="66">
        <f>IFERROR(Table1[[#This Row],[Progres MOS
(%)]]*Table1[[#This Row],[Nilai RAB Jaringan
(file pa aji)]],0)</f>
        <v>0</v>
      </c>
      <c r="CS52" s="66">
        <f>IFERROR(Table1[[#This Row],[Progres Pemasangan
(%)]]*Table1[[#This Row],[Nilai RAB Jaringan
(file pa aji)]],0)</f>
        <v>0</v>
      </c>
      <c r="CT52" s="66">
        <f>IFERROR(Table1[[#This Row],[Progres Perizinan
(%)]]*Table1[[#This Row],[Nilai RAB Jaringan
(file pa aji)]],0)</f>
        <v>0</v>
      </c>
      <c r="CU52" s="329">
        <v>820145020</v>
      </c>
      <c r="CV52" s="329">
        <v>820145020</v>
      </c>
      <c r="CW52" s="583">
        <v>820145020</v>
      </c>
      <c r="CX52" s="329">
        <v>820145020</v>
      </c>
      <c r="CY52" s="47"/>
      <c r="CZ52" s="330">
        <v>45439</v>
      </c>
      <c r="DA52" s="330">
        <v>45466</v>
      </c>
      <c r="DB52" s="331"/>
      <c r="DC52" s="316"/>
      <c r="DD52" s="67"/>
      <c r="DE5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2" s="331"/>
      <c r="DG52" s="316"/>
      <c r="DH52" s="67"/>
      <c r="DI5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2" s="330">
        <v>45467</v>
      </c>
      <c r="DK52" s="330">
        <v>45536</v>
      </c>
      <c r="DL52" s="331">
        <v>45505</v>
      </c>
      <c r="DM52" s="357" t="s">
        <v>505</v>
      </c>
      <c r="DN5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2" s="331">
        <v>45527</v>
      </c>
      <c r="DP52" s="316" t="s">
        <v>506</v>
      </c>
      <c r="DQ52" s="338" t="s">
        <v>501</v>
      </c>
      <c r="DR5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2" s="330">
        <v>45467</v>
      </c>
      <c r="DT52" s="330" t="e">
        <v>#N/A</v>
      </c>
      <c r="DU52" s="330">
        <v>45508</v>
      </c>
      <c r="DV52" s="330" t="e">
        <v>#N/A</v>
      </c>
      <c r="DW52" s="331"/>
      <c r="DX52" s="316"/>
      <c r="DY52" s="334"/>
      <c r="DZ52" s="334"/>
      <c r="EA5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2" s="331"/>
      <c r="EC52" s="332"/>
      <c r="ED52" s="332"/>
      <c r="EE52" s="330"/>
      <c r="EF52" s="35">
        <v>1</v>
      </c>
      <c r="EG52" s="337">
        <v>1</v>
      </c>
      <c r="EH52" s="316" t="str">
        <f>IF(Table1[[#This Row],[PO Material Aktual 
(%)]]&gt;=100%,"Selesai PO = 100%",IF(Table1[[#This Row],[PO Material Aktual 
(%)]]&gt;=50%,"Proses PO &gt; 100%",IF(Table1[[#This Row],[PO Material Aktual 
(%)]]&gt;0%,"Proses PO &gt; 50%",IF(Table1[[#This Row],[PO Material Aktual 
(%)]]=0,"Belum PO = 0%"))))</f>
        <v>Selesai PO = 100%</v>
      </c>
      <c r="EI5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2" s="330">
        <v>45509</v>
      </c>
      <c r="EK52" s="330" t="e">
        <v>#N/A</v>
      </c>
      <c r="EL52" s="330">
        <v>45620</v>
      </c>
      <c r="EM52" s="330" t="e">
        <v>#N/A</v>
      </c>
      <c r="EN52" s="331"/>
      <c r="EO52" s="332"/>
      <c r="EP52" s="332"/>
      <c r="EQ52" s="87">
        <v>1</v>
      </c>
      <c r="ER52" s="87">
        <v>1</v>
      </c>
      <c r="ES52" s="316" t="str">
        <f>IF(Table1[[#This Row],[Progres MOS]]&gt;=100%,"Selesai MOS = 100%",IF(Table1[[#This Row],[Progres MOS]]&gt;=50%,"Proses MOS &gt; 100%",IF(Table1[[#This Row],[Progres MOS]]&gt;0%,"Proses MOS &gt; 50%",IF(Table1[[#This Row],[Progres MOS]]=0,"Belum MOS = 0%"))))</f>
        <v>Selesai MOS = 100%</v>
      </c>
      <c r="ET5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2" s="47"/>
      <c r="EV52" s="330">
        <v>45467</v>
      </c>
      <c r="EW52" s="330" t="e">
        <v>#N/A</v>
      </c>
      <c r="EX52" s="330">
        <v>45564</v>
      </c>
      <c r="EY52" s="330" t="e">
        <v>#N/A</v>
      </c>
      <c r="EZ52" s="352" t="s">
        <v>259</v>
      </c>
      <c r="FA52" s="336" t="s">
        <v>259</v>
      </c>
      <c r="FB52" s="330" t="s">
        <v>260</v>
      </c>
      <c r="FC52" s="330">
        <v>45603</v>
      </c>
      <c r="FD52" s="330" t="s">
        <v>260</v>
      </c>
      <c r="FE52" s="330">
        <v>45680</v>
      </c>
      <c r="FF52" s="330">
        <v>45698</v>
      </c>
      <c r="FG52" s="330" t="s">
        <v>260</v>
      </c>
      <c r="FH52" s="330" t="s">
        <v>260</v>
      </c>
      <c r="FI52" s="330">
        <v>45981</v>
      </c>
      <c r="FJ52" s="330" t="s">
        <v>260</v>
      </c>
      <c r="FK52" s="330">
        <v>46049</v>
      </c>
      <c r="FL52" s="336" t="s">
        <v>259</v>
      </c>
      <c r="FM52" s="336">
        <v>45603</v>
      </c>
      <c r="FN52" s="314">
        <f>IF(Table1[[#This Row],[Tanggal Pengajuan Dokumen]]="","",Table1[[#This Row],[PLAN PERMIT
start]]-Table1[[#This Row],[Tanggal Pengajuan Dokumen]])</f>
        <v>-136</v>
      </c>
      <c r="FO52" s="336"/>
      <c r="FP52" s="316"/>
      <c r="FQ52" s="338"/>
      <c r="FR52" s="352"/>
      <c r="FS52" s="338" t="str">
        <f t="shared" si="5"/>
        <v>Sudah Terbit</v>
      </c>
      <c r="FT5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2" s="344">
        <f ca="1">IF(Table1[[#This Row],[Status Izin]]="Selesai",Table1[[#This Row],[PLAN PERMIT
finish]]-Table1[[#This Row],[Tanggal Terbit/ Target Izin Terbit]],ROUNDUP(Table1[[#This Row],[PLAN PERMIT
finish]]-NOW(),0))</f>
        <v>45564</v>
      </c>
      <c r="FV5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2" s="344"/>
      <c r="FX52" s="47"/>
      <c r="FY52" s="340"/>
      <c r="FZ52" s="341"/>
      <c r="GA5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2" s="330">
        <v>45538</v>
      </c>
      <c r="GC52" s="331">
        <v>45519</v>
      </c>
      <c r="GD5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2" s="330">
        <v>45545</v>
      </c>
      <c r="GF52" s="331">
        <v>45519</v>
      </c>
      <c r="GG5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2" s="330">
        <v>45551</v>
      </c>
      <c r="GI52" s="330">
        <v>45557</v>
      </c>
      <c r="GJ52" s="353">
        <v>45528</v>
      </c>
      <c r="GK5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2" s="330">
        <v>45565</v>
      </c>
      <c r="GM52" s="330" t="e">
        <v>#N/A</v>
      </c>
      <c r="GN52" s="330">
        <v>45690</v>
      </c>
      <c r="GO52" s="330" t="e">
        <v>#N/A</v>
      </c>
      <c r="GP52" s="316"/>
      <c r="GQ5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2" s="330" t="s">
        <v>261</v>
      </c>
      <c r="GS52" s="330" t="s">
        <v>261</v>
      </c>
      <c r="GT52" s="354">
        <v>45718</v>
      </c>
      <c r="GU52" s="344" t="str">
        <f>IF(Table1[[#This Row],[Hydro Tes Actual
(tanggal)]]&lt;&gt;"","Sudah","Belum")</f>
        <v>Sudah</v>
      </c>
      <c r="GV52" s="330" t="s">
        <v>261</v>
      </c>
      <c r="GW52" s="330" t="s">
        <v>261</v>
      </c>
      <c r="GX52" s="331">
        <v>45710</v>
      </c>
      <c r="GY52" s="344" t="str">
        <f>IF(Table1[[#This Row],[Interkoneksi Actual
(tanggal)]]&lt;&gt;"","Sudah","Belum")</f>
        <v>Sudah</v>
      </c>
      <c r="GZ52" s="330" t="s">
        <v>261</v>
      </c>
      <c r="HA52" s="330" t="s">
        <v>261</v>
      </c>
      <c r="HB52" s="331">
        <v>45734</v>
      </c>
      <c r="HC52" s="344" t="str">
        <f>IF(Table1[[#This Row],[Flushing Actual
(tanggal)]]&lt;&gt;"","Sudah","Belum")</f>
        <v>Sudah</v>
      </c>
      <c r="HD52" s="330">
        <v>45677</v>
      </c>
      <c r="HE52" s="330" t="e">
        <v>#N/A</v>
      </c>
      <c r="HF52" s="330">
        <v>45683</v>
      </c>
      <c r="HG52" s="346">
        <v>45740</v>
      </c>
      <c r="HH5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2" s="330" t="s">
        <v>261</v>
      </c>
      <c r="HJ52" s="330" t="s">
        <v>261</v>
      </c>
      <c r="HK52" s="331"/>
      <c r="HL52" s="316"/>
      <c r="HM52" s="330">
        <v>45702</v>
      </c>
      <c r="HN52" s="330">
        <v>45702</v>
      </c>
      <c r="HO52" s="330" t="e">
        <v>#N/A</v>
      </c>
      <c r="HP52" s="346">
        <v>45758</v>
      </c>
      <c r="HQ5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52" s="330">
        <v>45709</v>
      </c>
      <c r="HS52" s="330"/>
      <c r="HT52" s="330">
        <v>45709</v>
      </c>
      <c r="HU52" s="527"/>
      <c r="HV52" s="330">
        <f>IF(Table1[[#This Row],[MC-100 Aktual
(tanggal)]]&lt;&gt;"",Table1[[#This Row],[MC-100 Aktual
(tanggal)]]+5,"")</f>
        <v>45763</v>
      </c>
      <c r="HW5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52" s="47"/>
      <c r="HY52" s="352"/>
      <c r="HZ52" s="352"/>
      <c r="IB52" s="618">
        <f>IFERROR(ROUND((Table1[[#This Row],[PLAN TC
finish]]-Table1[[#This Row],[PLAN MC-0
start]])/30,2),"")</f>
        <v>4.4000000000000004</v>
      </c>
      <c r="IC52">
        <f>DATEDIF(Table1[[#This Row],[PLAN MC-0
start]],Table1[[#This Row],[PLAN TC
finish]],"m")</f>
        <v>4</v>
      </c>
    </row>
    <row r="53" spans="1:237" s="4" customFormat="1" ht="15" hidden="1" customHeight="1" x14ac:dyDescent="0.2">
      <c r="B53" s="311">
        <f>SUBTOTAL(3,$D$5:D53)</f>
        <v>25</v>
      </c>
      <c r="C53" s="348">
        <v>49</v>
      </c>
      <c r="D53" s="315" t="s">
        <v>244</v>
      </c>
      <c r="E53" s="315" t="s">
        <v>507</v>
      </c>
      <c r="F53" s="315" t="s">
        <v>508</v>
      </c>
      <c r="G53" s="349">
        <v>45752</v>
      </c>
      <c r="H53" s="314" t="s">
        <v>247</v>
      </c>
      <c r="I53" s="315" t="s">
        <v>278</v>
      </c>
      <c r="J53" s="315"/>
      <c r="K53" s="338" t="s">
        <v>249</v>
      </c>
      <c r="L53" s="316" t="s">
        <v>250</v>
      </c>
      <c r="M53" s="316" t="s">
        <v>269</v>
      </c>
      <c r="N53" s="107">
        <v>3309</v>
      </c>
      <c r="O53" s="31" t="s">
        <v>252</v>
      </c>
      <c r="P5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3" s="87" t="e">
        <v>#N/A</v>
      </c>
      <c r="S53" s="87">
        <v>1</v>
      </c>
      <c r="T53" s="35">
        <f>Table1[[#This Row],[Progres Total Aktual
(%)]]</f>
        <v>1</v>
      </c>
      <c r="U53" s="124">
        <f>Table1[[#This Row],[Progres Aktual
(%)]]-Table1[[#This Row],[Target Progres
(%)]]</f>
        <v>0</v>
      </c>
      <c r="V53" s="350">
        <f>Table1[[#This Row],["Volume
BA MC-0"]]</f>
        <v>3069</v>
      </c>
      <c r="W53" s="351">
        <f>Table1[[#This Row],[Total Panjang Pipa Aktual
(Sum-&gt;)3]]</f>
        <v>1709.5</v>
      </c>
      <c r="X53" s="47"/>
      <c r="Y53" s="67" t="s">
        <v>509</v>
      </c>
      <c r="Z53" s="67">
        <v>5334810853</v>
      </c>
      <c r="AA53" s="67">
        <f>ROUND((Table1[[#This Row],[Nilai RAB Jaringan
(Exclude Ppn)]]-Table1[[#This Row],[RAB Perizinan]])*1.11+Table1[[#This Row],[RAB Perizinan]],0)</f>
        <v>0</v>
      </c>
      <c r="AB53" s="320">
        <f>SUM(Table1[[#This Row],[RAB Kegiatan Umum]:[RAB Perizinan]])</f>
        <v>0</v>
      </c>
      <c r="AC53" s="320"/>
      <c r="AD53" s="320"/>
      <c r="AE53" s="320"/>
      <c r="AF53" s="320"/>
      <c r="AG53" s="320">
        <v>4107495194</v>
      </c>
      <c r="AH53" s="35" t="e">
        <f>SUM(Table1[[#This Row],[Bobot Keg Umum]:[Bobot Perizinan]])</f>
        <v>#DIV/0!</v>
      </c>
      <c r="AI53" s="35" t="e">
        <f>Table1[[#This Row],[RAB Kegiatan Umum]]/Table1[[#This Row],[Nilai RAB Jaringan
(Exclude Ppn)]]</f>
        <v>#DIV/0!</v>
      </c>
      <c r="AJ53" s="35" t="e">
        <f>Table1[[#This Row],[RAB Pemasangan]]/Table1[[#This Row],[Nilai RAB Jaringan
(Exclude Ppn)]]</f>
        <v>#DIV/0!</v>
      </c>
      <c r="AK53" s="35" t="e">
        <f>Table1[[#This Row],[RAB Pengadaan]]/Table1[[#This Row],[Nilai RAB Jaringan
(Exclude Ppn)]]</f>
        <v>#DIV/0!</v>
      </c>
      <c r="AL53" s="35" t="e">
        <f>Table1[[#This Row],[RAB Perizinan]]/Table1[[#This Row],[Nilai RAB Jaringan
(Exclude Ppn)]]</f>
        <v>#DIV/0!</v>
      </c>
      <c r="AM53" s="47"/>
      <c r="AN53" s="285">
        <v>3069</v>
      </c>
      <c r="AO53" s="285">
        <f>SUM(Table1[[#This Row],[Pipa 63 mm]:[Pipa 1,800 mm]])</f>
        <v>0</v>
      </c>
      <c r="AP53" s="285"/>
      <c r="AQ53" s="285"/>
      <c r="AR53" s="285"/>
      <c r="AS53" s="285"/>
      <c r="AT53" s="285"/>
      <c r="AU53" s="285"/>
      <c r="AV53" s="285"/>
      <c r="AW53" s="285"/>
      <c r="AX53" s="285"/>
      <c r="AY53" s="285"/>
      <c r="AZ53" s="285"/>
      <c r="BA53" s="285"/>
      <c r="BB53" s="285"/>
      <c r="BC53" s="285"/>
      <c r="BD53" s="285"/>
      <c r="BE53" s="285"/>
      <c r="BF53" s="285"/>
      <c r="BG53" s="285"/>
      <c r="BH53" s="285"/>
      <c r="BI53" s="285"/>
      <c r="BJ53" s="36">
        <f>SUM(Table1[[#This Row],[Pipa 63 mm2]:[Pipa 1,800 mm21]])</f>
        <v>1709.5</v>
      </c>
      <c r="BK53" s="356">
        <v>526.29999999999995</v>
      </c>
      <c r="BL53" s="356">
        <v>170.1</v>
      </c>
      <c r="BM53" s="356">
        <v>340.4</v>
      </c>
      <c r="BN53" s="356">
        <v>672.7</v>
      </c>
      <c r="BO53" s="356"/>
      <c r="BP53" s="356"/>
      <c r="BQ53" s="356"/>
      <c r="BR53" s="356"/>
      <c r="BS53" s="356"/>
      <c r="BT53" s="356"/>
      <c r="BU53" s="356"/>
      <c r="BV53" s="356"/>
      <c r="BW53" s="356"/>
      <c r="BX53" s="356"/>
      <c r="BY53" s="356"/>
      <c r="BZ53" s="356"/>
      <c r="CA53" s="356"/>
      <c r="CB53" s="356"/>
      <c r="CC53" s="356"/>
      <c r="CD53" s="356"/>
      <c r="CE53" s="32">
        <v>1673</v>
      </c>
      <c r="CF53" s="32"/>
      <c r="CG53" s="32"/>
      <c r="CH53" s="32"/>
      <c r="CI53" s="32">
        <f t="shared" si="3"/>
        <v>1673</v>
      </c>
      <c r="CJ53" s="65">
        <f>IF((Table1[[#This Row],["Volume
BA MC-0"]]-Table1[[#This Row],[Total Panjang Pipa Aktual
(Sum-&gt;)3]]-Table1[[#This Row],[Total Volume
tidak dapat dipasang]])&gt;=0,Table1[[#This Row],["Volume
BA MC-0"]]-Table1[[#This Row],[Total Panjang Pipa Aktual
(Sum-&gt;)3]]-Table1[[#This Row],[Total Volume
tidak dapat dipasang]],0)</f>
        <v>0</v>
      </c>
      <c r="CK53" s="47"/>
      <c r="CL53" s="131"/>
      <c r="CM53" s="35"/>
      <c r="CN53" s="131"/>
      <c r="CO53" s="131"/>
      <c r="CP5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3" s="66">
        <f>IFERROR(Table1[[#This Row],[Progres Keg. Umum
(%)]]*Table1[[#This Row],[Nilai RAB Jaringan
(file pa aji)]],0)</f>
        <v>0</v>
      </c>
      <c r="CR53" s="66">
        <f>IFERROR(Table1[[#This Row],[Progres MOS
(%)]]*Table1[[#This Row],[Nilai RAB Jaringan
(file pa aji)]],0)</f>
        <v>0</v>
      </c>
      <c r="CS53" s="66">
        <f>IFERROR(Table1[[#This Row],[Progres Pemasangan
(%)]]*Table1[[#This Row],[Nilai RAB Jaringan
(file pa aji)]],0)</f>
        <v>0</v>
      </c>
      <c r="CT53" s="66">
        <f>IFERROR(Table1[[#This Row],[Progres Perizinan
(%)]]*Table1[[#This Row],[Nilai RAB Jaringan
(file pa aji)]],0)</f>
        <v>0</v>
      </c>
      <c r="CU53" s="329">
        <v>3080878239</v>
      </c>
      <c r="CV53" s="329">
        <v>3080878239</v>
      </c>
      <c r="CW53" s="583">
        <v>3080878239</v>
      </c>
      <c r="CX53" s="329">
        <v>3080878239</v>
      </c>
      <c r="CY53" s="47"/>
      <c r="CZ53" s="330">
        <v>45439</v>
      </c>
      <c r="DA53" s="330">
        <v>45466</v>
      </c>
      <c r="DB53" s="331"/>
      <c r="DC53" s="316"/>
      <c r="DD53" s="67"/>
      <c r="DE5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3" s="331"/>
      <c r="DG53" s="316"/>
      <c r="DH53" s="67"/>
      <c r="DI5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3" s="330">
        <v>45467</v>
      </c>
      <c r="DK53" s="330">
        <v>45536</v>
      </c>
      <c r="DL53" s="331">
        <v>45506</v>
      </c>
      <c r="DM53" s="357" t="s">
        <v>510</v>
      </c>
      <c r="DN5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3" s="331">
        <v>45527</v>
      </c>
      <c r="DP53" s="316" t="s">
        <v>511</v>
      </c>
      <c r="DQ53" s="338" t="s">
        <v>501</v>
      </c>
      <c r="DR5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3" s="330">
        <v>45467</v>
      </c>
      <c r="DT53" s="330" t="e">
        <v>#N/A</v>
      </c>
      <c r="DU53" s="330">
        <v>45508</v>
      </c>
      <c r="DV53" s="330" t="e">
        <v>#N/A</v>
      </c>
      <c r="DW53" s="331"/>
      <c r="DX53" s="316"/>
      <c r="DY53" s="334"/>
      <c r="DZ53" s="334"/>
      <c r="EA5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3" s="331"/>
      <c r="EC53" s="332"/>
      <c r="ED53" s="332"/>
      <c r="EE53" s="330"/>
      <c r="EF53" s="35">
        <v>1</v>
      </c>
      <c r="EG53" s="337">
        <v>1</v>
      </c>
      <c r="EH53" s="316" t="str">
        <f>IF(Table1[[#This Row],[PO Material Aktual 
(%)]]&gt;=100%,"Selesai PO = 100%",IF(Table1[[#This Row],[PO Material Aktual 
(%)]]&gt;=50%,"Proses PO &gt; 100%",IF(Table1[[#This Row],[PO Material Aktual 
(%)]]&gt;0%,"Proses PO &gt; 50%",IF(Table1[[#This Row],[PO Material Aktual 
(%)]]=0,"Belum PO = 0%"))))</f>
        <v>Selesai PO = 100%</v>
      </c>
      <c r="EI5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3" s="330">
        <v>45509</v>
      </c>
      <c r="EK53" s="330" t="e">
        <v>#N/A</v>
      </c>
      <c r="EL53" s="330">
        <v>45620</v>
      </c>
      <c r="EM53" s="330" t="e">
        <v>#N/A</v>
      </c>
      <c r="EN53" s="331"/>
      <c r="EO53" s="332"/>
      <c r="EP53" s="332"/>
      <c r="EQ53" s="87">
        <v>1</v>
      </c>
      <c r="ER53" s="87">
        <v>1</v>
      </c>
      <c r="ES53" s="316" t="str">
        <f>IF(Table1[[#This Row],[Progres MOS]]&gt;=100%,"Selesai MOS = 100%",IF(Table1[[#This Row],[Progres MOS]]&gt;=50%,"Proses MOS &gt; 100%",IF(Table1[[#This Row],[Progres MOS]]&gt;0%,"Proses MOS &gt; 50%",IF(Table1[[#This Row],[Progres MOS]]=0,"Belum MOS = 0%"))))</f>
        <v>Selesai MOS = 100%</v>
      </c>
      <c r="ET5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3" s="47"/>
      <c r="EV53" s="330">
        <v>45467</v>
      </c>
      <c r="EW53" s="330" t="e">
        <v>#N/A</v>
      </c>
      <c r="EX53" s="330">
        <v>45564</v>
      </c>
      <c r="EY53" s="330" t="e">
        <v>#N/A</v>
      </c>
      <c r="EZ53" s="352" t="s">
        <v>259</v>
      </c>
      <c r="FA53" s="336" t="s">
        <v>259</v>
      </c>
      <c r="FB53" s="330" t="s">
        <v>260</v>
      </c>
      <c r="FC53" s="330">
        <v>45603</v>
      </c>
      <c r="FD53" s="330" t="s">
        <v>260</v>
      </c>
      <c r="FE53" s="330">
        <v>45680</v>
      </c>
      <c r="FF53" s="330">
        <v>45698</v>
      </c>
      <c r="FG53" s="330" t="s">
        <v>260</v>
      </c>
      <c r="FH53" s="330" t="s">
        <v>260</v>
      </c>
      <c r="FI53" s="330">
        <v>45981</v>
      </c>
      <c r="FJ53" s="330" t="s">
        <v>260</v>
      </c>
      <c r="FK53" s="330">
        <v>46049</v>
      </c>
      <c r="FL53" s="336" t="s">
        <v>259</v>
      </c>
      <c r="FM53" s="336">
        <v>45603</v>
      </c>
      <c r="FN53" s="314">
        <f>IF(Table1[[#This Row],[Tanggal Pengajuan Dokumen]]="","",Table1[[#This Row],[PLAN PERMIT
start]]-Table1[[#This Row],[Tanggal Pengajuan Dokumen]])</f>
        <v>-136</v>
      </c>
      <c r="FO53" s="336"/>
      <c r="FP53" s="316"/>
      <c r="FQ53" s="338"/>
      <c r="FR53" s="352"/>
      <c r="FS53" s="338" t="str">
        <f t="shared" si="5"/>
        <v>Sudah Terbit</v>
      </c>
      <c r="FT5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3" s="344">
        <f ca="1">IF(Table1[[#This Row],[Status Izin]]="Selesai",Table1[[#This Row],[PLAN PERMIT
finish]]-Table1[[#This Row],[Tanggal Terbit/ Target Izin Terbit]],ROUNDUP(Table1[[#This Row],[PLAN PERMIT
finish]]-NOW(),0))</f>
        <v>45564</v>
      </c>
      <c r="FV5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3" s="344"/>
      <c r="FX53" s="47"/>
      <c r="FY53" s="340"/>
      <c r="FZ53" s="341"/>
      <c r="GA5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3" s="330">
        <v>45538</v>
      </c>
      <c r="GC53" s="331">
        <v>45519</v>
      </c>
      <c r="GD5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3" s="330">
        <v>45545</v>
      </c>
      <c r="GF53" s="331">
        <v>45519</v>
      </c>
      <c r="GG5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3" s="330">
        <v>45551</v>
      </c>
      <c r="GI53" s="330">
        <v>45557</v>
      </c>
      <c r="GJ53" s="353">
        <v>45530</v>
      </c>
      <c r="GK5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3" s="330">
        <v>45565</v>
      </c>
      <c r="GM53" s="330" t="e">
        <v>#N/A</v>
      </c>
      <c r="GN53" s="330">
        <v>45690</v>
      </c>
      <c r="GO53" s="330" t="e">
        <v>#N/A</v>
      </c>
      <c r="GP53" s="316"/>
      <c r="GQ5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3" s="330" t="s">
        <v>261</v>
      </c>
      <c r="GS53" s="330" t="s">
        <v>261</v>
      </c>
      <c r="GT53" s="354">
        <v>45722</v>
      </c>
      <c r="GU53" s="344" t="str">
        <f>IF(Table1[[#This Row],[Hydro Tes Actual
(tanggal)]]&lt;&gt;"","Sudah","Belum")</f>
        <v>Sudah</v>
      </c>
      <c r="GV53" s="330" t="s">
        <v>261</v>
      </c>
      <c r="GW53" s="330" t="s">
        <v>261</v>
      </c>
      <c r="GX53" s="331">
        <v>45717</v>
      </c>
      <c r="GY53" s="344" t="str">
        <f>IF(Table1[[#This Row],[Interkoneksi Actual
(tanggal)]]&lt;&gt;"","Sudah","Belum")</f>
        <v>Sudah</v>
      </c>
      <c r="GZ53" s="330" t="s">
        <v>261</v>
      </c>
      <c r="HA53" s="330" t="s">
        <v>261</v>
      </c>
      <c r="HB53" s="331">
        <v>45734</v>
      </c>
      <c r="HC53" s="344" t="str">
        <f>IF(Table1[[#This Row],[Flushing Actual
(tanggal)]]&lt;&gt;"","Sudah","Belum")</f>
        <v>Sudah</v>
      </c>
      <c r="HD53" s="330">
        <v>45677</v>
      </c>
      <c r="HE53" s="330" t="e">
        <v>#N/A</v>
      </c>
      <c r="HF53" s="330">
        <v>45683</v>
      </c>
      <c r="HG53" s="346">
        <v>45742</v>
      </c>
      <c r="HH5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3" s="330" t="s">
        <v>261</v>
      </c>
      <c r="HJ53" s="330" t="s">
        <v>261</v>
      </c>
      <c r="HK53" s="331"/>
      <c r="HL53" s="316"/>
      <c r="HM53" s="330">
        <v>45702</v>
      </c>
      <c r="HN53" s="330">
        <v>45702</v>
      </c>
      <c r="HO53" s="330" t="e">
        <v>#N/A</v>
      </c>
      <c r="HP53" s="346">
        <v>45758</v>
      </c>
      <c r="HQ5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53" s="330">
        <v>45709</v>
      </c>
      <c r="HS53" s="330"/>
      <c r="HT53" s="330">
        <v>45709</v>
      </c>
      <c r="HU53" s="527"/>
      <c r="HV53" s="330">
        <f>IF(Table1[[#This Row],[MC-100 Aktual
(tanggal)]]&lt;&gt;"",Table1[[#This Row],[MC-100 Aktual
(tanggal)]]+5,"")</f>
        <v>45763</v>
      </c>
      <c r="HW5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53" s="47"/>
      <c r="HY53" s="352"/>
      <c r="HZ53" s="352"/>
      <c r="IB53" s="618">
        <f>IFERROR(ROUND((Table1[[#This Row],[PLAN TC
finish]]-Table1[[#This Row],[PLAN MC-0
start]])/30,2),"")</f>
        <v>4.4000000000000004</v>
      </c>
      <c r="IC53">
        <f>DATEDIF(Table1[[#This Row],[PLAN MC-0
start]],Table1[[#This Row],[PLAN TC
finish]],"m")</f>
        <v>4</v>
      </c>
    </row>
    <row r="54" spans="1:237" s="4" customFormat="1" ht="15" customHeight="1" x14ac:dyDescent="0.2">
      <c r="B54" s="311">
        <f>SUBTOTAL(3,$D$5:D54)</f>
        <v>26</v>
      </c>
      <c r="C54" s="348">
        <v>50</v>
      </c>
      <c r="D54" s="315" t="s">
        <v>244</v>
      </c>
      <c r="E54" s="315" t="s">
        <v>512</v>
      </c>
      <c r="F54" s="315" t="s">
        <v>513</v>
      </c>
      <c r="G54" s="349">
        <v>45752</v>
      </c>
      <c r="H54" s="314" t="s">
        <v>247</v>
      </c>
      <c r="I54" s="315" t="s">
        <v>278</v>
      </c>
      <c r="J54" s="315"/>
      <c r="K54" s="338" t="s">
        <v>249</v>
      </c>
      <c r="L54" s="316" t="s">
        <v>250</v>
      </c>
      <c r="M54" s="316" t="s">
        <v>269</v>
      </c>
      <c r="N54" s="107">
        <v>2287</v>
      </c>
      <c r="O54" s="31" t="s">
        <v>252</v>
      </c>
      <c r="P54"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4" s="87" t="e">
        <v>#N/A</v>
      </c>
      <c r="S54" s="87">
        <v>1</v>
      </c>
      <c r="T54" s="35">
        <f>Table1[[#This Row],[Progres Total Aktual
(%)]]</f>
        <v>1</v>
      </c>
      <c r="U54" s="124">
        <f>Table1[[#This Row],[Progres Aktual
(%)]]-Table1[[#This Row],[Target Progres
(%)]]</f>
        <v>0</v>
      </c>
      <c r="V54" s="350">
        <f>Table1[[#This Row],["Volume
BA MC-0"]]</f>
        <v>2197</v>
      </c>
      <c r="W54" s="351">
        <f>Table1[[#This Row],[Total Panjang Pipa Aktual
(Sum-&gt;)3]]</f>
        <v>1357.6</v>
      </c>
      <c r="X54" s="47"/>
      <c r="Y54" s="67" t="s">
        <v>514</v>
      </c>
      <c r="Z54" s="67">
        <v>3272811907</v>
      </c>
      <c r="AA54" s="67">
        <f>ROUND((Table1[[#This Row],[Nilai RAB Jaringan
(Exclude Ppn)]]-Table1[[#This Row],[RAB Perizinan]])*1.11+Table1[[#This Row],[RAB Perizinan]],0)</f>
        <v>0</v>
      </c>
      <c r="AB54" s="320">
        <f>SUM(Table1[[#This Row],[RAB Kegiatan Umum]:[RAB Perizinan]])</f>
        <v>0</v>
      </c>
      <c r="AC54" s="320"/>
      <c r="AD54" s="320"/>
      <c r="AE54" s="320"/>
      <c r="AF54" s="320"/>
      <c r="AG54" s="320">
        <v>7382833177</v>
      </c>
      <c r="AH54" s="35" t="e">
        <f>SUM(Table1[[#This Row],[Bobot Keg Umum]:[Bobot Perizinan]])</f>
        <v>#DIV/0!</v>
      </c>
      <c r="AI54" s="35" t="e">
        <f>Table1[[#This Row],[RAB Kegiatan Umum]]/Table1[[#This Row],[Nilai RAB Jaringan
(Exclude Ppn)]]</f>
        <v>#DIV/0!</v>
      </c>
      <c r="AJ54" s="35" t="e">
        <f>Table1[[#This Row],[RAB Pemasangan]]/Table1[[#This Row],[Nilai RAB Jaringan
(Exclude Ppn)]]</f>
        <v>#DIV/0!</v>
      </c>
      <c r="AK54" s="35" t="e">
        <f>Table1[[#This Row],[RAB Pengadaan]]/Table1[[#This Row],[Nilai RAB Jaringan
(Exclude Ppn)]]</f>
        <v>#DIV/0!</v>
      </c>
      <c r="AL54" s="35" t="e">
        <f>Table1[[#This Row],[RAB Perizinan]]/Table1[[#This Row],[Nilai RAB Jaringan
(Exclude Ppn)]]</f>
        <v>#DIV/0!</v>
      </c>
      <c r="AM54" s="47"/>
      <c r="AN54" s="285">
        <v>2197</v>
      </c>
      <c r="AO54" s="285">
        <f>SUM(Table1[[#This Row],[Pipa 63 mm]:[Pipa 1,800 mm]])</f>
        <v>0</v>
      </c>
      <c r="AP54" s="285"/>
      <c r="AQ54" s="285"/>
      <c r="AR54" s="285"/>
      <c r="AS54" s="285"/>
      <c r="AT54" s="285"/>
      <c r="AU54" s="285"/>
      <c r="AV54" s="285"/>
      <c r="AW54" s="285"/>
      <c r="AX54" s="285"/>
      <c r="AY54" s="285"/>
      <c r="AZ54" s="285"/>
      <c r="BA54" s="285"/>
      <c r="BB54" s="285"/>
      <c r="BC54" s="285"/>
      <c r="BD54" s="285"/>
      <c r="BE54" s="285"/>
      <c r="BF54" s="285"/>
      <c r="BG54" s="285"/>
      <c r="BH54" s="285"/>
      <c r="BI54" s="285"/>
      <c r="BJ54" s="36">
        <f>SUM(Table1[[#This Row],[Pipa 63 mm2]:[Pipa 1,800 mm21]])</f>
        <v>1357.6</v>
      </c>
      <c r="BK54" s="356">
        <v>1357.6</v>
      </c>
      <c r="BL54" s="356"/>
      <c r="BM54" s="356"/>
      <c r="BN54" s="356"/>
      <c r="BO54" s="356"/>
      <c r="BP54" s="356"/>
      <c r="BQ54" s="356"/>
      <c r="BR54" s="356"/>
      <c r="BS54" s="356"/>
      <c r="BT54" s="356"/>
      <c r="BU54" s="356"/>
      <c r="BV54" s="356"/>
      <c r="BW54" s="356"/>
      <c r="BX54" s="356"/>
      <c r="BY54" s="356"/>
      <c r="BZ54" s="356"/>
      <c r="CA54" s="356"/>
      <c r="CB54" s="356"/>
      <c r="CC54" s="356"/>
      <c r="CD54" s="356"/>
      <c r="CE54" s="32">
        <v>984</v>
      </c>
      <c r="CF54" s="32"/>
      <c r="CG54" s="32"/>
      <c r="CH54" s="32"/>
      <c r="CI54" s="32">
        <f t="shared" si="3"/>
        <v>984</v>
      </c>
      <c r="CJ54" s="65">
        <f>IF((Table1[[#This Row],["Volume
BA MC-0"]]-Table1[[#This Row],[Total Panjang Pipa Aktual
(Sum-&gt;)3]]-Table1[[#This Row],[Total Volume
tidak dapat dipasang]])&gt;=0,Table1[[#This Row],["Volume
BA MC-0"]]-Table1[[#This Row],[Total Panjang Pipa Aktual
(Sum-&gt;)3]]-Table1[[#This Row],[Total Volume
tidak dapat dipasang]],0)</f>
        <v>0</v>
      </c>
      <c r="CK54" s="47"/>
      <c r="CL54" s="131"/>
      <c r="CM54" s="35"/>
      <c r="CN54" s="131"/>
      <c r="CO54" s="131"/>
      <c r="CP5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4" s="66">
        <f>IFERROR(Table1[[#This Row],[Progres Keg. Umum
(%)]]*Table1[[#This Row],[Nilai RAB Jaringan
(file pa aji)]],0)</f>
        <v>0</v>
      </c>
      <c r="CR54" s="66">
        <f>IFERROR(Table1[[#This Row],[Progres MOS
(%)]]*Table1[[#This Row],[Nilai RAB Jaringan
(file pa aji)]],0)</f>
        <v>0</v>
      </c>
      <c r="CS54" s="66">
        <f>IFERROR(Table1[[#This Row],[Progres Pemasangan
(%)]]*Table1[[#This Row],[Nilai RAB Jaringan
(file pa aji)]],0)</f>
        <v>0</v>
      </c>
      <c r="CT54" s="66">
        <f>IFERROR(Table1[[#This Row],[Progres Perizinan
(%)]]*Table1[[#This Row],[Nilai RAB Jaringan
(file pa aji)]],0)</f>
        <v>0</v>
      </c>
      <c r="CU54" s="329">
        <v>3601671426</v>
      </c>
      <c r="CV54" s="329">
        <v>3601671426</v>
      </c>
      <c r="CW54" s="583">
        <v>3601671426</v>
      </c>
      <c r="CX54" s="329">
        <v>3601671426</v>
      </c>
      <c r="CY54" s="47"/>
      <c r="CZ54" s="330">
        <v>45439</v>
      </c>
      <c r="DA54" s="330">
        <v>45466</v>
      </c>
      <c r="DB54" s="331"/>
      <c r="DC54" s="316"/>
      <c r="DD54" s="67"/>
      <c r="DE5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4" s="331"/>
      <c r="DG54" s="316"/>
      <c r="DH54" s="67"/>
      <c r="DI5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4" s="330">
        <v>45467</v>
      </c>
      <c r="DK54" s="330">
        <v>45536</v>
      </c>
      <c r="DL54" s="331">
        <v>45489</v>
      </c>
      <c r="DM54" s="357" t="s">
        <v>515</v>
      </c>
      <c r="DN5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4" s="331">
        <v>45523</v>
      </c>
      <c r="DP54" s="316" t="s">
        <v>516</v>
      </c>
      <c r="DQ54" s="338" t="s">
        <v>275</v>
      </c>
      <c r="DR5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4" s="330">
        <v>45467</v>
      </c>
      <c r="DT54" s="330" t="e">
        <v>#N/A</v>
      </c>
      <c r="DU54" s="330">
        <v>45508</v>
      </c>
      <c r="DV54" s="330" t="e">
        <v>#N/A</v>
      </c>
      <c r="DW54" s="331"/>
      <c r="DX54" s="316"/>
      <c r="DY54" s="334"/>
      <c r="DZ54" s="334"/>
      <c r="EA5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4" s="331"/>
      <c r="EC54" s="332"/>
      <c r="ED54" s="332"/>
      <c r="EE54" s="330"/>
      <c r="EF54" s="35">
        <v>1</v>
      </c>
      <c r="EG54" s="337">
        <v>1</v>
      </c>
      <c r="EH54" s="316" t="str">
        <f>IF(Table1[[#This Row],[PO Material Aktual 
(%)]]&gt;=100%,"Selesai PO = 100%",IF(Table1[[#This Row],[PO Material Aktual 
(%)]]&gt;=50%,"Proses PO &gt; 100%",IF(Table1[[#This Row],[PO Material Aktual 
(%)]]&gt;0%,"Proses PO &gt; 50%",IF(Table1[[#This Row],[PO Material Aktual 
(%)]]=0,"Belum PO = 0%"))))</f>
        <v>Selesai PO = 100%</v>
      </c>
      <c r="EI5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4" s="330">
        <v>45509</v>
      </c>
      <c r="EK54" s="330" t="e">
        <v>#N/A</v>
      </c>
      <c r="EL54" s="330">
        <v>45620</v>
      </c>
      <c r="EM54" s="330" t="e">
        <v>#N/A</v>
      </c>
      <c r="EN54" s="331"/>
      <c r="EO54" s="332"/>
      <c r="EP54" s="332"/>
      <c r="EQ54" s="87">
        <v>1</v>
      </c>
      <c r="ER54" s="87">
        <v>1</v>
      </c>
      <c r="ES54" s="316" t="str">
        <f>IF(Table1[[#This Row],[Progres MOS]]&gt;=100%,"Selesai MOS = 100%",IF(Table1[[#This Row],[Progres MOS]]&gt;=50%,"Proses MOS &gt; 100%",IF(Table1[[#This Row],[Progres MOS]]&gt;0%,"Proses MOS &gt; 50%",IF(Table1[[#This Row],[Progres MOS]]=0,"Belum MOS = 0%"))))</f>
        <v>Selesai MOS = 100%</v>
      </c>
      <c r="ET5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4" s="47"/>
      <c r="EV54" s="330">
        <v>45467</v>
      </c>
      <c r="EW54" s="330" t="e">
        <v>#N/A</v>
      </c>
      <c r="EX54" s="330">
        <v>45564</v>
      </c>
      <c r="EY54" s="330" t="e">
        <v>#N/A</v>
      </c>
      <c r="EZ54" s="352" t="s">
        <v>259</v>
      </c>
      <c r="FA54" s="336" t="s">
        <v>259</v>
      </c>
      <c r="FB54" s="330" t="s">
        <v>260</v>
      </c>
      <c r="FC54" s="330">
        <v>45204</v>
      </c>
      <c r="FD54" s="330" t="s">
        <v>260</v>
      </c>
      <c r="FE54" s="330"/>
      <c r="FF54" s="330">
        <v>45496</v>
      </c>
      <c r="FG54" s="330" t="s">
        <v>260</v>
      </c>
      <c r="FH54" s="330" t="s">
        <v>260</v>
      </c>
      <c r="FI54" s="330">
        <v>45512</v>
      </c>
      <c r="FJ54" s="330" t="s">
        <v>260</v>
      </c>
      <c r="FK54" s="330">
        <v>45791</v>
      </c>
      <c r="FL54" s="336" t="s">
        <v>259</v>
      </c>
      <c r="FM54" s="336">
        <v>45204</v>
      </c>
      <c r="FN54" s="314">
        <f>IF(Table1[[#This Row],[Tanggal Pengajuan Dokumen]]="","",Table1[[#This Row],[PLAN PERMIT
start]]-Table1[[#This Row],[Tanggal Pengajuan Dokumen]])</f>
        <v>263</v>
      </c>
      <c r="FO54" s="336">
        <v>45791</v>
      </c>
      <c r="FP54" s="316"/>
      <c r="FQ54" s="338"/>
      <c r="FR54" s="352"/>
      <c r="FS54" s="338" t="str">
        <f t="shared" si="5"/>
        <v>Sudah Terbit</v>
      </c>
      <c r="FT5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4" s="344">
        <f ca="1">IF(Table1[[#This Row],[Status Izin]]="Selesai",Table1[[#This Row],[PLAN PERMIT
finish]]-Table1[[#This Row],[Tanggal Terbit/ Target Izin Terbit]],ROUNDUP(Table1[[#This Row],[PLAN PERMIT
finish]]-NOW(),0))</f>
        <v>-227</v>
      </c>
      <c r="FV5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4" s="344"/>
      <c r="FX54" s="47"/>
      <c r="FY54" s="340"/>
      <c r="FZ54" s="341"/>
      <c r="GA5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4" s="330">
        <v>45538</v>
      </c>
      <c r="GC54" s="331">
        <v>45519</v>
      </c>
      <c r="GD5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4" s="330">
        <v>45545</v>
      </c>
      <c r="GF54" s="331">
        <v>45519</v>
      </c>
      <c r="GG5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4" s="330">
        <v>45551</v>
      </c>
      <c r="GI54" s="330">
        <v>45557</v>
      </c>
      <c r="GJ54" s="353">
        <v>45532</v>
      </c>
      <c r="GK5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4" s="330">
        <v>45565</v>
      </c>
      <c r="GM54" s="330" t="e">
        <v>#N/A</v>
      </c>
      <c r="GN54" s="330">
        <v>45690</v>
      </c>
      <c r="GO54" s="330" t="e">
        <v>#N/A</v>
      </c>
      <c r="GP54" s="316"/>
      <c r="GQ5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4" s="330" t="s">
        <v>261</v>
      </c>
      <c r="GS54" s="330" t="s">
        <v>261</v>
      </c>
      <c r="GT54" s="354">
        <v>45638</v>
      </c>
      <c r="GU54" s="344" t="str">
        <f>IF(Table1[[#This Row],[Hydro Tes Actual
(tanggal)]]&lt;&gt;"","Sudah","Belum")</f>
        <v>Sudah</v>
      </c>
      <c r="GV54" s="330" t="s">
        <v>261</v>
      </c>
      <c r="GW54" s="330" t="s">
        <v>261</v>
      </c>
      <c r="GX54" s="331">
        <v>45706</v>
      </c>
      <c r="GY54" s="344" t="str">
        <f>IF(Table1[[#This Row],[Interkoneksi Actual
(tanggal)]]&lt;&gt;"","Sudah","Belum")</f>
        <v>Sudah</v>
      </c>
      <c r="GZ54" s="330" t="s">
        <v>261</v>
      </c>
      <c r="HA54" s="330" t="s">
        <v>261</v>
      </c>
      <c r="HB54" s="331">
        <v>45708</v>
      </c>
      <c r="HC54" s="344" t="str">
        <f>IF(Table1[[#This Row],[Flushing Actual
(tanggal)]]&lt;&gt;"","Sudah","Belum")</f>
        <v>Sudah</v>
      </c>
      <c r="HD54" s="330">
        <v>45677</v>
      </c>
      <c r="HE54" s="330" t="e">
        <v>#N/A</v>
      </c>
      <c r="HF54" s="330">
        <v>45683</v>
      </c>
      <c r="HG54" s="346">
        <v>45728</v>
      </c>
      <c r="HH5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4" s="330" t="s">
        <v>261</v>
      </c>
      <c r="HJ54" s="330" t="s">
        <v>261</v>
      </c>
      <c r="HK54" s="331"/>
      <c r="HL54" s="316"/>
      <c r="HM54" s="330">
        <v>45702</v>
      </c>
      <c r="HN54" s="330">
        <v>45702</v>
      </c>
      <c r="HO54" s="330" t="e">
        <v>#N/A</v>
      </c>
      <c r="HP54" s="346">
        <v>45739</v>
      </c>
      <c r="HQ5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54" s="330">
        <v>45709</v>
      </c>
      <c r="HS54" s="330"/>
      <c r="HT54" s="330">
        <v>45709</v>
      </c>
      <c r="HU54" s="527"/>
      <c r="HV54" s="330">
        <f>IF(Table1[[#This Row],[MC-100 Aktual
(tanggal)]]&lt;&gt;"",Table1[[#This Row],[MC-100 Aktual
(tanggal)]]+5,"")</f>
        <v>45744</v>
      </c>
      <c r="HW5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54" s="47"/>
      <c r="HY54" s="352"/>
      <c r="HZ54" s="352"/>
      <c r="IB54" s="618">
        <f>IFERROR(ROUND((Table1[[#This Row],[PLAN TC
finish]]-Table1[[#This Row],[PLAN MC-0
start]])/30,2),"")</f>
        <v>4.4000000000000004</v>
      </c>
      <c r="IC54">
        <f>DATEDIF(Table1[[#This Row],[PLAN MC-0
start]],Table1[[#This Row],[PLAN TC
finish]],"m")</f>
        <v>4</v>
      </c>
    </row>
    <row r="55" spans="1:237" s="4" customFormat="1" ht="15" customHeight="1" x14ac:dyDescent="0.2">
      <c r="B55" s="311">
        <f>SUBTOTAL(3,$D$5:D55)</f>
        <v>27</v>
      </c>
      <c r="C55" s="348">
        <v>51</v>
      </c>
      <c r="D55" s="315" t="s">
        <v>244</v>
      </c>
      <c r="E55" s="315" t="s">
        <v>517</v>
      </c>
      <c r="F55" s="315" t="s">
        <v>518</v>
      </c>
      <c r="G55" s="349">
        <v>45752</v>
      </c>
      <c r="H55" s="314" t="s">
        <v>247</v>
      </c>
      <c r="I55" s="315" t="s">
        <v>278</v>
      </c>
      <c r="J55" s="315"/>
      <c r="K55" s="338" t="s">
        <v>249</v>
      </c>
      <c r="L55" s="316" t="s">
        <v>250</v>
      </c>
      <c r="M55" s="316" t="s">
        <v>269</v>
      </c>
      <c r="N55" s="107">
        <v>2336</v>
      </c>
      <c r="O55" s="31" t="s">
        <v>252</v>
      </c>
      <c r="P5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5" s="87" t="e">
        <v>#N/A</v>
      </c>
      <c r="S55" s="87">
        <v>1</v>
      </c>
      <c r="T55" s="35">
        <f>Table1[[#This Row],[Progres Total Aktual
(%)]]</f>
        <v>1</v>
      </c>
      <c r="U55" s="124">
        <f>Table1[[#This Row],[Progres Aktual
(%)]]-Table1[[#This Row],[Target Progres
(%)]]</f>
        <v>0</v>
      </c>
      <c r="V55" s="350">
        <f>Table1[[#This Row],["Volume
BA MC-0"]]</f>
        <v>2304</v>
      </c>
      <c r="W55" s="351">
        <f>Table1[[#This Row],[Total Panjang Pipa Aktual
(Sum-&gt;)3]]</f>
        <v>1142</v>
      </c>
      <c r="X55" s="47"/>
      <c r="Y55" s="67" t="s">
        <v>519</v>
      </c>
      <c r="Z55" s="67">
        <v>3433192006</v>
      </c>
      <c r="AA55" s="67">
        <f>ROUND((Table1[[#This Row],[Nilai RAB Jaringan
(Exclude Ppn)]]-Table1[[#This Row],[RAB Perizinan]])*1.11+Table1[[#This Row],[RAB Perizinan]],0)</f>
        <v>0</v>
      </c>
      <c r="AB55" s="320">
        <f>SUM(Table1[[#This Row],[RAB Kegiatan Umum]:[RAB Perizinan]])</f>
        <v>0</v>
      </c>
      <c r="AC55" s="320"/>
      <c r="AD55" s="320"/>
      <c r="AE55" s="320"/>
      <c r="AF55" s="320"/>
      <c r="AG55" s="320">
        <v>6878619695</v>
      </c>
      <c r="AH55" s="35" t="e">
        <f>SUM(Table1[[#This Row],[Bobot Keg Umum]:[Bobot Perizinan]])</f>
        <v>#DIV/0!</v>
      </c>
      <c r="AI55" s="35" t="e">
        <f>Table1[[#This Row],[RAB Kegiatan Umum]]/Table1[[#This Row],[Nilai RAB Jaringan
(Exclude Ppn)]]</f>
        <v>#DIV/0!</v>
      </c>
      <c r="AJ55" s="35" t="e">
        <f>Table1[[#This Row],[RAB Pemasangan]]/Table1[[#This Row],[Nilai RAB Jaringan
(Exclude Ppn)]]</f>
        <v>#DIV/0!</v>
      </c>
      <c r="AK55" s="35" t="e">
        <f>Table1[[#This Row],[RAB Pengadaan]]/Table1[[#This Row],[Nilai RAB Jaringan
(Exclude Ppn)]]</f>
        <v>#DIV/0!</v>
      </c>
      <c r="AL55" s="35" t="e">
        <f>Table1[[#This Row],[RAB Perizinan]]/Table1[[#This Row],[Nilai RAB Jaringan
(Exclude Ppn)]]</f>
        <v>#DIV/0!</v>
      </c>
      <c r="AM55" s="47"/>
      <c r="AN55" s="285">
        <v>2304</v>
      </c>
      <c r="AO55" s="285">
        <f>SUM(Table1[[#This Row],[Pipa 63 mm]:[Pipa 1,800 mm]])</f>
        <v>0</v>
      </c>
      <c r="AP55" s="285"/>
      <c r="AQ55" s="285"/>
      <c r="AR55" s="285"/>
      <c r="AS55" s="285"/>
      <c r="AT55" s="285"/>
      <c r="AU55" s="285"/>
      <c r="AV55" s="285"/>
      <c r="AW55" s="285"/>
      <c r="AX55" s="285"/>
      <c r="AY55" s="285"/>
      <c r="AZ55" s="285"/>
      <c r="BA55" s="285"/>
      <c r="BB55" s="285"/>
      <c r="BC55" s="285"/>
      <c r="BD55" s="285"/>
      <c r="BE55" s="285"/>
      <c r="BF55" s="285"/>
      <c r="BG55" s="285"/>
      <c r="BH55" s="285"/>
      <c r="BI55" s="285"/>
      <c r="BJ55" s="36">
        <f>SUM(Table1[[#This Row],[Pipa 63 mm2]:[Pipa 1,800 mm21]])</f>
        <v>1142</v>
      </c>
      <c r="BK55" s="32">
        <v>705.7</v>
      </c>
      <c r="BL55" s="32">
        <v>179.5</v>
      </c>
      <c r="BM55" s="32">
        <v>33.799999999999997</v>
      </c>
      <c r="BN55" s="32">
        <v>223</v>
      </c>
      <c r="BO55" s="32"/>
      <c r="BP55" s="32"/>
      <c r="BQ55" s="32"/>
      <c r="BR55" s="32"/>
      <c r="BS55" s="32"/>
      <c r="BT55" s="32"/>
      <c r="BU55" s="32"/>
      <c r="BV55" s="32"/>
      <c r="BW55" s="32"/>
      <c r="BX55" s="32"/>
      <c r="BY55" s="32"/>
      <c r="BZ55" s="32"/>
      <c r="CA55" s="32"/>
      <c r="CB55" s="32"/>
      <c r="CC55" s="32"/>
      <c r="CD55" s="32"/>
      <c r="CE55" s="32">
        <v>1210</v>
      </c>
      <c r="CF55" s="32"/>
      <c r="CG55" s="32"/>
      <c r="CH55" s="32"/>
      <c r="CI55" s="32">
        <f t="shared" si="3"/>
        <v>1210</v>
      </c>
      <c r="CJ55" s="65">
        <f>IF((Table1[[#This Row],["Volume
BA MC-0"]]-Table1[[#This Row],[Total Panjang Pipa Aktual
(Sum-&gt;)3]]-Table1[[#This Row],[Total Volume
tidak dapat dipasang]])&gt;=0,Table1[[#This Row],["Volume
BA MC-0"]]-Table1[[#This Row],[Total Panjang Pipa Aktual
(Sum-&gt;)3]]-Table1[[#This Row],[Total Volume
tidak dapat dipasang]],0)</f>
        <v>0</v>
      </c>
      <c r="CK55" s="47"/>
      <c r="CL55" s="131"/>
      <c r="CM55" s="35"/>
      <c r="CN55" s="131"/>
      <c r="CO55" s="131"/>
      <c r="CP5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5" s="66">
        <f>IFERROR(Table1[[#This Row],[Progres Keg. Umum
(%)]]*Table1[[#This Row],[Nilai RAB Jaringan
(file pa aji)]],0)</f>
        <v>0</v>
      </c>
      <c r="CR55" s="66">
        <f>IFERROR(Table1[[#This Row],[Progres MOS
(%)]]*Table1[[#This Row],[Nilai RAB Jaringan
(file pa aji)]],0)</f>
        <v>0</v>
      </c>
      <c r="CS55" s="66">
        <f>IFERROR(Table1[[#This Row],[Progres Pemasangan
(%)]]*Table1[[#This Row],[Nilai RAB Jaringan
(file pa aji)]],0)</f>
        <v>0</v>
      </c>
      <c r="CT55" s="66">
        <f>IFERROR(Table1[[#This Row],[Progres Perizinan
(%)]]*Table1[[#This Row],[Nilai RAB Jaringan
(file pa aji)]],0)</f>
        <v>0</v>
      </c>
      <c r="CU55" s="329">
        <v>2169658095</v>
      </c>
      <c r="CV55" s="329">
        <v>2169658095</v>
      </c>
      <c r="CW55" s="583">
        <v>2169658095</v>
      </c>
      <c r="CX55" s="329">
        <v>2169658095</v>
      </c>
      <c r="CY55" s="47"/>
      <c r="CZ55" s="330">
        <v>45439</v>
      </c>
      <c r="DA55" s="330">
        <v>45466</v>
      </c>
      <c r="DB55" s="331"/>
      <c r="DC55" s="316"/>
      <c r="DD55" s="67"/>
      <c r="DE5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5" s="331"/>
      <c r="DG55" s="316"/>
      <c r="DH55" s="67"/>
      <c r="DI5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5" s="330">
        <v>45467</v>
      </c>
      <c r="DK55" s="330">
        <v>45536</v>
      </c>
      <c r="DL55" s="331">
        <v>45526</v>
      </c>
      <c r="DM55" s="357" t="s">
        <v>520</v>
      </c>
      <c r="DN5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5" s="331">
        <v>45530</v>
      </c>
      <c r="DP55" s="316" t="s">
        <v>521</v>
      </c>
      <c r="DQ55" s="338" t="s">
        <v>275</v>
      </c>
      <c r="DR5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5" s="330">
        <v>45467</v>
      </c>
      <c r="DT55" s="330" t="e">
        <v>#N/A</v>
      </c>
      <c r="DU55" s="330">
        <v>45508</v>
      </c>
      <c r="DV55" s="330" t="e">
        <v>#N/A</v>
      </c>
      <c r="DW55" s="331"/>
      <c r="DX55" s="316"/>
      <c r="DY55" s="334"/>
      <c r="DZ55" s="334"/>
      <c r="EA5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5" s="331"/>
      <c r="EC55" s="332"/>
      <c r="ED55" s="332"/>
      <c r="EE55" s="330"/>
      <c r="EF55" s="35">
        <v>1</v>
      </c>
      <c r="EG55" s="337">
        <v>1</v>
      </c>
      <c r="EH55" s="316" t="str">
        <f>IF(Table1[[#This Row],[PO Material Aktual 
(%)]]&gt;=100%,"Selesai PO = 100%",IF(Table1[[#This Row],[PO Material Aktual 
(%)]]&gt;=50%,"Proses PO &gt; 100%",IF(Table1[[#This Row],[PO Material Aktual 
(%)]]&gt;0%,"Proses PO &gt; 50%",IF(Table1[[#This Row],[PO Material Aktual 
(%)]]=0,"Belum PO = 0%"))))</f>
        <v>Selesai PO = 100%</v>
      </c>
      <c r="EI5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5" s="330">
        <v>45509</v>
      </c>
      <c r="EK55" s="330" t="e">
        <v>#N/A</v>
      </c>
      <c r="EL55" s="330">
        <v>45620</v>
      </c>
      <c r="EM55" s="330" t="e">
        <v>#N/A</v>
      </c>
      <c r="EN55" s="331"/>
      <c r="EO55" s="332"/>
      <c r="EP55" s="332"/>
      <c r="EQ55" s="87">
        <v>1</v>
      </c>
      <c r="ER55" s="87">
        <v>1</v>
      </c>
      <c r="ES55" s="316" t="str">
        <f>IF(Table1[[#This Row],[Progres MOS]]&gt;=100%,"Selesai MOS = 100%",IF(Table1[[#This Row],[Progres MOS]]&gt;=50%,"Proses MOS &gt; 100%",IF(Table1[[#This Row],[Progres MOS]]&gt;0%,"Proses MOS &gt; 50%",IF(Table1[[#This Row],[Progres MOS]]=0,"Belum MOS = 0%"))))</f>
        <v>Selesai MOS = 100%</v>
      </c>
      <c r="ET5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5" s="47"/>
      <c r="EV55" s="330">
        <v>45467</v>
      </c>
      <c r="EW55" s="330" t="e">
        <v>#N/A</v>
      </c>
      <c r="EX55" s="330">
        <v>45564</v>
      </c>
      <c r="EY55" s="330" t="e">
        <v>#N/A</v>
      </c>
      <c r="EZ55" s="352" t="s">
        <v>259</v>
      </c>
      <c r="FA55" s="336" t="s">
        <v>259</v>
      </c>
      <c r="FB55" s="330" t="s">
        <v>260</v>
      </c>
      <c r="FC55" s="330">
        <v>45204</v>
      </c>
      <c r="FD55" s="330" t="s">
        <v>260</v>
      </c>
      <c r="FE55" s="330"/>
      <c r="FF55" s="330">
        <v>45496</v>
      </c>
      <c r="FG55" s="330" t="s">
        <v>260</v>
      </c>
      <c r="FH55" s="330" t="s">
        <v>260</v>
      </c>
      <c r="FI55" s="330">
        <v>45516</v>
      </c>
      <c r="FJ55" s="330" t="s">
        <v>260</v>
      </c>
      <c r="FK55" s="330">
        <v>45779</v>
      </c>
      <c r="FL55" s="336" t="s">
        <v>259</v>
      </c>
      <c r="FM55" s="336">
        <v>45204</v>
      </c>
      <c r="FN55" s="314">
        <f>IF(Table1[[#This Row],[Tanggal Pengajuan Dokumen]]="","",Table1[[#This Row],[PLAN PERMIT
start]]-Table1[[#This Row],[Tanggal Pengajuan Dokumen]])</f>
        <v>263</v>
      </c>
      <c r="FO55" s="336">
        <v>45779</v>
      </c>
      <c r="FP55" s="316"/>
      <c r="FQ55" s="338"/>
      <c r="FR55" s="352"/>
      <c r="FS55" s="338" t="str">
        <f t="shared" si="5"/>
        <v>Sudah Terbit</v>
      </c>
      <c r="FT5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5" s="344">
        <f ca="1">IF(Table1[[#This Row],[Status Izin]]="Selesai",Table1[[#This Row],[PLAN PERMIT
finish]]-Table1[[#This Row],[Tanggal Terbit/ Target Izin Terbit]],ROUNDUP(Table1[[#This Row],[PLAN PERMIT
finish]]-NOW(),0))</f>
        <v>-215</v>
      </c>
      <c r="FV5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5" s="344"/>
      <c r="FX55" s="47"/>
      <c r="FY55" s="340"/>
      <c r="FZ55" s="341"/>
      <c r="GA5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5" s="330">
        <v>45538</v>
      </c>
      <c r="GC55" s="331">
        <v>45519</v>
      </c>
      <c r="GD5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5" s="330">
        <v>45545</v>
      </c>
      <c r="GF55" s="331">
        <v>45519</v>
      </c>
      <c r="GG5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5" s="330">
        <v>45551</v>
      </c>
      <c r="GI55" s="330">
        <v>45557</v>
      </c>
      <c r="GJ55" s="353">
        <v>45533</v>
      </c>
      <c r="GK5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5" s="330">
        <v>45565</v>
      </c>
      <c r="GM55" s="330" t="e">
        <v>#N/A</v>
      </c>
      <c r="GN55" s="330">
        <v>45690</v>
      </c>
      <c r="GO55" s="330" t="e">
        <v>#N/A</v>
      </c>
      <c r="GP55" s="316"/>
      <c r="GQ5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5" s="330" t="s">
        <v>261</v>
      </c>
      <c r="GS55" s="330" t="s">
        <v>261</v>
      </c>
      <c r="GT55" s="354">
        <v>45663</v>
      </c>
      <c r="GU55" s="344" t="str">
        <f>IF(Table1[[#This Row],[Hydro Tes Actual
(tanggal)]]&lt;&gt;"","Sudah","Belum")</f>
        <v>Sudah</v>
      </c>
      <c r="GV55" s="330" t="s">
        <v>261</v>
      </c>
      <c r="GW55" s="330" t="s">
        <v>261</v>
      </c>
      <c r="GX55" s="331">
        <v>45712</v>
      </c>
      <c r="GY55" s="344" t="str">
        <f>IF(Table1[[#This Row],[Interkoneksi Actual
(tanggal)]]&lt;&gt;"","Sudah","Belum")</f>
        <v>Sudah</v>
      </c>
      <c r="GZ55" s="330" t="s">
        <v>261</v>
      </c>
      <c r="HA55" s="330" t="s">
        <v>261</v>
      </c>
      <c r="HB55" s="331">
        <v>45713</v>
      </c>
      <c r="HC55" s="344" t="str">
        <f>IF(Table1[[#This Row],[Flushing Actual
(tanggal)]]&lt;&gt;"","Sudah","Belum")</f>
        <v>Sudah</v>
      </c>
      <c r="HD55" s="330">
        <v>45677</v>
      </c>
      <c r="HE55" s="330" t="e">
        <v>#N/A</v>
      </c>
      <c r="HF55" s="330">
        <v>45683</v>
      </c>
      <c r="HG55" s="346">
        <v>45726</v>
      </c>
      <c r="HH5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5" s="330" t="s">
        <v>261</v>
      </c>
      <c r="HJ55" s="330" t="s">
        <v>261</v>
      </c>
      <c r="HK55" s="331"/>
      <c r="HL55" s="316"/>
      <c r="HM55" s="330">
        <v>45702</v>
      </c>
      <c r="HN55" s="330">
        <v>45702</v>
      </c>
      <c r="HO55" s="330" t="e">
        <v>#N/A</v>
      </c>
      <c r="HP55" s="346">
        <v>45739</v>
      </c>
      <c r="HQ5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55" s="330">
        <v>45709</v>
      </c>
      <c r="HS55" s="330"/>
      <c r="HT55" s="330">
        <v>45709</v>
      </c>
      <c r="HU55" s="527"/>
      <c r="HV55" s="330">
        <f>IF(Table1[[#This Row],[MC-100 Aktual
(tanggal)]]&lt;&gt;"",Table1[[#This Row],[MC-100 Aktual
(tanggal)]]+5,"")</f>
        <v>45744</v>
      </c>
      <c r="HW5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55" s="47"/>
      <c r="HY55" s="352"/>
      <c r="HZ55" s="352"/>
      <c r="IB55" s="618">
        <f>IFERROR(ROUND((Table1[[#This Row],[PLAN TC
finish]]-Table1[[#This Row],[PLAN MC-0
start]])/30,2),"")</f>
        <v>4.4000000000000004</v>
      </c>
      <c r="IC55">
        <f>DATEDIF(Table1[[#This Row],[PLAN MC-0
start]],Table1[[#This Row],[PLAN TC
finish]],"m")</f>
        <v>4</v>
      </c>
    </row>
    <row r="56" spans="1:237" s="4" customFormat="1" ht="15" customHeight="1" x14ac:dyDescent="0.2">
      <c r="B56" s="311">
        <f>SUBTOTAL(3,$D$5:D56)</f>
        <v>28</v>
      </c>
      <c r="C56" s="348">
        <v>52</v>
      </c>
      <c r="D56" s="315" t="s">
        <v>244</v>
      </c>
      <c r="E56" s="315" t="s">
        <v>522</v>
      </c>
      <c r="F56" s="315" t="s">
        <v>523</v>
      </c>
      <c r="G56" s="349">
        <v>45752</v>
      </c>
      <c r="H56" s="314" t="s">
        <v>247</v>
      </c>
      <c r="I56" s="315" t="s">
        <v>278</v>
      </c>
      <c r="J56" s="315"/>
      <c r="K56" s="338" t="s">
        <v>249</v>
      </c>
      <c r="L56" s="316" t="s">
        <v>250</v>
      </c>
      <c r="M56" s="316" t="s">
        <v>269</v>
      </c>
      <c r="N56" s="107">
        <v>4453</v>
      </c>
      <c r="O56" s="31" t="s">
        <v>252</v>
      </c>
      <c r="P5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6" s="87" t="e">
        <v>#N/A</v>
      </c>
      <c r="S56" s="87">
        <v>1</v>
      </c>
      <c r="T56" s="35">
        <f>Table1[[#This Row],[Progres Total Aktual
(%)]]</f>
        <v>1</v>
      </c>
      <c r="U56" s="124">
        <f>Table1[[#This Row],[Progres Aktual
(%)]]-Table1[[#This Row],[Target Progres
(%)]]</f>
        <v>0</v>
      </c>
      <c r="V56" s="350">
        <f>Table1[[#This Row],["Volume
BA MC-0"]]</f>
        <v>4487</v>
      </c>
      <c r="W56" s="351">
        <f>Table1[[#This Row],[Total Panjang Pipa Aktual
(Sum-&gt;)3]]</f>
        <v>3206.6000000000004</v>
      </c>
      <c r="X56" s="47"/>
      <c r="Y56" s="67" t="s">
        <v>524</v>
      </c>
      <c r="Z56" s="67">
        <v>6254327757</v>
      </c>
      <c r="AA56" s="67">
        <f>ROUND((Table1[[#This Row],[Nilai RAB Jaringan
(Exclude Ppn)]]-Table1[[#This Row],[RAB Perizinan]])*1.11+Table1[[#This Row],[RAB Perizinan]],0)</f>
        <v>0</v>
      </c>
      <c r="AB56" s="320">
        <f>SUM(Table1[[#This Row],[RAB Kegiatan Umum]:[RAB Perizinan]])</f>
        <v>0</v>
      </c>
      <c r="AC56" s="320"/>
      <c r="AD56" s="320"/>
      <c r="AE56" s="320"/>
      <c r="AF56" s="320"/>
      <c r="AG56" s="320">
        <v>5993171630</v>
      </c>
      <c r="AH56" s="35" t="e">
        <f>SUM(Table1[[#This Row],[Bobot Keg Umum]:[Bobot Perizinan]])</f>
        <v>#DIV/0!</v>
      </c>
      <c r="AI56" s="35" t="e">
        <f>Table1[[#This Row],[RAB Kegiatan Umum]]/Table1[[#This Row],[Nilai RAB Jaringan
(Exclude Ppn)]]</f>
        <v>#DIV/0!</v>
      </c>
      <c r="AJ56" s="35" t="e">
        <f>Table1[[#This Row],[RAB Pemasangan]]/Table1[[#This Row],[Nilai RAB Jaringan
(Exclude Ppn)]]</f>
        <v>#DIV/0!</v>
      </c>
      <c r="AK56" s="35" t="e">
        <f>Table1[[#This Row],[RAB Pengadaan]]/Table1[[#This Row],[Nilai RAB Jaringan
(Exclude Ppn)]]</f>
        <v>#DIV/0!</v>
      </c>
      <c r="AL56" s="35" t="e">
        <f>Table1[[#This Row],[RAB Perizinan]]/Table1[[#This Row],[Nilai RAB Jaringan
(Exclude Ppn)]]</f>
        <v>#DIV/0!</v>
      </c>
      <c r="AM56" s="47"/>
      <c r="AN56" s="285">
        <v>4487</v>
      </c>
      <c r="AO56" s="285">
        <f>SUM(Table1[[#This Row],[Pipa 63 mm]:[Pipa 1,800 mm]])</f>
        <v>0</v>
      </c>
      <c r="AP56" s="285"/>
      <c r="AQ56" s="285"/>
      <c r="AR56" s="285"/>
      <c r="AS56" s="285"/>
      <c r="AT56" s="285"/>
      <c r="AU56" s="285"/>
      <c r="AV56" s="285"/>
      <c r="AW56" s="285"/>
      <c r="AX56" s="285"/>
      <c r="AY56" s="285"/>
      <c r="AZ56" s="285"/>
      <c r="BA56" s="285"/>
      <c r="BB56" s="285"/>
      <c r="BC56" s="285"/>
      <c r="BD56" s="285"/>
      <c r="BE56" s="285"/>
      <c r="BF56" s="285"/>
      <c r="BG56" s="285"/>
      <c r="BH56" s="285"/>
      <c r="BI56" s="285"/>
      <c r="BJ56" s="36">
        <f>SUM(Table1[[#This Row],[Pipa 63 mm2]:[Pipa 1,800 mm21]])</f>
        <v>3206.6000000000004</v>
      </c>
      <c r="BK56" s="356">
        <v>3148.3</v>
      </c>
      <c r="BL56" s="356">
        <v>58.3</v>
      </c>
      <c r="BM56" s="356"/>
      <c r="BN56" s="356"/>
      <c r="BO56" s="356"/>
      <c r="BP56" s="356"/>
      <c r="BQ56" s="356"/>
      <c r="BR56" s="356"/>
      <c r="BS56" s="356"/>
      <c r="BT56" s="356"/>
      <c r="BU56" s="356"/>
      <c r="BV56" s="356"/>
      <c r="BW56" s="356"/>
      <c r="BX56" s="356"/>
      <c r="BY56" s="356"/>
      <c r="BZ56" s="356"/>
      <c r="CA56" s="356"/>
      <c r="CB56" s="356"/>
      <c r="CC56" s="356"/>
      <c r="CD56" s="356"/>
      <c r="CE56" s="32">
        <v>1743</v>
      </c>
      <c r="CF56" s="32"/>
      <c r="CG56" s="32"/>
      <c r="CH56" s="32"/>
      <c r="CI56" s="32">
        <f t="shared" si="3"/>
        <v>1743</v>
      </c>
      <c r="CJ56" s="65">
        <f>IF((Table1[[#This Row],["Volume
BA MC-0"]]-Table1[[#This Row],[Total Panjang Pipa Aktual
(Sum-&gt;)3]]-Table1[[#This Row],[Total Volume
tidak dapat dipasang]])&gt;=0,Table1[[#This Row],["Volume
BA MC-0"]]-Table1[[#This Row],[Total Panjang Pipa Aktual
(Sum-&gt;)3]]-Table1[[#This Row],[Total Volume
tidak dapat dipasang]],0)</f>
        <v>0</v>
      </c>
      <c r="CK56" s="47"/>
      <c r="CL56" s="131"/>
      <c r="CM56" s="35"/>
      <c r="CN56" s="131"/>
      <c r="CO56" s="131"/>
      <c r="CP5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6" s="66">
        <f>IFERROR(Table1[[#This Row],[Progres Keg. Umum
(%)]]*Table1[[#This Row],[Nilai RAB Jaringan
(file pa aji)]],0)</f>
        <v>0</v>
      </c>
      <c r="CR56" s="66">
        <f>IFERROR(Table1[[#This Row],[Progres MOS
(%)]]*Table1[[#This Row],[Nilai RAB Jaringan
(file pa aji)]],0)</f>
        <v>0</v>
      </c>
      <c r="CS56" s="66">
        <f>IFERROR(Table1[[#This Row],[Progres Pemasangan
(%)]]*Table1[[#This Row],[Nilai RAB Jaringan
(file pa aji)]],0)</f>
        <v>0</v>
      </c>
      <c r="CT56" s="66">
        <f>IFERROR(Table1[[#This Row],[Progres Perizinan
(%)]]*Table1[[#This Row],[Nilai RAB Jaringan
(file pa aji)]],0)</f>
        <v>0</v>
      </c>
      <c r="CU56" s="329">
        <v>5081250388</v>
      </c>
      <c r="CV56" s="329">
        <v>5081250388</v>
      </c>
      <c r="CW56" s="583">
        <v>5081250388</v>
      </c>
      <c r="CX56" s="329">
        <v>5081250388</v>
      </c>
      <c r="CY56" s="47"/>
      <c r="CZ56" s="330">
        <v>45439</v>
      </c>
      <c r="DA56" s="330">
        <v>45466</v>
      </c>
      <c r="DB56" s="331"/>
      <c r="DC56" s="316"/>
      <c r="DD56" s="67"/>
      <c r="DE5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6" s="331"/>
      <c r="DG56" s="316"/>
      <c r="DH56" s="67"/>
      <c r="DI5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6" s="330">
        <v>45467</v>
      </c>
      <c r="DK56" s="330">
        <v>45536</v>
      </c>
      <c r="DL56" s="331">
        <v>45489</v>
      </c>
      <c r="DM56" s="357" t="s">
        <v>525</v>
      </c>
      <c r="DN5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6" s="331">
        <v>45523</v>
      </c>
      <c r="DP56" s="316" t="s">
        <v>526</v>
      </c>
      <c r="DQ56" s="338" t="s">
        <v>275</v>
      </c>
      <c r="DR5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6" s="330">
        <v>45467</v>
      </c>
      <c r="DT56" s="330" t="e">
        <v>#N/A</v>
      </c>
      <c r="DU56" s="330">
        <v>45508</v>
      </c>
      <c r="DV56" s="330" t="e">
        <v>#N/A</v>
      </c>
      <c r="DW56" s="331"/>
      <c r="DX56" s="316"/>
      <c r="DY56" s="334"/>
      <c r="DZ56" s="334"/>
      <c r="EA5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6" s="331"/>
      <c r="EC56" s="332"/>
      <c r="ED56" s="332"/>
      <c r="EE56" s="330"/>
      <c r="EF56" s="35">
        <v>1</v>
      </c>
      <c r="EG56" s="337">
        <v>1</v>
      </c>
      <c r="EH56" s="316" t="str">
        <f>IF(Table1[[#This Row],[PO Material Aktual 
(%)]]&gt;=100%,"Selesai PO = 100%",IF(Table1[[#This Row],[PO Material Aktual 
(%)]]&gt;=50%,"Proses PO &gt; 100%",IF(Table1[[#This Row],[PO Material Aktual 
(%)]]&gt;0%,"Proses PO &gt; 50%",IF(Table1[[#This Row],[PO Material Aktual 
(%)]]=0,"Belum PO = 0%"))))</f>
        <v>Selesai PO = 100%</v>
      </c>
      <c r="EI5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6" s="330">
        <v>45509</v>
      </c>
      <c r="EK56" s="330" t="e">
        <v>#N/A</v>
      </c>
      <c r="EL56" s="330">
        <v>45620</v>
      </c>
      <c r="EM56" s="330" t="e">
        <v>#N/A</v>
      </c>
      <c r="EN56" s="331"/>
      <c r="EO56" s="332"/>
      <c r="EP56" s="332"/>
      <c r="EQ56" s="87">
        <v>1</v>
      </c>
      <c r="ER56" s="87">
        <v>1</v>
      </c>
      <c r="ES56" s="316" t="str">
        <f>IF(Table1[[#This Row],[Progres MOS]]&gt;=100%,"Selesai MOS = 100%",IF(Table1[[#This Row],[Progres MOS]]&gt;=50%,"Proses MOS &gt; 100%",IF(Table1[[#This Row],[Progres MOS]]&gt;0%,"Proses MOS &gt; 50%",IF(Table1[[#This Row],[Progres MOS]]=0,"Belum MOS = 0%"))))</f>
        <v>Selesai MOS = 100%</v>
      </c>
      <c r="ET5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6" s="47"/>
      <c r="EV56" s="330">
        <v>45467</v>
      </c>
      <c r="EW56" s="330" t="e">
        <v>#N/A</v>
      </c>
      <c r="EX56" s="330">
        <v>45564</v>
      </c>
      <c r="EY56" s="330" t="e">
        <v>#N/A</v>
      </c>
      <c r="EZ56" s="352" t="s">
        <v>259</v>
      </c>
      <c r="FA56" s="336" t="s">
        <v>259</v>
      </c>
      <c r="FB56" s="330" t="s">
        <v>260</v>
      </c>
      <c r="FC56" s="330">
        <v>45209</v>
      </c>
      <c r="FD56" s="330" t="s">
        <v>260</v>
      </c>
      <c r="FE56" s="330"/>
      <c r="FF56" s="330">
        <v>45502</v>
      </c>
      <c r="FG56" s="330" t="s">
        <v>260</v>
      </c>
      <c r="FH56" s="330" t="s">
        <v>260</v>
      </c>
      <c r="FI56" s="330">
        <v>45512</v>
      </c>
      <c r="FJ56" s="330" t="s">
        <v>260</v>
      </c>
      <c r="FK56" s="330">
        <v>45791</v>
      </c>
      <c r="FL56" s="336" t="s">
        <v>259</v>
      </c>
      <c r="FM56" s="336">
        <v>45209</v>
      </c>
      <c r="FN56" s="314">
        <f>IF(Table1[[#This Row],[Tanggal Pengajuan Dokumen]]="","",Table1[[#This Row],[PLAN PERMIT
start]]-Table1[[#This Row],[Tanggal Pengajuan Dokumen]])</f>
        <v>258</v>
      </c>
      <c r="FO56" s="336">
        <v>45791</v>
      </c>
      <c r="FP56" s="316"/>
      <c r="FQ56" s="338"/>
      <c r="FR56" s="352"/>
      <c r="FS56" s="338" t="str">
        <f t="shared" si="5"/>
        <v>Sudah Terbit</v>
      </c>
      <c r="FT5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6" s="344">
        <f ca="1">IF(Table1[[#This Row],[Status Izin]]="Selesai",Table1[[#This Row],[PLAN PERMIT
finish]]-Table1[[#This Row],[Tanggal Terbit/ Target Izin Terbit]],ROUNDUP(Table1[[#This Row],[PLAN PERMIT
finish]]-NOW(),0))</f>
        <v>-227</v>
      </c>
      <c r="FV5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6" s="344"/>
      <c r="FX56" s="47"/>
      <c r="FY56" s="340"/>
      <c r="FZ56" s="341"/>
      <c r="GA5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6" s="330">
        <v>45538</v>
      </c>
      <c r="GC56" s="331">
        <v>45519</v>
      </c>
      <c r="GD5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6" s="330">
        <v>45545</v>
      </c>
      <c r="GF56" s="331">
        <v>45519</v>
      </c>
      <c r="GG5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6" s="330">
        <v>45551</v>
      </c>
      <c r="GI56" s="330">
        <v>45557</v>
      </c>
      <c r="GJ56" s="353">
        <v>45531</v>
      </c>
      <c r="GK5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6" s="330">
        <v>45565</v>
      </c>
      <c r="GM56" s="330" t="e">
        <v>#N/A</v>
      </c>
      <c r="GN56" s="330">
        <v>45690</v>
      </c>
      <c r="GO56" s="330" t="e">
        <v>#N/A</v>
      </c>
      <c r="GP56" s="316"/>
      <c r="GQ5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6" s="330" t="s">
        <v>261</v>
      </c>
      <c r="GS56" s="330" t="s">
        <v>261</v>
      </c>
      <c r="GT56" s="354">
        <v>45661</v>
      </c>
      <c r="GU56" s="344" t="str">
        <f>IF(Table1[[#This Row],[Hydro Tes Actual
(tanggal)]]&lt;&gt;"","Sudah","Belum")</f>
        <v>Sudah</v>
      </c>
      <c r="GV56" s="330" t="s">
        <v>261</v>
      </c>
      <c r="GW56" s="330" t="s">
        <v>261</v>
      </c>
      <c r="GX56" s="331">
        <v>45694</v>
      </c>
      <c r="GY56" s="344" t="str">
        <f>IF(Table1[[#This Row],[Interkoneksi Actual
(tanggal)]]&lt;&gt;"","Sudah","Belum")</f>
        <v>Sudah</v>
      </c>
      <c r="GZ56" s="330" t="s">
        <v>261</v>
      </c>
      <c r="HA56" s="330" t="s">
        <v>261</v>
      </c>
      <c r="HB56" s="331">
        <v>45708</v>
      </c>
      <c r="HC56" s="344" t="str">
        <f>IF(Table1[[#This Row],[Flushing Actual
(tanggal)]]&lt;&gt;"","Sudah","Belum")</f>
        <v>Sudah</v>
      </c>
      <c r="HD56" s="330">
        <v>45677</v>
      </c>
      <c r="HE56" s="330" t="e">
        <v>#N/A</v>
      </c>
      <c r="HF56" s="330">
        <v>45683</v>
      </c>
      <c r="HG56" s="346">
        <v>45728</v>
      </c>
      <c r="HH5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6" s="330" t="s">
        <v>261</v>
      </c>
      <c r="HJ56" s="330" t="s">
        <v>261</v>
      </c>
      <c r="HK56" s="331"/>
      <c r="HL56" s="316"/>
      <c r="HM56" s="330">
        <v>45702</v>
      </c>
      <c r="HN56" s="330">
        <v>45702</v>
      </c>
      <c r="HO56" s="330" t="e">
        <v>#N/A</v>
      </c>
      <c r="HP56" s="346">
        <v>45739</v>
      </c>
      <c r="HQ5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56" s="330">
        <v>45709</v>
      </c>
      <c r="HS56" s="330"/>
      <c r="HT56" s="330">
        <v>45709</v>
      </c>
      <c r="HU56" s="527"/>
      <c r="HV56" s="330">
        <f>IF(Table1[[#This Row],[MC-100 Aktual
(tanggal)]]&lt;&gt;"",Table1[[#This Row],[MC-100 Aktual
(tanggal)]]+5,"")</f>
        <v>45744</v>
      </c>
      <c r="HW5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56" s="47"/>
      <c r="HY56" s="352"/>
      <c r="HZ56" s="352"/>
      <c r="IB56" s="618">
        <f>IFERROR(ROUND((Table1[[#This Row],[PLAN TC
finish]]-Table1[[#This Row],[PLAN MC-0
start]])/30,2),"")</f>
        <v>4.4000000000000004</v>
      </c>
      <c r="IC56">
        <f>DATEDIF(Table1[[#This Row],[PLAN MC-0
start]],Table1[[#This Row],[PLAN TC
finish]],"m")</f>
        <v>4</v>
      </c>
    </row>
    <row r="57" spans="1:237" s="30" customFormat="1" ht="15" hidden="1" customHeight="1" x14ac:dyDescent="0.2">
      <c r="A57" s="77"/>
      <c r="B57" s="311">
        <f>SUBTOTAL(3,$D$5:D57)</f>
        <v>28</v>
      </c>
      <c r="C57" s="362">
        <v>53</v>
      </c>
      <c r="D57" s="363" t="s">
        <v>244</v>
      </c>
      <c r="E57" s="363" t="s">
        <v>527</v>
      </c>
      <c r="F57" s="363" t="s">
        <v>528</v>
      </c>
      <c r="G57" s="364">
        <v>45752</v>
      </c>
      <c r="H57" s="365" t="s">
        <v>247</v>
      </c>
      <c r="I57" s="363" t="s">
        <v>278</v>
      </c>
      <c r="J57" s="363"/>
      <c r="K57" s="366" t="s">
        <v>249</v>
      </c>
      <c r="L57" s="367" t="s">
        <v>250</v>
      </c>
      <c r="M57" s="367" t="s">
        <v>269</v>
      </c>
      <c r="N57" s="368">
        <v>1782</v>
      </c>
      <c r="O57" s="369" t="s">
        <v>252</v>
      </c>
      <c r="P57" s="37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7" s="370" t="s">
        <v>389</v>
      </c>
      <c r="R57" s="88" t="e">
        <v>#N/A</v>
      </c>
      <c r="S57" s="88">
        <v>1</v>
      </c>
      <c r="T57" s="371">
        <f>Table1[[#This Row],[Progres Total Aktual
(%)]]</f>
        <v>0</v>
      </c>
      <c r="U57" s="372">
        <f>Table1[[#This Row],[Progres Aktual
(%)]]-Table1[[#This Row],[Target Progres
(%)]]</f>
        <v>-1</v>
      </c>
      <c r="V57" s="373">
        <f>Table1[[#This Row],["Volume
BA MC-0"]]</f>
        <v>0</v>
      </c>
      <c r="W57" s="374">
        <f>Table1[[#This Row],[Total Panjang Pipa Aktual
(Sum-&gt;)3]]</f>
        <v>0</v>
      </c>
      <c r="X57" s="47"/>
      <c r="Y57" s="375" t="s">
        <v>529</v>
      </c>
      <c r="Z57" s="375">
        <v>2460991357</v>
      </c>
      <c r="AA57" s="375">
        <f>ROUND((Table1[[#This Row],[Nilai RAB Jaringan
(Exclude Ppn)]]-Table1[[#This Row],[RAB Perizinan]])*1.11+Table1[[#This Row],[RAB Perizinan]],0)</f>
        <v>0</v>
      </c>
      <c r="AB57" s="370">
        <f>SUM(Table1[[#This Row],[RAB Kegiatan Umum]:[RAB Perizinan]])</f>
        <v>0</v>
      </c>
      <c r="AC57" s="370"/>
      <c r="AD57" s="370"/>
      <c r="AE57" s="370"/>
      <c r="AF57" s="370"/>
      <c r="AG57" s="370">
        <v>1959463775</v>
      </c>
      <c r="AH57" s="371" t="e">
        <f>SUM(Table1[[#This Row],[Bobot Keg Umum]:[Bobot Perizinan]])</f>
        <v>#DIV/0!</v>
      </c>
      <c r="AI57" s="371" t="e">
        <f>Table1[[#This Row],[RAB Kegiatan Umum]]/Table1[[#This Row],[Nilai RAB Jaringan
(Exclude Ppn)]]</f>
        <v>#DIV/0!</v>
      </c>
      <c r="AJ57" s="371" t="e">
        <f>Table1[[#This Row],[RAB Pemasangan]]/Table1[[#This Row],[Nilai RAB Jaringan
(Exclude Ppn)]]</f>
        <v>#DIV/0!</v>
      </c>
      <c r="AK57" s="371" t="e">
        <f>Table1[[#This Row],[RAB Pengadaan]]/Table1[[#This Row],[Nilai RAB Jaringan
(Exclude Ppn)]]</f>
        <v>#DIV/0!</v>
      </c>
      <c r="AL57" s="371" t="e">
        <f>Table1[[#This Row],[RAB Perizinan]]/Table1[[#This Row],[Nilai RAB Jaringan
(Exclude Ppn)]]</f>
        <v>#DIV/0!</v>
      </c>
      <c r="AM57" s="47"/>
      <c r="AN57" s="376">
        <v>0</v>
      </c>
      <c r="AO57" s="376">
        <f>SUM(Table1[[#This Row],[Pipa 63 mm]:[Pipa 1,800 mm]])</f>
        <v>0</v>
      </c>
      <c r="AP57" s="376"/>
      <c r="AQ57" s="376"/>
      <c r="AR57" s="376"/>
      <c r="AS57" s="376"/>
      <c r="AT57" s="376"/>
      <c r="AU57" s="376"/>
      <c r="AV57" s="376"/>
      <c r="AW57" s="376"/>
      <c r="AX57" s="376"/>
      <c r="AY57" s="376"/>
      <c r="AZ57" s="376"/>
      <c r="BA57" s="376"/>
      <c r="BB57" s="376"/>
      <c r="BC57" s="376"/>
      <c r="BD57" s="376"/>
      <c r="BE57" s="376"/>
      <c r="BF57" s="376"/>
      <c r="BG57" s="376"/>
      <c r="BH57" s="376"/>
      <c r="BI57" s="376"/>
      <c r="BJ57" s="377">
        <f>SUM(Table1[[#This Row],[Pipa 63 mm2]:[Pipa 1,800 mm21]])</f>
        <v>0</v>
      </c>
      <c r="BK57" s="378"/>
      <c r="BL57" s="378"/>
      <c r="BM57" s="378"/>
      <c r="BN57" s="378"/>
      <c r="BO57" s="378"/>
      <c r="BP57" s="378"/>
      <c r="BQ57" s="378"/>
      <c r="BR57" s="378"/>
      <c r="BS57" s="378"/>
      <c r="BT57" s="378"/>
      <c r="BU57" s="378"/>
      <c r="BV57" s="378"/>
      <c r="BW57" s="378"/>
      <c r="BX57" s="378"/>
      <c r="BY57" s="378"/>
      <c r="BZ57" s="378"/>
      <c r="CA57" s="378"/>
      <c r="CB57" s="378"/>
      <c r="CC57" s="378"/>
      <c r="CD57" s="378"/>
      <c r="CE57" s="378">
        <v>0</v>
      </c>
      <c r="CF57" s="378"/>
      <c r="CG57" s="378"/>
      <c r="CH57" s="378"/>
      <c r="CI57" s="378">
        <f t="shared" si="3"/>
        <v>0</v>
      </c>
      <c r="CJ57" s="378">
        <f>IF((Table1[[#This Row],["Volume
BA MC-0"]]-Table1[[#This Row],[Total Panjang Pipa Aktual
(Sum-&gt;)3]]-Table1[[#This Row],[Total Volume
tidak dapat dipasang]])&gt;=0,Table1[[#This Row],["Volume
BA MC-0"]]-Table1[[#This Row],[Total Panjang Pipa Aktual
(Sum-&gt;)3]]-Table1[[#This Row],[Total Volume
tidak dapat dipasang]],0)</f>
        <v>0</v>
      </c>
      <c r="CK57" s="47"/>
      <c r="CL57" s="379"/>
      <c r="CM57" s="371"/>
      <c r="CN57" s="379"/>
      <c r="CO57" s="379"/>
      <c r="CP5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57" s="380">
        <f>IFERROR(Table1[[#This Row],[Progres Keg. Umum
(%)]]*Table1[[#This Row],[Nilai RAB Jaringan
(file pa aji)]],0)</f>
        <v>0</v>
      </c>
      <c r="CR57" s="380">
        <f>IFERROR(Table1[[#This Row],[Progres MOS
(%)]]*Table1[[#This Row],[Nilai RAB Jaringan
(file pa aji)]],0)</f>
        <v>0</v>
      </c>
      <c r="CS57" s="380">
        <f>IFERROR(Table1[[#This Row],[Progres Pemasangan
(%)]]*Table1[[#This Row],[Nilai RAB Jaringan
(file pa aji)]],0)</f>
        <v>0</v>
      </c>
      <c r="CT57" s="380">
        <f>IFERROR(Table1[[#This Row],[Progres Perizinan
(%)]]*Table1[[#This Row],[Nilai RAB Jaringan
(file pa aji)]],0)</f>
        <v>0</v>
      </c>
      <c r="CU57" s="329">
        <v>0</v>
      </c>
      <c r="CV57" s="329">
        <v>0</v>
      </c>
      <c r="CW57" s="582">
        <v>0</v>
      </c>
      <c r="CX57" s="329">
        <v>0</v>
      </c>
      <c r="CY57" s="47"/>
      <c r="CZ57" s="330">
        <v>45439</v>
      </c>
      <c r="DA57" s="330">
        <v>45466</v>
      </c>
      <c r="DB57" s="331"/>
      <c r="DC57" s="367"/>
      <c r="DD57" s="375"/>
      <c r="DE5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7" s="331"/>
      <c r="DG57" s="367"/>
      <c r="DH57" s="375"/>
      <c r="DI57"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7" s="330">
        <v>45467</v>
      </c>
      <c r="DK57" s="330">
        <v>45536</v>
      </c>
      <c r="DL57" s="331">
        <v>45490</v>
      </c>
      <c r="DM57" s="381" t="s">
        <v>530</v>
      </c>
      <c r="DN5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7" s="331">
        <v>45508</v>
      </c>
      <c r="DP57" s="367" t="s">
        <v>531</v>
      </c>
      <c r="DQ57" s="366" t="s">
        <v>312</v>
      </c>
      <c r="DR5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7" s="330">
        <v>45467</v>
      </c>
      <c r="DT57" s="330" t="e">
        <v>#N/A</v>
      </c>
      <c r="DU57" s="330">
        <v>45508</v>
      </c>
      <c r="DV57" s="330" t="e">
        <v>#N/A</v>
      </c>
      <c r="DW57" s="331"/>
      <c r="DX57" s="367"/>
      <c r="DY57" s="382"/>
      <c r="DZ57" s="382"/>
      <c r="EA5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7" s="331"/>
      <c r="EC57" s="332"/>
      <c r="ED57" s="332"/>
      <c r="EE57" s="330"/>
      <c r="EF57" s="371" t="b">
        <v>0</v>
      </c>
      <c r="EG57" s="383" t="b">
        <v>0</v>
      </c>
      <c r="EH57" s="316" t="str">
        <f>IF(Table1[[#This Row],[PO Material Aktual 
(%)]]&gt;=100%,"Selesai PO = 100%",IF(Table1[[#This Row],[PO Material Aktual 
(%)]]&gt;=50%,"Proses PO &gt; 100%",IF(Table1[[#This Row],[PO Material Aktual 
(%)]]&gt;0%,"Proses PO &gt; 50%",IF(Table1[[#This Row],[PO Material Aktual 
(%)]]=0,"Belum PO = 0%"))))</f>
        <v>Selesai PO = 100%</v>
      </c>
      <c r="EI5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7" s="330">
        <v>45509</v>
      </c>
      <c r="EK57" s="330" t="e">
        <v>#N/A</v>
      </c>
      <c r="EL57" s="330">
        <v>45620</v>
      </c>
      <c r="EM57" s="330" t="e">
        <v>#N/A</v>
      </c>
      <c r="EN57" s="331"/>
      <c r="EO57" s="332"/>
      <c r="EP57" s="332"/>
      <c r="EQ57" s="88" t="b">
        <v>0</v>
      </c>
      <c r="ER57" s="88" t="b">
        <v>0</v>
      </c>
      <c r="ES57" s="316" t="str">
        <f>IF(Table1[[#This Row],[Progres MOS]]&gt;=100%,"Selesai MOS = 100%",IF(Table1[[#This Row],[Progres MOS]]&gt;=50%,"Proses MOS &gt; 100%",IF(Table1[[#This Row],[Progres MOS]]&gt;0%,"Proses MOS &gt; 50%",IF(Table1[[#This Row],[Progres MOS]]=0,"Belum MOS = 0%"))))</f>
        <v>Selesai MOS = 100%</v>
      </c>
      <c r="ET5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7" s="47"/>
      <c r="EV57" s="330">
        <v>45467</v>
      </c>
      <c r="EW57" s="330" t="e">
        <v>#N/A</v>
      </c>
      <c r="EX57" s="330">
        <v>45564</v>
      </c>
      <c r="EY57" s="330" t="e">
        <v>#N/A</v>
      </c>
      <c r="EZ57" s="384" t="s">
        <v>259</v>
      </c>
      <c r="FA57" s="385" t="s">
        <v>389</v>
      </c>
      <c r="FB57" s="386" t="s">
        <v>260</v>
      </c>
      <c r="FC57" s="330">
        <v>45209</v>
      </c>
      <c r="FD57" s="386" t="s">
        <v>260</v>
      </c>
      <c r="FE57" s="386"/>
      <c r="FF57" s="386">
        <v>45502</v>
      </c>
      <c r="FG57" s="386" t="s">
        <v>260</v>
      </c>
      <c r="FH57" s="386" t="s">
        <v>260</v>
      </c>
      <c r="FI57" s="386">
        <v>45512</v>
      </c>
      <c r="FJ57" s="386" t="s">
        <v>260</v>
      </c>
      <c r="FK57" s="386">
        <v>45779</v>
      </c>
      <c r="FL57" s="336" t="s">
        <v>259</v>
      </c>
      <c r="FM57" s="336">
        <v>45209</v>
      </c>
      <c r="FN57" s="314">
        <f>IF(Table1[[#This Row],[Tanggal Pengajuan Dokumen]]="","",Table1[[#This Row],[PLAN PERMIT
start]]-Table1[[#This Row],[Tanggal Pengajuan Dokumen]])</f>
        <v>258</v>
      </c>
      <c r="FO57" s="336">
        <v>45779</v>
      </c>
      <c r="FP57" s="367"/>
      <c r="FQ57" s="366"/>
      <c r="FR57" s="384"/>
      <c r="FS57" s="338" t="str">
        <f t="shared" si="5"/>
        <v>Sudah Terbit</v>
      </c>
      <c r="FT57"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7" s="387">
        <f ca="1">IF(Table1[[#This Row],[Status Izin]]="Selesai",Table1[[#This Row],[PLAN PERMIT
finish]]-Table1[[#This Row],[Tanggal Terbit/ Target Izin Terbit]],ROUNDUP(Table1[[#This Row],[PLAN PERMIT
finish]]-NOW(),0))</f>
        <v>-215</v>
      </c>
      <c r="FV57"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7" s="387"/>
      <c r="FX57" s="47"/>
      <c r="FY57" s="340"/>
      <c r="FZ57" s="341"/>
      <c r="GA5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7" s="330">
        <v>45538</v>
      </c>
      <c r="GC57" s="388">
        <v>45519</v>
      </c>
      <c r="GD57"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7" s="330">
        <v>45545</v>
      </c>
      <c r="GF57" s="388">
        <v>45519</v>
      </c>
      <c r="GG57"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7" s="330">
        <v>45551</v>
      </c>
      <c r="GI57" s="330">
        <v>45557</v>
      </c>
      <c r="GJ57" s="389">
        <v>45518</v>
      </c>
      <c r="GK57"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7" s="330">
        <v>45565</v>
      </c>
      <c r="GM57" s="330" t="e">
        <v>#N/A</v>
      </c>
      <c r="GN57" s="330">
        <v>45690</v>
      </c>
      <c r="GO57" s="330" t="e">
        <v>#N/A</v>
      </c>
      <c r="GP57" s="367"/>
      <c r="GQ57"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7" s="386" t="s">
        <v>261</v>
      </c>
      <c r="GS57" s="386" t="s">
        <v>261</v>
      </c>
      <c r="GT57" s="390"/>
      <c r="GU57" s="387" t="str">
        <f>IF(Table1[[#This Row],[Hydro Tes Actual
(tanggal)]]&lt;&gt;"","Sudah","Belum")</f>
        <v>Belum</v>
      </c>
      <c r="GV57" s="386" t="s">
        <v>261</v>
      </c>
      <c r="GW57" s="386" t="s">
        <v>261</v>
      </c>
      <c r="GX57" s="388"/>
      <c r="GY57" s="344" t="str">
        <f>IF(Table1[[#This Row],[Interkoneksi Actual
(tanggal)]]&lt;&gt;"","Sudah","Belum")</f>
        <v>Belum</v>
      </c>
      <c r="GZ57" s="386" t="s">
        <v>261</v>
      </c>
      <c r="HA57" s="386" t="s">
        <v>261</v>
      </c>
      <c r="HB57" s="388"/>
      <c r="HC57" s="344" t="str">
        <f>IF(Table1[[#This Row],[Flushing Actual
(tanggal)]]&lt;&gt;"","Sudah","Belum")</f>
        <v>Belum</v>
      </c>
      <c r="HD57" s="330">
        <v>45677</v>
      </c>
      <c r="HE57" s="330" t="e">
        <v>#N/A</v>
      </c>
      <c r="HF57" s="330">
        <v>45683</v>
      </c>
      <c r="HG57" s="391"/>
      <c r="HH57"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57" s="386" t="s">
        <v>261</v>
      </c>
      <c r="HJ57" s="386" t="s">
        <v>261</v>
      </c>
      <c r="HK57" s="388"/>
      <c r="HL57" s="367"/>
      <c r="HM57" s="330">
        <v>45702</v>
      </c>
      <c r="HN57" s="330">
        <v>45702</v>
      </c>
      <c r="HO57" s="330" t="e">
        <v>#N/A</v>
      </c>
      <c r="HP57" s="391"/>
      <c r="HQ57"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57" s="330">
        <v>45709</v>
      </c>
      <c r="HS57" s="330"/>
      <c r="HT57" s="330">
        <v>45709</v>
      </c>
      <c r="HU57" s="527"/>
      <c r="HV57" s="386"/>
      <c r="HW57"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57" s="47"/>
      <c r="HY57" s="384"/>
      <c r="HZ57" s="384"/>
      <c r="IB57" s="618">
        <f>IFERROR(ROUND((Table1[[#This Row],[PLAN TC
finish]]-Table1[[#This Row],[PLAN MC-0
start]])/30,2),"")</f>
        <v>4.4000000000000004</v>
      </c>
      <c r="IC57">
        <f>DATEDIF(Table1[[#This Row],[PLAN MC-0
start]],Table1[[#This Row],[PLAN TC
finish]],"m")</f>
        <v>4</v>
      </c>
    </row>
    <row r="58" spans="1:237" s="4" customFormat="1" ht="15" customHeight="1" x14ac:dyDescent="0.2">
      <c r="B58" s="311">
        <f>SUBTOTAL(3,$D$5:D58)</f>
        <v>29</v>
      </c>
      <c r="C58" s="348">
        <v>54</v>
      </c>
      <c r="D58" s="315" t="s">
        <v>244</v>
      </c>
      <c r="E58" s="315" t="s">
        <v>532</v>
      </c>
      <c r="F58" s="315" t="s">
        <v>533</v>
      </c>
      <c r="G58" s="349">
        <v>45752</v>
      </c>
      <c r="H58" s="314" t="s">
        <v>247</v>
      </c>
      <c r="I58" s="315" t="s">
        <v>278</v>
      </c>
      <c r="J58" s="315"/>
      <c r="K58" s="338" t="s">
        <v>249</v>
      </c>
      <c r="L58" s="316" t="s">
        <v>250</v>
      </c>
      <c r="M58" s="316" t="s">
        <v>269</v>
      </c>
      <c r="N58" s="107">
        <v>3875</v>
      </c>
      <c r="O58" s="31" t="s">
        <v>252</v>
      </c>
      <c r="P5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8" s="87" t="e">
        <v>#N/A</v>
      </c>
      <c r="S58" s="87">
        <v>1</v>
      </c>
      <c r="T58" s="35">
        <f>Table1[[#This Row],[Progres Total Aktual
(%)]]</f>
        <v>1</v>
      </c>
      <c r="U58" s="124">
        <f>Table1[[#This Row],[Progres Aktual
(%)]]-Table1[[#This Row],[Target Progres
(%)]]</f>
        <v>0</v>
      </c>
      <c r="V58" s="350">
        <f>Table1[[#This Row],["Volume
BA MC-0"]]</f>
        <v>3785</v>
      </c>
      <c r="W58" s="351">
        <f>Table1[[#This Row],[Total Panjang Pipa Aktual
(Sum-&gt;)3]]</f>
        <v>2718.8</v>
      </c>
      <c r="X58" s="47"/>
      <c r="Y58" s="67" t="s">
        <v>534</v>
      </c>
      <c r="Z58" s="67">
        <v>6550476497</v>
      </c>
      <c r="AA58" s="67">
        <f>ROUND((Table1[[#This Row],[Nilai RAB Jaringan
(Exclude Ppn)]]-Table1[[#This Row],[RAB Perizinan]])*1.11+Table1[[#This Row],[RAB Perizinan]],0)</f>
        <v>0</v>
      </c>
      <c r="AB58" s="320">
        <f>SUM(Table1[[#This Row],[RAB Kegiatan Umum]:[RAB Perizinan]])</f>
        <v>0</v>
      </c>
      <c r="AC58" s="320"/>
      <c r="AD58" s="320"/>
      <c r="AE58" s="320"/>
      <c r="AF58" s="320"/>
      <c r="AG58" s="320">
        <v>5425419051</v>
      </c>
      <c r="AH58" s="35" t="e">
        <f>SUM(Table1[[#This Row],[Bobot Keg Umum]:[Bobot Perizinan]])</f>
        <v>#DIV/0!</v>
      </c>
      <c r="AI58" s="35" t="e">
        <f>Table1[[#This Row],[RAB Kegiatan Umum]]/Table1[[#This Row],[Nilai RAB Jaringan
(Exclude Ppn)]]</f>
        <v>#DIV/0!</v>
      </c>
      <c r="AJ58" s="35" t="e">
        <f>Table1[[#This Row],[RAB Pemasangan]]/Table1[[#This Row],[Nilai RAB Jaringan
(Exclude Ppn)]]</f>
        <v>#DIV/0!</v>
      </c>
      <c r="AK58" s="35" t="e">
        <f>Table1[[#This Row],[RAB Pengadaan]]/Table1[[#This Row],[Nilai RAB Jaringan
(Exclude Ppn)]]</f>
        <v>#DIV/0!</v>
      </c>
      <c r="AL58" s="35" t="e">
        <f>Table1[[#This Row],[RAB Perizinan]]/Table1[[#This Row],[Nilai RAB Jaringan
(Exclude Ppn)]]</f>
        <v>#DIV/0!</v>
      </c>
      <c r="AM58" s="47"/>
      <c r="AN58" s="285">
        <v>3785</v>
      </c>
      <c r="AO58" s="285">
        <f>SUM(Table1[[#This Row],[Pipa 63 mm]:[Pipa 1,800 mm]])</f>
        <v>0</v>
      </c>
      <c r="AP58" s="285"/>
      <c r="AQ58" s="285"/>
      <c r="AR58" s="285"/>
      <c r="AS58" s="285"/>
      <c r="AT58" s="285"/>
      <c r="AU58" s="285"/>
      <c r="AV58" s="285"/>
      <c r="AW58" s="285"/>
      <c r="AX58" s="285"/>
      <c r="AY58" s="285"/>
      <c r="AZ58" s="285"/>
      <c r="BA58" s="285"/>
      <c r="BB58" s="285"/>
      <c r="BC58" s="285"/>
      <c r="BD58" s="285"/>
      <c r="BE58" s="285"/>
      <c r="BF58" s="285"/>
      <c r="BG58" s="285"/>
      <c r="BH58" s="285"/>
      <c r="BI58" s="285"/>
      <c r="BJ58" s="36">
        <f>SUM(Table1[[#This Row],[Pipa 63 mm2]:[Pipa 1,800 mm21]])</f>
        <v>2718.8</v>
      </c>
      <c r="BK58" s="356">
        <v>1631.6</v>
      </c>
      <c r="BL58" s="356"/>
      <c r="BM58" s="356">
        <v>508</v>
      </c>
      <c r="BN58" s="356">
        <v>579.20000000000005</v>
      </c>
      <c r="BO58" s="356"/>
      <c r="BP58" s="356"/>
      <c r="BQ58" s="356"/>
      <c r="BR58" s="356"/>
      <c r="BS58" s="356"/>
      <c r="BT58" s="356"/>
      <c r="BU58" s="356"/>
      <c r="BV58" s="356"/>
      <c r="BW58" s="356"/>
      <c r="BX58" s="356"/>
      <c r="BY58" s="356"/>
      <c r="BZ58" s="356"/>
      <c r="CA58" s="356"/>
      <c r="CB58" s="356"/>
      <c r="CC58" s="356"/>
      <c r="CD58" s="356"/>
      <c r="CE58" s="32">
        <v>1422</v>
      </c>
      <c r="CF58" s="32"/>
      <c r="CG58" s="32"/>
      <c r="CH58" s="32"/>
      <c r="CI58" s="32">
        <f t="shared" si="3"/>
        <v>1422</v>
      </c>
      <c r="CJ58" s="65">
        <f>IF((Table1[[#This Row],["Volume
BA MC-0"]]-Table1[[#This Row],[Total Panjang Pipa Aktual
(Sum-&gt;)3]]-Table1[[#This Row],[Total Volume
tidak dapat dipasang]])&gt;=0,Table1[[#This Row],["Volume
BA MC-0"]]-Table1[[#This Row],[Total Panjang Pipa Aktual
(Sum-&gt;)3]]-Table1[[#This Row],[Total Volume
tidak dapat dipasang]],0)</f>
        <v>0</v>
      </c>
      <c r="CK58" s="47"/>
      <c r="CL58" s="131"/>
      <c r="CM58" s="35"/>
      <c r="CN58" s="131"/>
      <c r="CO58" s="131"/>
      <c r="CP5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8" s="66">
        <f>IFERROR(Table1[[#This Row],[Progres Keg. Umum
(%)]]*Table1[[#This Row],[Nilai RAB Jaringan
(file pa aji)]],0)</f>
        <v>0</v>
      </c>
      <c r="CR58" s="66">
        <f>IFERROR(Table1[[#This Row],[Progres MOS
(%)]]*Table1[[#This Row],[Nilai RAB Jaringan
(file pa aji)]],0)</f>
        <v>0</v>
      </c>
      <c r="CS58" s="66">
        <f>IFERROR(Table1[[#This Row],[Progres Pemasangan
(%)]]*Table1[[#This Row],[Nilai RAB Jaringan
(file pa aji)]],0)</f>
        <v>0</v>
      </c>
      <c r="CT58" s="66">
        <f>IFERROR(Table1[[#This Row],[Progres Perizinan
(%)]]*Table1[[#This Row],[Nilai RAB Jaringan
(file pa aji)]],0)</f>
        <v>0</v>
      </c>
      <c r="CU58" s="329">
        <v>4782298448</v>
      </c>
      <c r="CV58" s="329">
        <v>4782298448</v>
      </c>
      <c r="CW58" s="583">
        <v>4782298448</v>
      </c>
      <c r="CX58" s="329">
        <v>4782298448</v>
      </c>
      <c r="CY58" s="47"/>
      <c r="CZ58" s="330">
        <v>45439</v>
      </c>
      <c r="DA58" s="330">
        <v>45466</v>
      </c>
      <c r="DB58" s="331"/>
      <c r="DC58" s="316"/>
      <c r="DD58" s="67"/>
      <c r="DE5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8" s="331"/>
      <c r="DG58" s="316"/>
      <c r="DH58" s="67"/>
      <c r="DI5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8" s="330">
        <v>45467</v>
      </c>
      <c r="DK58" s="330">
        <v>45536</v>
      </c>
      <c r="DL58" s="331">
        <v>45526</v>
      </c>
      <c r="DM58" s="357" t="s">
        <v>535</v>
      </c>
      <c r="DN5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8" s="331">
        <v>45540</v>
      </c>
      <c r="DP58" s="316" t="s">
        <v>536</v>
      </c>
      <c r="DQ58" s="338" t="s">
        <v>312</v>
      </c>
      <c r="DR5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58" s="330">
        <v>45467</v>
      </c>
      <c r="DT58" s="330" t="e">
        <v>#N/A</v>
      </c>
      <c r="DU58" s="330">
        <v>45508</v>
      </c>
      <c r="DV58" s="330" t="e">
        <v>#N/A</v>
      </c>
      <c r="DW58" s="331"/>
      <c r="DX58" s="316"/>
      <c r="DY58" s="334"/>
      <c r="DZ58" s="334"/>
      <c r="EA5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8" s="331"/>
      <c r="EC58" s="332"/>
      <c r="ED58" s="332"/>
      <c r="EE58" s="330"/>
      <c r="EF58" s="35">
        <v>1</v>
      </c>
      <c r="EG58" s="337">
        <v>1</v>
      </c>
      <c r="EH58" s="316" t="str">
        <f>IF(Table1[[#This Row],[PO Material Aktual 
(%)]]&gt;=100%,"Selesai PO = 100%",IF(Table1[[#This Row],[PO Material Aktual 
(%)]]&gt;=50%,"Proses PO &gt; 100%",IF(Table1[[#This Row],[PO Material Aktual 
(%)]]&gt;0%,"Proses PO &gt; 50%",IF(Table1[[#This Row],[PO Material Aktual 
(%)]]=0,"Belum PO = 0%"))))</f>
        <v>Selesai PO = 100%</v>
      </c>
      <c r="EI5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8" s="330">
        <v>45509</v>
      </c>
      <c r="EK58" s="330" t="e">
        <v>#N/A</v>
      </c>
      <c r="EL58" s="330">
        <v>45620</v>
      </c>
      <c r="EM58" s="330" t="e">
        <v>#N/A</v>
      </c>
      <c r="EN58" s="331"/>
      <c r="EO58" s="332"/>
      <c r="EP58" s="332"/>
      <c r="EQ58" s="87">
        <v>1</v>
      </c>
      <c r="ER58" s="87">
        <v>1</v>
      </c>
      <c r="ES58" s="316" t="str">
        <f>IF(Table1[[#This Row],[Progres MOS]]&gt;=100%,"Selesai MOS = 100%",IF(Table1[[#This Row],[Progres MOS]]&gt;=50%,"Proses MOS &gt; 100%",IF(Table1[[#This Row],[Progres MOS]]&gt;0%,"Proses MOS &gt; 50%",IF(Table1[[#This Row],[Progres MOS]]=0,"Belum MOS = 0%"))))</f>
        <v>Selesai MOS = 100%</v>
      </c>
      <c r="ET5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8" s="47"/>
      <c r="EV58" s="330">
        <v>45467</v>
      </c>
      <c r="EW58" s="330" t="e">
        <v>#N/A</v>
      </c>
      <c r="EX58" s="330">
        <v>45564</v>
      </c>
      <c r="EY58" s="330" t="e">
        <v>#N/A</v>
      </c>
      <c r="EZ58" s="352" t="s">
        <v>259</v>
      </c>
      <c r="FA58" s="336" t="s">
        <v>259</v>
      </c>
      <c r="FB58" s="330" t="s">
        <v>260</v>
      </c>
      <c r="FC58" s="330">
        <v>45209</v>
      </c>
      <c r="FD58" s="330" t="s">
        <v>260</v>
      </c>
      <c r="FE58" s="330"/>
      <c r="FF58" s="330">
        <v>45505</v>
      </c>
      <c r="FG58" s="330" t="s">
        <v>260</v>
      </c>
      <c r="FH58" s="330" t="s">
        <v>260</v>
      </c>
      <c r="FI58" s="330">
        <v>45512</v>
      </c>
      <c r="FJ58" s="330" t="s">
        <v>260</v>
      </c>
      <c r="FK58" s="330">
        <v>45702</v>
      </c>
      <c r="FL58" s="336" t="s">
        <v>259</v>
      </c>
      <c r="FM58" s="336">
        <v>45209</v>
      </c>
      <c r="FN58" s="314">
        <f>IF(Table1[[#This Row],[Tanggal Pengajuan Dokumen]]="","",Table1[[#This Row],[PLAN PERMIT
start]]-Table1[[#This Row],[Tanggal Pengajuan Dokumen]])</f>
        <v>258</v>
      </c>
      <c r="FO58" s="336">
        <v>45702</v>
      </c>
      <c r="FP58" s="316"/>
      <c r="FQ58" s="338"/>
      <c r="FR58" s="352"/>
      <c r="FS58" s="338" t="str">
        <f t="shared" si="5"/>
        <v>Sudah Terbit</v>
      </c>
      <c r="FT5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8" s="344">
        <f ca="1">IF(Table1[[#This Row],[Status Izin]]="Selesai",Table1[[#This Row],[PLAN PERMIT
finish]]-Table1[[#This Row],[Tanggal Terbit/ Target Izin Terbit]],ROUNDUP(Table1[[#This Row],[PLAN PERMIT
finish]]-NOW(),0))</f>
        <v>-138</v>
      </c>
      <c r="FV5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8" s="344"/>
      <c r="FX58" s="47"/>
      <c r="FY58" s="340"/>
      <c r="FZ58" s="341"/>
      <c r="GA5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8" s="330">
        <v>45538</v>
      </c>
      <c r="GC58" s="331">
        <v>45519</v>
      </c>
      <c r="GD5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8" s="330">
        <v>45545</v>
      </c>
      <c r="GF58" s="331">
        <v>45519</v>
      </c>
      <c r="GG5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8" s="330">
        <v>45551</v>
      </c>
      <c r="GI58" s="330">
        <v>45557</v>
      </c>
      <c r="GJ58" s="353">
        <v>45535</v>
      </c>
      <c r="GK5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8" s="330">
        <v>45565</v>
      </c>
      <c r="GM58" s="330" t="e">
        <v>#N/A</v>
      </c>
      <c r="GN58" s="330">
        <v>45690</v>
      </c>
      <c r="GO58" s="330" t="e">
        <v>#N/A</v>
      </c>
      <c r="GP58" s="316"/>
      <c r="GQ5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8" s="330" t="s">
        <v>261</v>
      </c>
      <c r="GS58" s="330" t="s">
        <v>261</v>
      </c>
      <c r="GT58" s="354">
        <v>45640</v>
      </c>
      <c r="GU58" s="344" t="str">
        <f>IF(Table1[[#This Row],[Hydro Tes Actual
(tanggal)]]&lt;&gt;"","Sudah","Belum")</f>
        <v>Sudah</v>
      </c>
      <c r="GV58" s="330" t="s">
        <v>261</v>
      </c>
      <c r="GW58" s="330" t="s">
        <v>261</v>
      </c>
      <c r="GX58" s="331">
        <v>45663</v>
      </c>
      <c r="GY58" s="344" t="str">
        <f>IF(Table1[[#This Row],[Interkoneksi Actual
(tanggal)]]&lt;&gt;"","Sudah","Belum")</f>
        <v>Sudah</v>
      </c>
      <c r="GZ58" s="330" t="s">
        <v>261</v>
      </c>
      <c r="HA58" s="330" t="s">
        <v>261</v>
      </c>
      <c r="HB58" s="331">
        <v>45708</v>
      </c>
      <c r="HC58" s="344" t="str">
        <f>IF(Table1[[#This Row],[Flushing Actual
(tanggal)]]&lt;&gt;"","Sudah","Belum")</f>
        <v>Sudah</v>
      </c>
      <c r="HD58" s="330">
        <v>45677</v>
      </c>
      <c r="HE58" s="330" t="e">
        <v>#N/A</v>
      </c>
      <c r="HF58" s="330">
        <v>45683</v>
      </c>
      <c r="HG58" s="346">
        <v>45720</v>
      </c>
      <c r="HH5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8" s="330" t="s">
        <v>261</v>
      </c>
      <c r="HJ58" s="330" t="s">
        <v>261</v>
      </c>
      <c r="HK58" s="331"/>
      <c r="HL58" s="316"/>
      <c r="HM58" s="330">
        <v>45702</v>
      </c>
      <c r="HN58" s="330">
        <v>45702</v>
      </c>
      <c r="HO58" s="330" t="e">
        <v>#N/A</v>
      </c>
      <c r="HP58" s="346">
        <v>45739</v>
      </c>
      <c r="HQ5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58" s="330">
        <v>45709</v>
      </c>
      <c r="HS58" s="330"/>
      <c r="HT58" s="330">
        <v>45709</v>
      </c>
      <c r="HU58" s="527"/>
      <c r="HV58" s="330">
        <f>IF(Table1[[#This Row],[MC-100 Aktual
(tanggal)]]&lt;&gt;"",Table1[[#This Row],[MC-100 Aktual
(tanggal)]]+5,"")</f>
        <v>45744</v>
      </c>
      <c r="HW5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58" s="47"/>
      <c r="HY58" s="352"/>
      <c r="HZ58" s="352"/>
      <c r="IB58" s="618">
        <f>IFERROR(ROUND((Table1[[#This Row],[PLAN TC
finish]]-Table1[[#This Row],[PLAN MC-0
start]])/30,2),"")</f>
        <v>4.4000000000000004</v>
      </c>
      <c r="IC58">
        <f>DATEDIF(Table1[[#This Row],[PLAN MC-0
start]],Table1[[#This Row],[PLAN TC
finish]],"m")</f>
        <v>4</v>
      </c>
    </row>
    <row r="59" spans="1:237" s="4" customFormat="1" ht="15" customHeight="1" x14ac:dyDescent="0.2">
      <c r="B59" s="311">
        <f>SUBTOTAL(3,$D$5:D59)</f>
        <v>30</v>
      </c>
      <c r="C59" s="348">
        <v>55</v>
      </c>
      <c r="D59" s="315" t="s">
        <v>244</v>
      </c>
      <c r="E59" s="315" t="s">
        <v>537</v>
      </c>
      <c r="F59" s="315" t="s">
        <v>538</v>
      </c>
      <c r="G59" s="349">
        <v>45752</v>
      </c>
      <c r="H59" s="314" t="s">
        <v>247</v>
      </c>
      <c r="I59" s="315" t="s">
        <v>278</v>
      </c>
      <c r="J59" s="315"/>
      <c r="K59" s="338" t="s">
        <v>249</v>
      </c>
      <c r="L59" s="316" t="s">
        <v>250</v>
      </c>
      <c r="M59" s="316" t="s">
        <v>269</v>
      </c>
      <c r="N59" s="107">
        <v>3745</v>
      </c>
      <c r="O59" s="31" t="s">
        <v>252</v>
      </c>
      <c r="P5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9" s="87" t="e">
        <v>#N/A</v>
      </c>
      <c r="S59" s="87">
        <v>1</v>
      </c>
      <c r="T59" s="35">
        <f>Table1[[#This Row],[Progres Total Aktual
(%)]]</f>
        <v>1</v>
      </c>
      <c r="U59" s="124">
        <f>Table1[[#This Row],[Progres Aktual
(%)]]-Table1[[#This Row],[Target Progres
(%)]]</f>
        <v>0</v>
      </c>
      <c r="V59" s="350">
        <f>Table1[[#This Row],["Volume
BA MC-0"]]</f>
        <v>3794</v>
      </c>
      <c r="W59" s="351">
        <f>Table1[[#This Row],[Total Panjang Pipa Aktual
(Sum-&gt;)3]]</f>
        <v>2346.1</v>
      </c>
      <c r="X59" s="47"/>
      <c r="Y59" s="67" t="s">
        <v>539</v>
      </c>
      <c r="Z59" s="67">
        <v>5397654199</v>
      </c>
      <c r="AA59" s="67">
        <f>ROUND((Table1[[#This Row],[Nilai RAB Jaringan
(Exclude Ppn)]]-Table1[[#This Row],[RAB Perizinan]])*1.11+Table1[[#This Row],[RAB Perizinan]],0)</f>
        <v>0</v>
      </c>
      <c r="AB59" s="320">
        <f>SUM(Table1[[#This Row],[RAB Kegiatan Umum]:[RAB Perizinan]])</f>
        <v>0</v>
      </c>
      <c r="AC59" s="320"/>
      <c r="AD59" s="320"/>
      <c r="AE59" s="320"/>
      <c r="AF59" s="320"/>
      <c r="AG59" s="320">
        <v>3988615592</v>
      </c>
      <c r="AH59" s="35" t="e">
        <f>SUM(Table1[[#This Row],[Bobot Keg Umum]:[Bobot Perizinan]])</f>
        <v>#DIV/0!</v>
      </c>
      <c r="AI59" s="35" t="e">
        <f>Table1[[#This Row],[RAB Kegiatan Umum]]/Table1[[#This Row],[Nilai RAB Jaringan
(Exclude Ppn)]]</f>
        <v>#DIV/0!</v>
      </c>
      <c r="AJ59" s="35" t="e">
        <f>Table1[[#This Row],[RAB Pemasangan]]/Table1[[#This Row],[Nilai RAB Jaringan
(Exclude Ppn)]]</f>
        <v>#DIV/0!</v>
      </c>
      <c r="AK59" s="35" t="e">
        <f>Table1[[#This Row],[RAB Pengadaan]]/Table1[[#This Row],[Nilai RAB Jaringan
(Exclude Ppn)]]</f>
        <v>#DIV/0!</v>
      </c>
      <c r="AL59" s="35" t="e">
        <f>Table1[[#This Row],[RAB Perizinan]]/Table1[[#This Row],[Nilai RAB Jaringan
(Exclude Ppn)]]</f>
        <v>#DIV/0!</v>
      </c>
      <c r="AM59" s="47"/>
      <c r="AN59" s="285">
        <v>3794</v>
      </c>
      <c r="AO59" s="285">
        <f>SUM(Table1[[#This Row],[Pipa 63 mm]:[Pipa 1,800 mm]])</f>
        <v>0</v>
      </c>
      <c r="AP59" s="285"/>
      <c r="AQ59" s="285"/>
      <c r="AR59" s="285"/>
      <c r="AS59" s="285"/>
      <c r="AT59" s="285"/>
      <c r="AU59" s="285"/>
      <c r="AV59" s="285"/>
      <c r="AW59" s="285"/>
      <c r="AX59" s="285"/>
      <c r="AY59" s="285"/>
      <c r="AZ59" s="285"/>
      <c r="BA59" s="285"/>
      <c r="BB59" s="285"/>
      <c r="BC59" s="285"/>
      <c r="BD59" s="285"/>
      <c r="BE59" s="285"/>
      <c r="BF59" s="285"/>
      <c r="BG59" s="285"/>
      <c r="BH59" s="285"/>
      <c r="BI59" s="285"/>
      <c r="BJ59" s="36">
        <f>SUM(Table1[[#This Row],[Pipa 63 mm2]:[Pipa 1,800 mm21]])</f>
        <v>2346.1</v>
      </c>
      <c r="BK59" s="356">
        <v>2223.6999999999998</v>
      </c>
      <c r="BL59" s="356">
        <v>122.4</v>
      </c>
      <c r="BM59" s="356"/>
      <c r="BN59" s="356"/>
      <c r="BO59" s="356"/>
      <c r="BP59" s="356"/>
      <c r="BQ59" s="356"/>
      <c r="BR59" s="356"/>
      <c r="BS59" s="356"/>
      <c r="BT59" s="356"/>
      <c r="BU59" s="356"/>
      <c r="BV59" s="356"/>
      <c r="BW59" s="356"/>
      <c r="BX59" s="356"/>
      <c r="BY59" s="356"/>
      <c r="BZ59" s="356"/>
      <c r="CA59" s="356"/>
      <c r="CB59" s="356"/>
      <c r="CC59" s="356"/>
      <c r="CD59" s="356"/>
      <c r="CE59" s="32">
        <v>1603</v>
      </c>
      <c r="CF59" s="32"/>
      <c r="CG59" s="32"/>
      <c r="CH59" s="32"/>
      <c r="CI59" s="32">
        <f t="shared" si="3"/>
        <v>1603</v>
      </c>
      <c r="CJ59" s="65">
        <f>IF((Table1[[#This Row],["Volume
BA MC-0"]]-Table1[[#This Row],[Total Panjang Pipa Aktual
(Sum-&gt;)3]]-Table1[[#This Row],[Total Volume
tidak dapat dipasang]])&gt;=0,Table1[[#This Row],["Volume
BA MC-0"]]-Table1[[#This Row],[Total Panjang Pipa Aktual
(Sum-&gt;)3]]-Table1[[#This Row],[Total Volume
tidak dapat dipasang]],0)</f>
        <v>0</v>
      </c>
      <c r="CK59" s="47"/>
      <c r="CL59" s="131"/>
      <c r="CM59" s="35"/>
      <c r="CN59" s="131"/>
      <c r="CO59" s="131"/>
      <c r="CP5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9" s="66">
        <f>IFERROR(Table1[[#This Row],[Progres Keg. Umum
(%)]]*Table1[[#This Row],[Nilai RAB Jaringan
(file pa aji)]],0)</f>
        <v>0</v>
      </c>
      <c r="CR59" s="66">
        <f>IFERROR(Table1[[#This Row],[Progres MOS
(%)]]*Table1[[#This Row],[Nilai RAB Jaringan
(file pa aji)]],0)</f>
        <v>0</v>
      </c>
      <c r="CS59" s="66">
        <f>IFERROR(Table1[[#This Row],[Progres Pemasangan
(%)]]*Table1[[#This Row],[Nilai RAB Jaringan
(file pa aji)]],0)</f>
        <v>0</v>
      </c>
      <c r="CT59" s="66">
        <f>IFERROR(Table1[[#This Row],[Progres Perizinan
(%)]]*Table1[[#This Row],[Nilai RAB Jaringan
(file pa aji)]],0)</f>
        <v>0</v>
      </c>
      <c r="CU59" s="329">
        <v>4834993334</v>
      </c>
      <c r="CV59" s="329">
        <v>4834993334</v>
      </c>
      <c r="CW59" s="583">
        <v>4834993334</v>
      </c>
      <c r="CX59" s="329">
        <v>4834993334</v>
      </c>
      <c r="CY59" s="47"/>
      <c r="CZ59" s="330">
        <v>45439</v>
      </c>
      <c r="DA59" s="330">
        <v>45466</v>
      </c>
      <c r="DB59" s="331"/>
      <c r="DC59" s="316"/>
      <c r="DD59" s="67"/>
      <c r="DE5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9" s="331"/>
      <c r="DG59" s="316"/>
      <c r="DH59" s="67"/>
      <c r="DI5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9" s="330">
        <v>45467</v>
      </c>
      <c r="DK59" s="330">
        <v>45536</v>
      </c>
      <c r="DL59" s="331">
        <v>45491</v>
      </c>
      <c r="DM59" s="357" t="s">
        <v>540</v>
      </c>
      <c r="DN5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9" s="331">
        <v>45508</v>
      </c>
      <c r="DP59" s="316" t="s">
        <v>541</v>
      </c>
      <c r="DQ59" s="338" t="s">
        <v>312</v>
      </c>
      <c r="DR5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9" s="330">
        <v>45467</v>
      </c>
      <c r="DT59" s="330" t="e">
        <v>#N/A</v>
      </c>
      <c r="DU59" s="330">
        <v>45508</v>
      </c>
      <c r="DV59" s="330" t="e">
        <v>#N/A</v>
      </c>
      <c r="DW59" s="331"/>
      <c r="DX59" s="316"/>
      <c r="DY59" s="334"/>
      <c r="DZ59" s="334"/>
      <c r="EA5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9" s="331"/>
      <c r="EC59" s="332"/>
      <c r="ED59" s="332"/>
      <c r="EE59" s="330"/>
      <c r="EF59" s="35">
        <v>1</v>
      </c>
      <c r="EG59" s="337">
        <v>1</v>
      </c>
      <c r="EH59" s="316" t="str">
        <f>IF(Table1[[#This Row],[PO Material Aktual 
(%)]]&gt;=100%,"Selesai PO = 100%",IF(Table1[[#This Row],[PO Material Aktual 
(%)]]&gt;=50%,"Proses PO &gt; 100%",IF(Table1[[#This Row],[PO Material Aktual 
(%)]]&gt;0%,"Proses PO &gt; 50%",IF(Table1[[#This Row],[PO Material Aktual 
(%)]]=0,"Belum PO = 0%"))))</f>
        <v>Selesai PO = 100%</v>
      </c>
      <c r="EI5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9" s="330">
        <v>45509</v>
      </c>
      <c r="EK59" s="330" t="e">
        <v>#N/A</v>
      </c>
      <c r="EL59" s="330">
        <v>45620</v>
      </c>
      <c r="EM59" s="330" t="e">
        <v>#N/A</v>
      </c>
      <c r="EN59" s="331"/>
      <c r="EO59" s="332"/>
      <c r="EP59" s="332"/>
      <c r="EQ59" s="87">
        <v>1</v>
      </c>
      <c r="ER59" s="87">
        <v>1</v>
      </c>
      <c r="ES59" s="316" t="str">
        <f>IF(Table1[[#This Row],[Progres MOS]]&gt;=100%,"Selesai MOS = 100%",IF(Table1[[#This Row],[Progres MOS]]&gt;=50%,"Proses MOS &gt; 100%",IF(Table1[[#This Row],[Progres MOS]]&gt;0%,"Proses MOS &gt; 50%",IF(Table1[[#This Row],[Progres MOS]]=0,"Belum MOS = 0%"))))</f>
        <v>Selesai MOS = 100%</v>
      </c>
      <c r="ET5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9" s="47"/>
      <c r="EV59" s="330">
        <v>45467</v>
      </c>
      <c r="EW59" s="330" t="e">
        <v>#N/A</v>
      </c>
      <c r="EX59" s="330">
        <v>45564</v>
      </c>
      <c r="EY59" s="330" t="e">
        <v>#N/A</v>
      </c>
      <c r="EZ59" s="352" t="s">
        <v>259</v>
      </c>
      <c r="FA59" s="336" t="s">
        <v>259</v>
      </c>
      <c r="FB59" s="330" t="s">
        <v>260</v>
      </c>
      <c r="FC59" s="330">
        <v>45209</v>
      </c>
      <c r="FD59" s="330" t="s">
        <v>260</v>
      </c>
      <c r="FE59" s="330"/>
      <c r="FF59" s="330">
        <v>45505</v>
      </c>
      <c r="FG59" s="330" t="s">
        <v>260</v>
      </c>
      <c r="FH59" s="330" t="s">
        <v>260</v>
      </c>
      <c r="FI59" s="330">
        <v>45512</v>
      </c>
      <c r="FJ59" s="330" t="s">
        <v>260</v>
      </c>
      <c r="FK59" s="330">
        <v>45702</v>
      </c>
      <c r="FL59" s="336" t="s">
        <v>259</v>
      </c>
      <c r="FM59" s="336">
        <v>45209</v>
      </c>
      <c r="FN59" s="314">
        <f>IF(Table1[[#This Row],[Tanggal Pengajuan Dokumen]]="","",Table1[[#This Row],[PLAN PERMIT
start]]-Table1[[#This Row],[Tanggal Pengajuan Dokumen]])</f>
        <v>258</v>
      </c>
      <c r="FO59" s="336">
        <v>45702</v>
      </c>
      <c r="FP59" s="316"/>
      <c r="FQ59" s="338"/>
      <c r="FR59" s="352"/>
      <c r="FS59" s="338" t="str">
        <f t="shared" si="5"/>
        <v>Sudah Terbit</v>
      </c>
      <c r="FT5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9" s="344">
        <f ca="1">IF(Table1[[#This Row],[Status Izin]]="Selesai",Table1[[#This Row],[PLAN PERMIT
finish]]-Table1[[#This Row],[Tanggal Terbit/ Target Izin Terbit]],ROUNDUP(Table1[[#This Row],[PLAN PERMIT
finish]]-NOW(),0))</f>
        <v>-138</v>
      </c>
      <c r="FV5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9" s="344"/>
      <c r="FX59" s="47"/>
      <c r="FY59" s="340"/>
      <c r="FZ59" s="341"/>
      <c r="GA5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9" s="330">
        <v>45538</v>
      </c>
      <c r="GC59" s="331">
        <v>45519</v>
      </c>
      <c r="GD5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9" s="330">
        <v>45545</v>
      </c>
      <c r="GF59" s="331">
        <v>45519</v>
      </c>
      <c r="GG5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9" s="330">
        <v>45551</v>
      </c>
      <c r="GI59" s="330">
        <v>45557</v>
      </c>
      <c r="GJ59" s="353">
        <v>45537</v>
      </c>
      <c r="GK5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9" s="330">
        <v>45565</v>
      </c>
      <c r="GM59" s="330" t="e">
        <v>#N/A</v>
      </c>
      <c r="GN59" s="330">
        <v>45690</v>
      </c>
      <c r="GO59" s="330" t="e">
        <v>#N/A</v>
      </c>
      <c r="GP59" s="316"/>
      <c r="GQ5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9" s="330" t="s">
        <v>261</v>
      </c>
      <c r="GS59" s="330" t="s">
        <v>261</v>
      </c>
      <c r="GT59" s="354">
        <v>45677</v>
      </c>
      <c r="GU59" s="344" t="str">
        <f>IF(Table1[[#This Row],[Hydro Tes Actual
(tanggal)]]&lt;&gt;"","Sudah","Belum")</f>
        <v>Sudah</v>
      </c>
      <c r="GV59" s="330" t="s">
        <v>261</v>
      </c>
      <c r="GW59" s="330" t="s">
        <v>261</v>
      </c>
      <c r="GX59" s="331">
        <v>45683</v>
      </c>
      <c r="GY59" s="344" t="str">
        <f>IF(Table1[[#This Row],[Interkoneksi Actual
(tanggal)]]&lt;&gt;"","Sudah","Belum")</f>
        <v>Sudah</v>
      </c>
      <c r="GZ59" s="330" t="s">
        <v>261</v>
      </c>
      <c r="HA59" s="330" t="s">
        <v>261</v>
      </c>
      <c r="HB59" s="331">
        <v>45699</v>
      </c>
      <c r="HC59" s="344" t="str">
        <f>IF(Table1[[#This Row],[Flushing Actual
(tanggal)]]&lt;&gt;"","Sudah","Belum")</f>
        <v>Sudah</v>
      </c>
      <c r="HD59" s="330">
        <v>45677</v>
      </c>
      <c r="HE59" s="330" t="e">
        <v>#N/A</v>
      </c>
      <c r="HF59" s="330">
        <v>45683</v>
      </c>
      <c r="HG59" s="346">
        <v>45719</v>
      </c>
      <c r="HH5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9" s="330" t="s">
        <v>261</v>
      </c>
      <c r="HJ59" s="330" t="s">
        <v>261</v>
      </c>
      <c r="HK59" s="331"/>
      <c r="HL59" s="316"/>
      <c r="HM59" s="330">
        <v>45702</v>
      </c>
      <c r="HN59" s="330">
        <v>45702</v>
      </c>
      <c r="HO59" s="330" t="e">
        <v>#N/A</v>
      </c>
      <c r="HP59" s="346">
        <v>45739</v>
      </c>
      <c r="HQ5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59" s="330">
        <v>45709</v>
      </c>
      <c r="HS59" s="330"/>
      <c r="HT59" s="330">
        <v>45709</v>
      </c>
      <c r="HU59" s="527"/>
      <c r="HV59" s="330">
        <f>IF(Table1[[#This Row],[MC-100 Aktual
(tanggal)]]&lt;&gt;"",Table1[[#This Row],[MC-100 Aktual
(tanggal)]]+5,"")</f>
        <v>45744</v>
      </c>
      <c r="HW5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59" s="47"/>
      <c r="HY59" s="352"/>
      <c r="HZ59" s="352"/>
      <c r="IB59" s="618">
        <f>IFERROR(ROUND((Table1[[#This Row],[PLAN TC
finish]]-Table1[[#This Row],[PLAN MC-0
start]])/30,2),"")</f>
        <v>4.4000000000000004</v>
      </c>
      <c r="IC59">
        <f>DATEDIF(Table1[[#This Row],[PLAN MC-0
start]],Table1[[#This Row],[PLAN TC
finish]],"m")</f>
        <v>4</v>
      </c>
    </row>
    <row r="60" spans="1:237" s="4" customFormat="1" ht="15" customHeight="1" x14ac:dyDescent="0.2">
      <c r="B60" s="311">
        <f>SUBTOTAL(3,$D$5:D60)</f>
        <v>31</v>
      </c>
      <c r="C60" s="348">
        <v>56</v>
      </c>
      <c r="D60" s="315" t="s">
        <v>244</v>
      </c>
      <c r="E60" s="315" t="s">
        <v>542</v>
      </c>
      <c r="F60" s="315" t="s">
        <v>543</v>
      </c>
      <c r="G60" s="349">
        <v>45752</v>
      </c>
      <c r="H60" s="314" t="s">
        <v>247</v>
      </c>
      <c r="I60" s="315" t="s">
        <v>278</v>
      </c>
      <c r="J60" s="315"/>
      <c r="K60" s="338" t="s">
        <v>249</v>
      </c>
      <c r="L60" s="316" t="s">
        <v>250</v>
      </c>
      <c r="M60" s="316" t="s">
        <v>269</v>
      </c>
      <c r="N60" s="107">
        <v>4596</v>
      </c>
      <c r="O60" s="31" t="s">
        <v>252</v>
      </c>
      <c r="P6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0" s="87" t="e">
        <v>#N/A</v>
      </c>
      <c r="S60" s="87">
        <v>1</v>
      </c>
      <c r="T60" s="35">
        <f>Table1[[#This Row],[Progres Total Aktual
(%)]]</f>
        <v>1</v>
      </c>
      <c r="U60" s="124">
        <f>Table1[[#This Row],[Progres Aktual
(%)]]-Table1[[#This Row],[Target Progres
(%)]]</f>
        <v>0</v>
      </c>
      <c r="V60" s="350">
        <f>Table1[[#This Row],["Volume
BA MC-0"]]</f>
        <v>3699</v>
      </c>
      <c r="W60" s="351">
        <f>Table1[[#This Row],[Total Panjang Pipa Aktual
(Sum-&gt;)3]]</f>
        <v>3853.7</v>
      </c>
      <c r="X60" s="47"/>
      <c r="Y60" s="67" t="s">
        <v>544</v>
      </c>
      <c r="Z60" s="67">
        <v>8934748674</v>
      </c>
      <c r="AA60" s="67">
        <f>ROUND((Table1[[#This Row],[Nilai RAB Jaringan
(Exclude Ppn)]]-Table1[[#This Row],[RAB Perizinan]])*1.11+Table1[[#This Row],[RAB Perizinan]],0)</f>
        <v>0</v>
      </c>
      <c r="AB60" s="320">
        <f>SUM(Table1[[#This Row],[RAB Kegiatan Umum]:[RAB Perizinan]])</f>
        <v>0</v>
      </c>
      <c r="AC60" s="320"/>
      <c r="AD60" s="320"/>
      <c r="AE60" s="320"/>
      <c r="AF60" s="320"/>
      <c r="AG60" s="320">
        <v>4730588277</v>
      </c>
      <c r="AH60" s="35" t="e">
        <f>SUM(Table1[[#This Row],[Bobot Keg Umum]:[Bobot Perizinan]])</f>
        <v>#DIV/0!</v>
      </c>
      <c r="AI60" s="35" t="e">
        <f>Table1[[#This Row],[RAB Kegiatan Umum]]/Table1[[#This Row],[Nilai RAB Jaringan
(Exclude Ppn)]]</f>
        <v>#DIV/0!</v>
      </c>
      <c r="AJ60" s="35" t="e">
        <f>Table1[[#This Row],[RAB Pemasangan]]/Table1[[#This Row],[Nilai RAB Jaringan
(Exclude Ppn)]]</f>
        <v>#DIV/0!</v>
      </c>
      <c r="AK60" s="35" t="e">
        <f>Table1[[#This Row],[RAB Pengadaan]]/Table1[[#This Row],[Nilai RAB Jaringan
(Exclude Ppn)]]</f>
        <v>#DIV/0!</v>
      </c>
      <c r="AL60" s="35" t="e">
        <f>Table1[[#This Row],[RAB Perizinan]]/Table1[[#This Row],[Nilai RAB Jaringan
(Exclude Ppn)]]</f>
        <v>#DIV/0!</v>
      </c>
      <c r="AM60" s="47"/>
      <c r="AN60" s="285">
        <v>3699</v>
      </c>
      <c r="AO60" s="285">
        <f>SUM(Table1[[#This Row],[Pipa 63 mm]:[Pipa 1,800 mm]])</f>
        <v>0</v>
      </c>
      <c r="AP60" s="285"/>
      <c r="AQ60" s="285"/>
      <c r="AR60" s="285"/>
      <c r="AS60" s="285"/>
      <c r="AT60" s="285"/>
      <c r="AU60" s="285"/>
      <c r="AV60" s="285"/>
      <c r="AW60" s="285"/>
      <c r="AX60" s="285"/>
      <c r="AY60" s="285"/>
      <c r="AZ60" s="285"/>
      <c r="BA60" s="285"/>
      <c r="BB60" s="285"/>
      <c r="BC60" s="285"/>
      <c r="BD60" s="285"/>
      <c r="BE60" s="285"/>
      <c r="BF60" s="285"/>
      <c r="BG60" s="285"/>
      <c r="BH60" s="285"/>
      <c r="BI60" s="285"/>
      <c r="BJ60" s="36">
        <f>SUM(Table1[[#This Row],[Pipa 63 mm2]:[Pipa 1,800 mm21]])</f>
        <v>3853.7</v>
      </c>
      <c r="BK60" s="356">
        <v>2026</v>
      </c>
      <c r="BL60" s="356">
        <v>622.9</v>
      </c>
      <c r="BM60" s="356"/>
      <c r="BN60" s="356">
        <v>759.3</v>
      </c>
      <c r="BO60" s="356"/>
      <c r="BP60" s="356">
        <v>332.4</v>
      </c>
      <c r="BQ60" s="356">
        <v>113.1</v>
      </c>
      <c r="BR60" s="356"/>
      <c r="BS60" s="356"/>
      <c r="BT60" s="356"/>
      <c r="BU60" s="356"/>
      <c r="BV60" s="356"/>
      <c r="BW60" s="356"/>
      <c r="BX60" s="356"/>
      <c r="BY60" s="356"/>
      <c r="BZ60" s="356"/>
      <c r="CA60" s="356"/>
      <c r="CB60" s="356"/>
      <c r="CC60" s="356"/>
      <c r="CD60" s="356"/>
      <c r="CE60" s="32">
        <v>475</v>
      </c>
      <c r="CF60" s="32"/>
      <c r="CG60" s="32"/>
      <c r="CH60" s="32"/>
      <c r="CI60" s="32">
        <f t="shared" si="3"/>
        <v>475</v>
      </c>
      <c r="CJ60" s="65">
        <f>IF((Table1[[#This Row],["Volume
BA MC-0"]]-Table1[[#This Row],[Total Panjang Pipa Aktual
(Sum-&gt;)3]]-Table1[[#This Row],[Total Volume
tidak dapat dipasang]])&gt;=0,Table1[[#This Row],["Volume
BA MC-0"]]-Table1[[#This Row],[Total Panjang Pipa Aktual
(Sum-&gt;)3]]-Table1[[#This Row],[Total Volume
tidak dapat dipasang]],0)</f>
        <v>0</v>
      </c>
      <c r="CK60" s="47"/>
      <c r="CL60" s="131"/>
      <c r="CM60" s="35"/>
      <c r="CN60" s="131"/>
      <c r="CO60" s="131"/>
      <c r="CP6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0" s="66">
        <f>IFERROR(Table1[[#This Row],[Progres Keg. Umum
(%)]]*Table1[[#This Row],[Nilai RAB Jaringan
(file pa aji)]],0)</f>
        <v>0</v>
      </c>
      <c r="CR60" s="66">
        <f>IFERROR(Table1[[#This Row],[Progres MOS
(%)]]*Table1[[#This Row],[Nilai RAB Jaringan
(file pa aji)]],0)</f>
        <v>0</v>
      </c>
      <c r="CS60" s="66">
        <f>IFERROR(Table1[[#This Row],[Progres Pemasangan
(%)]]*Table1[[#This Row],[Nilai RAB Jaringan
(file pa aji)]],0)</f>
        <v>0</v>
      </c>
      <c r="CT60" s="66">
        <f>IFERROR(Table1[[#This Row],[Progres Perizinan
(%)]]*Table1[[#This Row],[Nilai RAB Jaringan
(file pa aji)]],0)</f>
        <v>0</v>
      </c>
      <c r="CU60" s="329">
        <v>6819754532</v>
      </c>
      <c r="CV60" s="329">
        <v>6819754532</v>
      </c>
      <c r="CW60" s="583">
        <v>6819754532</v>
      </c>
      <c r="CX60" s="329">
        <v>6819754532</v>
      </c>
      <c r="CY60" s="47"/>
      <c r="CZ60" s="330">
        <v>45439</v>
      </c>
      <c r="DA60" s="330">
        <v>45466</v>
      </c>
      <c r="DB60" s="331"/>
      <c r="DC60" s="316"/>
      <c r="DD60" s="67"/>
      <c r="DE6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0" s="331"/>
      <c r="DG60" s="316"/>
      <c r="DH60" s="67"/>
      <c r="DI6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0" s="330">
        <v>45467</v>
      </c>
      <c r="DK60" s="330">
        <v>45536</v>
      </c>
      <c r="DL60" s="331">
        <v>45477</v>
      </c>
      <c r="DM60" s="395" t="s">
        <v>545</v>
      </c>
      <c r="DN6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0" s="331">
        <v>45485</v>
      </c>
      <c r="DP60" s="316" t="s">
        <v>546</v>
      </c>
      <c r="DQ60" s="338" t="s">
        <v>365</v>
      </c>
      <c r="DR6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0" s="330">
        <v>45467</v>
      </c>
      <c r="DT60" s="330" t="e">
        <v>#N/A</v>
      </c>
      <c r="DU60" s="330">
        <v>45508</v>
      </c>
      <c r="DV60" s="330" t="e">
        <v>#N/A</v>
      </c>
      <c r="DW60" s="331"/>
      <c r="DX60" s="316"/>
      <c r="DY60" s="334"/>
      <c r="DZ60" s="334"/>
      <c r="EA6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0" s="331"/>
      <c r="EC60" s="332"/>
      <c r="ED60" s="332"/>
      <c r="EE60" s="330"/>
      <c r="EF60" s="35">
        <v>1</v>
      </c>
      <c r="EG60" s="337">
        <v>1</v>
      </c>
      <c r="EH60" s="316" t="str">
        <f>IF(Table1[[#This Row],[PO Material Aktual 
(%)]]&gt;=100%,"Selesai PO = 100%",IF(Table1[[#This Row],[PO Material Aktual 
(%)]]&gt;=50%,"Proses PO &gt; 100%",IF(Table1[[#This Row],[PO Material Aktual 
(%)]]&gt;0%,"Proses PO &gt; 50%",IF(Table1[[#This Row],[PO Material Aktual 
(%)]]=0,"Belum PO = 0%"))))</f>
        <v>Selesai PO = 100%</v>
      </c>
      <c r="EI6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0" s="330">
        <v>45509</v>
      </c>
      <c r="EK60" s="330" t="e">
        <v>#N/A</v>
      </c>
      <c r="EL60" s="330">
        <v>45620</v>
      </c>
      <c r="EM60" s="330" t="e">
        <v>#N/A</v>
      </c>
      <c r="EN60" s="331"/>
      <c r="EO60" s="332"/>
      <c r="EP60" s="332"/>
      <c r="EQ60" s="87">
        <v>1</v>
      </c>
      <c r="ER60" s="87">
        <v>1</v>
      </c>
      <c r="ES60" s="316" t="str">
        <f>IF(Table1[[#This Row],[Progres MOS]]&gt;=100%,"Selesai MOS = 100%",IF(Table1[[#This Row],[Progres MOS]]&gt;=50%,"Proses MOS &gt; 100%",IF(Table1[[#This Row],[Progres MOS]]&gt;0%,"Proses MOS &gt; 50%",IF(Table1[[#This Row],[Progres MOS]]=0,"Belum MOS = 0%"))))</f>
        <v>Selesai MOS = 100%</v>
      </c>
      <c r="ET6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0" s="47"/>
      <c r="EV60" s="330">
        <v>45467</v>
      </c>
      <c r="EW60" s="330" t="e">
        <v>#N/A</v>
      </c>
      <c r="EX60" s="330">
        <v>45564</v>
      </c>
      <c r="EY60" s="330" t="e">
        <v>#N/A</v>
      </c>
      <c r="EZ60" s="352" t="s">
        <v>259</v>
      </c>
      <c r="FA60" s="336" t="s">
        <v>259</v>
      </c>
      <c r="FB60" s="330" t="s">
        <v>260</v>
      </c>
      <c r="FC60" s="330">
        <v>45345</v>
      </c>
      <c r="FD60" s="330" t="s">
        <v>260</v>
      </c>
      <c r="FE60" s="330"/>
      <c r="FF60" s="330">
        <v>45490</v>
      </c>
      <c r="FG60" s="330" t="s">
        <v>260</v>
      </c>
      <c r="FH60" s="330" t="s">
        <v>260</v>
      </c>
      <c r="FI60" s="330">
        <v>45512</v>
      </c>
      <c r="FJ60" s="330" t="s">
        <v>260</v>
      </c>
      <c r="FK60" s="330">
        <v>45699</v>
      </c>
      <c r="FL60" s="336" t="s">
        <v>259</v>
      </c>
      <c r="FM60" s="336">
        <v>45345</v>
      </c>
      <c r="FN60" s="314">
        <f>IF(Table1[[#This Row],[Tanggal Pengajuan Dokumen]]="","",Table1[[#This Row],[PLAN PERMIT
start]]-Table1[[#This Row],[Tanggal Pengajuan Dokumen]])</f>
        <v>122</v>
      </c>
      <c r="FO60" s="336">
        <v>45699</v>
      </c>
      <c r="FP60" s="316"/>
      <c r="FQ60" s="338"/>
      <c r="FR60" s="352"/>
      <c r="FS60" s="338" t="str">
        <f t="shared" si="5"/>
        <v>Sudah Terbit</v>
      </c>
      <c r="FT6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0" s="344">
        <f ca="1">IF(Table1[[#This Row],[Status Izin]]="Selesai",Table1[[#This Row],[PLAN PERMIT
finish]]-Table1[[#This Row],[Tanggal Terbit/ Target Izin Terbit]],ROUNDUP(Table1[[#This Row],[PLAN PERMIT
finish]]-NOW(),0))</f>
        <v>-135</v>
      </c>
      <c r="FV6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0" s="344"/>
      <c r="FX60" s="47"/>
      <c r="FY60" s="340"/>
      <c r="FZ60" s="341"/>
      <c r="GA6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0" s="330">
        <v>45538</v>
      </c>
      <c r="GC60" s="331">
        <v>45488</v>
      </c>
      <c r="GD6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0" s="330">
        <v>45545</v>
      </c>
      <c r="GF60" s="331">
        <v>45488</v>
      </c>
      <c r="GG6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0" s="330">
        <v>45551</v>
      </c>
      <c r="GI60" s="330">
        <v>45557</v>
      </c>
      <c r="GJ60" s="353">
        <v>45495</v>
      </c>
      <c r="GK6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0" s="330">
        <v>45565</v>
      </c>
      <c r="GM60" s="330" t="e">
        <v>#N/A</v>
      </c>
      <c r="GN60" s="330">
        <v>45690</v>
      </c>
      <c r="GO60" s="330" t="e">
        <v>#N/A</v>
      </c>
      <c r="GP60" s="316"/>
      <c r="GQ6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0" s="330" t="s">
        <v>261</v>
      </c>
      <c r="GS60" s="330" t="s">
        <v>261</v>
      </c>
      <c r="GT60" s="354">
        <v>45686</v>
      </c>
      <c r="GU60" s="344" t="str">
        <f>IF(Table1[[#This Row],[Hydro Tes Actual
(tanggal)]]&lt;&gt;"","Sudah","Belum")</f>
        <v>Sudah</v>
      </c>
      <c r="GV60" s="330" t="s">
        <v>261</v>
      </c>
      <c r="GW60" s="330" t="s">
        <v>261</v>
      </c>
      <c r="GX60" s="331">
        <v>45722</v>
      </c>
      <c r="GY60" s="344" t="str">
        <f>IF(Table1[[#This Row],[Interkoneksi Actual
(tanggal)]]&lt;&gt;"","Sudah","Belum")</f>
        <v>Sudah</v>
      </c>
      <c r="GZ60" s="330" t="s">
        <v>261</v>
      </c>
      <c r="HA60" s="330" t="s">
        <v>261</v>
      </c>
      <c r="HB60" s="331">
        <v>45691</v>
      </c>
      <c r="HC60" s="344" t="str">
        <f>IF(Table1[[#This Row],[Flushing Actual
(tanggal)]]&lt;&gt;"","Sudah","Belum")</f>
        <v>Sudah</v>
      </c>
      <c r="HD60" s="330">
        <v>45677</v>
      </c>
      <c r="HE60" s="330" t="e">
        <v>#N/A</v>
      </c>
      <c r="HF60" s="330">
        <v>45683</v>
      </c>
      <c r="HG60" s="346">
        <v>45728</v>
      </c>
      <c r="HH6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0" s="330" t="s">
        <v>261</v>
      </c>
      <c r="HJ60" s="330" t="s">
        <v>261</v>
      </c>
      <c r="HK60" s="331"/>
      <c r="HL60" s="316"/>
      <c r="HM60" s="330">
        <v>45702</v>
      </c>
      <c r="HN60" s="330">
        <v>45702</v>
      </c>
      <c r="HO60" s="330" t="e">
        <v>#N/A</v>
      </c>
      <c r="HP60" s="346">
        <v>45743</v>
      </c>
      <c r="HQ6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0" s="330">
        <v>45709</v>
      </c>
      <c r="HS60" s="330"/>
      <c r="HT60" s="330">
        <v>45709</v>
      </c>
      <c r="HU60" s="527"/>
      <c r="HV60" s="330">
        <f>IF(Table1[[#This Row],[MC-100 Aktual
(tanggal)]]&lt;&gt;"",Table1[[#This Row],[MC-100 Aktual
(tanggal)]]+5,"")</f>
        <v>45748</v>
      </c>
      <c r="HW6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0" s="47"/>
      <c r="HY60" s="352"/>
      <c r="HZ60" s="352"/>
      <c r="IB60" s="618">
        <f>IFERROR(ROUND((Table1[[#This Row],[PLAN TC
finish]]-Table1[[#This Row],[PLAN MC-0
start]])/30,2),"")</f>
        <v>4.4000000000000004</v>
      </c>
      <c r="IC60">
        <f>DATEDIF(Table1[[#This Row],[PLAN MC-0
start]],Table1[[#This Row],[PLAN TC
finish]],"m")</f>
        <v>4</v>
      </c>
    </row>
    <row r="61" spans="1:237" s="4" customFormat="1" ht="15" customHeight="1" x14ac:dyDescent="0.2">
      <c r="B61" s="311">
        <f>SUBTOTAL(3,$D$5:D61)</f>
        <v>32</v>
      </c>
      <c r="C61" s="348">
        <v>57</v>
      </c>
      <c r="D61" s="315" t="s">
        <v>244</v>
      </c>
      <c r="E61" s="315" t="s">
        <v>547</v>
      </c>
      <c r="F61" s="315" t="s">
        <v>548</v>
      </c>
      <c r="G61" s="349">
        <v>45752</v>
      </c>
      <c r="H61" s="314" t="s">
        <v>247</v>
      </c>
      <c r="I61" s="315" t="s">
        <v>278</v>
      </c>
      <c r="J61" s="315"/>
      <c r="K61" s="338" t="s">
        <v>249</v>
      </c>
      <c r="L61" s="316" t="s">
        <v>250</v>
      </c>
      <c r="M61" s="316" t="s">
        <v>269</v>
      </c>
      <c r="N61" s="107">
        <v>5758</v>
      </c>
      <c r="O61" s="31" t="s">
        <v>252</v>
      </c>
      <c r="P6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1" s="87" t="e">
        <v>#N/A</v>
      </c>
      <c r="S61" s="87">
        <v>1</v>
      </c>
      <c r="T61" s="35">
        <f>Table1[[#This Row],[Progres Total Aktual
(%)]]</f>
        <v>1</v>
      </c>
      <c r="U61" s="124">
        <f>Table1[[#This Row],[Progres Aktual
(%)]]-Table1[[#This Row],[Target Progres
(%)]]</f>
        <v>0</v>
      </c>
      <c r="V61" s="350">
        <f>Table1[[#This Row],["Volume
BA MC-0"]]</f>
        <v>4580</v>
      </c>
      <c r="W61" s="351">
        <f>Table1[[#This Row],[Total Panjang Pipa Aktual
(Sum-&gt;)3]]</f>
        <v>2219</v>
      </c>
      <c r="X61" s="47"/>
      <c r="Y61" s="67" t="s">
        <v>549</v>
      </c>
      <c r="Z61" s="67">
        <v>8385049637</v>
      </c>
      <c r="AA61" s="67">
        <f>ROUND((Table1[[#This Row],[Nilai RAB Jaringan
(Exclude Ppn)]]-Table1[[#This Row],[RAB Perizinan]])*1.11+Table1[[#This Row],[RAB Perizinan]],0)</f>
        <v>0</v>
      </c>
      <c r="AB61" s="320">
        <f>SUM(Table1[[#This Row],[RAB Kegiatan Umum]:[RAB Perizinan]])</f>
        <v>0</v>
      </c>
      <c r="AC61" s="320"/>
      <c r="AD61" s="320"/>
      <c r="AE61" s="320"/>
      <c r="AF61" s="320"/>
      <c r="AG61" s="320">
        <v>4238672685</v>
      </c>
      <c r="AH61" s="35" t="e">
        <f>SUM(Table1[[#This Row],[Bobot Keg Umum]:[Bobot Perizinan]])</f>
        <v>#DIV/0!</v>
      </c>
      <c r="AI61" s="35" t="e">
        <f>Table1[[#This Row],[RAB Kegiatan Umum]]/Table1[[#This Row],[Nilai RAB Jaringan
(Exclude Ppn)]]</f>
        <v>#DIV/0!</v>
      </c>
      <c r="AJ61" s="35" t="e">
        <f>Table1[[#This Row],[RAB Pemasangan]]/Table1[[#This Row],[Nilai RAB Jaringan
(Exclude Ppn)]]</f>
        <v>#DIV/0!</v>
      </c>
      <c r="AK61" s="35" t="e">
        <f>Table1[[#This Row],[RAB Pengadaan]]/Table1[[#This Row],[Nilai RAB Jaringan
(Exclude Ppn)]]</f>
        <v>#DIV/0!</v>
      </c>
      <c r="AL61" s="35" t="e">
        <f>Table1[[#This Row],[RAB Perizinan]]/Table1[[#This Row],[Nilai RAB Jaringan
(Exclude Ppn)]]</f>
        <v>#DIV/0!</v>
      </c>
      <c r="AM61" s="47"/>
      <c r="AN61" s="285">
        <v>4580</v>
      </c>
      <c r="AO61" s="285">
        <f>SUM(Table1[[#This Row],[Pipa 63 mm]:[Pipa 1,800 mm]])</f>
        <v>0</v>
      </c>
      <c r="AP61" s="285"/>
      <c r="AQ61" s="285"/>
      <c r="AR61" s="285"/>
      <c r="AS61" s="285"/>
      <c r="AT61" s="285"/>
      <c r="AU61" s="285"/>
      <c r="AV61" s="285"/>
      <c r="AW61" s="285"/>
      <c r="AX61" s="285"/>
      <c r="AY61" s="285"/>
      <c r="AZ61" s="285"/>
      <c r="BA61" s="285"/>
      <c r="BB61" s="285"/>
      <c r="BC61" s="285"/>
      <c r="BD61" s="285"/>
      <c r="BE61" s="285"/>
      <c r="BF61" s="285"/>
      <c r="BG61" s="285"/>
      <c r="BH61" s="285"/>
      <c r="BI61" s="285"/>
      <c r="BJ61" s="36">
        <f>SUM(Table1[[#This Row],[Pipa 63 mm2]:[Pipa 1,800 mm21]])</f>
        <v>2219</v>
      </c>
      <c r="BK61" s="32">
        <v>1197</v>
      </c>
      <c r="BL61" s="32">
        <v>279</v>
      </c>
      <c r="BM61" s="32">
        <v>474</v>
      </c>
      <c r="BN61" s="32">
        <v>269</v>
      </c>
      <c r="BO61" s="32"/>
      <c r="BP61" s="32"/>
      <c r="BQ61" s="32"/>
      <c r="BR61" s="32"/>
      <c r="BS61" s="32"/>
      <c r="BT61" s="32"/>
      <c r="BU61" s="32"/>
      <c r="BV61" s="32"/>
      <c r="BW61" s="32"/>
      <c r="BX61" s="32"/>
      <c r="BY61" s="32"/>
      <c r="BZ61" s="32"/>
      <c r="CA61" s="32"/>
      <c r="CB61" s="32"/>
      <c r="CC61" s="32"/>
      <c r="CD61" s="32"/>
      <c r="CE61" s="32">
        <v>2935</v>
      </c>
      <c r="CF61" s="32"/>
      <c r="CG61" s="32"/>
      <c r="CH61" s="32"/>
      <c r="CI61" s="32">
        <f t="shared" si="3"/>
        <v>2935</v>
      </c>
      <c r="CJ61" s="65">
        <f>IF((Table1[[#This Row],["Volume
BA MC-0"]]-Table1[[#This Row],[Total Panjang Pipa Aktual
(Sum-&gt;)3]]-Table1[[#This Row],[Total Volume
tidak dapat dipasang]])&gt;=0,Table1[[#This Row],["Volume
BA MC-0"]]-Table1[[#This Row],[Total Panjang Pipa Aktual
(Sum-&gt;)3]]-Table1[[#This Row],[Total Volume
tidak dapat dipasang]],0)</f>
        <v>0</v>
      </c>
      <c r="CK61" s="47"/>
      <c r="CL61" s="131"/>
      <c r="CM61" s="35"/>
      <c r="CN61" s="131"/>
      <c r="CO61" s="131"/>
      <c r="CP6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1" s="66">
        <f>IFERROR(Table1[[#This Row],[Progres Keg. Umum
(%)]]*Table1[[#This Row],[Nilai RAB Jaringan
(file pa aji)]],0)</f>
        <v>0</v>
      </c>
      <c r="CR61" s="66">
        <f>IFERROR(Table1[[#This Row],[Progres MOS
(%)]]*Table1[[#This Row],[Nilai RAB Jaringan
(file pa aji)]],0)</f>
        <v>0</v>
      </c>
      <c r="CS61" s="66">
        <f>IFERROR(Table1[[#This Row],[Progres Pemasangan
(%)]]*Table1[[#This Row],[Nilai RAB Jaringan
(file pa aji)]],0)</f>
        <v>0</v>
      </c>
      <c r="CT61" s="66">
        <f>IFERROR(Table1[[#This Row],[Progres Perizinan
(%)]]*Table1[[#This Row],[Nilai RAB Jaringan
(file pa aji)]],0)</f>
        <v>0</v>
      </c>
      <c r="CU61" s="329">
        <v>3594410481</v>
      </c>
      <c r="CV61" s="329">
        <v>3594410481</v>
      </c>
      <c r="CW61" s="583">
        <v>3594410481</v>
      </c>
      <c r="CX61" s="329">
        <v>3594410481</v>
      </c>
      <c r="CY61" s="47"/>
      <c r="CZ61" s="330">
        <v>45439</v>
      </c>
      <c r="DA61" s="330">
        <v>45466</v>
      </c>
      <c r="DB61" s="331"/>
      <c r="DC61" s="316"/>
      <c r="DD61" s="67"/>
      <c r="DE6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1" s="331"/>
      <c r="DG61" s="316"/>
      <c r="DH61" s="67"/>
      <c r="DI6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1" s="330">
        <v>45467</v>
      </c>
      <c r="DK61" s="330">
        <v>45536</v>
      </c>
      <c r="DL61" s="331">
        <v>45476</v>
      </c>
      <c r="DM61" s="395" t="s">
        <v>550</v>
      </c>
      <c r="DN6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1" s="331">
        <v>45485</v>
      </c>
      <c r="DP61" s="316" t="s">
        <v>546</v>
      </c>
      <c r="DQ61" s="338" t="s">
        <v>365</v>
      </c>
      <c r="DR6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1" s="330">
        <v>45467</v>
      </c>
      <c r="DT61" s="330" t="e">
        <v>#N/A</v>
      </c>
      <c r="DU61" s="330">
        <v>45508</v>
      </c>
      <c r="DV61" s="330" t="e">
        <v>#N/A</v>
      </c>
      <c r="DW61" s="331"/>
      <c r="DX61" s="316"/>
      <c r="DY61" s="334"/>
      <c r="DZ61" s="334"/>
      <c r="EA6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1" s="331"/>
      <c r="EC61" s="332"/>
      <c r="ED61" s="332"/>
      <c r="EE61" s="330"/>
      <c r="EF61" s="35">
        <v>1</v>
      </c>
      <c r="EG61" s="337">
        <v>1</v>
      </c>
      <c r="EH61" s="316" t="str">
        <f>IF(Table1[[#This Row],[PO Material Aktual 
(%)]]&gt;=100%,"Selesai PO = 100%",IF(Table1[[#This Row],[PO Material Aktual 
(%)]]&gt;=50%,"Proses PO &gt; 100%",IF(Table1[[#This Row],[PO Material Aktual 
(%)]]&gt;0%,"Proses PO &gt; 50%",IF(Table1[[#This Row],[PO Material Aktual 
(%)]]=0,"Belum PO = 0%"))))</f>
        <v>Selesai PO = 100%</v>
      </c>
      <c r="EI6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1" s="330">
        <v>45509</v>
      </c>
      <c r="EK61" s="330" t="e">
        <v>#N/A</v>
      </c>
      <c r="EL61" s="330">
        <v>45620</v>
      </c>
      <c r="EM61" s="330" t="e">
        <v>#N/A</v>
      </c>
      <c r="EN61" s="331"/>
      <c r="EO61" s="332"/>
      <c r="EP61" s="332"/>
      <c r="EQ61" s="87">
        <v>1</v>
      </c>
      <c r="ER61" s="87">
        <v>1</v>
      </c>
      <c r="ES61" s="316" t="str">
        <f>IF(Table1[[#This Row],[Progres MOS]]&gt;=100%,"Selesai MOS = 100%",IF(Table1[[#This Row],[Progres MOS]]&gt;=50%,"Proses MOS &gt; 100%",IF(Table1[[#This Row],[Progres MOS]]&gt;0%,"Proses MOS &gt; 50%",IF(Table1[[#This Row],[Progres MOS]]=0,"Belum MOS = 0%"))))</f>
        <v>Selesai MOS = 100%</v>
      </c>
      <c r="ET6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1" s="47"/>
      <c r="EV61" s="330">
        <v>45467</v>
      </c>
      <c r="EW61" s="330" t="e">
        <v>#N/A</v>
      </c>
      <c r="EX61" s="330">
        <v>45564</v>
      </c>
      <c r="EY61" s="330" t="e">
        <v>#N/A</v>
      </c>
      <c r="EZ61" s="352" t="s">
        <v>259</v>
      </c>
      <c r="FA61" s="336" t="s">
        <v>259</v>
      </c>
      <c r="FB61" s="330" t="s">
        <v>260</v>
      </c>
      <c r="FC61" s="330">
        <v>45342</v>
      </c>
      <c r="FD61" s="330" t="s">
        <v>260</v>
      </c>
      <c r="FE61" s="330"/>
      <c r="FF61" s="330">
        <v>45490</v>
      </c>
      <c r="FG61" s="330" t="s">
        <v>260</v>
      </c>
      <c r="FH61" s="330" t="s">
        <v>260</v>
      </c>
      <c r="FI61" s="330">
        <v>45512</v>
      </c>
      <c r="FJ61" s="330" t="s">
        <v>260</v>
      </c>
      <c r="FK61" s="330">
        <v>45699</v>
      </c>
      <c r="FL61" s="336" t="s">
        <v>259</v>
      </c>
      <c r="FM61" s="336">
        <v>45342</v>
      </c>
      <c r="FN61" s="314">
        <f>IF(Table1[[#This Row],[Tanggal Pengajuan Dokumen]]="","",Table1[[#This Row],[PLAN PERMIT
start]]-Table1[[#This Row],[Tanggal Pengajuan Dokumen]])</f>
        <v>125</v>
      </c>
      <c r="FO61" s="336">
        <v>45699</v>
      </c>
      <c r="FP61" s="316"/>
      <c r="FQ61" s="338"/>
      <c r="FR61" s="352"/>
      <c r="FS61" s="338" t="str">
        <f t="shared" si="5"/>
        <v>Sudah Terbit</v>
      </c>
      <c r="FT6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1" s="344">
        <f ca="1">IF(Table1[[#This Row],[Status Izin]]="Selesai",Table1[[#This Row],[PLAN PERMIT
finish]]-Table1[[#This Row],[Tanggal Terbit/ Target Izin Terbit]],ROUNDUP(Table1[[#This Row],[PLAN PERMIT
finish]]-NOW(),0))</f>
        <v>-135</v>
      </c>
      <c r="FV6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1" s="344"/>
      <c r="FX61" s="47"/>
      <c r="FY61" s="340"/>
      <c r="FZ61" s="341"/>
      <c r="GA6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1" s="330">
        <v>45538</v>
      </c>
      <c r="GC61" s="331">
        <v>45488</v>
      </c>
      <c r="GD6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1" s="330">
        <v>45545</v>
      </c>
      <c r="GF61" s="331">
        <v>45488</v>
      </c>
      <c r="GG6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1" s="330">
        <v>45551</v>
      </c>
      <c r="GI61" s="330">
        <v>45557</v>
      </c>
      <c r="GJ61" s="353">
        <v>45498</v>
      </c>
      <c r="GK6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1" s="330">
        <v>45565</v>
      </c>
      <c r="GM61" s="330" t="e">
        <v>#N/A</v>
      </c>
      <c r="GN61" s="330">
        <v>45690</v>
      </c>
      <c r="GO61" s="330" t="e">
        <v>#N/A</v>
      </c>
      <c r="GP61" s="316"/>
      <c r="GQ6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1" s="330" t="s">
        <v>261</v>
      </c>
      <c r="GS61" s="330" t="s">
        <v>261</v>
      </c>
      <c r="GT61" s="354">
        <v>45643</v>
      </c>
      <c r="GU61" s="344" t="str">
        <f>IF(Table1[[#This Row],[Hydro Tes Actual
(tanggal)]]&lt;&gt;"","Sudah","Belum")</f>
        <v>Sudah</v>
      </c>
      <c r="GV61" s="330" t="s">
        <v>261</v>
      </c>
      <c r="GW61" s="330" t="s">
        <v>261</v>
      </c>
      <c r="GX61" s="331">
        <v>45680</v>
      </c>
      <c r="GY61" s="344" t="str">
        <f>IF(Table1[[#This Row],[Interkoneksi Actual
(tanggal)]]&lt;&gt;"","Sudah","Belum")</f>
        <v>Sudah</v>
      </c>
      <c r="GZ61" s="330" t="s">
        <v>261</v>
      </c>
      <c r="HA61" s="330" t="s">
        <v>261</v>
      </c>
      <c r="HB61" s="331">
        <v>45691</v>
      </c>
      <c r="HC61" s="344" t="str">
        <f>IF(Table1[[#This Row],[Flushing Actual
(tanggal)]]&lt;&gt;"","Sudah","Belum")</f>
        <v>Sudah</v>
      </c>
      <c r="HD61" s="330">
        <v>45677</v>
      </c>
      <c r="HE61" s="330" t="e">
        <v>#N/A</v>
      </c>
      <c r="HF61" s="330">
        <v>45683</v>
      </c>
      <c r="HG61" s="346">
        <v>45728</v>
      </c>
      <c r="HH6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1" s="330" t="s">
        <v>261</v>
      </c>
      <c r="HJ61" s="330" t="s">
        <v>261</v>
      </c>
      <c r="HK61" s="331"/>
      <c r="HL61" s="316"/>
      <c r="HM61" s="330">
        <v>45702</v>
      </c>
      <c r="HN61" s="330">
        <v>45702</v>
      </c>
      <c r="HO61" s="330" t="e">
        <v>#N/A</v>
      </c>
      <c r="HP61" s="346">
        <v>45742</v>
      </c>
      <c r="HQ6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1" s="330">
        <v>45709</v>
      </c>
      <c r="HS61" s="330"/>
      <c r="HT61" s="330">
        <v>45709</v>
      </c>
      <c r="HU61" s="527"/>
      <c r="HV61" s="330">
        <f>IF(Table1[[#This Row],[MC-100 Aktual
(tanggal)]]&lt;&gt;"",Table1[[#This Row],[MC-100 Aktual
(tanggal)]]+5,"")</f>
        <v>45747</v>
      </c>
      <c r="HW6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1" s="47"/>
      <c r="HY61" s="352"/>
      <c r="HZ61" s="352"/>
      <c r="IB61" s="618">
        <f>IFERROR(ROUND((Table1[[#This Row],[PLAN TC
finish]]-Table1[[#This Row],[PLAN MC-0
start]])/30,2),"")</f>
        <v>4.4000000000000004</v>
      </c>
      <c r="IC61">
        <f>DATEDIF(Table1[[#This Row],[PLAN MC-0
start]],Table1[[#This Row],[PLAN TC
finish]],"m")</f>
        <v>4</v>
      </c>
    </row>
    <row r="62" spans="1:237" s="4" customFormat="1" ht="15" customHeight="1" x14ac:dyDescent="0.2">
      <c r="B62" s="311">
        <f>SUBTOTAL(3,$D$5:D62)</f>
        <v>33</v>
      </c>
      <c r="C62" s="348">
        <v>58</v>
      </c>
      <c r="D62" s="315" t="s">
        <v>244</v>
      </c>
      <c r="E62" s="315" t="s">
        <v>551</v>
      </c>
      <c r="F62" s="315" t="s">
        <v>552</v>
      </c>
      <c r="G62" s="349">
        <v>45752</v>
      </c>
      <c r="H62" s="314" t="s">
        <v>247</v>
      </c>
      <c r="I62" s="315" t="s">
        <v>278</v>
      </c>
      <c r="J62" s="315"/>
      <c r="K62" s="338" t="s">
        <v>249</v>
      </c>
      <c r="L62" s="316" t="s">
        <v>250</v>
      </c>
      <c r="M62" s="316" t="s">
        <v>269</v>
      </c>
      <c r="N62" s="107">
        <v>3316</v>
      </c>
      <c r="O62" s="31" t="s">
        <v>252</v>
      </c>
      <c r="P6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2" s="87" t="e">
        <v>#N/A</v>
      </c>
      <c r="S62" s="87">
        <v>1</v>
      </c>
      <c r="T62" s="35">
        <f>Table1[[#This Row],[Progres Total Aktual
(%)]]</f>
        <v>1</v>
      </c>
      <c r="U62" s="124">
        <f>Table1[[#This Row],[Progres Aktual
(%)]]-Table1[[#This Row],[Target Progres
(%)]]</f>
        <v>0</v>
      </c>
      <c r="V62" s="350">
        <f>Table1[[#This Row],["Volume
BA MC-0"]]</f>
        <v>2919</v>
      </c>
      <c r="W62" s="351">
        <f>Table1[[#This Row],[Total Panjang Pipa Aktual
(Sum-&gt;)3]]</f>
        <v>1261.9000000000001</v>
      </c>
      <c r="X62" s="47"/>
      <c r="Y62" s="67" t="s">
        <v>553</v>
      </c>
      <c r="Z62" s="67">
        <v>5283274896</v>
      </c>
      <c r="AA62" s="67">
        <f>ROUND((Table1[[#This Row],[Nilai RAB Jaringan
(Exclude Ppn)]]-Table1[[#This Row],[RAB Perizinan]])*1.11+Table1[[#This Row],[RAB Perizinan]],0)</f>
        <v>0</v>
      </c>
      <c r="AB62" s="320">
        <f>SUM(Table1[[#This Row],[RAB Kegiatan Umum]:[RAB Perizinan]])</f>
        <v>0</v>
      </c>
      <c r="AC62" s="320"/>
      <c r="AD62" s="320"/>
      <c r="AE62" s="320"/>
      <c r="AF62" s="320"/>
      <c r="AG62" s="320">
        <v>2533365299</v>
      </c>
      <c r="AH62" s="35" t="e">
        <f>SUM(Table1[[#This Row],[Bobot Keg Umum]:[Bobot Perizinan]])</f>
        <v>#DIV/0!</v>
      </c>
      <c r="AI62" s="35" t="e">
        <f>Table1[[#This Row],[RAB Kegiatan Umum]]/Table1[[#This Row],[Nilai RAB Jaringan
(Exclude Ppn)]]</f>
        <v>#DIV/0!</v>
      </c>
      <c r="AJ62" s="35" t="e">
        <f>Table1[[#This Row],[RAB Pemasangan]]/Table1[[#This Row],[Nilai RAB Jaringan
(Exclude Ppn)]]</f>
        <v>#DIV/0!</v>
      </c>
      <c r="AK62" s="35" t="e">
        <f>Table1[[#This Row],[RAB Pengadaan]]/Table1[[#This Row],[Nilai RAB Jaringan
(Exclude Ppn)]]</f>
        <v>#DIV/0!</v>
      </c>
      <c r="AL62" s="35" t="e">
        <f>Table1[[#This Row],[RAB Perizinan]]/Table1[[#This Row],[Nilai RAB Jaringan
(Exclude Ppn)]]</f>
        <v>#DIV/0!</v>
      </c>
      <c r="AM62" s="47"/>
      <c r="AN62" s="285">
        <v>2919</v>
      </c>
      <c r="AO62" s="285">
        <f>SUM(Table1[[#This Row],[Pipa 63 mm]:[Pipa 1,800 mm]])</f>
        <v>0</v>
      </c>
      <c r="AP62" s="285"/>
      <c r="AQ62" s="285"/>
      <c r="AR62" s="285"/>
      <c r="AS62" s="285"/>
      <c r="AT62" s="285"/>
      <c r="AU62" s="285"/>
      <c r="AV62" s="285"/>
      <c r="AW62" s="285"/>
      <c r="AX62" s="285"/>
      <c r="AY62" s="285"/>
      <c r="AZ62" s="285"/>
      <c r="BA62" s="285"/>
      <c r="BB62" s="285"/>
      <c r="BC62" s="285"/>
      <c r="BD62" s="285"/>
      <c r="BE62" s="285"/>
      <c r="BF62" s="285"/>
      <c r="BG62" s="285"/>
      <c r="BH62" s="285"/>
      <c r="BI62" s="285"/>
      <c r="BJ62" s="36">
        <f>SUM(Table1[[#This Row],[Pipa 63 mm2]:[Pipa 1,800 mm21]])</f>
        <v>1261.9000000000001</v>
      </c>
      <c r="BK62" s="356">
        <v>238</v>
      </c>
      <c r="BL62" s="356">
        <v>222</v>
      </c>
      <c r="BM62" s="356"/>
      <c r="BN62" s="356">
        <v>339</v>
      </c>
      <c r="BO62" s="356">
        <v>462.9</v>
      </c>
      <c r="BP62" s="356"/>
      <c r="BQ62" s="356"/>
      <c r="BR62" s="356"/>
      <c r="BS62" s="356"/>
      <c r="BT62" s="356"/>
      <c r="BU62" s="356"/>
      <c r="BV62" s="356"/>
      <c r="BW62" s="356"/>
      <c r="BX62" s="356"/>
      <c r="BY62" s="356"/>
      <c r="BZ62" s="356"/>
      <c r="CA62" s="356"/>
      <c r="CB62" s="356"/>
      <c r="CC62" s="356"/>
      <c r="CD62" s="356"/>
      <c r="CE62" s="32">
        <v>2015</v>
      </c>
      <c r="CF62" s="32"/>
      <c r="CG62" s="32"/>
      <c r="CH62" s="32"/>
      <c r="CI62" s="32">
        <f t="shared" si="3"/>
        <v>2015</v>
      </c>
      <c r="CJ62" s="65">
        <f>IF((Table1[[#This Row],["Volume
BA MC-0"]]-Table1[[#This Row],[Total Panjang Pipa Aktual
(Sum-&gt;)3]]-Table1[[#This Row],[Total Volume
tidak dapat dipasang]])&gt;=0,Table1[[#This Row],["Volume
BA MC-0"]]-Table1[[#This Row],[Total Panjang Pipa Aktual
(Sum-&gt;)3]]-Table1[[#This Row],[Total Volume
tidak dapat dipasang]],0)</f>
        <v>0</v>
      </c>
      <c r="CK62" s="47"/>
      <c r="CL62" s="131"/>
      <c r="CM62" s="35"/>
      <c r="CN62" s="131"/>
      <c r="CO62" s="131"/>
      <c r="CP6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2" s="66">
        <f>IFERROR(Table1[[#This Row],[Progres Keg. Umum
(%)]]*Table1[[#This Row],[Nilai RAB Jaringan
(file pa aji)]],0)</f>
        <v>0</v>
      </c>
      <c r="CR62" s="66">
        <f>IFERROR(Table1[[#This Row],[Progres MOS
(%)]]*Table1[[#This Row],[Nilai RAB Jaringan
(file pa aji)]],0)</f>
        <v>0</v>
      </c>
      <c r="CS62" s="66">
        <f>IFERROR(Table1[[#This Row],[Progres Pemasangan
(%)]]*Table1[[#This Row],[Nilai RAB Jaringan
(file pa aji)]],0)</f>
        <v>0</v>
      </c>
      <c r="CT62" s="66">
        <f>IFERROR(Table1[[#This Row],[Progres Perizinan
(%)]]*Table1[[#This Row],[Nilai RAB Jaringan
(file pa aji)]],0)</f>
        <v>0</v>
      </c>
      <c r="CU62" s="329">
        <v>2770383901</v>
      </c>
      <c r="CV62" s="329">
        <v>2770383901</v>
      </c>
      <c r="CW62" s="583">
        <v>2770383901</v>
      </c>
      <c r="CX62" s="329">
        <v>2770383901</v>
      </c>
      <c r="CY62" s="47"/>
      <c r="CZ62" s="330">
        <v>45439</v>
      </c>
      <c r="DA62" s="330">
        <v>45466</v>
      </c>
      <c r="DB62" s="331"/>
      <c r="DC62" s="316"/>
      <c r="DD62" s="67"/>
      <c r="DE6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2" s="331"/>
      <c r="DG62" s="316"/>
      <c r="DH62" s="67"/>
      <c r="DI6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2" s="330">
        <v>45467</v>
      </c>
      <c r="DK62" s="330">
        <v>45536</v>
      </c>
      <c r="DL62" s="331">
        <v>45479</v>
      </c>
      <c r="DM62" s="395" t="s">
        <v>554</v>
      </c>
      <c r="DN6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2" s="331">
        <v>45485</v>
      </c>
      <c r="DP62" s="316" t="s">
        <v>546</v>
      </c>
      <c r="DQ62" s="338" t="s">
        <v>365</v>
      </c>
      <c r="DR6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2" s="330">
        <v>45467</v>
      </c>
      <c r="DT62" s="330" t="e">
        <v>#N/A</v>
      </c>
      <c r="DU62" s="330">
        <v>45508</v>
      </c>
      <c r="DV62" s="330" t="e">
        <v>#N/A</v>
      </c>
      <c r="DW62" s="331"/>
      <c r="DX62" s="316"/>
      <c r="DY62" s="334"/>
      <c r="DZ62" s="334"/>
      <c r="EA6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2" s="331"/>
      <c r="EC62" s="332"/>
      <c r="ED62" s="332"/>
      <c r="EE62" s="330"/>
      <c r="EF62" s="35">
        <v>1</v>
      </c>
      <c r="EG62" s="337">
        <v>1</v>
      </c>
      <c r="EH62" s="316" t="str">
        <f>IF(Table1[[#This Row],[PO Material Aktual 
(%)]]&gt;=100%,"Selesai PO = 100%",IF(Table1[[#This Row],[PO Material Aktual 
(%)]]&gt;=50%,"Proses PO &gt; 100%",IF(Table1[[#This Row],[PO Material Aktual 
(%)]]&gt;0%,"Proses PO &gt; 50%",IF(Table1[[#This Row],[PO Material Aktual 
(%)]]=0,"Belum PO = 0%"))))</f>
        <v>Selesai PO = 100%</v>
      </c>
      <c r="EI6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2" s="330">
        <v>45509</v>
      </c>
      <c r="EK62" s="330" t="e">
        <v>#N/A</v>
      </c>
      <c r="EL62" s="330">
        <v>45620</v>
      </c>
      <c r="EM62" s="330" t="e">
        <v>#N/A</v>
      </c>
      <c r="EN62" s="331"/>
      <c r="EO62" s="332"/>
      <c r="EP62" s="332"/>
      <c r="EQ62" s="87">
        <v>1</v>
      </c>
      <c r="ER62" s="87">
        <v>1</v>
      </c>
      <c r="ES62" s="316" t="str">
        <f>IF(Table1[[#This Row],[Progres MOS]]&gt;=100%,"Selesai MOS = 100%",IF(Table1[[#This Row],[Progres MOS]]&gt;=50%,"Proses MOS &gt; 100%",IF(Table1[[#This Row],[Progres MOS]]&gt;0%,"Proses MOS &gt; 50%",IF(Table1[[#This Row],[Progres MOS]]=0,"Belum MOS = 0%"))))</f>
        <v>Selesai MOS = 100%</v>
      </c>
      <c r="ET6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2" s="47"/>
      <c r="EV62" s="330">
        <v>45467</v>
      </c>
      <c r="EW62" s="330" t="e">
        <v>#N/A</v>
      </c>
      <c r="EX62" s="330">
        <v>45564</v>
      </c>
      <c r="EY62" s="330" t="e">
        <v>#N/A</v>
      </c>
      <c r="EZ62" s="352" t="s">
        <v>259</v>
      </c>
      <c r="FA62" s="336" t="s">
        <v>259</v>
      </c>
      <c r="FB62" s="330" t="s">
        <v>260</v>
      </c>
      <c r="FC62" s="330">
        <v>45342</v>
      </c>
      <c r="FD62" s="330" t="s">
        <v>260</v>
      </c>
      <c r="FE62" s="330"/>
      <c r="FF62" s="330">
        <v>45492</v>
      </c>
      <c r="FG62" s="330" t="s">
        <v>260</v>
      </c>
      <c r="FH62" s="330" t="s">
        <v>260</v>
      </c>
      <c r="FI62" s="330">
        <v>45513</v>
      </c>
      <c r="FJ62" s="330" t="s">
        <v>260</v>
      </c>
      <c r="FK62" s="330">
        <v>45679</v>
      </c>
      <c r="FL62" s="336" t="s">
        <v>259</v>
      </c>
      <c r="FM62" s="336">
        <v>45342</v>
      </c>
      <c r="FN62" s="314">
        <f>IF(Table1[[#This Row],[Tanggal Pengajuan Dokumen]]="","",Table1[[#This Row],[PLAN PERMIT
start]]-Table1[[#This Row],[Tanggal Pengajuan Dokumen]])</f>
        <v>125</v>
      </c>
      <c r="FO62" s="336">
        <v>45679</v>
      </c>
      <c r="FP62" s="316"/>
      <c r="FQ62" s="338"/>
      <c r="FR62" s="352"/>
      <c r="FS62" s="338" t="str">
        <f t="shared" si="5"/>
        <v>Sudah Terbit</v>
      </c>
      <c r="FT6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2" s="344">
        <f ca="1">IF(Table1[[#This Row],[Status Izin]]="Selesai",Table1[[#This Row],[PLAN PERMIT
finish]]-Table1[[#This Row],[Tanggal Terbit/ Target Izin Terbit]],ROUNDUP(Table1[[#This Row],[PLAN PERMIT
finish]]-NOW(),0))</f>
        <v>-115</v>
      </c>
      <c r="FV6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2" s="344"/>
      <c r="FX62" s="47"/>
      <c r="FY62" s="340"/>
      <c r="FZ62" s="341"/>
      <c r="GA6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2" s="330">
        <v>45538</v>
      </c>
      <c r="GC62" s="331">
        <v>45488</v>
      </c>
      <c r="GD6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2" s="330">
        <v>45545</v>
      </c>
      <c r="GF62" s="331">
        <v>45488</v>
      </c>
      <c r="GG6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2" s="330">
        <v>45551</v>
      </c>
      <c r="GI62" s="330">
        <v>45557</v>
      </c>
      <c r="GJ62" s="353">
        <v>45502</v>
      </c>
      <c r="GK6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2" s="330">
        <v>45565</v>
      </c>
      <c r="GM62" s="330" t="e">
        <v>#N/A</v>
      </c>
      <c r="GN62" s="330">
        <v>45690</v>
      </c>
      <c r="GO62" s="330" t="e">
        <v>#N/A</v>
      </c>
      <c r="GP62" s="316"/>
      <c r="GQ6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2" s="330" t="s">
        <v>261</v>
      </c>
      <c r="GS62" s="330" t="s">
        <v>261</v>
      </c>
      <c r="GT62" s="354">
        <v>45640</v>
      </c>
      <c r="GU62" s="344" t="str">
        <f>IF(Table1[[#This Row],[Hydro Tes Actual
(tanggal)]]&lt;&gt;"","Sudah","Belum")</f>
        <v>Sudah</v>
      </c>
      <c r="GV62" s="330" t="s">
        <v>261</v>
      </c>
      <c r="GW62" s="330" t="s">
        <v>261</v>
      </c>
      <c r="GX62" s="331">
        <v>45678</v>
      </c>
      <c r="GY62" s="344" t="str">
        <f>IF(Table1[[#This Row],[Interkoneksi Actual
(tanggal)]]&lt;&gt;"","Sudah","Belum")</f>
        <v>Sudah</v>
      </c>
      <c r="GZ62" s="330" t="s">
        <v>261</v>
      </c>
      <c r="HA62" s="330" t="s">
        <v>261</v>
      </c>
      <c r="HB62" s="331">
        <v>45691</v>
      </c>
      <c r="HC62" s="344" t="str">
        <f>IF(Table1[[#This Row],[Flushing Actual
(tanggal)]]&lt;&gt;"","Sudah","Belum")</f>
        <v>Sudah</v>
      </c>
      <c r="HD62" s="330">
        <v>45677</v>
      </c>
      <c r="HE62" s="330" t="e">
        <v>#N/A</v>
      </c>
      <c r="HF62" s="330">
        <v>45683</v>
      </c>
      <c r="HG62" s="346">
        <v>45708</v>
      </c>
      <c r="HH6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2" s="330" t="s">
        <v>261</v>
      </c>
      <c r="HJ62" s="330" t="s">
        <v>261</v>
      </c>
      <c r="HK62" s="331"/>
      <c r="HL62" s="316"/>
      <c r="HM62" s="330">
        <v>45702</v>
      </c>
      <c r="HN62" s="330">
        <v>45702</v>
      </c>
      <c r="HO62" s="330" t="e">
        <v>#N/A</v>
      </c>
      <c r="HP62" s="346">
        <v>45742</v>
      </c>
      <c r="HQ6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2" s="330">
        <v>45709</v>
      </c>
      <c r="HS62" s="330"/>
      <c r="HT62" s="330">
        <v>45709</v>
      </c>
      <c r="HU62" s="527"/>
      <c r="HV62" s="330">
        <f>IF(Table1[[#This Row],[MC-100 Aktual
(tanggal)]]&lt;&gt;"",Table1[[#This Row],[MC-100 Aktual
(tanggal)]]+5,"")</f>
        <v>45747</v>
      </c>
      <c r="HW6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2" s="47"/>
      <c r="HY62" s="352"/>
      <c r="HZ62" s="352"/>
      <c r="IB62" s="618">
        <f>IFERROR(ROUND((Table1[[#This Row],[PLAN TC
finish]]-Table1[[#This Row],[PLAN MC-0
start]])/30,2),"")</f>
        <v>4.4000000000000004</v>
      </c>
      <c r="IC62">
        <f>DATEDIF(Table1[[#This Row],[PLAN MC-0
start]],Table1[[#This Row],[PLAN TC
finish]],"m")</f>
        <v>4</v>
      </c>
    </row>
    <row r="63" spans="1:237" s="4" customFormat="1" ht="15" customHeight="1" x14ac:dyDescent="0.2">
      <c r="B63" s="311">
        <f>SUBTOTAL(3,$D$5:D63)</f>
        <v>34</v>
      </c>
      <c r="C63" s="348">
        <v>59</v>
      </c>
      <c r="D63" s="315" t="s">
        <v>244</v>
      </c>
      <c r="E63" s="315" t="s">
        <v>555</v>
      </c>
      <c r="F63" s="315" t="s">
        <v>556</v>
      </c>
      <c r="G63" s="349">
        <v>45752</v>
      </c>
      <c r="H63" s="314" t="s">
        <v>247</v>
      </c>
      <c r="I63" s="315" t="s">
        <v>278</v>
      </c>
      <c r="J63" s="315"/>
      <c r="K63" s="338" t="s">
        <v>249</v>
      </c>
      <c r="L63" s="316" t="s">
        <v>250</v>
      </c>
      <c r="M63" s="316" t="s">
        <v>269</v>
      </c>
      <c r="N63" s="107">
        <v>1209</v>
      </c>
      <c r="O63" s="31" t="s">
        <v>252</v>
      </c>
      <c r="P6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3" s="87" t="e">
        <v>#N/A</v>
      </c>
      <c r="S63" s="87">
        <v>1</v>
      </c>
      <c r="T63" s="35">
        <f>Table1[[#This Row],[Progres Total Aktual
(%)]]</f>
        <v>1</v>
      </c>
      <c r="U63" s="124">
        <f>Table1[[#This Row],[Progres Aktual
(%)]]-Table1[[#This Row],[Target Progres
(%)]]</f>
        <v>0</v>
      </c>
      <c r="V63" s="350">
        <f>Table1[[#This Row],["Volume
BA MC-0"]]</f>
        <v>1266</v>
      </c>
      <c r="W63" s="351">
        <f>Table1[[#This Row],[Total Panjang Pipa Aktual
(Sum-&gt;)3]]</f>
        <v>1136.0999999999999</v>
      </c>
      <c r="X63" s="47"/>
      <c r="Y63" s="67" t="s">
        <v>557</v>
      </c>
      <c r="Z63" s="67">
        <v>1691704559</v>
      </c>
      <c r="AA63" s="67">
        <f>ROUND((Table1[[#This Row],[Nilai RAB Jaringan
(Exclude Ppn)]]-Table1[[#This Row],[RAB Perizinan]])*1.11+Table1[[#This Row],[RAB Perizinan]],0)</f>
        <v>0</v>
      </c>
      <c r="AB63" s="320">
        <f>SUM(Table1[[#This Row],[RAB Kegiatan Umum]:[RAB Perizinan]])</f>
        <v>0</v>
      </c>
      <c r="AC63" s="320"/>
      <c r="AD63" s="320"/>
      <c r="AE63" s="320"/>
      <c r="AF63" s="320"/>
      <c r="AG63" s="320">
        <v>1545434819</v>
      </c>
      <c r="AH63" s="35" t="e">
        <f>SUM(Table1[[#This Row],[Bobot Keg Umum]:[Bobot Perizinan]])</f>
        <v>#DIV/0!</v>
      </c>
      <c r="AI63" s="35" t="e">
        <f>Table1[[#This Row],[RAB Kegiatan Umum]]/Table1[[#This Row],[Nilai RAB Jaringan
(Exclude Ppn)]]</f>
        <v>#DIV/0!</v>
      </c>
      <c r="AJ63" s="35" t="e">
        <f>Table1[[#This Row],[RAB Pemasangan]]/Table1[[#This Row],[Nilai RAB Jaringan
(Exclude Ppn)]]</f>
        <v>#DIV/0!</v>
      </c>
      <c r="AK63" s="35" t="e">
        <f>Table1[[#This Row],[RAB Pengadaan]]/Table1[[#This Row],[Nilai RAB Jaringan
(Exclude Ppn)]]</f>
        <v>#DIV/0!</v>
      </c>
      <c r="AL63" s="35" t="e">
        <f>Table1[[#This Row],[RAB Perizinan]]/Table1[[#This Row],[Nilai RAB Jaringan
(Exclude Ppn)]]</f>
        <v>#DIV/0!</v>
      </c>
      <c r="AM63" s="47"/>
      <c r="AN63" s="285">
        <v>1266</v>
      </c>
      <c r="AO63" s="285">
        <f>SUM(Table1[[#This Row],[Pipa 63 mm]:[Pipa 1,800 mm]])</f>
        <v>0</v>
      </c>
      <c r="AP63" s="285"/>
      <c r="AQ63" s="285"/>
      <c r="AR63" s="285"/>
      <c r="AS63" s="285"/>
      <c r="AT63" s="285"/>
      <c r="AU63" s="285"/>
      <c r="AV63" s="285"/>
      <c r="AW63" s="285"/>
      <c r="AX63" s="285"/>
      <c r="AY63" s="285"/>
      <c r="AZ63" s="285"/>
      <c r="BA63" s="285"/>
      <c r="BB63" s="285"/>
      <c r="BC63" s="285"/>
      <c r="BD63" s="285"/>
      <c r="BE63" s="285"/>
      <c r="BF63" s="285"/>
      <c r="BG63" s="285"/>
      <c r="BH63" s="285"/>
      <c r="BI63" s="285"/>
      <c r="BJ63" s="36">
        <f>SUM(Table1[[#This Row],[Pipa 63 mm2]:[Pipa 1,800 mm21]])</f>
        <v>1136.0999999999999</v>
      </c>
      <c r="BK63" s="356">
        <v>944</v>
      </c>
      <c r="BL63" s="356">
        <v>192.1</v>
      </c>
      <c r="BM63" s="356"/>
      <c r="BN63" s="356"/>
      <c r="BO63" s="356"/>
      <c r="BP63" s="356"/>
      <c r="BQ63" s="356"/>
      <c r="BR63" s="356"/>
      <c r="BS63" s="356"/>
      <c r="BT63" s="356"/>
      <c r="BU63" s="356"/>
      <c r="BV63" s="356"/>
      <c r="BW63" s="356"/>
      <c r="BX63" s="356"/>
      <c r="BY63" s="356"/>
      <c r="BZ63" s="356"/>
      <c r="CA63" s="356"/>
      <c r="CB63" s="356"/>
      <c r="CC63" s="356"/>
      <c r="CD63" s="356"/>
      <c r="CE63" s="32">
        <v>116</v>
      </c>
      <c r="CF63" s="32"/>
      <c r="CG63" s="32"/>
      <c r="CH63" s="32"/>
      <c r="CI63" s="32">
        <f t="shared" si="3"/>
        <v>116</v>
      </c>
      <c r="CJ63" s="65">
        <f>IF((Table1[[#This Row],["Volume
BA MC-0"]]-Table1[[#This Row],[Total Panjang Pipa Aktual
(Sum-&gt;)3]]-Table1[[#This Row],[Total Volume
tidak dapat dipasang]])&gt;=0,Table1[[#This Row],["Volume
BA MC-0"]]-Table1[[#This Row],[Total Panjang Pipa Aktual
(Sum-&gt;)3]]-Table1[[#This Row],[Total Volume
tidak dapat dipasang]],0)</f>
        <v>13.900000000000091</v>
      </c>
      <c r="CK63" s="47"/>
      <c r="CL63" s="131"/>
      <c r="CM63" s="35"/>
      <c r="CN63" s="131"/>
      <c r="CO63" s="131"/>
      <c r="CP6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3" s="66">
        <f>IFERROR(Table1[[#This Row],[Progres Keg. Umum
(%)]]*Table1[[#This Row],[Nilai RAB Jaringan
(file pa aji)]],0)</f>
        <v>0</v>
      </c>
      <c r="CR63" s="66">
        <f>IFERROR(Table1[[#This Row],[Progres MOS
(%)]]*Table1[[#This Row],[Nilai RAB Jaringan
(file pa aji)]],0)</f>
        <v>0</v>
      </c>
      <c r="CS63" s="66">
        <f>IFERROR(Table1[[#This Row],[Progres Pemasangan
(%)]]*Table1[[#This Row],[Nilai RAB Jaringan
(file pa aji)]],0)</f>
        <v>0</v>
      </c>
      <c r="CT63" s="66">
        <f>IFERROR(Table1[[#This Row],[Progres Perizinan
(%)]]*Table1[[#This Row],[Nilai RAB Jaringan
(file pa aji)]],0)</f>
        <v>0</v>
      </c>
      <c r="CU63" s="329">
        <v>1581938269</v>
      </c>
      <c r="CV63" s="329">
        <v>1581938269</v>
      </c>
      <c r="CW63" s="583">
        <v>1581938269</v>
      </c>
      <c r="CX63" s="329">
        <v>1581938269</v>
      </c>
      <c r="CY63" s="47"/>
      <c r="CZ63" s="330">
        <v>45439</v>
      </c>
      <c r="DA63" s="330">
        <v>45466</v>
      </c>
      <c r="DB63" s="331"/>
      <c r="DC63" s="316"/>
      <c r="DD63" s="67"/>
      <c r="DE6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3" s="331"/>
      <c r="DG63" s="316"/>
      <c r="DH63" s="67"/>
      <c r="DI6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3" s="330">
        <v>45467</v>
      </c>
      <c r="DK63" s="330">
        <v>45536</v>
      </c>
      <c r="DL63" s="331">
        <v>45482</v>
      </c>
      <c r="DM63" s="357" t="s">
        <v>558</v>
      </c>
      <c r="DN6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3" s="331">
        <v>45489</v>
      </c>
      <c r="DP63" s="316" t="s">
        <v>559</v>
      </c>
      <c r="DQ63" s="338" t="s">
        <v>560</v>
      </c>
      <c r="DR6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3" s="330">
        <v>45467</v>
      </c>
      <c r="DT63" s="330" t="e">
        <v>#N/A</v>
      </c>
      <c r="DU63" s="330">
        <v>45508</v>
      </c>
      <c r="DV63" s="330" t="e">
        <v>#N/A</v>
      </c>
      <c r="DW63" s="331"/>
      <c r="DX63" s="316"/>
      <c r="DY63" s="334"/>
      <c r="DZ63" s="334"/>
      <c r="EA6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3" s="331"/>
      <c r="EC63" s="332"/>
      <c r="ED63" s="332"/>
      <c r="EE63" s="330"/>
      <c r="EF63" s="35">
        <v>1</v>
      </c>
      <c r="EG63" s="337">
        <v>1</v>
      </c>
      <c r="EH63" s="316" t="str">
        <f>IF(Table1[[#This Row],[PO Material Aktual 
(%)]]&gt;=100%,"Selesai PO = 100%",IF(Table1[[#This Row],[PO Material Aktual 
(%)]]&gt;=50%,"Proses PO &gt; 100%",IF(Table1[[#This Row],[PO Material Aktual 
(%)]]&gt;0%,"Proses PO &gt; 50%",IF(Table1[[#This Row],[PO Material Aktual 
(%)]]=0,"Belum PO = 0%"))))</f>
        <v>Selesai PO = 100%</v>
      </c>
      <c r="EI6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3" s="330">
        <v>45509</v>
      </c>
      <c r="EK63" s="330" t="e">
        <v>#N/A</v>
      </c>
      <c r="EL63" s="330">
        <v>45620</v>
      </c>
      <c r="EM63" s="330" t="e">
        <v>#N/A</v>
      </c>
      <c r="EN63" s="331"/>
      <c r="EO63" s="332"/>
      <c r="EP63" s="332"/>
      <c r="EQ63" s="87">
        <v>1</v>
      </c>
      <c r="ER63" s="87">
        <v>1</v>
      </c>
      <c r="ES63" s="316" t="str">
        <f>IF(Table1[[#This Row],[Progres MOS]]&gt;=100%,"Selesai MOS = 100%",IF(Table1[[#This Row],[Progres MOS]]&gt;=50%,"Proses MOS &gt; 100%",IF(Table1[[#This Row],[Progres MOS]]&gt;0%,"Proses MOS &gt; 50%",IF(Table1[[#This Row],[Progres MOS]]=0,"Belum MOS = 0%"))))</f>
        <v>Selesai MOS = 100%</v>
      </c>
      <c r="ET6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3" s="47"/>
      <c r="EV63" s="330">
        <v>45467</v>
      </c>
      <c r="EW63" s="330" t="e">
        <v>#N/A</v>
      </c>
      <c r="EX63" s="330">
        <v>45564</v>
      </c>
      <c r="EY63" s="330" t="e">
        <v>#N/A</v>
      </c>
      <c r="EZ63" s="352" t="s">
        <v>259</v>
      </c>
      <c r="FA63" s="336" t="s">
        <v>259</v>
      </c>
      <c r="FB63" s="330" t="s">
        <v>260</v>
      </c>
      <c r="FC63" s="330">
        <v>45342</v>
      </c>
      <c r="FD63" s="330" t="s">
        <v>260</v>
      </c>
      <c r="FE63" s="330"/>
      <c r="FF63" s="330">
        <v>45492</v>
      </c>
      <c r="FG63" s="330" t="s">
        <v>260</v>
      </c>
      <c r="FH63" s="330" t="s">
        <v>260</v>
      </c>
      <c r="FI63" s="330">
        <v>45512</v>
      </c>
      <c r="FJ63" s="330" t="s">
        <v>260</v>
      </c>
      <c r="FK63" s="330">
        <v>45679</v>
      </c>
      <c r="FL63" s="336" t="s">
        <v>259</v>
      </c>
      <c r="FM63" s="336">
        <v>45342</v>
      </c>
      <c r="FN63" s="314">
        <f>IF(Table1[[#This Row],[Tanggal Pengajuan Dokumen]]="","",Table1[[#This Row],[PLAN PERMIT
start]]-Table1[[#This Row],[Tanggal Pengajuan Dokumen]])</f>
        <v>125</v>
      </c>
      <c r="FO63" s="336">
        <v>45679</v>
      </c>
      <c r="FP63" s="316"/>
      <c r="FQ63" s="338"/>
      <c r="FR63" s="352"/>
      <c r="FS63" s="338" t="str">
        <f t="shared" si="5"/>
        <v>Sudah Terbit</v>
      </c>
      <c r="FT6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3" s="344">
        <f ca="1">IF(Table1[[#This Row],[Status Izin]]="Selesai",Table1[[#This Row],[PLAN PERMIT
finish]]-Table1[[#This Row],[Tanggal Terbit/ Target Izin Terbit]],ROUNDUP(Table1[[#This Row],[PLAN PERMIT
finish]]-NOW(),0))</f>
        <v>-115</v>
      </c>
      <c r="FV6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3" s="344"/>
      <c r="FX63" s="47"/>
      <c r="FY63" s="340"/>
      <c r="FZ63" s="341"/>
      <c r="GA6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3" s="330">
        <v>45538</v>
      </c>
      <c r="GC63" s="331">
        <v>45488</v>
      </c>
      <c r="GD6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3" s="330">
        <v>45545</v>
      </c>
      <c r="GF63" s="331">
        <v>45488</v>
      </c>
      <c r="GG6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3" s="330">
        <v>45551</v>
      </c>
      <c r="GI63" s="330">
        <v>45557</v>
      </c>
      <c r="GJ63" s="353">
        <v>45506</v>
      </c>
      <c r="GK6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3" s="330">
        <v>45565</v>
      </c>
      <c r="GM63" s="330" t="e">
        <v>#N/A</v>
      </c>
      <c r="GN63" s="330">
        <v>45690</v>
      </c>
      <c r="GO63" s="330" t="e">
        <v>#N/A</v>
      </c>
      <c r="GP63" s="316"/>
      <c r="GQ6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3" s="330" t="s">
        <v>261</v>
      </c>
      <c r="GS63" s="330" t="s">
        <v>261</v>
      </c>
      <c r="GT63" s="354">
        <v>45608</v>
      </c>
      <c r="GU63" s="344" t="str">
        <f>IF(Table1[[#This Row],[Hydro Tes Actual
(tanggal)]]&lt;&gt;"","Sudah","Belum")</f>
        <v>Sudah</v>
      </c>
      <c r="GV63" s="330" t="s">
        <v>261</v>
      </c>
      <c r="GW63" s="330" t="s">
        <v>261</v>
      </c>
      <c r="GX63" s="331">
        <v>45637</v>
      </c>
      <c r="GY63" s="344" t="str">
        <f>IF(Table1[[#This Row],[Interkoneksi Actual
(tanggal)]]&lt;&gt;"","Sudah","Belum")</f>
        <v>Sudah</v>
      </c>
      <c r="GZ63" s="330" t="s">
        <v>261</v>
      </c>
      <c r="HA63" s="330" t="s">
        <v>261</v>
      </c>
      <c r="HB63" s="331">
        <v>45693</v>
      </c>
      <c r="HC63" s="344" t="str">
        <f>IF(Table1[[#This Row],[Flushing Actual
(tanggal)]]&lt;&gt;"","Sudah","Belum")</f>
        <v>Sudah</v>
      </c>
      <c r="HD63" s="330">
        <v>45677</v>
      </c>
      <c r="HE63" s="330" t="e">
        <v>#N/A</v>
      </c>
      <c r="HF63" s="330">
        <v>45683</v>
      </c>
      <c r="HG63" s="346">
        <v>45708</v>
      </c>
      <c r="HH6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3" s="330" t="s">
        <v>261</v>
      </c>
      <c r="HJ63" s="330" t="s">
        <v>261</v>
      </c>
      <c r="HK63" s="331"/>
      <c r="HL63" s="316"/>
      <c r="HM63" s="330">
        <v>45702</v>
      </c>
      <c r="HN63" s="330">
        <v>45702</v>
      </c>
      <c r="HO63" s="330" t="e">
        <v>#N/A</v>
      </c>
      <c r="HP63" s="346">
        <v>45742</v>
      </c>
      <c r="HQ6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3" s="330">
        <v>45709</v>
      </c>
      <c r="HS63" s="330"/>
      <c r="HT63" s="330">
        <v>45709</v>
      </c>
      <c r="HU63" s="527"/>
      <c r="HV63" s="330">
        <f>IF(Table1[[#This Row],[MC-100 Aktual
(tanggal)]]&lt;&gt;"",Table1[[#This Row],[MC-100 Aktual
(tanggal)]]+5,"")</f>
        <v>45747</v>
      </c>
      <c r="HW6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3" s="47"/>
      <c r="HY63" s="352"/>
      <c r="HZ63" s="352"/>
      <c r="IB63" s="618">
        <f>IFERROR(ROUND((Table1[[#This Row],[PLAN TC
finish]]-Table1[[#This Row],[PLAN MC-0
start]])/30,2),"")</f>
        <v>4.4000000000000004</v>
      </c>
      <c r="IC63">
        <f>DATEDIF(Table1[[#This Row],[PLAN MC-0
start]],Table1[[#This Row],[PLAN TC
finish]],"m")</f>
        <v>4</v>
      </c>
    </row>
    <row r="64" spans="1:237" s="4" customFormat="1" ht="15" customHeight="1" x14ac:dyDescent="0.2">
      <c r="B64" s="311">
        <f>SUBTOTAL(3,$D$5:D64)</f>
        <v>35</v>
      </c>
      <c r="C64" s="348">
        <v>60</v>
      </c>
      <c r="D64" s="315" t="s">
        <v>244</v>
      </c>
      <c r="E64" s="315" t="s">
        <v>561</v>
      </c>
      <c r="F64" s="315" t="s">
        <v>562</v>
      </c>
      <c r="G64" s="349">
        <v>45752</v>
      </c>
      <c r="H64" s="314" t="s">
        <v>247</v>
      </c>
      <c r="I64" s="315" t="s">
        <v>278</v>
      </c>
      <c r="J64" s="315"/>
      <c r="K64" s="338" t="s">
        <v>249</v>
      </c>
      <c r="L64" s="316" t="s">
        <v>250</v>
      </c>
      <c r="M64" s="316" t="s">
        <v>269</v>
      </c>
      <c r="N64" s="107">
        <v>1937</v>
      </c>
      <c r="O64" s="31" t="s">
        <v>252</v>
      </c>
      <c r="P64"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4" s="87" t="e">
        <v>#N/A</v>
      </c>
      <c r="S64" s="87">
        <v>1</v>
      </c>
      <c r="T64" s="35">
        <f>Table1[[#This Row],[Progres Total Aktual
(%)]]</f>
        <v>1</v>
      </c>
      <c r="U64" s="124">
        <f>Table1[[#This Row],[Progres Aktual
(%)]]-Table1[[#This Row],[Target Progres
(%)]]</f>
        <v>0</v>
      </c>
      <c r="V64" s="350">
        <f>Table1[[#This Row],["Volume
BA MC-0"]]</f>
        <v>1975</v>
      </c>
      <c r="W64" s="351">
        <f>Table1[[#This Row],[Total Panjang Pipa Aktual
(Sum-&gt;)3]]</f>
        <v>2010</v>
      </c>
      <c r="X64" s="47"/>
      <c r="Y64" s="67" t="s">
        <v>563</v>
      </c>
      <c r="Z64" s="67">
        <v>2741562804</v>
      </c>
      <c r="AA64" s="67">
        <f>ROUND((Table1[[#This Row],[Nilai RAB Jaringan
(Exclude Ppn)]]-Table1[[#This Row],[RAB Perizinan]])*1.11+Table1[[#This Row],[RAB Perizinan]],0)</f>
        <v>0</v>
      </c>
      <c r="AB64" s="320">
        <f>SUM(Table1[[#This Row],[RAB Kegiatan Umum]:[RAB Perizinan]])</f>
        <v>0</v>
      </c>
      <c r="AC64" s="320"/>
      <c r="AD64" s="320"/>
      <c r="AE64" s="320"/>
      <c r="AF64" s="320"/>
      <c r="AG64" s="320">
        <v>2260762075</v>
      </c>
      <c r="AH64" s="35" t="e">
        <f>SUM(Table1[[#This Row],[Bobot Keg Umum]:[Bobot Perizinan]])</f>
        <v>#DIV/0!</v>
      </c>
      <c r="AI64" s="35" t="e">
        <f>Table1[[#This Row],[RAB Kegiatan Umum]]/Table1[[#This Row],[Nilai RAB Jaringan
(Exclude Ppn)]]</f>
        <v>#DIV/0!</v>
      </c>
      <c r="AJ64" s="35" t="e">
        <f>Table1[[#This Row],[RAB Pemasangan]]/Table1[[#This Row],[Nilai RAB Jaringan
(Exclude Ppn)]]</f>
        <v>#DIV/0!</v>
      </c>
      <c r="AK64" s="35" t="e">
        <f>Table1[[#This Row],[RAB Pengadaan]]/Table1[[#This Row],[Nilai RAB Jaringan
(Exclude Ppn)]]</f>
        <v>#DIV/0!</v>
      </c>
      <c r="AL64" s="35" t="e">
        <f>Table1[[#This Row],[RAB Perizinan]]/Table1[[#This Row],[Nilai RAB Jaringan
(Exclude Ppn)]]</f>
        <v>#DIV/0!</v>
      </c>
      <c r="AM64" s="47"/>
      <c r="AN64" s="285">
        <v>1975</v>
      </c>
      <c r="AO64" s="285">
        <f>SUM(Table1[[#This Row],[Pipa 63 mm]:[Pipa 1,800 mm]])</f>
        <v>0</v>
      </c>
      <c r="AP64" s="285"/>
      <c r="AQ64" s="285"/>
      <c r="AR64" s="285"/>
      <c r="AS64" s="285"/>
      <c r="AT64" s="285"/>
      <c r="AU64" s="285"/>
      <c r="AV64" s="285"/>
      <c r="AW64" s="285"/>
      <c r="AX64" s="285"/>
      <c r="AY64" s="285"/>
      <c r="AZ64" s="285"/>
      <c r="BA64" s="285"/>
      <c r="BB64" s="285"/>
      <c r="BC64" s="285"/>
      <c r="BD64" s="285"/>
      <c r="BE64" s="285"/>
      <c r="BF64" s="285"/>
      <c r="BG64" s="285"/>
      <c r="BH64" s="285"/>
      <c r="BI64" s="285"/>
      <c r="BJ64" s="36">
        <f>SUM(Table1[[#This Row],[Pipa 63 mm2]:[Pipa 1,800 mm21]])</f>
        <v>2010</v>
      </c>
      <c r="BK64" s="32">
        <v>1073.5999999999999</v>
      </c>
      <c r="BL64" s="32">
        <v>29.7</v>
      </c>
      <c r="BM64" s="32">
        <v>906.7</v>
      </c>
      <c r="BN64" s="32"/>
      <c r="BO64" s="32"/>
      <c r="BP64" s="32"/>
      <c r="BQ64" s="32"/>
      <c r="BR64" s="32"/>
      <c r="BS64" s="32"/>
      <c r="BT64" s="32"/>
      <c r="BU64" s="32"/>
      <c r="BV64" s="32"/>
      <c r="BW64" s="32"/>
      <c r="BX64" s="32"/>
      <c r="BY64" s="32"/>
      <c r="BZ64" s="32"/>
      <c r="CA64" s="32"/>
      <c r="CB64" s="32"/>
      <c r="CC64" s="32"/>
      <c r="CD64" s="32"/>
      <c r="CE64" s="32">
        <v>0</v>
      </c>
      <c r="CF64" s="32"/>
      <c r="CG64" s="32"/>
      <c r="CH64" s="32"/>
      <c r="CI64" s="32">
        <f t="shared" si="3"/>
        <v>0</v>
      </c>
      <c r="CJ64" s="65">
        <f>IF((Table1[[#This Row],["Volume
BA MC-0"]]-Table1[[#This Row],[Total Panjang Pipa Aktual
(Sum-&gt;)3]]-Table1[[#This Row],[Total Volume
tidak dapat dipasang]])&gt;=0,Table1[[#This Row],["Volume
BA MC-0"]]-Table1[[#This Row],[Total Panjang Pipa Aktual
(Sum-&gt;)3]]-Table1[[#This Row],[Total Volume
tidak dapat dipasang]],0)</f>
        <v>0</v>
      </c>
      <c r="CK64" s="47"/>
      <c r="CL64" s="131"/>
      <c r="CM64" s="35"/>
      <c r="CN64" s="131"/>
      <c r="CO64" s="131"/>
      <c r="CP6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4" s="66">
        <f>IFERROR(Table1[[#This Row],[Progres Keg. Umum
(%)]]*Table1[[#This Row],[Nilai RAB Jaringan
(file pa aji)]],0)</f>
        <v>0</v>
      </c>
      <c r="CR64" s="66">
        <f>IFERROR(Table1[[#This Row],[Progres MOS
(%)]]*Table1[[#This Row],[Nilai RAB Jaringan
(file pa aji)]],0)</f>
        <v>0</v>
      </c>
      <c r="CS64" s="66">
        <f>IFERROR(Table1[[#This Row],[Progres Pemasangan
(%)]]*Table1[[#This Row],[Nilai RAB Jaringan
(file pa aji)]],0)</f>
        <v>0</v>
      </c>
      <c r="CT64" s="66">
        <f>IFERROR(Table1[[#This Row],[Progres Perizinan
(%)]]*Table1[[#This Row],[Nilai RAB Jaringan
(file pa aji)]],0)</f>
        <v>0</v>
      </c>
      <c r="CU64" s="329">
        <v>2553726301</v>
      </c>
      <c r="CV64" s="329">
        <v>2553726301</v>
      </c>
      <c r="CW64" s="583">
        <v>2553726301</v>
      </c>
      <c r="CX64" s="329">
        <v>2553726301</v>
      </c>
      <c r="CY64" s="47"/>
      <c r="CZ64" s="330">
        <v>45439</v>
      </c>
      <c r="DA64" s="330">
        <v>45466</v>
      </c>
      <c r="DB64" s="331"/>
      <c r="DC64" s="316"/>
      <c r="DD64" s="67"/>
      <c r="DE6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4" s="331"/>
      <c r="DG64" s="316"/>
      <c r="DH64" s="67"/>
      <c r="DI6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4" s="330">
        <v>45467</v>
      </c>
      <c r="DK64" s="330">
        <v>45536</v>
      </c>
      <c r="DL64" s="331">
        <v>45480</v>
      </c>
      <c r="DM64" s="357" t="s">
        <v>564</v>
      </c>
      <c r="DN6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4" s="331">
        <v>45485</v>
      </c>
      <c r="DP64" s="316" t="s">
        <v>565</v>
      </c>
      <c r="DQ64" s="338" t="s">
        <v>560</v>
      </c>
      <c r="DR6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4" s="330">
        <v>45467</v>
      </c>
      <c r="DT64" s="330" t="e">
        <v>#N/A</v>
      </c>
      <c r="DU64" s="330">
        <v>45508</v>
      </c>
      <c r="DV64" s="330" t="e">
        <v>#N/A</v>
      </c>
      <c r="DW64" s="331"/>
      <c r="DX64" s="316"/>
      <c r="DY64" s="334"/>
      <c r="DZ64" s="334"/>
      <c r="EA6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4" s="331"/>
      <c r="EC64" s="332"/>
      <c r="ED64" s="332"/>
      <c r="EE64" s="330"/>
      <c r="EF64" s="35">
        <v>1</v>
      </c>
      <c r="EG64" s="337">
        <v>1</v>
      </c>
      <c r="EH64" s="316" t="str">
        <f>IF(Table1[[#This Row],[PO Material Aktual 
(%)]]&gt;=100%,"Selesai PO = 100%",IF(Table1[[#This Row],[PO Material Aktual 
(%)]]&gt;=50%,"Proses PO &gt; 100%",IF(Table1[[#This Row],[PO Material Aktual 
(%)]]&gt;0%,"Proses PO &gt; 50%",IF(Table1[[#This Row],[PO Material Aktual 
(%)]]=0,"Belum PO = 0%"))))</f>
        <v>Selesai PO = 100%</v>
      </c>
      <c r="EI6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4" s="330">
        <v>45509</v>
      </c>
      <c r="EK64" s="330" t="e">
        <v>#N/A</v>
      </c>
      <c r="EL64" s="330">
        <v>45620</v>
      </c>
      <c r="EM64" s="330" t="e">
        <v>#N/A</v>
      </c>
      <c r="EN64" s="331"/>
      <c r="EO64" s="332"/>
      <c r="EP64" s="332"/>
      <c r="EQ64" s="87">
        <v>1</v>
      </c>
      <c r="ER64" s="87">
        <v>1</v>
      </c>
      <c r="ES64" s="316" t="str">
        <f>IF(Table1[[#This Row],[Progres MOS]]&gt;=100%,"Selesai MOS = 100%",IF(Table1[[#This Row],[Progres MOS]]&gt;=50%,"Proses MOS &gt; 100%",IF(Table1[[#This Row],[Progres MOS]]&gt;0%,"Proses MOS &gt; 50%",IF(Table1[[#This Row],[Progres MOS]]=0,"Belum MOS = 0%"))))</f>
        <v>Selesai MOS = 100%</v>
      </c>
      <c r="ET6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4" s="47"/>
      <c r="EV64" s="330">
        <v>45467</v>
      </c>
      <c r="EW64" s="330" t="e">
        <v>#N/A</v>
      </c>
      <c r="EX64" s="330">
        <v>45564</v>
      </c>
      <c r="EY64" s="330" t="e">
        <v>#N/A</v>
      </c>
      <c r="EZ64" s="352" t="s">
        <v>298</v>
      </c>
      <c r="FA64" s="336" t="s">
        <v>259</v>
      </c>
      <c r="FB64" s="330" t="s">
        <v>260</v>
      </c>
      <c r="FC64" s="330">
        <v>45735</v>
      </c>
      <c r="FD64" s="330" t="s">
        <v>260</v>
      </c>
      <c r="FE64" s="330">
        <v>45874</v>
      </c>
      <c r="FF64" s="330">
        <v>45894</v>
      </c>
      <c r="FG64" s="330" t="s">
        <v>260</v>
      </c>
      <c r="FH64" s="330" t="s">
        <v>260</v>
      </c>
      <c r="FI64" s="330">
        <v>46020</v>
      </c>
      <c r="FJ64" s="330" t="s">
        <v>260</v>
      </c>
      <c r="FK64" s="330">
        <v>46087</v>
      </c>
      <c r="FL64" s="336" t="s">
        <v>298</v>
      </c>
      <c r="FM64" s="336">
        <v>45735</v>
      </c>
      <c r="FN64" s="314">
        <f>IF(Table1[[#This Row],[Tanggal Pengajuan Dokumen]]="","",Table1[[#This Row],[PLAN PERMIT
start]]-Table1[[#This Row],[Tanggal Pengajuan Dokumen]])</f>
        <v>-268</v>
      </c>
      <c r="FO64" s="336"/>
      <c r="FP64" s="316"/>
      <c r="FQ64" s="338"/>
      <c r="FR64" s="352"/>
      <c r="FS64" s="338" t="str">
        <f t="shared" si="5"/>
        <v>Sudah Terbit</v>
      </c>
      <c r="FT6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4" s="344">
        <f ca="1">IF(Table1[[#This Row],[Status Izin]]="Selesai",Table1[[#This Row],[PLAN PERMIT
finish]]-Table1[[#This Row],[Tanggal Terbit/ Target Izin Terbit]],ROUNDUP(Table1[[#This Row],[PLAN PERMIT
finish]]-NOW(),0))</f>
        <v>45564</v>
      </c>
      <c r="FV6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4" s="344"/>
      <c r="FX64" s="47"/>
      <c r="FY64" s="340"/>
      <c r="FZ64" s="341"/>
      <c r="GA6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4" s="330">
        <v>45538</v>
      </c>
      <c r="GC64" s="331">
        <v>45488</v>
      </c>
      <c r="GD6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4" s="330">
        <v>45545</v>
      </c>
      <c r="GF64" s="331">
        <v>45488</v>
      </c>
      <c r="GG6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4" s="330">
        <v>45551</v>
      </c>
      <c r="GI64" s="330">
        <v>45557</v>
      </c>
      <c r="GJ64" s="353">
        <v>45507</v>
      </c>
      <c r="GK6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4" s="330">
        <v>45565</v>
      </c>
      <c r="GM64" s="330" t="e">
        <v>#N/A</v>
      </c>
      <c r="GN64" s="330">
        <v>45690</v>
      </c>
      <c r="GO64" s="330" t="e">
        <v>#N/A</v>
      </c>
      <c r="GP64" s="316"/>
      <c r="GQ6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4" s="330" t="s">
        <v>261</v>
      </c>
      <c r="GS64" s="330" t="s">
        <v>261</v>
      </c>
      <c r="GT64" s="354">
        <v>45943</v>
      </c>
      <c r="GU64" s="344" t="str">
        <f>IF(Table1[[#This Row],[Hydro Tes Actual
(tanggal)]]&lt;&gt;"","Sudah","Belum")</f>
        <v>Sudah</v>
      </c>
      <c r="GV64" s="330" t="s">
        <v>261</v>
      </c>
      <c r="GW64" s="330" t="s">
        <v>261</v>
      </c>
      <c r="GX64" s="331">
        <v>45669</v>
      </c>
      <c r="GY64" s="344" t="str">
        <f>IF(Table1[[#This Row],[Interkoneksi Actual
(tanggal)]]&lt;&gt;"","Sudah","Belum")</f>
        <v>Sudah</v>
      </c>
      <c r="GZ64" s="330" t="s">
        <v>261</v>
      </c>
      <c r="HA64" s="330" t="s">
        <v>261</v>
      </c>
      <c r="HB64" s="331">
        <v>45713</v>
      </c>
      <c r="HC64" s="344" t="str">
        <f>IF(Table1[[#This Row],[Flushing Actual
(tanggal)]]&lt;&gt;"","Sudah","Belum")</f>
        <v>Sudah</v>
      </c>
      <c r="HD64" s="330">
        <v>45677</v>
      </c>
      <c r="HE64" s="330" t="e">
        <v>#N/A</v>
      </c>
      <c r="HF64" s="330">
        <v>45683</v>
      </c>
      <c r="HG64" s="346">
        <v>45728</v>
      </c>
      <c r="HH6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4" s="330" t="s">
        <v>261</v>
      </c>
      <c r="HJ64" s="330" t="s">
        <v>261</v>
      </c>
      <c r="HK64" s="331"/>
      <c r="HL64" s="316"/>
      <c r="HM64" s="330">
        <v>45702</v>
      </c>
      <c r="HN64" s="330">
        <v>45702</v>
      </c>
      <c r="HO64" s="330" t="e">
        <v>#N/A</v>
      </c>
      <c r="HP64" s="346">
        <v>45743</v>
      </c>
      <c r="HQ6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4" s="330">
        <v>45709</v>
      </c>
      <c r="HS64" s="330"/>
      <c r="HT64" s="330">
        <v>45709</v>
      </c>
      <c r="HU64" s="527"/>
      <c r="HV64" s="330">
        <f>IF(Table1[[#This Row],[MC-100 Aktual
(tanggal)]]&lt;&gt;"",Table1[[#This Row],[MC-100 Aktual
(tanggal)]]+5,"")</f>
        <v>45748</v>
      </c>
      <c r="HW6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4" s="47"/>
      <c r="HY64" s="352"/>
      <c r="HZ64" s="352"/>
      <c r="IB64" s="618">
        <f>IFERROR(ROUND((Table1[[#This Row],[PLAN TC
finish]]-Table1[[#This Row],[PLAN MC-0
start]])/30,2),"")</f>
        <v>4.4000000000000004</v>
      </c>
      <c r="IC64">
        <f>DATEDIF(Table1[[#This Row],[PLAN MC-0
start]],Table1[[#This Row],[PLAN TC
finish]],"m")</f>
        <v>4</v>
      </c>
    </row>
    <row r="65" spans="1:237" s="4" customFormat="1" ht="15" customHeight="1" x14ac:dyDescent="0.2">
      <c r="B65" s="311">
        <f>SUBTOTAL(3,$D$5:D65)</f>
        <v>36</v>
      </c>
      <c r="C65" s="348">
        <v>61</v>
      </c>
      <c r="D65" s="315" t="s">
        <v>244</v>
      </c>
      <c r="E65" s="315" t="s">
        <v>566</v>
      </c>
      <c r="F65" s="315" t="s">
        <v>567</v>
      </c>
      <c r="G65" s="349">
        <v>45752</v>
      </c>
      <c r="H65" s="314" t="s">
        <v>247</v>
      </c>
      <c r="I65" s="315" t="s">
        <v>278</v>
      </c>
      <c r="J65" s="315"/>
      <c r="K65" s="338" t="s">
        <v>249</v>
      </c>
      <c r="L65" s="316" t="s">
        <v>250</v>
      </c>
      <c r="M65" s="316" t="s">
        <v>269</v>
      </c>
      <c r="N65" s="107">
        <v>1562</v>
      </c>
      <c r="O65" s="31" t="s">
        <v>252</v>
      </c>
      <c r="P6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5" s="87" t="e">
        <v>#N/A</v>
      </c>
      <c r="S65" s="87">
        <v>1</v>
      </c>
      <c r="T65" s="35">
        <f>Table1[[#This Row],[Progres Total Aktual
(%)]]</f>
        <v>1</v>
      </c>
      <c r="U65" s="124">
        <f>Table1[[#This Row],[Progres Aktual
(%)]]-Table1[[#This Row],[Target Progres
(%)]]</f>
        <v>0</v>
      </c>
      <c r="V65" s="350">
        <f>Table1[[#This Row],["Volume
BA MC-0"]]</f>
        <v>1511</v>
      </c>
      <c r="W65" s="351">
        <f>Table1[[#This Row],[Total Panjang Pipa Aktual
(Sum-&gt;)3]]</f>
        <v>603.4</v>
      </c>
      <c r="X65" s="47"/>
      <c r="Y65" s="67" t="s">
        <v>568</v>
      </c>
      <c r="Z65" s="67">
        <v>2436073612</v>
      </c>
      <c r="AA65" s="67">
        <f>ROUND((Table1[[#This Row],[Nilai RAB Jaringan
(Exclude Ppn)]]-Table1[[#This Row],[RAB Perizinan]])*1.11+Table1[[#This Row],[RAB Perizinan]],0)</f>
        <v>0</v>
      </c>
      <c r="AB65" s="320">
        <f>SUM(Table1[[#This Row],[RAB Kegiatan Umum]:[RAB Perizinan]])</f>
        <v>0</v>
      </c>
      <c r="AC65" s="320"/>
      <c r="AD65" s="320"/>
      <c r="AE65" s="320"/>
      <c r="AF65" s="320"/>
      <c r="AG65" s="320">
        <v>2197222978</v>
      </c>
      <c r="AH65" s="35" t="e">
        <f>SUM(Table1[[#This Row],[Bobot Keg Umum]:[Bobot Perizinan]])</f>
        <v>#DIV/0!</v>
      </c>
      <c r="AI65" s="35" t="e">
        <f>Table1[[#This Row],[RAB Kegiatan Umum]]/Table1[[#This Row],[Nilai RAB Jaringan
(Exclude Ppn)]]</f>
        <v>#DIV/0!</v>
      </c>
      <c r="AJ65" s="35" t="e">
        <f>Table1[[#This Row],[RAB Pemasangan]]/Table1[[#This Row],[Nilai RAB Jaringan
(Exclude Ppn)]]</f>
        <v>#DIV/0!</v>
      </c>
      <c r="AK65" s="35" t="e">
        <f>Table1[[#This Row],[RAB Pengadaan]]/Table1[[#This Row],[Nilai RAB Jaringan
(Exclude Ppn)]]</f>
        <v>#DIV/0!</v>
      </c>
      <c r="AL65" s="35" t="e">
        <f>Table1[[#This Row],[RAB Perizinan]]/Table1[[#This Row],[Nilai RAB Jaringan
(Exclude Ppn)]]</f>
        <v>#DIV/0!</v>
      </c>
      <c r="AM65" s="47"/>
      <c r="AN65" s="285">
        <v>1511</v>
      </c>
      <c r="AO65" s="285">
        <f>SUM(Table1[[#This Row],[Pipa 63 mm]:[Pipa 1,800 mm]])</f>
        <v>0</v>
      </c>
      <c r="AP65" s="285"/>
      <c r="AQ65" s="285"/>
      <c r="AR65" s="285"/>
      <c r="AS65" s="285"/>
      <c r="AT65" s="285"/>
      <c r="AU65" s="285"/>
      <c r="AV65" s="285"/>
      <c r="AW65" s="285"/>
      <c r="AX65" s="285"/>
      <c r="AY65" s="285"/>
      <c r="AZ65" s="285"/>
      <c r="BA65" s="285"/>
      <c r="BB65" s="285"/>
      <c r="BC65" s="285"/>
      <c r="BD65" s="285"/>
      <c r="BE65" s="285"/>
      <c r="BF65" s="285"/>
      <c r="BG65" s="285"/>
      <c r="BH65" s="285"/>
      <c r="BI65" s="285"/>
      <c r="BJ65" s="36">
        <f>SUM(Table1[[#This Row],[Pipa 63 mm2]:[Pipa 1,800 mm21]])</f>
        <v>603.4</v>
      </c>
      <c r="BK65" s="356">
        <v>424.4</v>
      </c>
      <c r="BL65" s="356">
        <v>179</v>
      </c>
      <c r="BM65" s="356"/>
      <c r="BN65" s="356"/>
      <c r="BO65" s="356"/>
      <c r="BP65" s="356"/>
      <c r="BQ65" s="356"/>
      <c r="BR65" s="356"/>
      <c r="BS65" s="356"/>
      <c r="BT65" s="356"/>
      <c r="BU65" s="356"/>
      <c r="BV65" s="356"/>
      <c r="BW65" s="356"/>
      <c r="BX65" s="356"/>
      <c r="BY65" s="356"/>
      <c r="BZ65" s="356"/>
      <c r="CA65" s="356"/>
      <c r="CB65" s="356"/>
      <c r="CC65" s="356"/>
      <c r="CD65" s="356"/>
      <c r="CE65" s="32">
        <v>795</v>
      </c>
      <c r="CF65" s="32"/>
      <c r="CG65" s="32"/>
      <c r="CH65" s="32"/>
      <c r="CI65" s="32">
        <f t="shared" si="3"/>
        <v>795</v>
      </c>
      <c r="CJ65" s="65">
        <f>IF((Table1[[#This Row],["Volume
BA MC-0"]]-Table1[[#This Row],[Total Panjang Pipa Aktual
(Sum-&gt;)3]]-Table1[[#This Row],[Total Volume
tidak dapat dipasang]])&gt;=0,Table1[[#This Row],["Volume
BA MC-0"]]-Table1[[#This Row],[Total Panjang Pipa Aktual
(Sum-&gt;)3]]-Table1[[#This Row],[Total Volume
tidak dapat dipasang]],0)</f>
        <v>112.60000000000002</v>
      </c>
      <c r="CK65" s="47"/>
      <c r="CL65" s="131"/>
      <c r="CM65" s="35"/>
      <c r="CN65" s="131"/>
      <c r="CO65" s="131"/>
      <c r="CP6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5" s="66">
        <f>IFERROR(Table1[[#This Row],[Progres Keg. Umum
(%)]]*Table1[[#This Row],[Nilai RAB Jaringan
(file pa aji)]],0)</f>
        <v>0</v>
      </c>
      <c r="CR65" s="66">
        <f>IFERROR(Table1[[#This Row],[Progres MOS
(%)]]*Table1[[#This Row],[Nilai RAB Jaringan
(file pa aji)]],0)</f>
        <v>0</v>
      </c>
      <c r="CS65" s="66">
        <f>IFERROR(Table1[[#This Row],[Progres Pemasangan
(%)]]*Table1[[#This Row],[Nilai RAB Jaringan
(file pa aji)]],0)</f>
        <v>0</v>
      </c>
      <c r="CT65" s="66">
        <f>IFERROR(Table1[[#This Row],[Progres Perizinan
(%)]]*Table1[[#This Row],[Nilai RAB Jaringan
(file pa aji)]],0)</f>
        <v>0</v>
      </c>
      <c r="CU65" s="329">
        <v>1023812332</v>
      </c>
      <c r="CV65" s="329">
        <v>1023812332</v>
      </c>
      <c r="CW65" s="583">
        <v>1023812332</v>
      </c>
      <c r="CX65" s="329">
        <v>1023812332</v>
      </c>
      <c r="CY65" s="47"/>
      <c r="CZ65" s="330">
        <v>45439</v>
      </c>
      <c r="DA65" s="330">
        <v>45466</v>
      </c>
      <c r="DB65" s="331"/>
      <c r="DC65" s="316"/>
      <c r="DD65" s="67"/>
      <c r="DE6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5" s="331"/>
      <c r="DG65" s="316"/>
      <c r="DH65" s="67"/>
      <c r="DI6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5" s="330">
        <v>45467</v>
      </c>
      <c r="DK65" s="330">
        <v>45536</v>
      </c>
      <c r="DL65" s="331">
        <v>45480</v>
      </c>
      <c r="DM65" s="357" t="s">
        <v>569</v>
      </c>
      <c r="DN6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5" s="331">
        <v>45485</v>
      </c>
      <c r="DP65" s="316" t="s">
        <v>565</v>
      </c>
      <c r="DQ65" s="338" t="s">
        <v>560</v>
      </c>
      <c r="DR6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5" s="330">
        <v>45467</v>
      </c>
      <c r="DT65" s="330" t="e">
        <v>#N/A</v>
      </c>
      <c r="DU65" s="330">
        <v>45508</v>
      </c>
      <c r="DV65" s="330" t="e">
        <v>#N/A</v>
      </c>
      <c r="DW65" s="331"/>
      <c r="DX65" s="316"/>
      <c r="DY65" s="334"/>
      <c r="DZ65" s="334"/>
      <c r="EA6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5" s="331"/>
      <c r="EC65" s="332"/>
      <c r="ED65" s="332"/>
      <c r="EE65" s="330"/>
      <c r="EF65" s="35">
        <v>1</v>
      </c>
      <c r="EG65" s="337">
        <v>1</v>
      </c>
      <c r="EH65" s="316" t="str">
        <f>IF(Table1[[#This Row],[PO Material Aktual 
(%)]]&gt;=100%,"Selesai PO = 100%",IF(Table1[[#This Row],[PO Material Aktual 
(%)]]&gt;=50%,"Proses PO &gt; 100%",IF(Table1[[#This Row],[PO Material Aktual 
(%)]]&gt;0%,"Proses PO &gt; 50%",IF(Table1[[#This Row],[PO Material Aktual 
(%)]]=0,"Belum PO = 0%"))))</f>
        <v>Selesai PO = 100%</v>
      </c>
      <c r="EI6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5" s="330">
        <v>45509</v>
      </c>
      <c r="EK65" s="330" t="e">
        <v>#N/A</v>
      </c>
      <c r="EL65" s="330">
        <v>45620</v>
      </c>
      <c r="EM65" s="330" t="e">
        <v>#N/A</v>
      </c>
      <c r="EN65" s="331"/>
      <c r="EO65" s="332"/>
      <c r="EP65" s="332"/>
      <c r="EQ65" s="87">
        <v>1</v>
      </c>
      <c r="ER65" s="87">
        <v>1</v>
      </c>
      <c r="ES65" s="316" t="str">
        <f>IF(Table1[[#This Row],[Progres MOS]]&gt;=100%,"Selesai MOS = 100%",IF(Table1[[#This Row],[Progres MOS]]&gt;=50%,"Proses MOS &gt; 100%",IF(Table1[[#This Row],[Progres MOS]]&gt;0%,"Proses MOS &gt; 50%",IF(Table1[[#This Row],[Progres MOS]]=0,"Belum MOS = 0%"))))</f>
        <v>Selesai MOS = 100%</v>
      </c>
      <c r="ET6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5" s="47"/>
      <c r="EV65" s="330">
        <v>45467</v>
      </c>
      <c r="EW65" s="330" t="e">
        <v>#N/A</v>
      </c>
      <c r="EX65" s="330">
        <v>45564</v>
      </c>
      <c r="EY65" s="330" t="e">
        <v>#N/A</v>
      </c>
      <c r="EZ65" s="352" t="s">
        <v>298</v>
      </c>
      <c r="FA65" s="336" t="s">
        <v>259</v>
      </c>
      <c r="FB65" s="330" t="s">
        <v>260</v>
      </c>
      <c r="FC65" s="330">
        <v>45735</v>
      </c>
      <c r="FD65" s="330" t="s">
        <v>260</v>
      </c>
      <c r="FE65" s="330">
        <v>45874</v>
      </c>
      <c r="FF65" s="330">
        <v>45894</v>
      </c>
      <c r="FG65" s="330" t="s">
        <v>260</v>
      </c>
      <c r="FH65" s="330" t="s">
        <v>260</v>
      </c>
      <c r="FI65" s="330">
        <v>46020</v>
      </c>
      <c r="FJ65" s="330" t="s">
        <v>260</v>
      </c>
      <c r="FK65" s="330">
        <v>46087</v>
      </c>
      <c r="FL65" s="336" t="s">
        <v>298</v>
      </c>
      <c r="FM65" s="336">
        <v>45735</v>
      </c>
      <c r="FN65" s="314">
        <f>IF(Table1[[#This Row],[Tanggal Pengajuan Dokumen]]="","",Table1[[#This Row],[PLAN PERMIT
start]]-Table1[[#This Row],[Tanggal Pengajuan Dokumen]])</f>
        <v>-268</v>
      </c>
      <c r="FO65" s="336"/>
      <c r="FP65" s="316"/>
      <c r="FQ65" s="338"/>
      <c r="FR65" s="352"/>
      <c r="FS65" s="338" t="str">
        <f t="shared" si="5"/>
        <v>Sudah Terbit</v>
      </c>
      <c r="FT6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5" s="344">
        <f ca="1">IF(Table1[[#This Row],[Status Izin]]="Selesai",Table1[[#This Row],[PLAN PERMIT
finish]]-Table1[[#This Row],[Tanggal Terbit/ Target Izin Terbit]],ROUNDUP(Table1[[#This Row],[PLAN PERMIT
finish]]-NOW(),0))</f>
        <v>45564</v>
      </c>
      <c r="FV6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5" s="344"/>
      <c r="FX65" s="47"/>
      <c r="FY65" s="340"/>
      <c r="FZ65" s="341"/>
      <c r="GA6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5" s="330">
        <v>45538</v>
      </c>
      <c r="GC65" s="331">
        <v>45488</v>
      </c>
      <c r="GD6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5" s="330">
        <v>45545</v>
      </c>
      <c r="GF65" s="331">
        <v>45488</v>
      </c>
      <c r="GG6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5" s="330">
        <v>45551</v>
      </c>
      <c r="GI65" s="330">
        <v>45557</v>
      </c>
      <c r="GJ65" s="353">
        <v>45508</v>
      </c>
      <c r="GK6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5" s="330">
        <v>45565</v>
      </c>
      <c r="GM65" s="330" t="e">
        <v>#N/A</v>
      </c>
      <c r="GN65" s="330">
        <v>45690</v>
      </c>
      <c r="GO65" s="330" t="e">
        <v>#N/A</v>
      </c>
      <c r="GP65" s="316"/>
      <c r="GQ6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5" s="330" t="s">
        <v>261</v>
      </c>
      <c r="GS65" s="330" t="s">
        <v>261</v>
      </c>
      <c r="GT65" s="354">
        <v>45675</v>
      </c>
      <c r="GU65" s="344" t="str">
        <f>IF(Table1[[#This Row],[Hydro Tes Actual
(tanggal)]]&lt;&gt;"","Sudah","Belum")</f>
        <v>Sudah</v>
      </c>
      <c r="GV65" s="330" t="s">
        <v>261</v>
      </c>
      <c r="GW65" s="330" t="s">
        <v>261</v>
      </c>
      <c r="GX65" s="331">
        <v>45699</v>
      </c>
      <c r="GY65" s="344" t="str">
        <f>IF(Table1[[#This Row],[Interkoneksi Actual
(tanggal)]]&lt;&gt;"","Sudah","Belum")</f>
        <v>Sudah</v>
      </c>
      <c r="GZ65" s="330" t="s">
        <v>261</v>
      </c>
      <c r="HA65" s="330" t="s">
        <v>261</v>
      </c>
      <c r="HB65" s="331">
        <v>45713</v>
      </c>
      <c r="HC65" s="344" t="str">
        <f>IF(Table1[[#This Row],[Flushing Actual
(tanggal)]]&lt;&gt;"","Sudah","Belum")</f>
        <v>Sudah</v>
      </c>
      <c r="HD65" s="330">
        <v>45677</v>
      </c>
      <c r="HE65" s="330" t="e">
        <v>#N/A</v>
      </c>
      <c r="HF65" s="330">
        <v>45683</v>
      </c>
      <c r="HG65" s="346">
        <v>45728</v>
      </c>
      <c r="HH6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5" s="330" t="s">
        <v>261</v>
      </c>
      <c r="HJ65" s="330" t="s">
        <v>261</v>
      </c>
      <c r="HK65" s="331"/>
      <c r="HL65" s="316"/>
      <c r="HM65" s="330">
        <v>45702</v>
      </c>
      <c r="HN65" s="330">
        <v>45702</v>
      </c>
      <c r="HO65" s="330" t="e">
        <v>#N/A</v>
      </c>
      <c r="HP65" s="346">
        <v>45743</v>
      </c>
      <c r="HQ6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5" s="330">
        <v>45709</v>
      </c>
      <c r="HS65" s="330"/>
      <c r="HT65" s="330">
        <v>45709</v>
      </c>
      <c r="HU65" s="527"/>
      <c r="HV65" s="330">
        <f>IF(Table1[[#This Row],[MC-100 Aktual
(tanggal)]]&lt;&gt;"",Table1[[#This Row],[MC-100 Aktual
(tanggal)]]+5,"")</f>
        <v>45748</v>
      </c>
      <c r="HW6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5" s="47"/>
      <c r="HY65" s="352"/>
      <c r="HZ65" s="352"/>
      <c r="IB65" s="618">
        <f>IFERROR(ROUND((Table1[[#This Row],[PLAN TC
finish]]-Table1[[#This Row],[PLAN MC-0
start]])/30,2),"")</f>
        <v>4.4000000000000004</v>
      </c>
      <c r="IC65">
        <f>DATEDIF(Table1[[#This Row],[PLAN MC-0
start]],Table1[[#This Row],[PLAN TC
finish]],"m")</f>
        <v>4</v>
      </c>
    </row>
    <row r="66" spans="1:237" s="4" customFormat="1" ht="15" hidden="1" customHeight="1" x14ac:dyDescent="0.2">
      <c r="B66" s="311">
        <f>SUBTOTAL(3,$D$5:D66)</f>
        <v>36</v>
      </c>
      <c r="C66" s="348">
        <v>62</v>
      </c>
      <c r="D66" s="315" t="s">
        <v>244</v>
      </c>
      <c r="E66" s="315" t="s">
        <v>570</v>
      </c>
      <c r="F66" s="315" t="s">
        <v>571</v>
      </c>
      <c r="G66" s="349">
        <v>45752</v>
      </c>
      <c r="H66" s="314" t="s">
        <v>247</v>
      </c>
      <c r="I66" s="315" t="s">
        <v>278</v>
      </c>
      <c r="J66" s="315"/>
      <c r="K66" s="338" t="s">
        <v>249</v>
      </c>
      <c r="L66" s="316" t="s">
        <v>250</v>
      </c>
      <c r="M66" s="316" t="s">
        <v>269</v>
      </c>
      <c r="N66" s="107">
        <v>37</v>
      </c>
      <c r="O66" s="31" t="s">
        <v>252</v>
      </c>
      <c r="P6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6" s="87" t="e">
        <v>#N/A</v>
      </c>
      <c r="S66" s="87">
        <v>1</v>
      </c>
      <c r="T66" s="35">
        <f>Table1[[#This Row],[Progres Total Aktual
(%)]]</f>
        <v>1</v>
      </c>
      <c r="U66" s="124">
        <f>Table1[[#This Row],[Progres Aktual
(%)]]-Table1[[#This Row],[Target Progres
(%)]]</f>
        <v>0</v>
      </c>
      <c r="V66" s="350">
        <f>Table1[[#This Row],["Volume
BA MC-0"]]</f>
        <v>73</v>
      </c>
      <c r="W66" s="351">
        <f>Table1[[#This Row],[Total Panjang Pipa Aktual
(Sum-&gt;)3]]</f>
        <v>48</v>
      </c>
      <c r="X66" s="47"/>
      <c r="Y66" s="67" t="s">
        <v>572</v>
      </c>
      <c r="Z66" s="67">
        <v>93537062</v>
      </c>
      <c r="AA66" s="67">
        <f>ROUND((Table1[[#This Row],[Nilai RAB Jaringan
(Exclude Ppn)]]-Table1[[#This Row],[RAB Perizinan]])*1.11+Table1[[#This Row],[RAB Perizinan]],0)</f>
        <v>0</v>
      </c>
      <c r="AB66" s="320">
        <f>SUM(Table1[[#This Row],[RAB Kegiatan Umum]:[RAB Perizinan]])</f>
        <v>0</v>
      </c>
      <c r="AC66" s="320"/>
      <c r="AD66" s="320"/>
      <c r="AE66" s="320"/>
      <c r="AF66" s="320"/>
      <c r="AG66" s="320">
        <v>20496483</v>
      </c>
      <c r="AH66" s="35" t="e">
        <f>SUM(Table1[[#This Row],[Bobot Keg Umum]:[Bobot Perizinan]])</f>
        <v>#DIV/0!</v>
      </c>
      <c r="AI66" s="35" t="e">
        <f>Table1[[#This Row],[RAB Kegiatan Umum]]/Table1[[#This Row],[Nilai RAB Jaringan
(Exclude Ppn)]]</f>
        <v>#DIV/0!</v>
      </c>
      <c r="AJ66" s="35" t="e">
        <f>Table1[[#This Row],[RAB Pemasangan]]/Table1[[#This Row],[Nilai RAB Jaringan
(Exclude Ppn)]]</f>
        <v>#DIV/0!</v>
      </c>
      <c r="AK66" s="35" t="e">
        <f>Table1[[#This Row],[RAB Pengadaan]]/Table1[[#This Row],[Nilai RAB Jaringan
(Exclude Ppn)]]</f>
        <v>#DIV/0!</v>
      </c>
      <c r="AL66" s="35" t="e">
        <f>Table1[[#This Row],[RAB Perizinan]]/Table1[[#This Row],[Nilai RAB Jaringan
(Exclude Ppn)]]</f>
        <v>#DIV/0!</v>
      </c>
      <c r="AM66" s="47"/>
      <c r="AN66" s="285">
        <v>73</v>
      </c>
      <c r="AO66" s="285">
        <f>SUM(Table1[[#This Row],[Pipa 63 mm]:[Pipa 1,800 mm]])</f>
        <v>0</v>
      </c>
      <c r="AP66" s="285"/>
      <c r="AQ66" s="285"/>
      <c r="AR66" s="285"/>
      <c r="AS66" s="285"/>
      <c r="AT66" s="285"/>
      <c r="AU66" s="285"/>
      <c r="AV66" s="285"/>
      <c r="AW66" s="285"/>
      <c r="AX66" s="285"/>
      <c r="AY66" s="285"/>
      <c r="AZ66" s="285"/>
      <c r="BA66" s="285"/>
      <c r="BB66" s="285"/>
      <c r="BC66" s="285"/>
      <c r="BD66" s="285"/>
      <c r="BE66" s="285"/>
      <c r="BF66" s="285"/>
      <c r="BG66" s="285"/>
      <c r="BH66" s="285"/>
      <c r="BI66" s="285"/>
      <c r="BJ66" s="36">
        <f>SUM(Table1[[#This Row],[Pipa 63 mm2]:[Pipa 1,800 mm21]])</f>
        <v>48</v>
      </c>
      <c r="BK66" s="32">
        <v>48</v>
      </c>
      <c r="BL66" s="32"/>
      <c r="BM66" s="32"/>
      <c r="BN66" s="32"/>
      <c r="BO66" s="32"/>
      <c r="BP66" s="32"/>
      <c r="BQ66" s="32"/>
      <c r="BR66" s="32"/>
      <c r="BS66" s="32"/>
      <c r="BT66" s="32"/>
      <c r="BU66" s="32"/>
      <c r="BV66" s="32"/>
      <c r="BW66" s="32"/>
      <c r="BX66" s="32"/>
      <c r="BY66" s="32"/>
      <c r="BZ66" s="32"/>
      <c r="CA66" s="32"/>
      <c r="CB66" s="32"/>
      <c r="CC66" s="32"/>
      <c r="CD66" s="32"/>
      <c r="CE66" s="32">
        <v>0</v>
      </c>
      <c r="CF66" s="32"/>
      <c r="CG66" s="32"/>
      <c r="CH66" s="32"/>
      <c r="CI66" s="32">
        <f t="shared" si="3"/>
        <v>0</v>
      </c>
      <c r="CJ66" s="65">
        <f>IF((Table1[[#This Row],["Volume
BA MC-0"]]-Table1[[#This Row],[Total Panjang Pipa Aktual
(Sum-&gt;)3]]-Table1[[#This Row],[Total Volume
tidak dapat dipasang]])&gt;=0,Table1[[#This Row],["Volume
BA MC-0"]]-Table1[[#This Row],[Total Panjang Pipa Aktual
(Sum-&gt;)3]]-Table1[[#This Row],[Total Volume
tidak dapat dipasang]],0)</f>
        <v>25</v>
      </c>
      <c r="CK66" s="47"/>
      <c r="CL66" s="131"/>
      <c r="CM66" s="35"/>
      <c r="CN66" s="131"/>
      <c r="CO66" s="131"/>
      <c r="CP6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6" s="66">
        <f>IFERROR(Table1[[#This Row],[Progres Keg. Umum
(%)]]*Table1[[#This Row],[Nilai RAB Jaringan
(file pa aji)]],0)</f>
        <v>0</v>
      </c>
      <c r="CR66" s="66">
        <f>IFERROR(Table1[[#This Row],[Progres MOS
(%)]]*Table1[[#This Row],[Nilai RAB Jaringan
(file pa aji)]],0)</f>
        <v>0</v>
      </c>
      <c r="CS66" s="66">
        <f>IFERROR(Table1[[#This Row],[Progres Pemasangan
(%)]]*Table1[[#This Row],[Nilai RAB Jaringan
(file pa aji)]],0)</f>
        <v>0</v>
      </c>
      <c r="CT66" s="66">
        <f>IFERROR(Table1[[#This Row],[Progres Perizinan
(%)]]*Table1[[#This Row],[Nilai RAB Jaringan
(file pa aji)]],0)</f>
        <v>0</v>
      </c>
      <c r="CU66" s="329">
        <v>78408536</v>
      </c>
      <c r="CV66" s="329">
        <v>78408536</v>
      </c>
      <c r="CW66" s="583">
        <v>78408536</v>
      </c>
      <c r="CX66" s="329">
        <v>78408536</v>
      </c>
      <c r="CY66" s="47"/>
      <c r="CZ66" s="330">
        <v>45530</v>
      </c>
      <c r="DA66" s="330">
        <v>45543</v>
      </c>
      <c r="DB66" s="331"/>
      <c r="DC66" s="316"/>
      <c r="DD66" s="67"/>
      <c r="DE6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6" s="331"/>
      <c r="DG66" s="316"/>
      <c r="DH66" s="67"/>
      <c r="DI6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6" s="330">
        <v>45544</v>
      </c>
      <c r="DK66" s="330">
        <v>45592</v>
      </c>
      <c r="DL66" s="331">
        <v>45561</v>
      </c>
      <c r="DM66" s="357" t="s">
        <v>573</v>
      </c>
      <c r="DN6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6" s="331">
        <v>45586</v>
      </c>
      <c r="DP66" s="316" t="s">
        <v>574</v>
      </c>
      <c r="DQ66" s="338" t="s">
        <v>344</v>
      </c>
      <c r="DR6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6" s="330">
        <v>45544</v>
      </c>
      <c r="DT66" s="330" t="e">
        <v>#N/A</v>
      </c>
      <c r="DU66" s="330">
        <v>45571</v>
      </c>
      <c r="DV66" s="330" t="e">
        <v>#N/A</v>
      </c>
      <c r="DW66" s="331"/>
      <c r="DX66" s="316"/>
      <c r="DY66" s="334"/>
      <c r="DZ66" s="334"/>
      <c r="EA6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6" s="331"/>
      <c r="EC66" s="332"/>
      <c r="ED66" s="332"/>
      <c r="EE66" s="330"/>
      <c r="EF66" s="35">
        <v>1</v>
      </c>
      <c r="EG66" s="337">
        <v>1</v>
      </c>
      <c r="EH66" s="316" t="str">
        <f>IF(Table1[[#This Row],[PO Material Aktual 
(%)]]&gt;=100%,"Selesai PO = 100%",IF(Table1[[#This Row],[PO Material Aktual 
(%)]]&gt;=50%,"Proses PO &gt; 100%",IF(Table1[[#This Row],[PO Material Aktual 
(%)]]&gt;0%,"Proses PO &gt; 50%",IF(Table1[[#This Row],[PO Material Aktual 
(%)]]=0,"Belum PO = 0%"))))</f>
        <v>Selesai PO = 100%</v>
      </c>
      <c r="EI6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6" s="330">
        <v>45572</v>
      </c>
      <c r="EK66" s="330" t="e">
        <v>#N/A</v>
      </c>
      <c r="EL66" s="330">
        <v>45620</v>
      </c>
      <c r="EM66" s="330" t="e">
        <v>#N/A</v>
      </c>
      <c r="EN66" s="331"/>
      <c r="EO66" s="332"/>
      <c r="EP66" s="332"/>
      <c r="EQ66" s="87">
        <v>1</v>
      </c>
      <c r="ER66" s="87">
        <v>1</v>
      </c>
      <c r="ES66" s="316" t="str">
        <f>IF(Table1[[#This Row],[Progres MOS]]&gt;=100%,"Selesai MOS = 100%",IF(Table1[[#This Row],[Progres MOS]]&gt;=50%,"Proses MOS &gt; 100%",IF(Table1[[#This Row],[Progres MOS]]&gt;0%,"Proses MOS &gt; 50%",IF(Table1[[#This Row],[Progres MOS]]=0,"Belum MOS = 0%"))))</f>
        <v>Selesai MOS = 100%</v>
      </c>
      <c r="ET6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6" s="47"/>
      <c r="EV66" s="330">
        <v>45544</v>
      </c>
      <c r="EW66" s="330" t="e">
        <v>#N/A</v>
      </c>
      <c r="EX66" s="330">
        <v>45620</v>
      </c>
      <c r="EY66" s="330" t="e">
        <v>#N/A</v>
      </c>
      <c r="EZ66" s="352" t="s">
        <v>298</v>
      </c>
      <c r="FA66" s="336" t="s">
        <v>259</v>
      </c>
      <c r="FB66" s="330" t="s">
        <v>260</v>
      </c>
      <c r="FC66" s="330">
        <v>45797</v>
      </c>
      <c r="FD66" s="330" t="s">
        <v>260</v>
      </c>
      <c r="FE66" s="330">
        <v>45884</v>
      </c>
      <c r="FF66" s="330">
        <v>45919</v>
      </c>
      <c r="FG66" s="330" t="s">
        <v>260</v>
      </c>
      <c r="FH66" s="330" t="s">
        <v>260</v>
      </c>
      <c r="FI66" s="330">
        <v>46003</v>
      </c>
      <c r="FJ66" s="330" t="s">
        <v>260</v>
      </c>
      <c r="FK66" s="330">
        <v>46087</v>
      </c>
      <c r="FL66" s="336" t="s">
        <v>298</v>
      </c>
      <c r="FM66" s="336">
        <v>45797</v>
      </c>
      <c r="FN66" s="314">
        <f>IF(Table1[[#This Row],[Tanggal Pengajuan Dokumen]]="","",Table1[[#This Row],[PLAN PERMIT
start]]-Table1[[#This Row],[Tanggal Pengajuan Dokumen]])</f>
        <v>-253</v>
      </c>
      <c r="FO66" s="336"/>
      <c r="FP66" s="316"/>
      <c r="FQ66" s="338"/>
      <c r="FR66" s="352"/>
      <c r="FS66" s="338" t="str">
        <f t="shared" si="5"/>
        <v>Sudah Terbit</v>
      </c>
      <c r="FT6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6" s="344">
        <f ca="1">IF(Table1[[#This Row],[Status Izin]]="Selesai",Table1[[#This Row],[PLAN PERMIT
finish]]-Table1[[#This Row],[Tanggal Terbit/ Target Izin Terbit]],ROUNDUP(Table1[[#This Row],[PLAN PERMIT
finish]]-NOW(),0))</f>
        <v>45620</v>
      </c>
      <c r="FV6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6" s="344"/>
      <c r="FX66" s="47"/>
      <c r="FY66" s="340"/>
      <c r="FZ66" s="341"/>
      <c r="GA6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6" s="330">
        <v>45594</v>
      </c>
      <c r="GC66" s="331">
        <v>45656</v>
      </c>
      <c r="GD6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6" s="330">
        <v>45601</v>
      </c>
      <c r="GF66" s="331">
        <v>45656</v>
      </c>
      <c r="GG6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6" s="330">
        <v>45607</v>
      </c>
      <c r="GI66" s="330">
        <v>45613</v>
      </c>
      <c r="GJ66" s="353">
        <v>45600</v>
      </c>
      <c r="GK6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6" s="330">
        <v>45621</v>
      </c>
      <c r="GM66" s="330" t="e">
        <v>#N/A</v>
      </c>
      <c r="GN66" s="330">
        <v>45641</v>
      </c>
      <c r="GO66" s="330" t="e">
        <v>#N/A</v>
      </c>
      <c r="GP66" s="316"/>
      <c r="GQ6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6" s="330" t="s">
        <v>261</v>
      </c>
      <c r="GS66" s="330" t="s">
        <v>261</v>
      </c>
      <c r="GT66" s="354">
        <v>45632</v>
      </c>
      <c r="GU66" s="344" t="str">
        <f>IF(Table1[[#This Row],[Hydro Tes Actual
(tanggal)]]&lt;&gt;"","Sudah","Belum")</f>
        <v>Sudah</v>
      </c>
      <c r="GV66" s="330" t="s">
        <v>261</v>
      </c>
      <c r="GW66" s="330" t="s">
        <v>261</v>
      </c>
      <c r="GX66" s="331">
        <v>45634</v>
      </c>
      <c r="GY66" s="344" t="str">
        <f>IF(Table1[[#This Row],[Interkoneksi Actual
(tanggal)]]&lt;&gt;"","Sudah","Belum")</f>
        <v>Sudah</v>
      </c>
      <c r="GZ66" s="330" t="s">
        <v>261</v>
      </c>
      <c r="HA66" s="330" t="s">
        <v>261</v>
      </c>
      <c r="HB66" s="331">
        <v>45634</v>
      </c>
      <c r="HC66" s="344" t="str">
        <f>IF(Table1[[#This Row],[Flushing Actual
(tanggal)]]&lt;&gt;"","Sudah","Belum")</f>
        <v>Sudah</v>
      </c>
      <c r="HD66" s="330">
        <v>45628</v>
      </c>
      <c r="HE66" s="330" t="e">
        <v>#N/A</v>
      </c>
      <c r="HF66" s="330">
        <v>45634</v>
      </c>
      <c r="HG66" s="346">
        <v>45700</v>
      </c>
      <c r="HH6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6" s="330" t="s">
        <v>261</v>
      </c>
      <c r="HJ66" s="330" t="s">
        <v>261</v>
      </c>
      <c r="HK66" s="331"/>
      <c r="HL66" s="316"/>
      <c r="HM66" s="330">
        <v>45646</v>
      </c>
      <c r="HN66" s="330">
        <v>45646</v>
      </c>
      <c r="HO66" s="330" t="e">
        <v>#N/A</v>
      </c>
      <c r="HP66" s="346">
        <v>45750</v>
      </c>
      <c r="HQ6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6" s="330">
        <v>45653</v>
      </c>
      <c r="HS66" s="330"/>
      <c r="HT66" s="330">
        <v>45653</v>
      </c>
      <c r="HU66" s="527"/>
      <c r="HV66" s="330">
        <f>IF(Table1[[#This Row],[MC-100 Aktual
(tanggal)]]&lt;&gt;"",Table1[[#This Row],[MC-100 Aktual
(tanggal)]]+5,"")</f>
        <v>45755</v>
      </c>
      <c r="HW6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6" s="47"/>
      <c r="HY66" s="352"/>
      <c r="HZ66" s="352"/>
      <c r="IB66" s="618">
        <f>IFERROR(ROUND((Table1[[#This Row],[PLAN TC
finish]]-Table1[[#This Row],[PLAN MC-0
start]])/30,2),"")</f>
        <v>0.9</v>
      </c>
      <c r="IC66">
        <f>DATEDIF(Table1[[#This Row],[PLAN MC-0
start]],Table1[[#This Row],[PLAN TC
finish]],"m")</f>
        <v>0</v>
      </c>
    </row>
    <row r="67" spans="1:237" s="4" customFormat="1" ht="15" customHeight="1" x14ac:dyDescent="0.2">
      <c r="B67" s="311">
        <f>SUBTOTAL(3,$D$5:D67)</f>
        <v>37</v>
      </c>
      <c r="C67" s="348">
        <v>63</v>
      </c>
      <c r="D67" s="315" t="s">
        <v>244</v>
      </c>
      <c r="E67" s="315" t="s">
        <v>575</v>
      </c>
      <c r="F67" s="315" t="s">
        <v>576</v>
      </c>
      <c r="G67" s="349">
        <v>45752</v>
      </c>
      <c r="H67" s="314" t="s">
        <v>247</v>
      </c>
      <c r="I67" s="315" t="s">
        <v>278</v>
      </c>
      <c r="J67" s="315"/>
      <c r="K67" s="338" t="s">
        <v>249</v>
      </c>
      <c r="L67" s="316" t="s">
        <v>250</v>
      </c>
      <c r="M67" s="316" t="s">
        <v>269</v>
      </c>
      <c r="N67" s="107">
        <v>57</v>
      </c>
      <c r="O67" s="31" t="s">
        <v>252</v>
      </c>
      <c r="P67"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7" s="87" t="e">
        <v>#N/A</v>
      </c>
      <c r="S67" s="87">
        <v>1</v>
      </c>
      <c r="T67" s="35">
        <f>Table1[[#This Row],[Progres Total Aktual
(%)]]</f>
        <v>1</v>
      </c>
      <c r="U67" s="124">
        <f>Table1[[#This Row],[Progres Aktual
(%)]]-Table1[[#This Row],[Target Progres
(%)]]</f>
        <v>0</v>
      </c>
      <c r="V67" s="350">
        <f>Table1[[#This Row],["Volume
BA MC-0"]]</f>
        <v>57</v>
      </c>
      <c r="W67" s="351">
        <f>Table1[[#This Row],[Total Panjang Pipa Aktual
(Sum-&gt;)3]]</f>
        <v>61</v>
      </c>
      <c r="X67" s="47"/>
      <c r="Y67" s="67" t="s">
        <v>577</v>
      </c>
      <c r="Z67" s="67">
        <v>101439674</v>
      </c>
      <c r="AA67" s="67">
        <f>ROUND((Table1[[#This Row],[Nilai RAB Jaringan
(Exclude Ppn)]]-Table1[[#This Row],[RAB Perizinan]])*1.11+Table1[[#This Row],[RAB Perizinan]],0)</f>
        <v>0</v>
      </c>
      <c r="AB67" s="320">
        <f>SUM(Table1[[#This Row],[RAB Kegiatan Umum]:[RAB Perizinan]])</f>
        <v>0</v>
      </c>
      <c r="AC67" s="320"/>
      <c r="AD67" s="320"/>
      <c r="AE67" s="320"/>
      <c r="AF67" s="320"/>
      <c r="AG67" s="320">
        <v>10248242</v>
      </c>
      <c r="AH67" s="35" t="e">
        <f>SUM(Table1[[#This Row],[Bobot Keg Umum]:[Bobot Perizinan]])</f>
        <v>#DIV/0!</v>
      </c>
      <c r="AI67" s="35" t="e">
        <f>Table1[[#This Row],[RAB Kegiatan Umum]]/Table1[[#This Row],[Nilai RAB Jaringan
(Exclude Ppn)]]</f>
        <v>#DIV/0!</v>
      </c>
      <c r="AJ67" s="35" t="e">
        <f>Table1[[#This Row],[RAB Pemasangan]]/Table1[[#This Row],[Nilai RAB Jaringan
(Exclude Ppn)]]</f>
        <v>#DIV/0!</v>
      </c>
      <c r="AK67" s="35" t="e">
        <f>Table1[[#This Row],[RAB Pengadaan]]/Table1[[#This Row],[Nilai RAB Jaringan
(Exclude Ppn)]]</f>
        <v>#DIV/0!</v>
      </c>
      <c r="AL67" s="35" t="e">
        <f>Table1[[#This Row],[RAB Perizinan]]/Table1[[#This Row],[Nilai RAB Jaringan
(Exclude Ppn)]]</f>
        <v>#DIV/0!</v>
      </c>
      <c r="AM67" s="47"/>
      <c r="AN67" s="285">
        <v>57</v>
      </c>
      <c r="AO67" s="285">
        <f>SUM(Table1[[#This Row],[Pipa 63 mm]:[Pipa 1,800 mm]])</f>
        <v>0</v>
      </c>
      <c r="AP67" s="285"/>
      <c r="AQ67" s="285"/>
      <c r="AR67" s="285"/>
      <c r="AS67" s="285"/>
      <c r="AT67" s="285"/>
      <c r="AU67" s="285"/>
      <c r="AV67" s="285"/>
      <c r="AW67" s="285"/>
      <c r="AX67" s="285"/>
      <c r="AY67" s="285"/>
      <c r="AZ67" s="285"/>
      <c r="BA67" s="285"/>
      <c r="BB67" s="285"/>
      <c r="BC67" s="285"/>
      <c r="BD67" s="285"/>
      <c r="BE67" s="285"/>
      <c r="BF67" s="285"/>
      <c r="BG67" s="285"/>
      <c r="BH67" s="285"/>
      <c r="BI67" s="285"/>
      <c r="BJ67" s="36">
        <f>SUM(Table1[[#This Row],[Pipa 63 mm2]:[Pipa 1,800 mm21]])</f>
        <v>61</v>
      </c>
      <c r="BK67" s="32">
        <v>61</v>
      </c>
      <c r="BL67" s="32"/>
      <c r="BM67" s="32"/>
      <c r="BN67" s="32"/>
      <c r="BO67" s="32"/>
      <c r="BP67" s="32"/>
      <c r="BQ67" s="32"/>
      <c r="BR67" s="32"/>
      <c r="BS67" s="32"/>
      <c r="BT67" s="32"/>
      <c r="BU67" s="32"/>
      <c r="BV67" s="32"/>
      <c r="BW67" s="32"/>
      <c r="BX67" s="32"/>
      <c r="BY67" s="32"/>
      <c r="BZ67" s="32"/>
      <c r="CA67" s="32"/>
      <c r="CB67" s="32"/>
      <c r="CC67" s="32"/>
      <c r="CD67" s="32"/>
      <c r="CE67" s="32">
        <v>0</v>
      </c>
      <c r="CF67" s="32"/>
      <c r="CG67" s="32"/>
      <c r="CH67" s="32"/>
      <c r="CI67" s="32">
        <f t="shared" si="3"/>
        <v>0</v>
      </c>
      <c r="CJ67" s="65">
        <f>IF((Table1[[#This Row],["Volume
BA MC-0"]]-Table1[[#This Row],[Total Panjang Pipa Aktual
(Sum-&gt;)3]]-Table1[[#This Row],[Total Volume
tidak dapat dipasang]])&gt;=0,Table1[[#This Row],["Volume
BA MC-0"]]-Table1[[#This Row],[Total Panjang Pipa Aktual
(Sum-&gt;)3]]-Table1[[#This Row],[Total Volume
tidak dapat dipasang]],0)</f>
        <v>0</v>
      </c>
      <c r="CK67" s="47"/>
      <c r="CL67" s="131"/>
      <c r="CM67" s="35"/>
      <c r="CN67" s="131"/>
      <c r="CO67" s="131"/>
      <c r="CP6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7" s="66">
        <f>IFERROR(Table1[[#This Row],[Progres Keg. Umum
(%)]]*Table1[[#This Row],[Nilai RAB Jaringan
(file pa aji)]],0)</f>
        <v>0</v>
      </c>
      <c r="CR67" s="66">
        <f>IFERROR(Table1[[#This Row],[Progres MOS
(%)]]*Table1[[#This Row],[Nilai RAB Jaringan
(file pa aji)]],0)</f>
        <v>0</v>
      </c>
      <c r="CS67" s="66">
        <f>IFERROR(Table1[[#This Row],[Progres Pemasangan
(%)]]*Table1[[#This Row],[Nilai RAB Jaringan
(file pa aji)]],0)</f>
        <v>0</v>
      </c>
      <c r="CT67" s="66">
        <f>IFERROR(Table1[[#This Row],[Progres Perizinan
(%)]]*Table1[[#This Row],[Nilai RAB Jaringan
(file pa aji)]],0)</f>
        <v>0</v>
      </c>
      <c r="CU67" s="329">
        <v>81048293</v>
      </c>
      <c r="CV67" s="329">
        <v>81048293</v>
      </c>
      <c r="CW67" s="583">
        <v>81048293</v>
      </c>
      <c r="CX67" s="329">
        <v>81048293</v>
      </c>
      <c r="CY67" s="47"/>
      <c r="CZ67" s="330">
        <v>45530</v>
      </c>
      <c r="DA67" s="330">
        <v>45543</v>
      </c>
      <c r="DB67" s="331"/>
      <c r="DC67" s="316"/>
      <c r="DD67" s="67"/>
      <c r="DE6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7" s="331"/>
      <c r="DG67" s="316"/>
      <c r="DH67" s="67"/>
      <c r="DI6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7" s="330">
        <v>45544</v>
      </c>
      <c r="DK67" s="330">
        <v>45592</v>
      </c>
      <c r="DL67" s="331">
        <v>45561</v>
      </c>
      <c r="DM67" s="357" t="s">
        <v>578</v>
      </c>
      <c r="DN6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7" s="331">
        <v>45586</v>
      </c>
      <c r="DP67" s="316" t="s">
        <v>579</v>
      </c>
      <c r="DQ67" s="338" t="s">
        <v>344</v>
      </c>
      <c r="DR6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7" s="330">
        <v>45544</v>
      </c>
      <c r="DT67" s="330" t="e">
        <v>#N/A</v>
      </c>
      <c r="DU67" s="330">
        <v>45571</v>
      </c>
      <c r="DV67" s="330" t="e">
        <v>#N/A</v>
      </c>
      <c r="DW67" s="331"/>
      <c r="DX67" s="316"/>
      <c r="DY67" s="334"/>
      <c r="DZ67" s="334"/>
      <c r="EA6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7" s="331"/>
      <c r="EC67" s="332"/>
      <c r="ED67" s="332"/>
      <c r="EE67" s="330"/>
      <c r="EF67" s="35">
        <v>1</v>
      </c>
      <c r="EG67" s="337">
        <v>1</v>
      </c>
      <c r="EH67" s="316" t="str">
        <f>IF(Table1[[#This Row],[PO Material Aktual 
(%)]]&gt;=100%,"Selesai PO = 100%",IF(Table1[[#This Row],[PO Material Aktual 
(%)]]&gt;=50%,"Proses PO &gt; 100%",IF(Table1[[#This Row],[PO Material Aktual 
(%)]]&gt;0%,"Proses PO &gt; 50%",IF(Table1[[#This Row],[PO Material Aktual 
(%)]]=0,"Belum PO = 0%"))))</f>
        <v>Selesai PO = 100%</v>
      </c>
      <c r="EI6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7" s="330">
        <v>45572</v>
      </c>
      <c r="EK67" s="330" t="e">
        <v>#N/A</v>
      </c>
      <c r="EL67" s="330">
        <v>45620</v>
      </c>
      <c r="EM67" s="330" t="e">
        <v>#N/A</v>
      </c>
      <c r="EN67" s="331"/>
      <c r="EO67" s="332"/>
      <c r="EP67" s="332"/>
      <c r="EQ67" s="87">
        <v>1</v>
      </c>
      <c r="ER67" s="87">
        <v>1</v>
      </c>
      <c r="ES67" s="316" t="str">
        <f>IF(Table1[[#This Row],[Progres MOS]]&gt;=100%,"Selesai MOS = 100%",IF(Table1[[#This Row],[Progres MOS]]&gt;=50%,"Proses MOS &gt; 100%",IF(Table1[[#This Row],[Progres MOS]]&gt;0%,"Proses MOS &gt; 50%",IF(Table1[[#This Row],[Progres MOS]]=0,"Belum MOS = 0%"))))</f>
        <v>Selesai MOS = 100%</v>
      </c>
      <c r="ET6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7" s="47"/>
      <c r="EV67" s="330">
        <v>45544</v>
      </c>
      <c r="EW67" s="330" t="e">
        <v>#N/A</v>
      </c>
      <c r="EX67" s="330">
        <v>45620</v>
      </c>
      <c r="EY67" s="330" t="e">
        <v>#N/A</v>
      </c>
      <c r="EZ67" s="352" t="s">
        <v>298</v>
      </c>
      <c r="FA67" s="336" t="s">
        <v>259</v>
      </c>
      <c r="FB67" s="330" t="s">
        <v>260</v>
      </c>
      <c r="FC67" s="330">
        <v>45797</v>
      </c>
      <c r="FD67" s="330" t="s">
        <v>260</v>
      </c>
      <c r="FE67" s="330">
        <v>45884</v>
      </c>
      <c r="FF67" s="330">
        <v>45919</v>
      </c>
      <c r="FG67" s="330" t="s">
        <v>260</v>
      </c>
      <c r="FH67" s="330" t="s">
        <v>260</v>
      </c>
      <c r="FI67" s="330">
        <v>46003</v>
      </c>
      <c r="FJ67" s="330" t="s">
        <v>260</v>
      </c>
      <c r="FK67" s="330">
        <v>46087</v>
      </c>
      <c r="FL67" s="336" t="s">
        <v>298</v>
      </c>
      <c r="FM67" s="336">
        <v>45797</v>
      </c>
      <c r="FN67" s="314">
        <f>IF(Table1[[#This Row],[Tanggal Pengajuan Dokumen]]="","",Table1[[#This Row],[PLAN PERMIT
start]]-Table1[[#This Row],[Tanggal Pengajuan Dokumen]])</f>
        <v>-253</v>
      </c>
      <c r="FO67" s="336"/>
      <c r="FP67" s="316"/>
      <c r="FQ67" s="338"/>
      <c r="FR67" s="352"/>
      <c r="FS67" s="338" t="str">
        <f t="shared" si="5"/>
        <v>Sudah Terbit</v>
      </c>
      <c r="FT6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7" s="344">
        <f ca="1">IF(Table1[[#This Row],[Status Izin]]="Selesai",Table1[[#This Row],[PLAN PERMIT
finish]]-Table1[[#This Row],[Tanggal Terbit/ Target Izin Terbit]],ROUNDUP(Table1[[#This Row],[PLAN PERMIT
finish]]-NOW(),0))</f>
        <v>45620</v>
      </c>
      <c r="FV6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7" s="344"/>
      <c r="FX67" s="47"/>
      <c r="FY67" s="340"/>
      <c r="FZ67" s="341"/>
      <c r="GA6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7" s="330">
        <v>45594</v>
      </c>
      <c r="GC67" s="331">
        <v>45656</v>
      </c>
      <c r="GD6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7" s="330">
        <v>45601</v>
      </c>
      <c r="GF67" s="331">
        <v>45656</v>
      </c>
      <c r="GG6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7" s="330">
        <v>45607</v>
      </c>
      <c r="GI67" s="330">
        <v>45613</v>
      </c>
      <c r="GJ67" s="353">
        <v>45600</v>
      </c>
      <c r="GK6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7" s="330">
        <v>45621</v>
      </c>
      <c r="GM67" s="330" t="e">
        <v>#N/A</v>
      </c>
      <c r="GN67" s="330">
        <v>45641</v>
      </c>
      <c r="GO67" s="330" t="e">
        <v>#N/A</v>
      </c>
      <c r="GP67" s="316"/>
      <c r="GQ6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7" s="330" t="s">
        <v>261</v>
      </c>
      <c r="GS67" s="330" t="s">
        <v>261</v>
      </c>
      <c r="GT67" s="354">
        <v>45632</v>
      </c>
      <c r="GU67" s="344" t="str">
        <f>IF(Table1[[#This Row],[Hydro Tes Actual
(tanggal)]]&lt;&gt;"","Sudah","Belum")</f>
        <v>Sudah</v>
      </c>
      <c r="GV67" s="330" t="s">
        <v>261</v>
      </c>
      <c r="GW67" s="330" t="s">
        <v>261</v>
      </c>
      <c r="GX67" s="331">
        <v>45635</v>
      </c>
      <c r="GY67" s="344" t="str">
        <f>IF(Table1[[#This Row],[Interkoneksi Actual
(tanggal)]]&lt;&gt;"","Sudah","Belum")</f>
        <v>Sudah</v>
      </c>
      <c r="GZ67" s="330" t="s">
        <v>261</v>
      </c>
      <c r="HA67" s="330" t="s">
        <v>261</v>
      </c>
      <c r="HB67" s="331">
        <v>45635</v>
      </c>
      <c r="HC67" s="344" t="str">
        <f>IF(Table1[[#This Row],[Flushing Actual
(tanggal)]]&lt;&gt;"","Sudah","Belum")</f>
        <v>Sudah</v>
      </c>
      <c r="HD67" s="330">
        <v>45628</v>
      </c>
      <c r="HE67" s="330" t="e">
        <v>#N/A</v>
      </c>
      <c r="HF67" s="330">
        <v>45634</v>
      </c>
      <c r="HG67" s="346">
        <v>45691</v>
      </c>
      <c r="HH6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7" s="330" t="s">
        <v>261</v>
      </c>
      <c r="HJ67" s="330" t="s">
        <v>261</v>
      </c>
      <c r="HK67" s="331"/>
      <c r="HL67" s="316"/>
      <c r="HM67" s="330">
        <v>45646</v>
      </c>
      <c r="HN67" s="330">
        <v>45646</v>
      </c>
      <c r="HO67" s="330" t="e">
        <v>#N/A</v>
      </c>
      <c r="HP67" s="346">
        <v>45728</v>
      </c>
      <c r="HQ6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7" s="330">
        <v>45653</v>
      </c>
      <c r="HS67" s="330"/>
      <c r="HT67" s="330">
        <v>45653</v>
      </c>
      <c r="HU67" s="527"/>
      <c r="HV67" s="330">
        <f>IF(Table1[[#This Row],[MC-100 Aktual
(tanggal)]]&lt;&gt;"",Table1[[#This Row],[MC-100 Aktual
(tanggal)]]+5,"")</f>
        <v>45733</v>
      </c>
      <c r="HW6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7" s="47"/>
      <c r="HY67" s="352"/>
      <c r="HZ67" s="352"/>
      <c r="IB67" s="618">
        <f>IFERROR(ROUND((Table1[[#This Row],[PLAN TC
finish]]-Table1[[#This Row],[PLAN MC-0
start]])/30,2),"")</f>
        <v>0.9</v>
      </c>
      <c r="IC67">
        <f>DATEDIF(Table1[[#This Row],[PLAN MC-0
start]],Table1[[#This Row],[PLAN TC
finish]],"m")</f>
        <v>0</v>
      </c>
    </row>
    <row r="68" spans="1:237" s="252" customFormat="1" ht="15" hidden="1" customHeight="1" x14ac:dyDescent="0.2">
      <c r="B68" s="311">
        <f>SUBTOTAL(3,$D$5:D68)</f>
        <v>37</v>
      </c>
      <c r="C68" s="396">
        <v>64</v>
      </c>
      <c r="D68" s="397" t="s">
        <v>244</v>
      </c>
      <c r="E68" s="397" t="s">
        <v>580</v>
      </c>
      <c r="F68" s="397" t="s">
        <v>581</v>
      </c>
      <c r="G68" s="398">
        <v>45752</v>
      </c>
      <c r="H68" s="399" t="s">
        <v>247</v>
      </c>
      <c r="I68" s="397" t="s">
        <v>278</v>
      </c>
      <c r="J68" s="397"/>
      <c r="K68" s="400" t="s">
        <v>249</v>
      </c>
      <c r="L68" s="623" t="s">
        <v>250</v>
      </c>
      <c r="M68" s="623" t="s">
        <v>269</v>
      </c>
      <c r="N68" s="253">
        <v>80</v>
      </c>
      <c r="O68" s="254" t="s">
        <v>252</v>
      </c>
      <c r="P68" s="40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8" s="255" t="e">
        <v>#N/A</v>
      </c>
      <c r="S68" s="255">
        <v>1</v>
      </c>
      <c r="T68" s="256">
        <f>Table1[[#This Row],[Progres Total Aktual
(%)]]</f>
        <v>1</v>
      </c>
      <c r="U68" s="257">
        <f>Table1[[#This Row],[Progres Aktual
(%)]]-Table1[[#This Row],[Target Progres
(%)]]</f>
        <v>0</v>
      </c>
      <c r="V68" s="258">
        <f>Table1[[#This Row],["Volume
BA MC-0"]]</f>
        <v>83</v>
      </c>
      <c r="W68" s="259">
        <f>Table1[[#This Row],[Total Panjang Pipa Aktual
(Sum-&gt;)3]]</f>
        <v>316</v>
      </c>
      <c r="X68" s="267"/>
      <c r="Y68" s="260" t="s">
        <v>582</v>
      </c>
      <c r="Z68" s="260">
        <v>124542485</v>
      </c>
      <c r="AA68" s="260">
        <f>ROUND((Table1[[#This Row],[Nilai RAB Jaringan
(Exclude Ppn)]]-Table1[[#This Row],[RAB Perizinan]])*1.11+Table1[[#This Row],[RAB Perizinan]],0)</f>
        <v>0</v>
      </c>
      <c r="AB68" s="401">
        <f>SUM(Table1[[#This Row],[RAB Kegiatan Umum]:[RAB Perizinan]])</f>
        <v>0</v>
      </c>
      <c r="AC68" s="401"/>
      <c r="AD68" s="401"/>
      <c r="AE68" s="401"/>
      <c r="AF68" s="401"/>
      <c r="AG68" s="401">
        <v>20496483</v>
      </c>
      <c r="AH68" s="256" t="e">
        <f>SUM(Table1[[#This Row],[Bobot Keg Umum]:[Bobot Perizinan]])</f>
        <v>#DIV/0!</v>
      </c>
      <c r="AI68" s="256" t="e">
        <f>Table1[[#This Row],[RAB Kegiatan Umum]]/Table1[[#This Row],[Nilai RAB Jaringan
(Exclude Ppn)]]</f>
        <v>#DIV/0!</v>
      </c>
      <c r="AJ68" s="256" t="e">
        <f>Table1[[#This Row],[RAB Pemasangan]]/Table1[[#This Row],[Nilai RAB Jaringan
(Exclude Ppn)]]</f>
        <v>#DIV/0!</v>
      </c>
      <c r="AK68" s="256" t="e">
        <f>Table1[[#This Row],[RAB Pengadaan]]/Table1[[#This Row],[Nilai RAB Jaringan
(Exclude Ppn)]]</f>
        <v>#DIV/0!</v>
      </c>
      <c r="AL68" s="256" t="e">
        <f>Table1[[#This Row],[RAB Perizinan]]/Table1[[#This Row],[Nilai RAB Jaringan
(Exclude Ppn)]]</f>
        <v>#DIV/0!</v>
      </c>
      <c r="AM68" s="47"/>
      <c r="AN68" s="284">
        <v>83</v>
      </c>
      <c r="AO68" s="284">
        <f>SUM(Table1[[#This Row],[Pipa 63 mm]:[Pipa 1,800 mm]])</f>
        <v>0</v>
      </c>
      <c r="AP68" s="284"/>
      <c r="AQ68" s="284"/>
      <c r="AR68" s="284"/>
      <c r="AS68" s="284"/>
      <c r="AT68" s="284"/>
      <c r="AU68" s="284"/>
      <c r="AV68" s="284"/>
      <c r="AW68" s="284"/>
      <c r="AX68" s="284"/>
      <c r="AY68" s="284"/>
      <c r="AZ68" s="284"/>
      <c r="BA68" s="284"/>
      <c r="BB68" s="284"/>
      <c r="BC68" s="284"/>
      <c r="BD68" s="284"/>
      <c r="BE68" s="284"/>
      <c r="BF68" s="284"/>
      <c r="BG68" s="284"/>
      <c r="BH68" s="284"/>
      <c r="BI68" s="284"/>
      <c r="BJ68" s="262">
        <f>SUM(Table1[[#This Row],[Pipa 63 mm2]:[Pipa 1,800 mm21]])</f>
        <v>316</v>
      </c>
      <c r="BK68" s="263">
        <v>49</v>
      </c>
      <c r="BL68" s="263">
        <v>267</v>
      </c>
      <c r="BM68" s="263"/>
      <c r="BN68" s="263"/>
      <c r="BO68" s="263"/>
      <c r="BP68" s="263"/>
      <c r="BQ68" s="263"/>
      <c r="BR68" s="263"/>
      <c r="BS68" s="263"/>
      <c r="BT68" s="263"/>
      <c r="BU68" s="263"/>
      <c r="BV68" s="263"/>
      <c r="BW68" s="263"/>
      <c r="BX68" s="263"/>
      <c r="BY68" s="263"/>
      <c r="BZ68" s="263"/>
      <c r="CA68" s="263"/>
      <c r="CB68" s="263"/>
      <c r="CC68" s="263"/>
      <c r="CD68" s="263"/>
      <c r="CE68" s="261">
        <v>0</v>
      </c>
      <c r="CF68" s="261"/>
      <c r="CG68" s="261"/>
      <c r="CH68" s="261"/>
      <c r="CI68" s="261">
        <f t="shared" si="3"/>
        <v>0</v>
      </c>
      <c r="CJ68" s="264">
        <f>IF((Table1[[#This Row],["Volume
BA MC-0"]]-Table1[[#This Row],[Total Panjang Pipa Aktual
(Sum-&gt;)3]]-Table1[[#This Row],[Total Volume
tidak dapat dipasang]])&gt;=0,Table1[[#This Row],["Volume
BA MC-0"]]-Table1[[#This Row],[Total Panjang Pipa Aktual
(Sum-&gt;)3]]-Table1[[#This Row],[Total Volume
tidak dapat dipasang]],0)</f>
        <v>0</v>
      </c>
      <c r="CK68" s="47"/>
      <c r="CL68" s="265"/>
      <c r="CM68" s="256"/>
      <c r="CN68" s="265"/>
      <c r="CO68" s="265"/>
      <c r="CP68" s="402">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8" s="266">
        <f>IFERROR(Table1[[#This Row],[Progres Keg. Umum
(%)]]*Table1[[#This Row],[Nilai RAB Jaringan
(file pa aji)]],0)</f>
        <v>0</v>
      </c>
      <c r="CR68" s="266">
        <f>IFERROR(Table1[[#This Row],[Progres MOS
(%)]]*Table1[[#This Row],[Nilai RAB Jaringan
(file pa aji)]],0)</f>
        <v>0</v>
      </c>
      <c r="CS68" s="266">
        <f>IFERROR(Table1[[#This Row],[Progres Pemasangan
(%)]]*Table1[[#This Row],[Nilai RAB Jaringan
(file pa aji)]],0)</f>
        <v>0</v>
      </c>
      <c r="CT68" s="266">
        <f>IFERROR(Table1[[#This Row],[Progres Perizinan
(%)]]*Table1[[#This Row],[Nilai RAB Jaringan
(file pa aji)]],0)</f>
        <v>0</v>
      </c>
      <c r="CU68" s="329">
        <v>224446569</v>
      </c>
      <c r="CV68" s="329">
        <v>224446569</v>
      </c>
      <c r="CW68" s="581">
        <v>224446569</v>
      </c>
      <c r="CX68" s="329">
        <v>224446569</v>
      </c>
      <c r="CY68" s="47"/>
      <c r="CZ68" s="403">
        <v>45530</v>
      </c>
      <c r="DA68" s="403">
        <v>45543</v>
      </c>
      <c r="DB68" s="404"/>
      <c r="DC68" s="623"/>
      <c r="DD68" s="260"/>
      <c r="DE6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8" s="404"/>
      <c r="DG68" s="623"/>
      <c r="DH68" s="260"/>
      <c r="DI68" s="623"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8" s="403">
        <v>45544</v>
      </c>
      <c r="DK68" s="403">
        <v>45592</v>
      </c>
      <c r="DL68" s="404">
        <v>45640</v>
      </c>
      <c r="DM68" s="405" t="s">
        <v>583</v>
      </c>
      <c r="DN68" s="40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68" s="404">
        <v>45650</v>
      </c>
      <c r="DP68" s="623" t="s">
        <v>584</v>
      </c>
      <c r="DQ68" s="400" t="s">
        <v>433</v>
      </c>
      <c r="DR68" s="40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68" s="403">
        <v>45544</v>
      </c>
      <c r="DT68" s="403" t="e">
        <v>#N/A</v>
      </c>
      <c r="DU68" s="403">
        <v>45571</v>
      </c>
      <c r="DV68" s="403" t="e">
        <v>#N/A</v>
      </c>
      <c r="DW68" s="404"/>
      <c r="DX68" s="623"/>
      <c r="DY68" s="406"/>
      <c r="DZ68" s="406"/>
      <c r="EA68" s="40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8" s="404"/>
      <c r="EC68" s="143"/>
      <c r="ED68" s="143"/>
      <c r="EE68" s="403"/>
      <c r="EF68" s="256">
        <v>1</v>
      </c>
      <c r="EG68" s="408">
        <v>1</v>
      </c>
      <c r="EH68" s="623" t="str">
        <f>IF(Table1[[#This Row],[PO Material Aktual 
(%)]]&gt;=100%,"Selesai PO = 100%",IF(Table1[[#This Row],[PO Material Aktual 
(%)]]&gt;=50%,"Proses PO &gt; 100%",IF(Table1[[#This Row],[PO Material Aktual 
(%)]]&gt;0%,"Proses PO &gt; 50%",IF(Table1[[#This Row],[PO Material Aktual 
(%)]]=0,"Belum PO = 0%"))))</f>
        <v>Selesai PO = 100%</v>
      </c>
      <c r="EI68" s="143"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8" s="403">
        <v>45572</v>
      </c>
      <c r="EK68" s="403" t="e">
        <v>#N/A</v>
      </c>
      <c r="EL68" s="403">
        <v>45620</v>
      </c>
      <c r="EM68" s="403" t="e">
        <v>#N/A</v>
      </c>
      <c r="EN68" s="404"/>
      <c r="EO68" s="143"/>
      <c r="EP68" s="143"/>
      <c r="EQ68" s="255">
        <v>1</v>
      </c>
      <c r="ER68" s="255">
        <v>1</v>
      </c>
      <c r="ES68" s="623" t="str">
        <f>IF(Table1[[#This Row],[Progres MOS]]&gt;=100%,"Selesai MOS = 100%",IF(Table1[[#This Row],[Progres MOS]]&gt;=50%,"Proses MOS &gt; 100%",IF(Table1[[#This Row],[Progres MOS]]&gt;0%,"Proses MOS &gt; 50%",IF(Table1[[#This Row],[Progres MOS]]=0,"Belum MOS = 0%"))))</f>
        <v>Selesai MOS = 100%</v>
      </c>
      <c r="ET6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8" s="47"/>
      <c r="EV68" s="403">
        <v>45544</v>
      </c>
      <c r="EW68" s="403" t="e">
        <v>#N/A</v>
      </c>
      <c r="EX68" s="403">
        <v>45620</v>
      </c>
      <c r="EY68" s="403" t="e">
        <v>#N/A</v>
      </c>
      <c r="EZ68" s="409" t="s">
        <v>298</v>
      </c>
      <c r="FA68" s="407" t="s">
        <v>259</v>
      </c>
      <c r="FB68" s="403" t="s">
        <v>260</v>
      </c>
      <c r="FC68" s="330">
        <v>45797</v>
      </c>
      <c r="FD68" s="403" t="s">
        <v>260</v>
      </c>
      <c r="FE68" s="403">
        <v>45884</v>
      </c>
      <c r="FF68" s="403">
        <v>45919</v>
      </c>
      <c r="FG68" s="403" t="s">
        <v>260</v>
      </c>
      <c r="FH68" s="403" t="s">
        <v>260</v>
      </c>
      <c r="FI68" s="403">
        <v>46003</v>
      </c>
      <c r="FJ68" s="403" t="s">
        <v>260</v>
      </c>
      <c r="FK68" s="403">
        <v>46087</v>
      </c>
      <c r="FL68" s="407" t="s">
        <v>298</v>
      </c>
      <c r="FM68" s="407">
        <v>45797</v>
      </c>
      <c r="FN68" s="399">
        <f>IF(Table1[[#This Row],[Tanggal Pengajuan Dokumen]]="","",Table1[[#This Row],[PLAN PERMIT
start]]-Table1[[#This Row],[Tanggal Pengajuan Dokumen]])</f>
        <v>-253</v>
      </c>
      <c r="FO68" s="407"/>
      <c r="FP68" s="623"/>
      <c r="FQ68" s="400"/>
      <c r="FR68" s="409"/>
      <c r="FS68" s="400" t="str">
        <f t="shared" si="5"/>
        <v>Sudah Terbit</v>
      </c>
      <c r="FT68" s="623"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8" s="410">
        <f ca="1">IF(Table1[[#This Row],[Status Izin]]="Selesai",Table1[[#This Row],[PLAN PERMIT
finish]]-Table1[[#This Row],[Tanggal Terbit/ Target Izin Terbit]],ROUNDUP(Table1[[#This Row],[PLAN PERMIT
finish]]-NOW(),0))</f>
        <v>45620</v>
      </c>
      <c r="FV68" s="410"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8" s="410"/>
      <c r="FX68" s="47"/>
      <c r="FY68" s="340"/>
      <c r="FZ68" s="341"/>
      <c r="GA6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8" s="403">
        <v>45594</v>
      </c>
      <c r="GC68" s="404">
        <v>45656</v>
      </c>
      <c r="GD68" s="623"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8" s="403">
        <v>45601</v>
      </c>
      <c r="GF68" s="404">
        <v>45656</v>
      </c>
      <c r="GG68" s="623"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8" s="403">
        <v>45607</v>
      </c>
      <c r="GI68" s="403">
        <v>45613</v>
      </c>
      <c r="GJ68" s="411">
        <v>45650</v>
      </c>
      <c r="GK68" s="623"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68" s="403">
        <v>45621</v>
      </c>
      <c r="GM68" s="403" t="e">
        <v>#N/A</v>
      </c>
      <c r="GN68" s="403">
        <v>45641</v>
      </c>
      <c r="GO68" s="403" t="e">
        <v>#N/A</v>
      </c>
      <c r="GP68" s="623"/>
      <c r="GQ68" s="623"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8" s="403" t="s">
        <v>261</v>
      </c>
      <c r="GS68" s="403" t="s">
        <v>261</v>
      </c>
      <c r="GT68" s="412">
        <v>45650</v>
      </c>
      <c r="GU68" s="410" t="str">
        <f>IF(Table1[[#This Row],[Hydro Tes Actual
(tanggal)]]&lt;&gt;"","Sudah","Belum")</f>
        <v>Sudah</v>
      </c>
      <c r="GV68" s="403" t="s">
        <v>261</v>
      </c>
      <c r="GW68" s="403" t="s">
        <v>261</v>
      </c>
      <c r="GX68" s="404">
        <v>45655</v>
      </c>
      <c r="GY68" s="410" t="str">
        <f>IF(Table1[[#This Row],[Interkoneksi Actual
(tanggal)]]&lt;&gt;"","Sudah","Belum")</f>
        <v>Sudah</v>
      </c>
      <c r="GZ68" s="403" t="s">
        <v>261</v>
      </c>
      <c r="HA68" s="403" t="s">
        <v>261</v>
      </c>
      <c r="HB68" s="404">
        <v>45712</v>
      </c>
      <c r="HC68" s="410" t="str">
        <f>IF(Table1[[#This Row],[Flushing Actual
(tanggal)]]&lt;&gt;"","Sudah","Belum")</f>
        <v>Sudah</v>
      </c>
      <c r="HD68" s="403">
        <v>45628</v>
      </c>
      <c r="HE68" s="403" t="e">
        <v>#N/A</v>
      </c>
      <c r="HF68" s="403">
        <v>45634</v>
      </c>
      <c r="HG68" s="413">
        <v>45730</v>
      </c>
      <c r="HH68" s="623"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8" s="403" t="s">
        <v>261</v>
      </c>
      <c r="HJ68" s="403" t="s">
        <v>261</v>
      </c>
      <c r="HK68" s="404"/>
      <c r="HL68" s="623"/>
      <c r="HM68" s="403">
        <v>45646</v>
      </c>
      <c r="HN68" s="403">
        <v>45646</v>
      </c>
      <c r="HO68" s="403" t="e">
        <v>#N/A</v>
      </c>
      <c r="HP68" s="413">
        <v>45750</v>
      </c>
      <c r="HQ68" s="414"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8" s="403">
        <v>45653</v>
      </c>
      <c r="HS68" s="403"/>
      <c r="HT68" s="403">
        <v>45653</v>
      </c>
      <c r="HU68" s="612"/>
      <c r="HV68" s="403">
        <f>IF(Table1[[#This Row],[MC-100 Aktual
(tanggal)]]&lt;&gt;"",Table1[[#This Row],[MC-100 Aktual
(tanggal)]]+5,"")</f>
        <v>45755</v>
      </c>
      <c r="HW68" s="4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8" s="47"/>
      <c r="HY68" s="409"/>
      <c r="HZ68" s="409"/>
      <c r="IB68" s="618">
        <f>IFERROR(ROUND((Table1[[#This Row],[PLAN TC
finish]]-Table1[[#This Row],[PLAN MC-0
start]])/30,2),"")</f>
        <v>0.9</v>
      </c>
      <c r="IC68">
        <f>DATEDIF(Table1[[#This Row],[PLAN MC-0
start]],Table1[[#This Row],[PLAN TC
finish]],"m")</f>
        <v>0</v>
      </c>
    </row>
    <row r="69" spans="1:237" s="4" customFormat="1" ht="15" customHeight="1" x14ac:dyDescent="0.2">
      <c r="B69" s="311">
        <f>SUBTOTAL(3,$D$5:D69)</f>
        <v>38</v>
      </c>
      <c r="C69" s="348">
        <v>65</v>
      </c>
      <c r="D69" s="315" t="s">
        <v>244</v>
      </c>
      <c r="E69" s="315" t="s">
        <v>585</v>
      </c>
      <c r="F69" s="315" t="s">
        <v>586</v>
      </c>
      <c r="G69" s="349">
        <v>45752</v>
      </c>
      <c r="H69" s="314" t="s">
        <v>247</v>
      </c>
      <c r="I69" s="315" t="s">
        <v>278</v>
      </c>
      <c r="J69" s="315"/>
      <c r="K69" s="338" t="s">
        <v>249</v>
      </c>
      <c r="L69" s="316" t="s">
        <v>250</v>
      </c>
      <c r="M69" s="316" t="s">
        <v>269</v>
      </c>
      <c r="N69" s="107">
        <v>26</v>
      </c>
      <c r="O69" s="31" t="s">
        <v>252</v>
      </c>
      <c r="P6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9" s="87" t="e">
        <v>#N/A</v>
      </c>
      <c r="S69" s="87">
        <v>1</v>
      </c>
      <c r="T69" s="35">
        <f>Table1[[#This Row],[Progres Total Aktual
(%)]]</f>
        <v>1</v>
      </c>
      <c r="U69" s="124">
        <f>Table1[[#This Row],[Progres Aktual
(%)]]-Table1[[#This Row],[Target Progres
(%)]]</f>
        <v>0</v>
      </c>
      <c r="V69" s="350">
        <f>Table1[[#This Row],["Volume
BA MC-0"]]</f>
        <v>24</v>
      </c>
      <c r="W69" s="351">
        <f>Table1[[#This Row],[Total Panjang Pipa Aktual
(Sum-&gt;)3]]</f>
        <v>26</v>
      </c>
      <c r="X69" s="47"/>
      <c r="Y69" s="67" t="s">
        <v>587</v>
      </c>
      <c r="Z69" s="67">
        <v>94138305</v>
      </c>
      <c r="AA69" s="67">
        <f>ROUND((Table1[[#This Row],[Nilai RAB Jaringan
(Exclude Ppn)]]-Table1[[#This Row],[RAB Perizinan]])*1.11+Table1[[#This Row],[RAB Perizinan]],0)</f>
        <v>0</v>
      </c>
      <c r="AB69" s="320">
        <f>SUM(Table1[[#This Row],[RAB Kegiatan Umum]:[RAB Perizinan]])</f>
        <v>0</v>
      </c>
      <c r="AC69" s="320"/>
      <c r="AD69" s="320"/>
      <c r="AE69" s="320"/>
      <c r="AF69" s="320"/>
      <c r="AG69" s="320">
        <v>12297890</v>
      </c>
      <c r="AH69" s="35" t="e">
        <f>SUM(Table1[[#This Row],[Bobot Keg Umum]:[Bobot Perizinan]])</f>
        <v>#DIV/0!</v>
      </c>
      <c r="AI69" s="35" t="e">
        <f>Table1[[#This Row],[RAB Kegiatan Umum]]/Table1[[#This Row],[Nilai RAB Jaringan
(Exclude Ppn)]]</f>
        <v>#DIV/0!</v>
      </c>
      <c r="AJ69" s="35" t="e">
        <f>Table1[[#This Row],[RAB Pemasangan]]/Table1[[#This Row],[Nilai RAB Jaringan
(Exclude Ppn)]]</f>
        <v>#DIV/0!</v>
      </c>
      <c r="AK69" s="35" t="e">
        <f>Table1[[#This Row],[RAB Pengadaan]]/Table1[[#This Row],[Nilai RAB Jaringan
(Exclude Ppn)]]</f>
        <v>#DIV/0!</v>
      </c>
      <c r="AL69" s="35" t="e">
        <f>Table1[[#This Row],[RAB Perizinan]]/Table1[[#This Row],[Nilai RAB Jaringan
(Exclude Ppn)]]</f>
        <v>#DIV/0!</v>
      </c>
      <c r="AM69" s="47"/>
      <c r="AN69" s="285">
        <v>24</v>
      </c>
      <c r="AO69" s="285">
        <f>SUM(Table1[[#This Row],[Pipa 63 mm]:[Pipa 1,800 mm]])</f>
        <v>0</v>
      </c>
      <c r="AP69" s="285"/>
      <c r="AQ69" s="285"/>
      <c r="AR69" s="285"/>
      <c r="AS69" s="285"/>
      <c r="AT69" s="285"/>
      <c r="AU69" s="285"/>
      <c r="AV69" s="285"/>
      <c r="AW69" s="285"/>
      <c r="AX69" s="285"/>
      <c r="AY69" s="285"/>
      <c r="AZ69" s="285"/>
      <c r="BA69" s="285"/>
      <c r="BB69" s="285"/>
      <c r="BC69" s="285"/>
      <c r="BD69" s="285"/>
      <c r="BE69" s="285"/>
      <c r="BF69" s="285"/>
      <c r="BG69" s="285"/>
      <c r="BH69" s="285"/>
      <c r="BI69" s="285"/>
      <c r="BJ69" s="36">
        <f>SUM(Table1[[#This Row],[Pipa 63 mm2]:[Pipa 1,800 mm21]])</f>
        <v>26</v>
      </c>
      <c r="BK69" s="32">
        <v>26</v>
      </c>
      <c r="BL69" s="32"/>
      <c r="BM69" s="32"/>
      <c r="BN69" s="32"/>
      <c r="BO69" s="32"/>
      <c r="BP69" s="32"/>
      <c r="BQ69" s="32"/>
      <c r="BR69" s="32"/>
      <c r="BS69" s="32"/>
      <c r="BT69" s="32"/>
      <c r="BU69" s="32"/>
      <c r="BV69" s="32"/>
      <c r="BW69" s="32"/>
      <c r="BX69" s="32"/>
      <c r="BY69" s="32"/>
      <c r="BZ69" s="32"/>
      <c r="CA69" s="32"/>
      <c r="CB69" s="32"/>
      <c r="CC69" s="32"/>
      <c r="CD69" s="32"/>
      <c r="CE69" s="32">
        <v>0</v>
      </c>
      <c r="CF69" s="32"/>
      <c r="CG69" s="32"/>
      <c r="CH69" s="32"/>
      <c r="CI69" s="32">
        <f t="shared" ref="CI69:CI132" si="6">SUM(CE69:CH69)</f>
        <v>0</v>
      </c>
      <c r="CJ69" s="65">
        <f>IF((Table1[[#This Row],["Volume
BA MC-0"]]-Table1[[#This Row],[Total Panjang Pipa Aktual
(Sum-&gt;)3]]-Table1[[#This Row],[Total Volume
tidak dapat dipasang]])&gt;=0,Table1[[#This Row],["Volume
BA MC-0"]]-Table1[[#This Row],[Total Panjang Pipa Aktual
(Sum-&gt;)3]]-Table1[[#This Row],[Total Volume
tidak dapat dipasang]],0)</f>
        <v>0</v>
      </c>
      <c r="CK69" s="47"/>
      <c r="CL69" s="131"/>
      <c r="CM69" s="35"/>
      <c r="CN69" s="131"/>
      <c r="CO69" s="131"/>
      <c r="CP6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9" s="66">
        <f>IFERROR(Table1[[#This Row],[Progres Keg. Umum
(%)]]*Table1[[#This Row],[Nilai RAB Jaringan
(file pa aji)]],0)</f>
        <v>0</v>
      </c>
      <c r="CR69" s="66">
        <f>IFERROR(Table1[[#This Row],[Progres MOS
(%)]]*Table1[[#This Row],[Nilai RAB Jaringan
(file pa aji)]],0)</f>
        <v>0</v>
      </c>
      <c r="CS69" s="66">
        <f>IFERROR(Table1[[#This Row],[Progres Pemasangan
(%)]]*Table1[[#This Row],[Nilai RAB Jaringan
(file pa aji)]],0)</f>
        <v>0</v>
      </c>
      <c r="CT69" s="66">
        <f>IFERROR(Table1[[#This Row],[Progres Perizinan
(%)]]*Table1[[#This Row],[Nilai RAB Jaringan
(file pa aji)]],0)</f>
        <v>0</v>
      </c>
      <c r="CU69" s="329">
        <v>71816694</v>
      </c>
      <c r="CV69" s="329">
        <v>71816694</v>
      </c>
      <c r="CW69" s="583">
        <v>71816694</v>
      </c>
      <c r="CX69" s="329">
        <v>71816694</v>
      </c>
      <c r="CY69" s="47"/>
      <c r="CZ69" s="330">
        <v>45530</v>
      </c>
      <c r="DA69" s="330">
        <v>45543</v>
      </c>
      <c r="DB69" s="331"/>
      <c r="DC69" s="316"/>
      <c r="DD69" s="67"/>
      <c r="DE6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9" s="331"/>
      <c r="DG69" s="316"/>
      <c r="DH69" s="67"/>
      <c r="DI6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9" s="330">
        <v>45544</v>
      </c>
      <c r="DK69" s="330">
        <v>45592</v>
      </c>
      <c r="DL69" s="331">
        <v>45560</v>
      </c>
      <c r="DM69" s="357" t="s">
        <v>588</v>
      </c>
      <c r="DN6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9" s="331">
        <v>45586</v>
      </c>
      <c r="DP69" s="316" t="s">
        <v>589</v>
      </c>
      <c r="DQ69" s="338" t="s">
        <v>344</v>
      </c>
      <c r="DR6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9" s="330">
        <v>45544</v>
      </c>
      <c r="DT69" s="330" t="e">
        <v>#N/A</v>
      </c>
      <c r="DU69" s="330">
        <v>45571</v>
      </c>
      <c r="DV69" s="330" t="e">
        <v>#N/A</v>
      </c>
      <c r="DW69" s="331"/>
      <c r="DX69" s="316"/>
      <c r="DY69" s="334"/>
      <c r="DZ69" s="334"/>
      <c r="EA6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9" s="331"/>
      <c r="EC69" s="332"/>
      <c r="ED69" s="332"/>
      <c r="EE69" s="330"/>
      <c r="EF69" s="35">
        <v>1</v>
      </c>
      <c r="EG69" s="337">
        <v>1</v>
      </c>
      <c r="EH69" s="316" t="str">
        <f>IF(Table1[[#This Row],[PO Material Aktual 
(%)]]&gt;=100%,"Selesai PO = 100%",IF(Table1[[#This Row],[PO Material Aktual 
(%)]]&gt;=50%,"Proses PO &gt; 100%",IF(Table1[[#This Row],[PO Material Aktual 
(%)]]&gt;0%,"Proses PO &gt; 50%",IF(Table1[[#This Row],[PO Material Aktual 
(%)]]=0,"Belum PO = 0%"))))</f>
        <v>Selesai PO = 100%</v>
      </c>
      <c r="EI6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9" s="330">
        <v>45572</v>
      </c>
      <c r="EK69" s="330" t="e">
        <v>#N/A</v>
      </c>
      <c r="EL69" s="330">
        <v>45620</v>
      </c>
      <c r="EM69" s="330" t="e">
        <v>#N/A</v>
      </c>
      <c r="EN69" s="331"/>
      <c r="EO69" s="332"/>
      <c r="EP69" s="332"/>
      <c r="EQ69" s="87">
        <v>1</v>
      </c>
      <c r="ER69" s="87">
        <v>1</v>
      </c>
      <c r="ES69" s="316" t="str">
        <f>IF(Table1[[#This Row],[Progres MOS]]&gt;=100%,"Selesai MOS = 100%",IF(Table1[[#This Row],[Progres MOS]]&gt;=50%,"Proses MOS &gt; 100%",IF(Table1[[#This Row],[Progres MOS]]&gt;0%,"Proses MOS &gt; 50%",IF(Table1[[#This Row],[Progres MOS]]=0,"Belum MOS = 0%"))))</f>
        <v>Selesai MOS = 100%</v>
      </c>
      <c r="ET6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9" s="47"/>
      <c r="EV69" s="330">
        <v>45544</v>
      </c>
      <c r="EW69" s="330" t="e">
        <v>#N/A</v>
      </c>
      <c r="EX69" s="330">
        <v>45620</v>
      </c>
      <c r="EY69" s="330" t="e">
        <v>#N/A</v>
      </c>
      <c r="EZ69" s="352" t="s">
        <v>298</v>
      </c>
      <c r="FA69" s="336" t="s">
        <v>259</v>
      </c>
      <c r="FB69" s="330" t="s">
        <v>260</v>
      </c>
      <c r="FC69" s="330">
        <v>45796</v>
      </c>
      <c r="FD69" s="330" t="s">
        <v>260</v>
      </c>
      <c r="FE69" s="330">
        <v>45895</v>
      </c>
      <c r="FF69" s="330">
        <v>45944</v>
      </c>
      <c r="FG69" s="330" t="s">
        <v>260</v>
      </c>
      <c r="FH69" s="330" t="s">
        <v>260</v>
      </c>
      <c r="FI69" s="330">
        <v>46021</v>
      </c>
      <c r="FJ69" s="330" t="s">
        <v>260</v>
      </c>
      <c r="FK69" s="330">
        <v>46087</v>
      </c>
      <c r="FL69" s="336" t="s">
        <v>298</v>
      </c>
      <c r="FM69" s="336">
        <v>45796</v>
      </c>
      <c r="FN69" s="314">
        <f>IF(Table1[[#This Row],[Tanggal Pengajuan Dokumen]]="","",Table1[[#This Row],[PLAN PERMIT
start]]-Table1[[#This Row],[Tanggal Pengajuan Dokumen]])</f>
        <v>-252</v>
      </c>
      <c r="FO69" s="336"/>
      <c r="FP69" s="316"/>
      <c r="FQ69" s="338"/>
      <c r="FR69" s="352"/>
      <c r="FS69" s="338" t="str">
        <f t="shared" ref="FS69:FS100" si="7">IF(COUNTIF(EZ69:FR69,"*terbit*")&gt;=1,"Sudah Terbit","On Going")</f>
        <v>Sudah Terbit</v>
      </c>
      <c r="FT6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9" s="344">
        <f ca="1">IF(Table1[[#This Row],[Status Izin]]="Selesai",Table1[[#This Row],[PLAN PERMIT
finish]]-Table1[[#This Row],[Tanggal Terbit/ Target Izin Terbit]],ROUNDUP(Table1[[#This Row],[PLAN PERMIT
finish]]-NOW(),0))</f>
        <v>45620</v>
      </c>
      <c r="FV6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9" s="344"/>
      <c r="FX69" s="47"/>
      <c r="FY69" s="340"/>
      <c r="FZ69" s="341"/>
      <c r="GA6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9" s="330">
        <v>45594</v>
      </c>
      <c r="GC69" s="331">
        <v>45656</v>
      </c>
      <c r="GD6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9" s="330">
        <v>45601</v>
      </c>
      <c r="GF69" s="331">
        <v>45656</v>
      </c>
      <c r="GG6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9" s="330">
        <v>45607</v>
      </c>
      <c r="GI69" s="330">
        <v>45613</v>
      </c>
      <c r="GJ69" s="353">
        <v>45602</v>
      </c>
      <c r="GK6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9" s="330">
        <v>45621</v>
      </c>
      <c r="GM69" s="330" t="e">
        <v>#N/A</v>
      </c>
      <c r="GN69" s="330">
        <v>45641</v>
      </c>
      <c r="GO69" s="330" t="e">
        <v>#N/A</v>
      </c>
      <c r="GP69" s="316"/>
      <c r="GQ6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9" s="330" t="s">
        <v>261</v>
      </c>
      <c r="GS69" s="330" t="s">
        <v>261</v>
      </c>
      <c r="GT69" s="354">
        <v>45637</v>
      </c>
      <c r="GU69" s="344" t="str">
        <f>IF(Table1[[#This Row],[Hydro Tes Actual
(tanggal)]]&lt;&gt;"","Sudah","Belum")</f>
        <v>Sudah</v>
      </c>
      <c r="GV69" s="330" t="s">
        <v>261</v>
      </c>
      <c r="GW69" s="330" t="s">
        <v>261</v>
      </c>
      <c r="GX69" s="331">
        <v>45638</v>
      </c>
      <c r="GY69" s="344" t="str">
        <f>IF(Table1[[#This Row],[Interkoneksi Actual
(tanggal)]]&lt;&gt;"","Sudah","Belum")</f>
        <v>Sudah</v>
      </c>
      <c r="GZ69" s="330" t="s">
        <v>261</v>
      </c>
      <c r="HA69" s="330" t="s">
        <v>261</v>
      </c>
      <c r="HB69" s="331">
        <v>45638</v>
      </c>
      <c r="HC69" s="344" t="str">
        <f>IF(Table1[[#This Row],[Flushing Actual
(tanggal)]]&lt;&gt;"","Sudah","Belum")</f>
        <v>Sudah</v>
      </c>
      <c r="HD69" s="330">
        <v>45628</v>
      </c>
      <c r="HE69" s="330" t="e">
        <v>#N/A</v>
      </c>
      <c r="HF69" s="330">
        <v>45634</v>
      </c>
      <c r="HG69" s="346">
        <v>45691</v>
      </c>
      <c r="HH6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9" s="330" t="s">
        <v>261</v>
      </c>
      <c r="HJ69" s="330" t="s">
        <v>261</v>
      </c>
      <c r="HK69" s="331"/>
      <c r="HL69" s="316"/>
      <c r="HM69" s="330">
        <v>45646</v>
      </c>
      <c r="HN69" s="330">
        <v>45646</v>
      </c>
      <c r="HO69" s="330" t="e">
        <v>#N/A</v>
      </c>
      <c r="HP69" s="346">
        <v>45728</v>
      </c>
      <c r="HQ6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69" s="330">
        <v>45653</v>
      </c>
      <c r="HS69" s="330"/>
      <c r="HT69" s="330">
        <v>45653</v>
      </c>
      <c r="HU69" s="527"/>
      <c r="HV69" s="330">
        <f>IF(Table1[[#This Row],[MC-100 Aktual
(tanggal)]]&lt;&gt;"",Table1[[#This Row],[MC-100 Aktual
(tanggal)]]+5,"")</f>
        <v>45733</v>
      </c>
      <c r="HW6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69" s="47"/>
      <c r="HY69" s="352"/>
      <c r="HZ69" s="352"/>
      <c r="IB69" s="618">
        <f>IFERROR(ROUND((Table1[[#This Row],[PLAN TC
finish]]-Table1[[#This Row],[PLAN MC-0
start]])/30,2),"")</f>
        <v>0.9</v>
      </c>
      <c r="IC69">
        <f>DATEDIF(Table1[[#This Row],[PLAN MC-0
start]],Table1[[#This Row],[PLAN TC
finish]],"m")</f>
        <v>0</v>
      </c>
    </row>
    <row r="70" spans="1:237" s="4" customFormat="1" ht="15" hidden="1" customHeight="1" x14ac:dyDescent="0.2">
      <c r="B70" s="311">
        <f>SUBTOTAL(3,$D$5:D70)</f>
        <v>38</v>
      </c>
      <c r="C70" s="348">
        <v>66</v>
      </c>
      <c r="D70" s="315" t="s">
        <v>244</v>
      </c>
      <c r="E70" s="315" t="s">
        <v>590</v>
      </c>
      <c r="F70" s="315" t="s">
        <v>591</v>
      </c>
      <c r="G70" s="349">
        <v>45752</v>
      </c>
      <c r="H70" s="314" t="s">
        <v>247</v>
      </c>
      <c r="I70" s="315" t="s">
        <v>278</v>
      </c>
      <c r="J70" s="315"/>
      <c r="K70" s="338" t="s">
        <v>249</v>
      </c>
      <c r="L70" s="316" t="s">
        <v>250</v>
      </c>
      <c r="M70" s="316" t="s">
        <v>269</v>
      </c>
      <c r="N70" s="107">
        <v>65</v>
      </c>
      <c r="O70" s="31" t="s">
        <v>252</v>
      </c>
      <c r="P7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0" s="87" t="e">
        <v>#N/A</v>
      </c>
      <c r="S70" s="87">
        <v>1</v>
      </c>
      <c r="T70" s="35">
        <f>Table1[[#This Row],[Progres Total Aktual
(%)]]</f>
        <v>1</v>
      </c>
      <c r="U70" s="124">
        <f>Table1[[#This Row],[Progres Aktual
(%)]]-Table1[[#This Row],[Target Progres
(%)]]</f>
        <v>0</v>
      </c>
      <c r="V70" s="350">
        <f>Table1[[#This Row],["Volume
BA MC-0"]]</f>
        <v>66</v>
      </c>
      <c r="W70" s="351">
        <f>Table1[[#This Row],[Total Panjang Pipa Aktual
(Sum-&gt;)3]]</f>
        <v>68.8</v>
      </c>
      <c r="X70" s="47"/>
      <c r="Y70" s="67" t="s">
        <v>592</v>
      </c>
      <c r="Z70" s="67">
        <v>113537206</v>
      </c>
      <c r="AA70" s="67">
        <f>ROUND((Table1[[#This Row],[Nilai RAB Jaringan
(Exclude Ppn)]]-Table1[[#This Row],[RAB Perizinan]])*1.11+Table1[[#This Row],[RAB Perizinan]],0)</f>
        <v>0</v>
      </c>
      <c r="AB70" s="320">
        <f>SUM(Table1[[#This Row],[RAB Kegiatan Umum]:[RAB Perizinan]])</f>
        <v>0</v>
      </c>
      <c r="AC70" s="320"/>
      <c r="AD70" s="320"/>
      <c r="AE70" s="320"/>
      <c r="AF70" s="320"/>
      <c r="AG70" s="320">
        <v>20496483</v>
      </c>
      <c r="AH70" s="35" t="e">
        <f>SUM(Table1[[#This Row],[Bobot Keg Umum]:[Bobot Perizinan]])</f>
        <v>#DIV/0!</v>
      </c>
      <c r="AI70" s="35" t="e">
        <f>Table1[[#This Row],[RAB Kegiatan Umum]]/Table1[[#This Row],[Nilai RAB Jaringan
(Exclude Ppn)]]</f>
        <v>#DIV/0!</v>
      </c>
      <c r="AJ70" s="35" t="e">
        <f>Table1[[#This Row],[RAB Pemasangan]]/Table1[[#This Row],[Nilai RAB Jaringan
(Exclude Ppn)]]</f>
        <v>#DIV/0!</v>
      </c>
      <c r="AK70" s="35" t="e">
        <f>Table1[[#This Row],[RAB Pengadaan]]/Table1[[#This Row],[Nilai RAB Jaringan
(Exclude Ppn)]]</f>
        <v>#DIV/0!</v>
      </c>
      <c r="AL70" s="35" t="e">
        <f>Table1[[#This Row],[RAB Perizinan]]/Table1[[#This Row],[Nilai RAB Jaringan
(Exclude Ppn)]]</f>
        <v>#DIV/0!</v>
      </c>
      <c r="AM70" s="47"/>
      <c r="AN70" s="285">
        <v>66</v>
      </c>
      <c r="AO70" s="285">
        <f>SUM(Table1[[#This Row],[Pipa 63 mm]:[Pipa 1,800 mm]])</f>
        <v>0</v>
      </c>
      <c r="AP70" s="285"/>
      <c r="AQ70" s="285"/>
      <c r="AR70" s="285"/>
      <c r="AS70" s="285"/>
      <c r="AT70" s="285"/>
      <c r="AU70" s="285"/>
      <c r="AV70" s="285"/>
      <c r="AW70" s="285"/>
      <c r="AX70" s="285"/>
      <c r="AY70" s="285"/>
      <c r="AZ70" s="285"/>
      <c r="BA70" s="285"/>
      <c r="BB70" s="285"/>
      <c r="BC70" s="285"/>
      <c r="BD70" s="285"/>
      <c r="BE70" s="285"/>
      <c r="BF70" s="285"/>
      <c r="BG70" s="285"/>
      <c r="BH70" s="285"/>
      <c r="BI70" s="285"/>
      <c r="BJ70" s="36">
        <f>SUM(Table1[[#This Row],[Pipa 63 mm2]:[Pipa 1,800 mm21]])</f>
        <v>68.8</v>
      </c>
      <c r="BK70" s="356">
        <v>68.8</v>
      </c>
      <c r="BL70" s="356"/>
      <c r="BM70" s="356"/>
      <c r="BN70" s="356"/>
      <c r="BO70" s="356"/>
      <c r="BP70" s="356"/>
      <c r="BQ70" s="356"/>
      <c r="BR70" s="356"/>
      <c r="BS70" s="356"/>
      <c r="BT70" s="356"/>
      <c r="BU70" s="356"/>
      <c r="BV70" s="356"/>
      <c r="BW70" s="356"/>
      <c r="BX70" s="356"/>
      <c r="BY70" s="356"/>
      <c r="BZ70" s="356"/>
      <c r="CA70" s="356"/>
      <c r="CB70" s="356"/>
      <c r="CC70" s="356"/>
      <c r="CD70" s="356"/>
      <c r="CE70" s="32">
        <v>0</v>
      </c>
      <c r="CF70" s="32"/>
      <c r="CG70" s="32"/>
      <c r="CH70" s="32"/>
      <c r="CI70" s="32">
        <f t="shared" si="6"/>
        <v>0</v>
      </c>
      <c r="CJ70" s="65">
        <f>IF((Table1[[#This Row],["Volume
BA MC-0"]]-Table1[[#This Row],[Total Panjang Pipa Aktual
(Sum-&gt;)3]]-Table1[[#This Row],[Total Volume
tidak dapat dipasang]])&gt;=0,Table1[[#This Row],["Volume
BA MC-0"]]-Table1[[#This Row],[Total Panjang Pipa Aktual
(Sum-&gt;)3]]-Table1[[#This Row],[Total Volume
tidak dapat dipasang]],0)</f>
        <v>0</v>
      </c>
      <c r="CK70" s="47"/>
      <c r="CL70" s="131"/>
      <c r="CM70" s="35"/>
      <c r="CN70" s="131"/>
      <c r="CO70" s="131"/>
      <c r="CP7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0" s="66">
        <f>IFERROR(Table1[[#This Row],[Progres Keg. Umum
(%)]]*Table1[[#This Row],[Nilai RAB Jaringan
(file pa aji)]],0)</f>
        <v>0</v>
      </c>
      <c r="CR70" s="66">
        <f>IFERROR(Table1[[#This Row],[Progres MOS
(%)]]*Table1[[#This Row],[Nilai RAB Jaringan
(file pa aji)]],0)</f>
        <v>0</v>
      </c>
      <c r="CS70" s="66">
        <f>IFERROR(Table1[[#This Row],[Progres Pemasangan
(%)]]*Table1[[#This Row],[Nilai RAB Jaringan
(file pa aji)]],0)</f>
        <v>0</v>
      </c>
      <c r="CT70" s="66">
        <f>IFERROR(Table1[[#This Row],[Progres Perizinan
(%)]]*Table1[[#This Row],[Nilai RAB Jaringan
(file pa aji)]],0)</f>
        <v>0</v>
      </c>
      <c r="CU70" s="329">
        <v>100019434</v>
      </c>
      <c r="CV70" s="329">
        <v>100019434</v>
      </c>
      <c r="CW70" s="583">
        <v>100019434</v>
      </c>
      <c r="CX70" s="329">
        <v>100019434</v>
      </c>
      <c r="CY70" s="47"/>
      <c r="CZ70" s="330">
        <v>45530</v>
      </c>
      <c r="DA70" s="330">
        <v>45543</v>
      </c>
      <c r="DB70" s="331"/>
      <c r="DC70" s="316"/>
      <c r="DD70" s="67"/>
      <c r="DE7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0" s="331"/>
      <c r="DG70" s="316"/>
      <c r="DH70" s="67"/>
      <c r="DI7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0" s="330">
        <v>45544</v>
      </c>
      <c r="DK70" s="330">
        <v>45592</v>
      </c>
      <c r="DL70" s="331">
        <v>45640</v>
      </c>
      <c r="DM70" s="357" t="s">
        <v>593</v>
      </c>
      <c r="DN7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0" s="331">
        <v>45652</v>
      </c>
      <c r="DP70" s="316" t="s">
        <v>594</v>
      </c>
      <c r="DQ70" s="338" t="s">
        <v>433</v>
      </c>
      <c r="DR7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0" s="330">
        <v>45544</v>
      </c>
      <c r="DT70" s="330" t="e">
        <v>#N/A</v>
      </c>
      <c r="DU70" s="330">
        <v>45571</v>
      </c>
      <c r="DV70" s="330" t="e">
        <v>#N/A</v>
      </c>
      <c r="DW70" s="331"/>
      <c r="DX70" s="316"/>
      <c r="DY70" s="334"/>
      <c r="DZ70" s="334"/>
      <c r="EA7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0" s="331"/>
      <c r="EC70" s="332"/>
      <c r="ED70" s="332"/>
      <c r="EE70" s="330"/>
      <c r="EF70" s="35">
        <v>1</v>
      </c>
      <c r="EG70" s="337">
        <v>1</v>
      </c>
      <c r="EH70" s="316" t="str">
        <f>IF(Table1[[#This Row],[PO Material Aktual 
(%)]]&gt;=100%,"Selesai PO = 100%",IF(Table1[[#This Row],[PO Material Aktual 
(%)]]&gt;=50%,"Proses PO &gt; 100%",IF(Table1[[#This Row],[PO Material Aktual 
(%)]]&gt;0%,"Proses PO &gt; 50%",IF(Table1[[#This Row],[PO Material Aktual 
(%)]]=0,"Belum PO = 0%"))))</f>
        <v>Selesai PO = 100%</v>
      </c>
      <c r="EI7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0" s="330">
        <v>45572</v>
      </c>
      <c r="EK70" s="330" t="e">
        <v>#N/A</v>
      </c>
      <c r="EL70" s="330">
        <v>45620</v>
      </c>
      <c r="EM70" s="330" t="e">
        <v>#N/A</v>
      </c>
      <c r="EN70" s="331"/>
      <c r="EO70" s="332"/>
      <c r="EP70" s="332"/>
      <c r="EQ70" s="87">
        <v>1</v>
      </c>
      <c r="ER70" s="87">
        <v>1</v>
      </c>
      <c r="ES70" s="316" t="str">
        <f>IF(Table1[[#This Row],[Progres MOS]]&gt;=100%,"Selesai MOS = 100%",IF(Table1[[#This Row],[Progres MOS]]&gt;=50%,"Proses MOS &gt; 100%",IF(Table1[[#This Row],[Progres MOS]]&gt;0%,"Proses MOS &gt; 50%",IF(Table1[[#This Row],[Progres MOS]]=0,"Belum MOS = 0%"))))</f>
        <v>Selesai MOS = 100%</v>
      </c>
      <c r="ET7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0" s="47"/>
      <c r="EV70" s="330">
        <v>45544</v>
      </c>
      <c r="EW70" s="330" t="e">
        <v>#N/A</v>
      </c>
      <c r="EX70" s="330">
        <v>45620</v>
      </c>
      <c r="EY70" s="330" t="e">
        <v>#N/A</v>
      </c>
      <c r="EZ70" s="352" t="s">
        <v>298</v>
      </c>
      <c r="FA70" s="336" t="s">
        <v>259</v>
      </c>
      <c r="FB70" s="330" t="s">
        <v>260</v>
      </c>
      <c r="FC70" s="330">
        <v>45797</v>
      </c>
      <c r="FD70" s="330" t="s">
        <v>260</v>
      </c>
      <c r="FE70" s="330">
        <v>45884</v>
      </c>
      <c r="FF70" s="330">
        <v>45919</v>
      </c>
      <c r="FG70" s="330" t="s">
        <v>260</v>
      </c>
      <c r="FH70" s="330" t="s">
        <v>260</v>
      </c>
      <c r="FI70" s="330">
        <v>46003</v>
      </c>
      <c r="FJ70" s="330" t="s">
        <v>260</v>
      </c>
      <c r="FK70" s="330">
        <v>46087</v>
      </c>
      <c r="FL70" s="336" t="s">
        <v>298</v>
      </c>
      <c r="FM70" s="336">
        <v>45797</v>
      </c>
      <c r="FN70" s="314">
        <f>IF(Table1[[#This Row],[Tanggal Pengajuan Dokumen]]="","",Table1[[#This Row],[PLAN PERMIT
start]]-Table1[[#This Row],[Tanggal Pengajuan Dokumen]])</f>
        <v>-253</v>
      </c>
      <c r="FO70" s="336"/>
      <c r="FP70" s="316"/>
      <c r="FQ70" s="338"/>
      <c r="FR70" s="352"/>
      <c r="FS70" s="338" t="str">
        <f t="shared" si="7"/>
        <v>Sudah Terbit</v>
      </c>
      <c r="FT7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0" s="344">
        <f ca="1">IF(Table1[[#This Row],[Status Izin]]="Selesai",Table1[[#This Row],[PLAN PERMIT
finish]]-Table1[[#This Row],[Tanggal Terbit/ Target Izin Terbit]],ROUNDUP(Table1[[#This Row],[PLAN PERMIT
finish]]-NOW(),0))</f>
        <v>45620</v>
      </c>
      <c r="FV7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0" s="344"/>
      <c r="FX70" s="47"/>
      <c r="FY70" s="340"/>
      <c r="FZ70" s="341"/>
      <c r="GA7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0" s="330">
        <v>45594</v>
      </c>
      <c r="GC70" s="331">
        <v>45656</v>
      </c>
      <c r="GD7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70" s="330">
        <v>45601</v>
      </c>
      <c r="GF70" s="331">
        <v>45656</v>
      </c>
      <c r="GG7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70" s="330">
        <v>45607</v>
      </c>
      <c r="GI70" s="330">
        <v>45613</v>
      </c>
      <c r="GJ70" s="353">
        <v>45658</v>
      </c>
      <c r="GK7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70" s="330">
        <v>45621</v>
      </c>
      <c r="GM70" s="330" t="e">
        <v>#N/A</v>
      </c>
      <c r="GN70" s="330">
        <v>45641</v>
      </c>
      <c r="GO70" s="330" t="e">
        <v>#N/A</v>
      </c>
      <c r="GP70" s="316"/>
      <c r="GQ7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0" s="330" t="s">
        <v>261</v>
      </c>
      <c r="GS70" s="330" t="s">
        <v>261</v>
      </c>
      <c r="GT70" s="354">
        <v>45655</v>
      </c>
      <c r="GU70" s="344" t="str">
        <f>IF(Table1[[#This Row],[Hydro Tes Actual
(tanggal)]]&lt;&gt;"","Sudah","Belum")</f>
        <v>Sudah</v>
      </c>
      <c r="GV70" s="330" t="s">
        <v>261</v>
      </c>
      <c r="GW70" s="330" t="s">
        <v>261</v>
      </c>
      <c r="GX70" s="331">
        <v>45664</v>
      </c>
      <c r="GY70" s="344" t="str">
        <f>IF(Table1[[#This Row],[Interkoneksi Actual
(tanggal)]]&lt;&gt;"","Sudah","Belum")</f>
        <v>Sudah</v>
      </c>
      <c r="GZ70" s="330" t="s">
        <v>261</v>
      </c>
      <c r="HA70" s="330" t="s">
        <v>261</v>
      </c>
      <c r="HB70" s="331">
        <v>45712</v>
      </c>
      <c r="HC70" s="344" t="str">
        <f>IF(Table1[[#This Row],[Flushing Actual
(tanggal)]]&lt;&gt;"","Sudah","Belum")</f>
        <v>Sudah</v>
      </c>
      <c r="HD70" s="330">
        <v>45628</v>
      </c>
      <c r="HE70" s="330" t="e">
        <v>#N/A</v>
      </c>
      <c r="HF70" s="330">
        <v>45634</v>
      </c>
      <c r="HG70" s="346">
        <v>45733</v>
      </c>
      <c r="HH7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0" s="330" t="s">
        <v>261</v>
      </c>
      <c r="HJ70" s="330" t="s">
        <v>261</v>
      </c>
      <c r="HK70" s="331"/>
      <c r="HL70" s="316"/>
      <c r="HM70" s="330">
        <v>45646</v>
      </c>
      <c r="HN70" s="330">
        <v>45646</v>
      </c>
      <c r="HO70" s="330" t="e">
        <v>#N/A</v>
      </c>
      <c r="HP70" s="346">
        <v>45750</v>
      </c>
      <c r="HQ7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70" s="330">
        <v>45653</v>
      </c>
      <c r="HS70" s="330"/>
      <c r="HT70" s="330">
        <v>45653</v>
      </c>
      <c r="HU70" s="527"/>
      <c r="HV70" s="330">
        <f>IF(Table1[[#This Row],[MC-100 Aktual
(tanggal)]]&lt;&gt;"",Table1[[#This Row],[MC-100 Aktual
(tanggal)]]+5,"")</f>
        <v>45755</v>
      </c>
      <c r="HW7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70" s="47"/>
      <c r="HY70" s="352"/>
      <c r="HZ70" s="352"/>
      <c r="IB70" s="618">
        <f>IFERROR(ROUND((Table1[[#This Row],[PLAN TC
finish]]-Table1[[#This Row],[PLAN MC-0
start]])/30,2),"")</f>
        <v>0.9</v>
      </c>
      <c r="IC70">
        <f>DATEDIF(Table1[[#This Row],[PLAN MC-0
start]],Table1[[#This Row],[PLAN TC
finish]],"m")</f>
        <v>0</v>
      </c>
    </row>
    <row r="71" spans="1:237" s="4" customFormat="1" ht="15" customHeight="1" x14ac:dyDescent="0.2">
      <c r="B71" s="311">
        <f>SUBTOTAL(3,$D$5:D71)</f>
        <v>39</v>
      </c>
      <c r="C71" s="348">
        <v>67</v>
      </c>
      <c r="D71" s="315" t="s">
        <v>244</v>
      </c>
      <c r="E71" s="315" t="s">
        <v>595</v>
      </c>
      <c r="F71" s="315" t="s">
        <v>596</v>
      </c>
      <c r="G71" s="349">
        <v>45752</v>
      </c>
      <c r="H71" s="314" t="s">
        <v>247</v>
      </c>
      <c r="I71" s="315" t="s">
        <v>278</v>
      </c>
      <c r="J71" s="315"/>
      <c r="K71" s="338" t="s">
        <v>249</v>
      </c>
      <c r="L71" s="316" t="s">
        <v>250</v>
      </c>
      <c r="M71" s="316" t="s">
        <v>269</v>
      </c>
      <c r="N71" s="107">
        <v>156</v>
      </c>
      <c r="O71" s="31" t="s">
        <v>252</v>
      </c>
      <c r="P7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1" s="87" t="e">
        <v>#N/A</v>
      </c>
      <c r="S71" s="87">
        <v>1</v>
      </c>
      <c r="T71" s="35">
        <f>Table1[[#This Row],[Progres Total Aktual
(%)]]</f>
        <v>1</v>
      </c>
      <c r="U71" s="124">
        <f>Table1[[#This Row],[Progres Aktual
(%)]]-Table1[[#This Row],[Target Progres
(%)]]</f>
        <v>0</v>
      </c>
      <c r="V71" s="350">
        <f>Table1[[#This Row],["Volume
BA MC-0"]]</f>
        <v>147</v>
      </c>
      <c r="W71" s="351">
        <f>Table1[[#This Row],[Total Panjang Pipa Aktual
(Sum-&gt;)3]]</f>
        <v>145</v>
      </c>
      <c r="X71" s="47"/>
      <c r="Y71" s="67" t="s">
        <v>597</v>
      </c>
      <c r="Z71" s="67">
        <v>253233300</v>
      </c>
      <c r="AA71" s="67">
        <f>ROUND((Table1[[#This Row],[Nilai RAB Jaringan
(Exclude Ppn)]]-Table1[[#This Row],[RAB Perizinan]])*1.11+Table1[[#This Row],[RAB Perizinan]],0)</f>
        <v>0</v>
      </c>
      <c r="AB71" s="320">
        <f>SUM(Table1[[#This Row],[RAB Kegiatan Umum]:[RAB Perizinan]])</f>
        <v>0</v>
      </c>
      <c r="AC71" s="320"/>
      <c r="AD71" s="320"/>
      <c r="AE71" s="320"/>
      <c r="AF71" s="320"/>
      <c r="AG71" s="320">
        <v>2049649</v>
      </c>
      <c r="AH71" s="35" t="e">
        <f>SUM(Table1[[#This Row],[Bobot Keg Umum]:[Bobot Perizinan]])</f>
        <v>#DIV/0!</v>
      </c>
      <c r="AI71" s="35" t="e">
        <f>Table1[[#This Row],[RAB Kegiatan Umum]]/Table1[[#This Row],[Nilai RAB Jaringan
(Exclude Ppn)]]</f>
        <v>#DIV/0!</v>
      </c>
      <c r="AJ71" s="35" t="e">
        <f>Table1[[#This Row],[RAB Pemasangan]]/Table1[[#This Row],[Nilai RAB Jaringan
(Exclude Ppn)]]</f>
        <v>#DIV/0!</v>
      </c>
      <c r="AK71" s="35" t="e">
        <f>Table1[[#This Row],[RAB Pengadaan]]/Table1[[#This Row],[Nilai RAB Jaringan
(Exclude Ppn)]]</f>
        <v>#DIV/0!</v>
      </c>
      <c r="AL71" s="35" t="e">
        <f>Table1[[#This Row],[RAB Perizinan]]/Table1[[#This Row],[Nilai RAB Jaringan
(Exclude Ppn)]]</f>
        <v>#DIV/0!</v>
      </c>
      <c r="AM71" s="47"/>
      <c r="AN71" s="285">
        <v>147</v>
      </c>
      <c r="AO71" s="285">
        <f>SUM(Table1[[#This Row],[Pipa 63 mm]:[Pipa 1,800 mm]])</f>
        <v>0</v>
      </c>
      <c r="AP71" s="285"/>
      <c r="AQ71" s="285"/>
      <c r="AR71" s="285"/>
      <c r="AS71" s="285"/>
      <c r="AT71" s="285"/>
      <c r="AU71" s="285"/>
      <c r="AV71" s="285"/>
      <c r="AW71" s="285"/>
      <c r="AX71" s="285"/>
      <c r="AY71" s="285"/>
      <c r="AZ71" s="285"/>
      <c r="BA71" s="285"/>
      <c r="BB71" s="285"/>
      <c r="BC71" s="285"/>
      <c r="BD71" s="285"/>
      <c r="BE71" s="285"/>
      <c r="BF71" s="285"/>
      <c r="BG71" s="285"/>
      <c r="BH71" s="285"/>
      <c r="BI71" s="285"/>
      <c r="BJ71" s="36">
        <f>SUM(Table1[[#This Row],[Pipa 63 mm2]:[Pipa 1,800 mm21]])</f>
        <v>145</v>
      </c>
      <c r="BK71" s="32">
        <v>145</v>
      </c>
      <c r="BL71" s="32"/>
      <c r="BM71" s="32"/>
      <c r="BN71" s="32"/>
      <c r="BO71" s="32"/>
      <c r="BP71" s="32"/>
      <c r="BQ71" s="32"/>
      <c r="BR71" s="32"/>
      <c r="BS71" s="32"/>
      <c r="BT71" s="32"/>
      <c r="BU71" s="32"/>
      <c r="BV71" s="32"/>
      <c r="BW71" s="32"/>
      <c r="BX71" s="32"/>
      <c r="BY71" s="32"/>
      <c r="BZ71" s="32"/>
      <c r="CA71" s="32"/>
      <c r="CB71" s="32"/>
      <c r="CC71" s="32"/>
      <c r="CD71" s="32"/>
      <c r="CE71" s="32">
        <v>0</v>
      </c>
      <c r="CF71" s="32"/>
      <c r="CG71" s="32"/>
      <c r="CH71" s="32"/>
      <c r="CI71" s="32">
        <f t="shared" si="6"/>
        <v>0</v>
      </c>
      <c r="CJ71" s="65">
        <f>IF((Table1[[#This Row],["Volume
BA MC-0"]]-Table1[[#This Row],[Total Panjang Pipa Aktual
(Sum-&gt;)3]]-Table1[[#This Row],[Total Volume
tidak dapat dipasang]])&gt;=0,Table1[[#This Row],["Volume
BA MC-0"]]-Table1[[#This Row],[Total Panjang Pipa Aktual
(Sum-&gt;)3]]-Table1[[#This Row],[Total Volume
tidak dapat dipasang]],0)</f>
        <v>2</v>
      </c>
      <c r="CK71" s="47"/>
      <c r="CL71" s="131"/>
      <c r="CM71" s="35"/>
      <c r="CN71" s="131"/>
      <c r="CO71" s="131"/>
      <c r="CP7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1" s="66">
        <f>IFERROR(Table1[[#This Row],[Progres Keg. Umum
(%)]]*Table1[[#This Row],[Nilai RAB Jaringan
(file pa aji)]],0)</f>
        <v>0</v>
      </c>
      <c r="CR71" s="66">
        <f>IFERROR(Table1[[#This Row],[Progres MOS
(%)]]*Table1[[#This Row],[Nilai RAB Jaringan
(file pa aji)]],0)</f>
        <v>0</v>
      </c>
      <c r="CS71" s="66">
        <f>IFERROR(Table1[[#This Row],[Progres Pemasangan
(%)]]*Table1[[#This Row],[Nilai RAB Jaringan
(file pa aji)]],0)</f>
        <v>0</v>
      </c>
      <c r="CT71" s="66">
        <f>IFERROR(Table1[[#This Row],[Progres Perizinan
(%)]]*Table1[[#This Row],[Nilai RAB Jaringan
(file pa aji)]],0)</f>
        <v>0</v>
      </c>
      <c r="CU71" s="329">
        <v>188520089</v>
      </c>
      <c r="CV71" s="329">
        <v>188520089</v>
      </c>
      <c r="CW71" s="583">
        <v>188520089</v>
      </c>
      <c r="CX71" s="329">
        <v>188520089</v>
      </c>
      <c r="CY71" s="47"/>
      <c r="CZ71" s="330">
        <v>45530</v>
      </c>
      <c r="DA71" s="330">
        <v>45543</v>
      </c>
      <c r="DB71" s="331"/>
      <c r="DC71" s="316"/>
      <c r="DD71" s="67"/>
      <c r="DE7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1" s="331"/>
      <c r="DG71" s="316"/>
      <c r="DH71" s="67"/>
      <c r="DI7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1" s="330">
        <v>45544</v>
      </c>
      <c r="DK71" s="330">
        <v>45592</v>
      </c>
      <c r="DL71" s="331">
        <v>45555</v>
      </c>
      <c r="DM71" s="357" t="s">
        <v>598</v>
      </c>
      <c r="DN7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71" s="331">
        <v>45586</v>
      </c>
      <c r="DP71" s="316" t="s">
        <v>599</v>
      </c>
      <c r="DQ71" s="338" t="s">
        <v>344</v>
      </c>
      <c r="DR7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71" s="330">
        <v>45544</v>
      </c>
      <c r="DT71" s="330" t="e">
        <v>#N/A</v>
      </c>
      <c r="DU71" s="330">
        <v>45571</v>
      </c>
      <c r="DV71" s="330" t="e">
        <v>#N/A</v>
      </c>
      <c r="DW71" s="331"/>
      <c r="DX71" s="316"/>
      <c r="DY71" s="334"/>
      <c r="DZ71" s="334"/>
      <c r="EA7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1" s="331"/>
      <c r="EC71" s="332"/>
      <c r="ED71" s="332"/>
      <c r="EE71" s="330"/>
      <c r="EF71" s="35">
        <v>1</v>
      </c>
      <c r="EG71" s="337">
        <v>1</v>
      </c>
      <c r="EH71" s="316" t="str">
        <f>IF(Table1[[#This Row],[PO Material Aktual 
(%)]]&gt;=100%,"Selesai PO = 100%",IF(Table1[[#This Row],[PO Material Aktual 
(%)]]&gt;=50%,"Proses PO &gt; 100%",IF(Table1[[#This Row],[PO Material Aktual 
(%)]]&gt;0%,"Proses PO &gt; 50%",IF(Table1[[#This Row],[PO Material Aktual 
(%)]]=0,"Belum PO = 0%"))))</f>
        <v>Selesai PO = 100%</v>
      </c>
      <c r="EI7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1" s="330">
        <v>45572</v>
      </c>
      <c r="EK71" s="330" t="e">
        <v>#N/A</v>
      </c>
      <c r="EL71" s="330">
        <v>45620</v>
      </c>
      <c r="EM71" s="330" t="e">
        <v>#N/A</v>
      </c>
      <c r="EN71" s="331"/>
      <c r="EO71" s="332"/>
      <c r="EP71" s="332"/>
      <c r="EQ71" s="87">
        <v>1</v>
      </c>
      <c r="ER71" s="87">
        <v>1</v>
      </c>
      <c r="ES71" s="316" t="str">
        <f>IF(Table1[[#This Row],[Progres MOS]]&gt;=100%,"Selesai MOS = 100%",IF(Table1[[#This Row],[Progres MOS]]&gt;=50%,"Proses MOS &gt; 100%",IF(Table1[[#This Row],[Progres MOS]]&gt;0%,"Proses MOS &gt; 50%",IF(Table1[[#This Row],[Progres MOS]]=0,"Belum MOS = 0%"))))</f>
        <v>Selesai MOS = 100%</v>
      </c>
      <c r="ET7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1" s="47"/>
      <c r="EV71" s="330">
        <v>45544</v>
      </c>
      <c r="EW71" s="330" t="e">
        <v>#N/A</v>
      </c>
      <c r="EX71" s="330">
        <v>45620</v>
      </c>
      <c r="EY71" s="330" t="e">
        <v>#N/A</v>
      </c>
      <c r="EZ71" s="352" t="s">
        <v>298</v>
      </c>
      <c r="FA71" s="336" t="s">
        <v>259</v>
      </c>
      <c r="FB71" s="330" t="s">
        <v>260</v>
      </c>
      <c r="FC71" s="330">
        <v>45813</v>
      </c>
      <c r="FD71" s="330" t="s">
        <v>260</v>
      </c>
      <c r="FE71" s="330">
        <v>45884</v>
      </c>
      <c r="FF71" s="330">
        <v>45958</v>
      </c>
      <c r="FG71" s="330" t="s">
        <v>260</v>
      </c>
      <c r="FH71" s="330" t="s">
        <v>260</v>
      </c>
      <c r="FI71" s="330">
        <v>46003</v>
      </c>
      <c r="FJ71" s="330" t="s">
        <v>260</v>
      </c>
      <c r="FK71" s="330">
        <v>46087</v>
      </c>
      <c r="FL71" s="336" t="s">
        <v>298</v>
      </c>
      <c r="FM71" s="336">
        <v>45813</v>
      </c>
      <c r="FN71" s="314">
        <f>IF(Table1[[#This Row],[Tanggal Pengajuan Dokumen]]="","",Table1[[#This Row],[PLAN PERMIT
start]]-Table1[[#This Row],[Tanggal Pengajuan Dokumen]])</f>
        <v>-269</v>
      </c>
      <c r="FO71" s="336"/>
      <c r="FP71" s="316"/>
      <c r="FQ71" s="338"/>
      <c r="FR71" s="352"/>
      <c r="FS71" s="338" t="str">
        <f t="shared" si="7"/>
        <v>Sudah Terbit</v>
      </c>
      <c r="FT7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1" s="344">
        <f ca="1">IF(Table1[[#This Row],[Status Izin]]="Selesai",Table1[[#This Row],[PLAN PERMIT
finish]]-Table1[[#This Row],[Tanggal Terbit/ Target Izin Terbit]],ROUNDUP(Table1[[#This Row],[PLAN PERMIT
finish]]-NOW(),0))</f>
        <v>45620</v>
      </c>
      <c r="FV7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1" s="344"/>
      <c r="FX71" s="47"/>
      <c r="FY71" s="340"/>
      <c r="FZ71" s="341"/>
      <c r="GA7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1" s="330">
        <v>45594</v>
      </c>
      <c r="GC71" s="331">
        <v>45569</v>
      </c>
      <c r="GD7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71" s="330">
        <v>45601</v>
      </c>
      <c r="GF71" s="331">
        <v>45569</v>
      </c>
      <c r="GG7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71" s="330">
        <v>45607</v>
      </c>
      <c r="GI71" s="330">
        <v>45613</v>
      </c>
      <c r="GJ71" s="353">
        <v>45572</v>
      </c>
      <c r="GK7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71" s="330">
        <v>45621</v>
      </c>
      <c r="GM71" s="330" t="e">
        <v>#N/A</v>
      </c>
      <c r="GN71" s="330">
        <v>45641</v>
      </c>
      <c r="GO71" s="330" t="e">
        <v>#N/A</v>
      </c>
      <c r="GP71" s="316"/>
      <c r="GQ7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1" s="330" t="s">
        <v>261</v>
      </c>
      <c r="GS71" s="330" t="s">
        <v>261</v>
      </c>
      <c r="GT71" s="354">
        <v>45628</v>
      </c>
      <c r="GU71" s="344" t="str">
        <f>IF(Table1[[#This Row],[Hydro Tes Actual
(tanggal)]]&lt;&gt;"","Sudah","Belum")</f>
        <v>Sudah</v>
      </c>
      <c r="GV71" s="330" t="s">
        <v>261</v>
      </c>
      <c r="GW71" s="330" t="s">
        <v>261</v>
      </c>
      <c r="GX71" s="331">
        <v>45628</v>
      </c>
      <c r="GY71" s="344" t="str">
        <f>IF(Table1[[#This Row],[Interkoneksi Actual
(tanggal)]]&lt;&gt;"","Sudah","Belum")</f>
        <v>Sudah</v>
      </c>
      <c r="GZ71" s="330" t="s">
        <v>261</v>
      </c>
      <c r="HA71" s="330" t="s">
        <v>261</v>
      </c>
      <c r="HB71" s="331">
        <v>45538</v>
      </c>
      <c r="HC71" s="344" t="str">
        <f>IF(Table1[[#This Row],[Flushing Actual
(tanggal)]]&lt;&gt;"","Sudah","Belum")</f>
        <v>Sudah</v>
      </c>
      <c r="HD71" s="330">
        <v>45628</v>
      </c>
      <c r="HE71" s="330" t="e">
        <v>#N/A</v>
      </c>
      <c r="HF71" s="330">
        <v>45634</v>
      </c>
      <c r="HG71" s="346">
        <v>45688</v>
      </c>
      <c r="HH7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1" s="330" t="s">
        <v>261</v>
      </c>
      <c r="HJ71" s="330" t="s">
        <v>261</v>
      </c>
      <c r="HK71" s="331"/>
      <c r="HL71" s="316"/>
      <c r="HM71" s="330">
        <v>45646</v>
      </c>
      <c r="HN71" s="330">
        <v>45646</v>
      </c>
      <c r="HO71" s="330" t="e">
        <v>#N/A</v>
      </c>
      <c r="HP71" s="346">
        <v>45728</v>
      </c>
      <c r="HQ7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71" s="330">
        <v>45653</v>
      </c>
      <c r="HS71" s="330"/>
      <c r="HT71" s="330">
        <v>45653</v>
      </c>
      <c r="HU71" s="527"/>
      <c r="HV71" s="330">
        <f>IF(Table1[[#This Row],[MC-100 Aktual
(tanggal)]]&lt;&gt;"",Table1[[#This Row],[MC-100 Aktual
(tanggal)]]+5,"")</f>
        <v>45733</v>
      </c>
      <c r="HW7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71" s="47"/>
      <c r="HY71" s="352"/>
      <c r="HZ71" s="352"/>
      <c r="IB71" s="618">
        <f>IFERROR(ROUND((Table1[[#This Row],[PLAN TC
finish]]-Table1[[#This Row],[PLAN MC-0
start]])/30,2),"")</f>
        <v>0.9</v>
      </c>
      <c r="IC71">
        <f>DATEDIF(Table1[[#This Row],[PLAN MC-0
start]],Table1[[#This Row],[PLAN TC
finish]],"m")</f>
        <v>0</v>
      </c>
    </row>
    <row r="72" spans="1:237" s="4" customFormat="1" ht="15" customHeight="1" x14ac:dyDescent="0.2">
      <c r="B72" s="311">
        <f>SUBTOTAL(3,$D$5:D72)</f>
        <v>40</v>
      </c>
      <c r="C72" s="348">
        <v>68</v>
      </c>
      <c r="D72" s="315" t="s">
        <v>244</v>
      </c>
      <c r="E72" s="315" t="s">
        <v>600</v>
      </c>
      <c r="F72" s="315" t="s">
        <v>601</v>
      </c>
      <c r="G72" s="349">
        <v>45752</v>
      </c>
      <c r="H72" s="314" t="s">
        <v>247</v>
      </c>
      <c r="I72" s="315" t="s">
        <v>278</v>
      </c>
      <c r="J72" s="315"/>
      <c r="K72" s="338" t="s">
        <v>249</v>
      </c>
      <c r="L72" s="316" t="s">
        <v>250</v>
      </c>
      <c r="M72" s="316" t="s">
        <v>269</v>
      </c>
      <c r="N72" s="107">
        <v>1504</v>
      </c>
      <c r="O72" s="31" t="s">
        <v>252</v>
      </c>
      <c r="P7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2" s="87" t="e">
        <v>#N/A</v>
      </c>
      <c r="S72" s="87">
        <v>1</v>
      </c>
      <c r="T72" s="35">
        <f>Table1[[#This Row],[Progres Total Aktual
(%)]]</f>
        <v>1</v>
      </c>
      <c r="U72" s="124">
        <f>Table1[[#This Row],[Progres Aktual
(%)]]-Table1[[#This Row],[Target Progres
(%)]]</f>
        <v>0</v>
      </c>
      <c r="V72" s="350">
        <f>Table1[[#This Row],["Volume
BA MC-0"]]</f>
        <v>1373</v>
      </c>
      <c r="W72" s="351">
        <f>Table1[[#This Row],[Total Panjang Pipa Aktual
(Sum-&gt;)3]]</f>
        <v>1369</v>
      </c>
      <c r="X72" s="47"/>
      <c r="Y72" s="67" t="s">
        <v>602</v>
      </c>
      <c r="Z72" s="67">
        <v>2776157433</v>
      </c>
      <c r="AA72" s="67">
        <f>ROUND((Table1[[#This Row],[Nilai RAB Jaringan
(Exclude Ppn)]]-Table1[[#This Row],[RAB Perizinan]])*1.11+Table1[[#This Row],[RAB Perizinan]],0)</f>
        <v>0</v>
      </c>
      <c r="AB72" s="320">
        <f>SUM(Table1[[#This Row],[RAB Kegiatan Umum]:[RAB Perizinan]])</f>
        <v>0</v>
      </c>
      <c r="AC72" s="320"/>
      <c r="AD72" s="320"/>
      <c r="AE72" s="320"/>
      <c r="AF72" s="320"/>
      <c r="AG72" s="320">
        <v>1393760844</v>
      </c>
      <c r="AH72" s="35" t="e">
        <f>SUM(Table1[[#This Row],[Bobot Keg Umum]:[Bobot Perizinan]])</f>
        <v>#DIV/0!</v>
      </c>
      <c r="AI72" s="35" t="e">
        <f>Table1[[#This Row],[RAB Kegiatan Umum]]/Table1[[#This Row],[Nilai RAB Jaringan
(Exclude Ppn)]]</f>
        <v>#DIV/0!</v>
      </c>
      <c r="AJ72" s="35" t="e">
        <f>Table1[[#This Row],[RAB Pemasangan]]/Table1[[#This Row],[Nilai RAB Jaringan
(Exclude Ppn)]]</f>
        <v>#DIV/0!</v>
      </c>
      <c r="AK72" s="35" t="e">
        <f>Table1[[#This Row],[RAB Pengadaan]]/Table1[[#This Row],[Nilai RAB Jaringan
(Exclude Ppn)]]</f>
        <v>#DIV/0!</v>
      </c>
      <c r="AL72" s="35" t="e">
        <f>Table1[[#This Row],[RAB Perizinan]]/Table1[[#This Row],[Nilai RAB Jaringan
(Exclude Ppn)]]</f>
        <v>#DIV/0!</v>
      </c>
      <c r="AM72" s="47"/>
      <c r="AN72" s="285">
        <v>1373</v>
      </c>
      <c r="AO72" s="285">
        <f>SUM(Table1[[#This Row],[Pipa 63 mm]:[Pipa 1,800 mm]])</f>
        <v>0</v>
      </c>
      <c r="AP72" s="285"/>
      <c r="AQ72" s="285"/>
      <c r="AR72" s="285"/>
      <c r="AS72" s="285"/>
      <c r="AT72" s="285"/>
      <c r="AU72" s="285"/>
      <c r="AV72" s="285"/>
      <c r="AW72" s="285"/>
      <c r="AX72" s="285"/>
      <c r="AY72" s="285"/>
      <c r="AZ72" s="285"/>
      <c r="BA72" s="285"/>
      <c r="BB72" s="285"/>
      <c r="BC72" s="285"/>
      <c r="BD72" s="285"/>
      <c r="BE72" s="285"/>
      <c r="BF72" s="285"/>
      <c r="BG72" s="285"/>
      <c r="BH72" s="285"/>
      <c r="BI72" s="285"/>
      <c r="BJ72" s="36">
        <f>SUM(Table1[[#This Row],[Pipa 63 mm2]:[Pipa 1,800 mm21]])</f>
        <v>1369</v>
      </c>
      <c r="BK72" s="32"/>
      <c r="BL72" s="32">
        <v>856.5</v>
      </c>
      <c r="BM72" s="32">
        <v>393.5</v>
      </c>
      <c r="BN72" s="32">
        <v>119</v>
      </c>
      <c r="BO72" s="32"/>
      <c r="BP72" s="32"/>
      <c r="BQ72" s="32"/>
      <c r="BR72" s="32"/>
      <c r="BS72" s="32"/>
      <c r="BT72" s="32"/>
      <c r="BU72" s="32"/>
      <c r="BV72" s="32"/>
      <c r="BW72" s="32"/>
      <c r="BX72" s="32"/>
      <c r="BY72" s="32"/>
      <c r="BZ72" s="32"/>
      <c r="CA72" s="32"/>
      <c r="CB72" s="32"/>
      <c r="CC72" s="32"/>
      <c r="CD72" s="32"/>
      <c r="CE72" s="32">
        <v>0</v>
      </c>
      <c r="CF72" s="32"/>
      <c r="CG72" s="32"/>
      <c r="CH72" s="32"/>
      <c r="CI72" s="32">
        <f t="shared" si="6"/>
        <v>0</v>
      </c>
      <c r="CJ72" s="65">
        <f>IF((Table1[[#This Row],["Volume
BA MC-0"]]-Table1[[#This Row],[Total Panjang Pipa Aktual
(Sum-&gt;)3]]-Table1[[#This Row],[Total Volume
tidak dapat dipasang]])&gt;=0,Table1[[#This Row],["Volume
BA MC-0"]]-Table1[[#This Row],[Total Panjang Pipa Aktual
(Sum-&gt;)3]]-Table1[[#This Row],[Total Volume
tidak dapat dipasang]],0)</f>
        <v>4</v>
      </c>
      <c r="CK72" s="47"/>
      <c r="CL72" s="131"/>
      <c r="CM72" s="35"/>
      <c r="CN72" s="131"/>
      <c r="CO72" s="131"/>
      <c r="CP7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2" s="66">
        <f>IFERROR(Table1[[#This Row],[Progres Keg. Umum
(%)]]*Table1[[#This Row],[Nilai RAB Jaringan
(file pa aji)]],0)</f>
        <v>0</v>
      </c>
      <c r="CR72" s="66">
        <f>IFERROR(Table1[[#This Row],[Progres MOS
(%)]]*Table1[[#This Row],[Nilai RAB Jaringan
(file pa aji)]],0)</f>
        <v>0</v>
      </c>
      <c r="CS72" s="66">
        <f>IFERROR(Table1[[#This Row],[Progres Pemasangan
(%)]]*Table1[[#This Row],[Nilai RAB Jaringan
(file pa aji)]],0)</f>
        <v>0</v>
      </c>
      <c r="CT72" s="66">
        <f>IFERROR(Table1[[#This Row],[Progres Perizinan
(%)]]*Table1[[#This Row],[Nilai RAB Jaringan
(file pa aji)]],0)</f>
        <v>0</v>
      </c>
      <c r="CU72" s="329">
        <v>1925474114</v>
      </c>
      <c r="CV72" s="329">
        <v>1925474114</v>
      </c>
      <c r="CW72" s="583">
        <v>1925474114</v>
      </c>
      <c r="CX72" s="329">
        <v>1925474114</v>
      </c>
      <c r="CY72" s="47"/>
      <c r="CZ72" s="330">
        <v>45530</v>
      </c>
      <c r="DA72" s="330">
        <v>45557</v>
      </c>
      <c r="DB72" s="331"/>
      <c r="DC72" s="316"/>
      <c r="DD72" s="67"/>
      <c r="DE7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2" s="331"/>
      <c r="DG72" s="316"/>
      <c r="DH72" s="67"/>
      <c r="DI7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2" s="330">
        <v>45558</v>
      </c>
      <c r="DK72" s="330">
        <v>45592</v>
      </c>
      <c r="DL72" s="331"/>
      <c r="DM72" s="316"/>
      <c r="DN7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72" s="331"/>
      <c r="DP72" s="316"/>
      <c r="DQ72" s="338"/>
      <c r="DR7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72" s="330">
        <v>45558</v>
      </c>
      <c r="DT72" s="330" t="e">
        <v>#N/A</v>
      </c>
      <c r="DU72" s="330">
        <v>45599</v>
      </c>
      <c r="DV72" s="330" t="e">
        <v>#N/A</v>
      </c>
      <c r="DW72" s="331"/>
      <c r="DX72" s="316"/>
      <c r="DY72" s="334"/>
      <c r="DZ72" s="334"/>
      <c r="EA7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2" s="331"/>
      <c r="EC72" s="332"/>
      <c r="ED72" s="332"/>
      <c r="EE72" s="330"/>
      <c r="EF72" s="35">
        <v>1</v>
      </c>
      <c r="EG72" s="337">
        <v>1</v>
      </c>
      <c r="EH72" s="316" t="str">
        <f>IF(Table1[[#This Row],[PO Material Aktual 
(%)]]&gt;=100%,"Selesai PO = 100%",IF(Table1[[#This Row],[PO Material Aktual 
(%)]]&gt;=50%,"Proses PO &gt; 100%",IF(Table1[[#This Row],[PO Material Aktual 
(%)]]&gt;0%,"Proses PO &gt; 50%",IF(Table1[[#This Row],[PO Material Aktual 
(%)]]=0,"Belum PO = 0%"))))</f>
        <v>Selesai PO = 100%</v>
      </c>
      <c r="EI7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2" s="330">
        <v>45600</v>
      </c>
      <c r="EK72" s="330" t="e">
        <v>#N/A</v>
      </c>
      <c r="EL72" s="330">
        <v>45655</v>
      </c>
      <c r="EM72" s="330" t="e">
        <v>#N/A</v>
      </c>
      <c r="EN72" s="331"/>
      <c r="EO72" s="332"/>
      <c r="EP72" s="332"/>
      <c r="EQ72" s="87">
        <v>1</v>
      </c>
      <c r="ER72" s="87">
        <v>1</v>
      </c>
      <c r="ES72" s="316" t="str">
        <f>IF(Table1[[#This Row],[Progres MOS]]&gt;=100%,"Selesai MOS = 100%",IF(Table1[[#This Row],[Progres MOS]]&gt;=50%,"Proses MOS &gt; 100%",IF(Table1[[#This Row],[Progres MOS]]&gt;0%,"Proses MOS &gt; 50%",IF(Table1[[#This Row],[Progres MOS]]=0,"Belum MOS = 0%"))))</f>
        <v>Selesai MOS = 100%</v>
      </c>
      <c r="ET7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2" s="47"/>
      <c r="EV72" s="330">
        <v>45558</v>
      </c>
      <c r="EW72" s="330" t="e">
        <v>#N/A</v>
      </c>
      <c r="EX72" s="330">
        <v>45620</v>
      </c>
      <c r="EY72" s="330" t="e">
        <v>#N/A</v>
      </c>
      <c r="EZ72" s="352" t="s">
        <v>298</v>
      </c>
      <c r="FA72" s="336" t="s">
        <v>259</v>
      </c>
      <c r="FB72" s="330" t="s">
        <v>260</v>
      </c>
      <c r="FC72" s="330">
        <v>45797</v>
      </c>
      <c r="FD72" s="330" t="s">
        <v>260</v>
      </c>
      <c r="FE72" s="330">
        <v>45895</v>
      </c>
      <c r="FF72" s="330">
        <v>45919</v>
      </c>
      <c r="FG72" s="330" t="s">
        <v>260</v>
      </c>
      <c r="FH72" s="330" t="s">
        <v>260</v>
      </c>
      <c r="FI72" s="330">
        <v>46020</v>
      </c>
      <c r="FJ72" s="330" t="s">
        <v>260</v>
      </c>
      <c r="FK72" s="330">
        <v>46087</v>
      </c>
      <c r="FL72" s="336" t="s">
        <v>298</v>
      </c>
      <c r="FM72" s="336">
        <v>45797</v>
      </c>
      <c r="FN72" s="314">
        <f>IF(Table1[[#This Row],[Tanggal Pengajuan Dokumen]]="","",Table1[[#This Row],[PLAN PERMIT
start]]-Table1[[#This Row],[Tanggal Pengajuan Dokumen]])</f>
        <v>-239</v>
      </c>
      <c r="FO72" s="336"/>
      <c r="FP72" s="316"/>
      <c r="FQ72" s="338"/>
      <c r="FR72" s="352"/>
      <c r="FS72" s="338" t="str">
        <f t="shared" si="7"/>
        <v>Sudah Terbit</v>
      </c>
      <c r="FT7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2" s="344">
        <f ca="1">IF(Table1[[#This Row],[Status Izin]]="Selesai",Table1[[#This Row],[PLAN PERMIT
finish]]-Table1[[#This Row],[Tanggal Terbit/ Target Izin Terbit]],ROUNDUP(Table1[[#This Row],[PLAN PERMIT
finish]]-NOW(),0))</f>
        <v>45620</v>
      </c>
      <c r="FV7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2" s="344"/>
      <c r="FX72" s="47"/>
      <c r="FY72" s="340"/>
      <c r="FZ72" s="341"/>
      <c r="GA7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2" s="330">
        <v>45594</v>
      </c>
      <c r="GC72" s="331">
        <v>45656</v>
      </c>
      <c r="GD7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72" s="330">
        <v>45601</v>
      </c>
      <c r="GF72" s="331">
        <v>45656</v>
      </c>
      <c r="GG7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72" s="330">
        <v>45607</v>
      </c>
      <c r="GI72" s="330">
        <v>45613</v>
      </c>
      <c r="GJ72" s="353">
        <v>45665</v>
      </c>
      <c r="GK7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72" s="330">
        <v>45621</v>
      </c>
      <c r="GM72" s="330" t="e">
        <v>#N/A</v>
      </c>
      <c r="GN72" s="330">
        <v>45690</v>
      </c>
      <c r="GO72" s="330" t="e">
        <v>#N/A</v>
      </c>
      <c r="GP72" s="316"/>
      <c r="GQ7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2" s="330" t="s">
        <v>261</v>
      </c>
      <c r="GS72" s="330" t="s">
        <v>261</v>
      </c>
      <c r="GT72" s="354">
        <v>45713</v>
      </c>
      <c r="GU72" s="344" t="str">
        <f>IF(Table1[[#This Row],[Hydro Tes Actual
(tanggal)]]&lt;&gt;"","Sudah","Belum")</f>
        <v>Sudah</v>
      </c>
      <c r="GV72" s="330" t="s">
        <v>261</v>
      </c>
      <c r="GW72" s="330" t="s">
        <v>261</v>
      </c>
      <c r="GX72" s="331">
        <v>45705</v>
      </c>
      <c r="GY72" s="344" t="str">
        <f>IF(Table1[[#This Row],[Interkoneksi Actual
(tanggal)]]&lt;&gt;"","Sudah","Belum")</f>
        <v>Sudah</v>
      </c>
      <c r="GZ72" s="330" t="s">
        <v>261</v>
      </c>
      <c r="HA72" s="330" t="s">
        <v>261</v>
      </c>
      <c r="HB72" s="331">
        <v>45716</v>
      </c>
      <c r="HC72" s="344" t="str">
        <f>IF(Table1[[#This Row],[Flushing Actual
(tanggal)]]&lt;&gt;"","Sudah","Belum")</f>
        <v>Sudah</v>
      </c>
      <c r="HD72" s="330">
        <v>45677</v>
      </c>
      <c r="HE72" s="330" t="e">
        <v>#N/A</v>
      </c>
      <c r="HF72" s="330">
        <v>45683</v>
      </c>
      <c r="HG72" s="346">
        <v>45730</v>
      </c>
      <c r="HH7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2" s="330" t="s">
        <v>261</v>
      </c>
      <c r="HJ72" s="330" t="s">
        <v>261</v>
      </c>
      <c r="HK72" s="331"/>
      <c r="HL72" s="316"/>
      <c r="HM72" s="330">
        <v>45702</v>
      </c>
      <c r="HN72" s="330">
        <v>45702</v>
      </c>
      <c r="HO72" s="330" t="e">
        <v>#N/A</v>
      </c>
      <c r="HP72" s="346">
        <v>45743</v>
      </c>
      <c r="HQ7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72" s="330">
        <v>45709</v>
      </c>
      <c r="HS72" s="330"/>
      <c r="HT72" s="330">
        <v>45709</v>
      </c>
      <c r="HU72" s="527"/>
      <c r="HV72" s="330">
        <f>IF(Table1[[#This Row],[MC-100 Aktual
(tanggal)]]&lt;&gt;"",Table1[[#This Row],[MC-100 Aktual
(tanggal)]]+5,"")</f>
        <v>45748</v>
      </c>
      <c r="HW7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72" s="47"/>
      <c r="HY72" s="352"/>
      <c r="HZ72" s="352"/>
      <c r="IB72" s="618">
        <f>IFERROR(ROUND((Table1[[#This Row],[PLAN TC
finish]]-Table1[[#This Row],[PLAN MC-0
start]])/30,2),"")</f>
        <v>2.5299999999999998</v>
      </c>
      <c r="IC72">
        <f>DATEDIF(Table1[[#This Row],[PLAN MC-0
start]],Table1[[#This Row],[PLAN TC
finish]],"m")</f>
        <v>2</v>
      </c>
    </row>
    <row r="73" spans="1:237" s="4" customFormat="1" ht="15" customHeight="1" x14ac:dyDescent="0.2">
      <c r="B73" s="311">
        <f>SUBTOTAL(3,$D$5:D73)</f>
        <v>41</v>
      </c>
      <c r="C73" s="348">
        <v>69</v>
      </c>
      <c r="D73" s="315" t="s">
        <v>244</v>
      </c>
      <c r="E73" s="315" t="s">
        <v>603</v>
      </c>
      <c r="F73" s="315" t="s">
        <v>604</v>
      </c>
      <c r="G73" s="349">
        <v>45752</v>
      </c>
      <c r="H73" s="314" t="s">
        <v>247</v>
      </c>
      <c r="I73" s="315" t="s">
        <v>278</v>
      </c>
      <c r="J73" s="315"/>
      <c r="K73" s="338" t="s">
        <v>249</v>
      </c>
      <c r="L73" s="316" t="s">
        <v>250</v>
      </c>
      <c r="M73" s="316" t="s">
        <v>269</v>
      </c>
      <c r="N73" s="107">
        <v>571</v>
      </c>
      <c r="O73" s="31" t="s">
        <v>252</v>
      </c>
      <c r="P7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3" s="87" t="e">
        <v>#N/A</v>
      </c>
      <c r="S73" s="87">
        <v>1</v>
      </c>
      <c r="T73" s="35">
        <f>Table1[[#This Row],[Progres Total Aktual
(%)]]</f>
        <v>1</v>
      </c>
      <c r="U73" s="124">
        <f>Table1[[#This Row],[Progres Aktual
(%)]]-Table1[[#This Row],[Target Progres
(%)]]</f>
        <v>0</v>
      </c>
      <c r="V73" s="350">
        <f>Table1[[#This Row],["Volume
BA MC-0"]]</f>
        <v>578</v>
      </c>
      <c r="W73" s="351">
        <f>Table1[[#This Row],[Total Panjang Pipa Aktual
(Sum-&gt;)3]]</f>
        <v>621.9</v>
      </c>
      <c r="X73" s="47"/>
      <c r="Y73" s="67" t="s">
        <v>605</v>
      </c>
      <c r="Z73" s="67">
        <v>1159212213</v>
      </c>
      <c r="AA73" s="67">
        <f>ROUND((Table1[[#This Row],[Nilai RAB Jaringan
(Exclude Ppn)]]-Table1[[#This Row],[RAB Perizinan]])*1.11+Table1[[#This Row],[RAB Perizinan]],0)</f>
        <v>0</v>
      </c>
      <c r="AB73" s="320">
        <f>SUM(Table1[[#This Row],[RAB Kegiatan Umum]:[RAB Perizinan]])</f>
        <v>0</v>
      </c>
      <c r="AC73" s="320"/>
      <c r="AD73" s="320"/>
      <c r="AE73" s="320"/>
      <c r="AF73" s="320"/>
      <c r="AG73" s="320">
        <v>102482415</v>
      </c>
      <c r="AH73" s="35" t="e">
        <f>SUM(Table1[[#This Row],[Bobot Keg Umum]:[Bobot Perizinan]])</f>
        <v>#DIV/0!</v>
      </c>
      <c r="AI73" s="35" t="e">
        <f>Table1[[#This Row],[RAB Kegiatan Umum]]/Table1[[#This Row],[Nilai RAB Jaringan
(Exclude Ppn)]]</f>
        <v>#DIV/0!</v>
      </c>
      <c r="AJ73" s="35" t="e">
        <f>Table1[[#This Row],[RAB Pemasangan]]/Table1[[#This Row],[Nilai RAB Jaringan
(Exclude Ppn)]]</f>
        <v>#DIV/0!</v>
      </c>
      <c r="AK73" s="35" t="e">
        <f>Table1[[#This Row],[RAB Pengadaan]]/Table1[[#This Row],[Nilai RAB Jaringan
(Exclude Ppn)]]</f>
        <v>#DIV/0!</v>
      </c>
      <c r="AL73" s="35" t="e">
        <f>Table1[[#This Row],[RAB Perizinan]]/Table1[[#This Row],[Nilai RAB Jaringan
(Exclude Ppn)]]</f>
        <v>#DIV/0!</v>
      </c>
      <c r="AM73" s="47"/>
      <c r="AN73" s="285">
        <v>578</v>
      </c>
      <c r="AO73" s="285">
        <f>SUM(Table1[[#This Row],[Pipa 63 mm]:[Pipa 1,800 mm]])</f>
        <v>0</v>
      </c>
      <c r="AP73" s="285"/>
      <c r="AQ73" s="285"/>
      <c r="AR73" s="285"/>
      <c r="AS73" s="285"/>
      <c r="AT73" s="285"/>
      <c r="AU73" s="285"/>
      <c r="AV73" s="285"/>
      <c r="AW73" s="285"/>
      <c r="AX73" s="285"/>
      <c r="AY73" s="285"/>
      <c r="AZ73" s="285"/>
      <c r="BA73" s="285"/>
      <c r="BB73" s="285"/>
      <c r="BC73" s="285"/>
      <c r="BD73" s="285"/>
      <c r="BE73" s="285"/>
      <c r="BF73" s="285"/>
      <c r="BG73" s="285"/>
      <c r="BH73" s="285"/>
      <c r="BI73" s="285"/>
      <c r="BJ73" s="36">
        <f>SUM(Table1[[#This Row],[Pipa 63 mm2]:[Pipa 1,800 mm21]])</f>
        <v>621.9</v>
      </c>
      <c r="BK73" s="356"/>
      <c r="BL73" s="356">
        <v>9</v>
      </c>
      <c r="BM73" s="356">
        <v>612.9</v>
      </c>
      <c r="BN73" s="356"/>
      <c r="BO73" s="356"/>
      <c r="BP73" s="356"/>
      <c r="BQ73" s="356"/>
      <c r="BR73" s="356"/>
      <c r="BS73" s="356"/>
      <c r="BT73" s="356"/>
      <c r="BU73" s="356"/>
      <c r="BV73" s="356"/>
      <c r="BW73" s="356"/>
      <c r="BX73" s="356"/>
      <c r="BY73" s="356"/>
      <c r="BZ73" s="356"/>
      <c r="CA73" s="356"/>
      <c r="CB73" s="356"/>
      <c r="CC73" s="356"/>
      <c r="CD73" s="356"/>
      <c r="CE73" s="32">
        <v>0</v>
      </c>
      <c r="CF73" s="32"/>
      <c r="CG73" s="32"/>
      <c r="CH73" s="32"/>
      <c r="CI73" s="32">
        <f t="shared" si="6"/>
        <v>0</v>
      </c>
      <c r="CJ73" s="65">
        <f>IF((Table1[[#This Row],["Volume
BA MC-0"]]-Table1[[#This Row],[Total Panjang Pipa Aktual
(Sum-&gt;)3]]-Table1[[#This Row],[Total Volume
tidak dapat dipasang]])&gt;=0,Table1[[#This Row],["Volume
BA MC-0"]]-Table1[[#This Row],[Total Panjang Pipa Aktual
(Sum-&gt;)3]]-Table1[[#This Row],[Total Volume
tidak dapat dipasang]],0)</f>
        <v>0</v>
      </c>
      <c r="CK73" s="47"/>
      <c r="CL73" s="131"/>
      <c r="CM73" s="35"/>
      <c r="CN73" s="131"/>
      <c r="CO73" s="131"/>
      <c r="CP7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3" s="66">
        <f>IFERROR(Table1[[#This Row],[Progres Keg. Umum
(%)]]*Table1[[#This Row],[Nilai RAB Jaringan
(file pa aji)]],0)</f>
        <v>0</v>
      </c>
      <c r="CR73" s="66">
        <f>IFERROR(Table1[[#This Row],[Progres MOS
(%)]]*Table1[[#This Row],[Nilai RAB Jaringan
(file pa aji)]],0)</f>
        <v>0</v>
      </c>
      <c r="CS73" s="66">
        <f>IFERROR(Table1[[#This Row],[Progres Pemasangan
(%)]]*Table1[[#This Row],[Nilai RAB Jaringan
(file pa aji)]],0)</f>
        <v>0</v>
      </c>
      <c r="CT73" s="66">
        <f>IFERROR(Table1[[#This Row],[Progres Perizinan
(%)]]*Table1[[#This Row],[Nilai RAB Jaringan
(file pa aji)]],0)</f>
        <v>0</v>
      </c>
      <c r="CU73" s="329">
        <v>853401247</v>
      </c>
      <c r="CV73" s="329">
        <v>853401247</v>
      </c>
      <c r="CW73" s="583">
        <v>853401247</v>
      </c>
      <c r="CX73" s="329">
        <v>853401247</v>
      </c>
      <c r="CY73" s="47"/>
      <c r="CZ73" s="330">
        <v>45530</v>
      </c>
      <c r="DA73" s="330">
        <v>45557</v>
      </c>
      <c r="DB73" s="331"/>
      <c r="DC73" s="316"/>
      <c r="DD73" s="67"/>
      <c r="DE7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3" s="331"/>
      <c r="DG73" s="316"/>
      <c r="DH73" s="67"/>
      <c r="DI7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3" s="330">
        <v>45558</v>
      </c>
      <c r="DK73" s="330">
        <v>45592</v>
      </c>
      <c r="DL73" s="331"/>
      <c r="DM73" s="316"/>
      <c r="DN7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73" s="331"/>
      <c r="DP73" s="316"/>
      <c r="DQ73" s="338"/>
      <c r="DR7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73" s="330">
        <v>45558</v>
      </c>
      <c r="DT73" s="330" t="e">
        <v>#N/A</v>
      </c>
      <c r="DU73" s="330">
        <v>45599</v>
      </c>
      <c r="DV73" s="330" t="e">
        <v>#N/A</v>
      </c>
      <c r="DW73" s="331"/>
      <c r="DX73" s="316"/>
      <c r="DY73" s="334"/>
      <c r="DZ73" s="334"/>
      <c r="EA7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3" s="331"/>
      <c r="EC73" s="332"/>
      <c r="ED73" s="332"/>
      <c r="EE73" s="330"/>
      <c r="EF73" s="35">
        <v>1</v>
      </c>
      <c r="EG73" s="337">
        <v>1</v>
      </c>
      <c r="EH73" s="316" t="str">
        <f>IF(Table1[[#This Row],[PO Material Aktual 
(%)]]&gt;=100%,"Selesai PO = 100%",IF(Table1[[#This Row],[PO Material Aktual 
(%)]]&gt;=50%,"Proses PO &gt; 100%",IF(Table1[[#This Row],[PO Material Aktual 
(%)]]&gt;0%,"Proses PO &gt; 50%",IF(Table1[[#This Row],[PO Material Aktual 
(%)]]=0,"Belum PO = 0%"))))</f>
        <v>Selesai PO = 100%</v>
      </c>
      <c r="EI7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3" s="330">
        <v>45600</v>
      </c>
      <c r="EK73" s="330" t="e">
        <v>#N/A</v>
      </c>
      <c r="EL73" s="330">
        <v>45655</v>
      </c>
      <c r="EM73" s="330" t="e">
        <v>#N/A</v>
      </c>
      <c r="EN73" s="331"/>
      <c r="EO73" s="332"/>
      <c r="EP73" s="332"/>
      <c r="EQ73" s="87">
        <v>1</v>
      </c>
      <c r="ER73" s="87">
        <v>1</v>
      </c>
      <c r="ES73" s="316" t="str">
        <f>IF(Table1[[#This Row],[Progres MOS]]&gt;=100%,"Selesai MOS = 100%",IF(Table1[[#This Row],[Progres MOS]]&gt;=50%,"Proses MOS &gt; 100%",IF(Table1[[#This Row],[Progres MOS]]&gt;0%,"Proses MOS &gt; 50%",IF(Table1[[#This Row],[Progres MOS]]=0,"Belum MOS = 0%"))))</f>
        <v>Selesai MOS = 100%</v>
      </c>
      <c r="ET7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3" s="47"/>
      <c r="EV73" s="330">
        <v>45558</v>
      </c>
      <c r="EW73" s="330" t="e">
        <v>#N/A</v>
      </c>
      <c r="EX73" s="330">
        <v>45620</v>
      </c>
      <c r="EY73" s="330" t="e">
        <v>#N/A</v>
      </c>
      <c r="EZ73" s="352" t="s">
        <v>298</v>
      </c>
      <c r="FA73" s="336" t="s">
        <v>259</v>
      </c>
      <c r="FB73" s="330" t="s">
        <v>260</v>
      </c>
      <c r="FC73" s="330">
        <v>45797</v>
      </c>
      <c r="FD73" s="330" t="s">
        <v>260</v>
      </c>
      <c r="FE73" s="330">
        <v>45895</v>
      </c>
      <c r="FF73" s="330">
        <v>45919</v>
      </c>
      <c r="FG73" s="330" t="s">
        <v>260</v>
      </c>
      <c r="FH73" s="330" t="s">
        <v>260</v>
      </c>
      <c r="FI73" s="330">
        <v>46020</v>
      </c>
      <c r="FJ73" s="330" t="s">
        <v>260</v>
      </c>
      <c r="FK73" s="330">
        <v>46087</v>
      </c>
      <c r="FL73" s="336" t="s">
        <v>298</v>
      </c>
      <c r="FM73" s="336">
        <v>45797</v>
      </c>
      <c r="FN73" s="314">
        <f>IF(Table1[[#This Row],[Tanggal Pengajuan Dokumen]]="","",Table1[[#This Row],[PLAN PERMIT
start]]-Table1[[#This Row],[Tanggal Pengajuan Dokumen]])</f>
        <v>-239</v>
      </c>
      <c r="FO73" s="336"/>
      <c r="FP73" s="316"/>
      <c r="FQ73" s="338"/>
      <c r="FR73" s="352"/>
      <c r="FS73" s="338" t="str">
        <f t="shared" si="7"/>
        <v>Sudah Terbit</v>
      </c>
      <c r="FT7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3" s="344">
        <f ca="1">IF(Table1[[#This Row],[Status Izin]]="Selesai",Table1[[#This Row],[PLAN PERMIT
finish]]-Table1[[#This Row],[Tanggal Terbit/ Target Izin Terbit]],ROUNDUP(Table1[[#This Row],[PLAN PERMIT
finish]]-NOW(),0))</f>
        <v>45620</v>
      </c>
      <c r="FV7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3" s="344"/>
      <c r="FX73" s="47"/>
      <c r="FY73" s="340"/>
      <c r="FZ73" s="341"/>
      <c r="GA7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3" s="330">
        <v>45594</v>
      </c>
      <c r="GC73" s="331">
        <v>45656</v>
      </c>
      <c r="GD7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73" s="330">
        <v>45601</v>
      </c>
      <c r="GF73" s="331">
        <v>45656</v>
      </c>
      <c r="GG7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73" s="330">
        <v>45607</v>
      </c>
      <c r="GI73" s="330">
        <v>45613</v>
      </c>
      <c r="GJ73" s="353">
        <v>45665</v>
      </c>
      <c r="GK7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73" s="330">
        <v>45621</v>
      </c>
      <c r="GM73" s="330" t="e">
        <v>#N/A</v>
      </c>
      <c r="GN73" s="330">
        <v>45690</v>
      </c>
      <c r="GO73" s="330" t="e">
        <v>#N/A</v>
      </c>
      <c r="GP73" s="316"/>
      <c r="GQ7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3" s="330" t="s">
        <v>261</v>
      </c>
      <c r="GS73" s="330" t="s">
        <v>261</v>
      </c>
      <c r="GT73" s="354">
        <v>45679</v>
      </c>
      <c r="GU73" s="344" t="str">
        <f>IF(Table1[[#This Row],[Hydro Tes Actual
(tanggal)]]&lt;&gt;"","Sudah","Belum")</f>
        <v>Sudah</v>
      </c>
      <c r="GV73" s="330" t="s">
        <v>261</v>
      </c>
      <c r="GW73" s="330" t="s">
        <v>261</v>
      </c>
      <c r="GX73" s="331">
        <v>45708</v>
      </c>
      <c r="GY73" s="344" t="str">
        <f>IF(Table1[[#This Row],[Interkoneksi Actual
(tanggal)]]&lt;&gt;"","Sudah","Belum")</f>
        <v>Sudah</v>
      </c>
      <c r="GZ73" s="330" t="s">
        <v>261</v>
      </c>
      <c r="HA73" s="330" t="s">
        <v>261</v>
      </c>
      <c r="HB73" s="331">
        <v>45712</v>
      </c>
      <c r="HC73" s="344" t="str">
        <f>IF(Table1[[#This Row],[Flushing Actual
(tanggal)]]&lt;&gt;"","Sudah","Belum")</f>
        <v>Sudah</v>
      </c>
      <c r="HD73" s="330">
        <v>45677</v>
      </c>
      <c r="HE73" s="330" t="e">
        <v>#N/A</v>
      </c>
      <c r="HF73" s="330">
        <v>45683</v>
      </c>
      <c r="HG73" s="346">
        <v>45730</v>
      </c>
      <c r="HH7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3" s="330" t="s">
        <v>261</v>
      </c>
      <c r="HJ73" s="330" t="s">
        <v>261</v>
      </c>
      <c r="HK73" s="331"/>
      <c r="HL73" s="316"/>
      <c r="HM73" s="330">
        <v>45702</v>
      </c>
      <c r="HN73" s="330">
        <v>45702</v>
      </c>
      <c r="HO73" s="330" t="e">
        <v>#N/A</v>
      </c>
      <c r="HP73" s="346">
        <v>45743</v>
      </c>
      <c r="HQ7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73" s="330">
        <v>45709</v>
      </c>
      <c r="HS73" s="330"/>
      <c r="HT73" s="330">
        <v>45709</v>
      </c>
      <c r="HU73" s="527"/>
      <c r="HV73" s="330">
        <f>IF(Table1[[#This Row],[MC-100 Aktual
(tanggal)]]&lt;&gt;"",Table1[[#This Row],[MC-100 Aktual
(tanggal)]]+5,"")</f>
        <v>45748</v>
      </c>
      <c r="HW7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73" s="47"/>
      <c r="HY73" s="352"/>
      <c r="HZ73" s="352"/>
      <c r="IB73" s="618">
        <f>IFERROR(ROUND((Table1[[#This Row],[PLAN TC
finish]]-Table1[[#This Row],[PLAN MC-0
start]])/30,2),"")</f>
        <v>2.5299999999999998</v>
      </c>
      <c r="IC73">
        <f>DATEDIF(Table1[[#This Row],[PLAN MC-0
start]],Table1[[#This Row],[PLAN TC
finish]],"m")</f>
        <v>2</v>
      </c>
    </row>
    <row r="74" spans="1:237" s="30" customFormat="1" ht="15" hidden="1" customHeight="1" x14ac:dyDescent="0.2">
      <c r="A74" s="77"/>
      <c r="B74" s="311">
        <f>SUBTOTAL(3,$D$5:D74)</f>
        <v>41</v>
      </c>
      <c r="C74" s="362">
        <v>70</v>
      </c>
      <c r="D74" s="363" t="s">
        <v>244</v>
      </c>
      <c r="E74" s="363" t="s">
        <v>606</v>
      </c>
      <c r="F74" s="363" t="s">
        <v>607</v>
      </c>
      <c r="G74" s="364">
        <v>45752</v>
      </c>
      <c r="H74" s="365" t="s">
        <v>247</v>
      </c>
      <c r="I74" s="363" t="s">
        <v>278</v>
      </c>
      <c r="J74" s="363"/>
      <c r="K74" s="366" t="s">
        <v>249</v>
      </c>
      <c r="L74" s="367" t="s">
        <v>250</v>
      </c>
      <c r="M74" s="367" t="s">
        <v>269</v>
      </c>
      <c r="N74" s="368">
        <v>70</v>
      </c>
      <c r="O74" s="369" t="s">
        <v>252</v>
      </c>
      <c r="P74" s="37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4" s="370" t="s">
        <v>389</v>
      </c>
      <c r="R74" s="88" t="e">
        <v>#N/A</v>
      </c>
      <c r="S74" s="88">
        <v>1</v>
      </c>
      <c r="T74" s="371">
        <f>Table1[[#This Row],[Progres Total Aktual
(%)]]</f>
        <v>0</v>
      </c>
      <c r="U74" s="372">
        <f>Table1[[#This Row],[Progres Aktual
(%)]]-Table1[[#This Row],[Target Progres
(%)]]</f>
        <v>-1</v>
      </c>
      <c r="V74" s="373">
        <f>Table1[[#This Row],["Volume
BA MC-0"]]</f>
        <v>0</v>
      </c>
      <c r="W74" s="374">
        <f>Table1[[#This Row],[Total Panjang Pipa Aktual
(Sum-&gt;)3]]</f>
        <v>0</v>
      </c>
      <c r="X74" s="47"/>
      <c r="Y74" s="375" t="s">
        <v>608</v>
      </c>
      <c r="Z74" s="375">
        <v>116796952</v>
      </c>
      <c r="AA74" s="375">
        <f>ROUND((Table1[[#This Row],[Nilai RAB Jaringan
(Exclude Ppn)]]-Table1[[#This Row],[RAB Perizinan]])*1.11+Table1[[#This Row],[RAB Perizinan]],0)</f>
        <v>0</v>
      </c>
      <c r="AB74" s="370">
        <f>SUM(Table1[[#This Row],[RAB Kegiatan Umum]:[RAB Perizinan]])</f>
        <v>0</v>
      </c>
      <c r="AC74" s="370"/>
      <c r="AD74" s="370"/>
      <c r="AE74" s="370"/>
      <c r="AF74" s="370"/>
      <c r="AG74" s="370">
        <v>40992966</v>
      </c>
      <c r="AH74" s="371" t="e">
        <f>SUM(Table1[[#This Row],[Bobot Keg Umum]:[Bobot Perizinan]])</f>
        <v>#DIV/0!</v>
      </c>
      <c r="AI74" s="371" t="e">
        <f>Table1[[#This Row],[RAB Kegiatan Umum]]/Table1[[#This Row],[Nilai RAB Jaringan
(Exclude Ppn)]]</f>
        <v>#DIV/0!</v>
      </c>
      <c r="AJ74" s="371" t="e">
        <f>Table1[[#This Row],[RAB Pemasangan]]/Table1[[#This Row],[Nilai RAB Jaringan
(Exclude Ppn)]]</f>
        <v>#DIV/0!</v>
      </c>
      <c r="AK74" s="371" t="e">
        <f>Table1[[#This Row],[RAB Pengadaan]]/Table1[[#This Row],[Nilai RAB Jaringan
(Exclude Ppn)]]</f>
        <v>#DIV/0!</v>
      </c>
      <c r="AL74" s="371" t="e">
        <f>Table1[[#This Row],[RAB Perizinan]]/Table1[[#This Row],[Nilai RAB Jaringan
(Exclude Ppn)]]</f>
        <v>#DIV/0!</v>
      </c>
      <c r="AM74" s="47"/>
      <c r="AN74" s="376">
        <v>0</v>
      </c>
      <c r="AO74" s="376">
        <f>SUM(Table1[[#This Row],[Pipa 63 mm]:[Pipa 1,800 mm]])</f>
        <v>0</v>
      </c>
      <c r="AP74" s="376"/>
      <c r="AQ74" s="376"/>
      <c r="AR74" s="376"/>
      <c r="AS74" s="376"/>
      <c r="AT74" s="376"/>
      <c r="AU74" s="376"/>
      <c r="AV74" s="376"/>
      <c r="AW74" s="376"/>
      <c r="AX74" s="376"/>
      <c r="AY74" s="376"/>
      <c r="AZ74" s="376"/>
      <c r="BA74" s="376"/>
      <c r="BB74" s="376"/>
      <c r="BC74" s="376"/>
      <c r="BD74" s="376"/>
      <c r="BE74" s="376"/>
      <c r="BF74" s="376"/>
      <c r="BG74" s="376"/>
      <c r="BH74" s="376"/>
      <c r="BI74" s="376"/>
      <c r="BJ74" s="377">
        <f>SUM(Table1[[#This Row],[Pipa 63 mm2]:[Pipa 1,800 mm21]])</f>
        <v>0</v>
      </c>
      <c r="BK74" s="378"/>
      <c r="BL74" s="378"/>
      <c r="BM74" s="378"/>
      <c r="BN74" s="378"/>
      <c r="BO74" s="378"/>
      <c r="BP74" s="378"/>
      <c r="BQ74" s="378"/>
      <c r="BR74" s="378"/>
      <c r="BS74" s="378"/>
      <c r="BT74" s="378"/>
      <c r="BU74" s="378"/>
      <c r="BV74" s="378"/>
      <c r="BW74" s="378"/>
      <c r="BX74" s="378"/>
      <c r="BY74" s="378"/>
      <c r="BZ74" s="378"/>
      <c r="CA74" s="378"/>
      <c r="CB74" s="378"/>
      <c r="CC74" s="378"/>
      <c r="CD74" s="378"/>
      <c r="CE74" s="378">
        <v>0</v>
      </c>
      <c r="CF74" s="378"/>
      <c r="CG74" s="378"/>
      <c r="CH74" s="378"/>
      <c r="CI74" s="378">
        <f t="shared" si="6"/>
        <v>0</v>
      </c>
      <c r="CJ74" s="378">
        <f>IF((Table1[[#This Row],["Volume
BA MC-0"]]-Table1[[#This Row],[Total Panjang Pipa Aktual
(Sum-&gt;)3]]-Table1[[#This Row],[Total Volume
tidak dapat dipasang]])&gt;=0,Table1[[#This Row],["Volume
BA MC-0"]]-Table1[[#This Row],[Total Panjang Pipa Aktual
(Sum-&gt;)3]]-Table1[[#This Row],[Total Volume
tidak dapat dipasang]],0)</f>
        <v>0</v>
      </c>
      <c r="CK74" s="47"/>
      <c r="CL74" s="379"/>
      <c r="CM74" s="371"/>
      <c r="CN74" s="379"/>
      <c r="CO74" s="379"/>
      <c r="CP7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4" s="380">
        <f>IFERROR(Table1[[#This Row],[Progres Keg. Umum
(%)]]*Table1[[#This Row],[Nilai RAB Jaringan
(file pa aji)]],0)</f>
        <v>0</v>
      </c>
      <c r="CR74" s="380">
        <f>IFERROR(Table1[[#This Row],[Progres MOS
(%)]]*Table1[[#This Row],[Nilai RAB Jaringan
(file pa aji)]],0)</f>
        <v>0</v>
      </c>
      <c r="CS74" s="380">
        <f>IFERROR(Table1[[#This Row],[Progres Pemasangan
(%)]]*Table1[[#This Row],[Nilai RAB Jaringan
(file pa aji)]],0)</f>
        <v>0</v>
      </c>
      <c r="CT74" s="380">
        <f>IFERROR(Table1[[#This Row],[Progres Perizinan
(%)]]*Table1[[#This Row],[Nilai RAB Jaringan
(file pa aji)]],0)</f>
        <v>0</v>
      </c>
      <c r="CU74" s="329">
        <v>0</v>
      </c>
      <c r="CV74" s="329">
        <v>0</v>
      </c>
      <c r="CW74" s="582">
        <v>0</v>
      </c>
      <c r="CX74" s="329">
        <v>0</v>
      </c>
      <c r="CY74" s="47"/>
      <c r="CZ74" s="330">
        <v>45530</v>
      </c>
      <c r="DA74" s="330">
        <v>45543</v>
      </c>
      <c r="DB74" s="331"/>
      <c r="DC74" s="367"/>
      <c r="DD74" s="375"/>
      <c r="DE7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4" s="331"/>
      <c r="DG74" s="367"/>
      <c r="DH74" s="375"/>
      <c r="DI74"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4" s="330">
        <v>45544</v>
      </c>
      <c r="DK74" s="330">
        <v>45592</v>
      </c>
      <c r="DL74" s="331"/>
      <c r="DM74" s="367"/>
      <c r="DN7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74" s="331"/>
      <c r="DP74" s="367"/>
      <c r="DQ74" s="366"/>
      <c r="DR7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74" s="330">
        <v>45544</v>
      </c>
      <c r="DT74" s="330" t="e">
        <v>#N/A</v>
      </c>
      <c r="DU74" s="330">
        <v>45571</v>
      </c>
      <c r="DV74" s="330" t="e">
        <v>#N/A</v>
      </c>
      <c r="DW74" s="331"/>
      <c r="DX74" s="367"/>
      <c r="DY74" s="382"/>
      <c r="DZ74" s="382"/>
      <c r="EA7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4" s="331"/>
      <c r="EC74" s="332"/>
      <c r="ED74" s="332"/>
      <c r="EE74" s="330"/>
      <c r="EF74" s="371" t="b">
        <v>0</v>
      </c>
      <c r="EG74" s="383" t="b">
        <v>0</v>
      </c>
      <c r="EH74" s="316" t="str">
        <f>IF(Table1[[#This Row],[PO Material Aktual 
(%)]]&gt;=100%,"Selesai PO = 100%",IF(Table1[[#This Row],[PO Material Aktual 
(%)]]&gt;=50%,"Proses PO &gt; 100%",IF(Table1[[#This Row],[PO Material Aktual 
(%)]]&gt;0%,"Proses PO &gt; 50%",IF(Table1[[#This Row],[PO Material Aktual 
(%)]]=0,"Belum PO = 0%"))))</f>
        <v>Selesai PO = 100%</v>
      </c>
      <c r="EI7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4" s="330">
        <v>45572</v>
      </c>
      <c r="EK74" s="330" t="e">
        <v>#N/A</v>
      </c>
      <c r="EL74" s="330">
        <v>45620</v>
      </c>
      <c r="EM74" s="330" t="e">
        <v>#N/A</v>
      </c>
      <c r="EN74" s="331"/>
      <c r="EO74" s="332"/>
      <c r="EP74" s="332"/>
      <c r="EQ74" s="88" t="b">
        <v>0</v>
      </c>
      <c r="ER74" s="88" t="b">
        <v>0</v>
      </c>
      <c r="ES74" s="316" t="str">
        <f>IF(Table1[[#This Row],[Progres MOS]]&gt;=100%,"Selesai MOS = 100%",IF(Table1[[#This Row],[Progres MOS]]&gt;=50%,"Proses MOS &gt; 100%",IF(Table1[[#This Row],[Progres MOS]]&gt;0%,"Proses MOS &gt; 50%",IF(Table1[[#This Row],[Progres MOS]]=0,"Belum MOS = 0%"))))</f>
        <v>Selesai MOS = 100%</v>
      </c>
      <c r="ET7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4" s="47"/>
      <c r="EV74" s="330">
        <v>45544</v>
      </c>
      <c r="EW74" s="330" t="e">
        <v>#N/A</v>
      </c>
      <c r="EX74" s="330">
        <v>45620</v>
      </c>
      <c r="EY74" s="330" t="e">
        <v>#N/A</v>
      </c>
      <c r="EZ74" s="384" t="s">
        <v>298</v>
      </c>
      <c r="FA74" s="385" t="s">
        <v>389</v>
      </c>
      <c r="FB74" s="386" t="s">
        <v>260</v>
      </c>
      <c r="FC74" s="330">
        <v>45797</v>
      </c>
      <c r="FD74" s="386" t="s">
        <v>260</v>
      </c>
      <c r="FE74" s="386">
        <v>45884</v>
      </c>
      <c r="FF74" s="386">
        <v>45919</v>
      </c>
      <c r="FG74" s="386" t="s">
        <v>260</v>
      </c>
      <c r="FH74" s="386" t="s">
        <v>260</v>
      </c>
      <c r="FI74" s="386">
        <v>46003</v>
      </c>
      <c r="FJ74" s="386" t="s">
        <v>260</v>
      </c>
      <c r="FK74" s="386"/>
      <c r="FL74" s="336" t="s">
        <v>298</v>
      </c>
      <c r="FM74" s="336">
        <v>45797</v>
      </c>
      <c r="FN74" s="314">
        <f>IF(Table1[[#This Row],[Tanggal Pengajuan Dokumen]]="","",Table1[[#This Row],[PLAN PERMIT
start]]-Table1[[#This Row],[Tanggal Pengajuan Dokumen]])</f>
        <v>-253</v>
      </c>
      <c r="FO74" s="336"/>
      <c r="FP74" s="367"/>
      <c r="FQ74" s="366"/>
      <c r="FR74" s="384"/>
      <c r="FS74" s="338" t="str">
        <f t="shared" si="7"/>
        <v>On Going</v>
      </c>
      <c r="FT74"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4" s="387">
        <f ca="1">IF(Table1[[#This Row],[Status Izin]]="Selesai",Table1[[#This Row],[PLAN PERMIT
finish]]-Table1[[#This Row],[Tanggal Terbit/ Target Izin Terbit]],ROUNDUP(Table1[[#This Row],[PLAN PERMIT
finish]]-NOW(),0))</f>
        <v>-571</v>
      </c>
      <c r="FV74"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4" s="387"/>
      <c r="FX74" s="47"/>
      <c r="FY74" s="340"/>
      <c r="FZ74" s="341"/>
      <c r="GA7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4" s="330">
        <v>45594</v>
      </c>
      <c r="GC74" s="384"/>
      <c r="GD74"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4" s="330">
        <v>45601</v>
      </c>
      <c r="GF74" s="384"/>
      <c r="GG74"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4" s="330">
        <v>45607</v>
      </c>
      <c r="GI74" s="330">
        <v>45613</v>
      </c>
      <c r="GJ74" s="415"/>
      <c r="GK74"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4" s="330">
        <v>45621</v>
      </c>
      <c r="GM74" s="330" t="e">
        <v>#N/A</v>
      </c>
      <c r="GN74" s="330">
        <v>45641</v>
      </c>
      <c r="GO74" s="330" t="e">
        <v>#N/A</v>
      </c>
      <c r="GP74" s="367"/>
      <c r="GQ74"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4" s="386" t="s">
        <v>261</v>
      </c>
      <c r="GS74" s="386" t="s">
        <v>261</v>
      </c>
      <c r="GT74" s="390"/>
      <c r="GU74" s="387" t="str">
        <f>IF(Table1[[#This Row],[Hydro Tes Actual
(tanggal)]]&lt;&gt;"","Sudah","Belum")</f>
        <v>Belum</v>
      </c>
      <c r="GV74" s="386" t="s">
        <v>261</v>
      </c>
      <c r="GW74" s="386" t="s">
        <v>261</v>
      </c>
      <c r="GX74" s="388"/>
      <c r="GY74" s="344" t="str">
        <f>IF(Table1[[#This Row],[Interkoneksi Actual
(tanggal)]]&lt;&gt;"","Sudah","Belum")</f>
        <v>Belum</v>
      </c>
      <c r="GZ74" s="386" t="s">
        <v>261</v>
      </c>
      <c r="HA74" s="386" t="s">
        <v>261</v>
      </c>
      <c r="HB74" s="388"/>
      <c r="HC74" s="344" t="str">
        <f>IF(Table1[[#This Row],[Flushing Actual
(tanggal)]]&lt;&gt;"","Sudah","Belum")</f>
        <v>Belum</v>
      </c>
      <c r="HD74" s="330">
        <v>45628</v>
      </c>
      <c r="HE74" s="330" t="e">
        <v>#N/A</v>
      </c>
      <c r="HF74" s="330">
        <v>45634</v>
      </c>
      <c r="HG74" s="416"/>
      <c r="HH74"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4" s="386" t="s">
        <v>261</v>
      </c>
      <c r="HJ74" s="386" t="s">
        <v>261</v>
      </c>
      <c r="HK74" s="388"/>
      <c r="HL74" s="367"/>
      <c r="HM74" s="330">
        <v>45646</v>
      </c>
      <c r="HN74" s="330">
        <v>45646</v>
      </c>
      <c r="HO74" s="330" t="e">
        <v>#N/A</v>
      </c>
      <c r="HP74" s="417"/>
      <c r="HQ74"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74" s="330">
        <v>45653</v>
      </c>
      <c r="HS74" s="330"/>
      <c r="HT74" s="330">
        <v>45653</v>
      </c>
      <c r="HU74" s="527"/>
      <c r="HV74" s="386"/>
      <c r="HW74"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74" s="47"/>
      <c r="HY74" s="384"/>
      <c r="HZ74" s="384"/>
      <c r="IB74" s="618">
        <f>IFERROR(ROUND((Table1[[#This Row],[PLAN TC
finish]]-Table1[[#This Row],[PLAN MC-0
start]])/30,2),"")</f>
        <v>0.9</v>
      </c>
      <c r="IC74">
        <f>DATEDIF(Table1[[#This Row],[PLAN MC-0
start]],Table1[[#This Row],[PLAN TC
finish]],"m")</f>
        <v>0</v>
      </c>
    </row>
    <row r="75" spans="1:237" s="30" customFormat="1" ht="15" hidden="1" customHeight="1" x14ac:dyDescent="0.2">
      <c r="A75" s="77"/>
      <c r="B75" s="311">
        <f>SUBTOTAL(3,$D$5:D75)</f>
        <v>41</v>
      </c>
      <c r="C75" s="362">
        <v>71</v>
      </c>
      <c r="D75" s="363" t="s">
        <v>244</v>
      </c>
      <c r="E75" s="363" t="s">
        <v>609</v>
      </c>
      <c r="F75" s="363" t="s">
        <v>610</v>
      </c>
      <c r="G75" s="364">
        <v>45752</v>
      </c>
      <c r="H75" s="365" t="s">
        <v>247</v>
      </c>
      <c r="I75" s="363" t="s">
        <v>278</v>
      </c>
      <c r="J75" s="363"/>
      <c r="K75" s="366" t="s">
        <v>249</v>
      </c>
      <c r="L75" s="367" t="s">
        <v>250</v>
      </c>
      <c r="M75" s="367" t="s">
        <v>269</v>
      </c>
      <c r="N75" s="368">
        <v>150</v>
      </c>
      <c r="O75" s="369" t="s">
        <v>252</v>
      </c>
      <c r="P75" s="37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5" s="370" t="s">
        <v>389</v>
      </c>
      <c r="R75" s="88" t="e">
        <v>#N/A</v>
      </c>
      <c r="S75" s="88">
        <v>1</v>
      </c>
      <c r="T75" s="371">
        <f>Table1[[#This Row],[Progres Total Aktual
(%)]]</f>
        <v>0</v>
      </c>
      <c r="U75" s="372">
        <f>Table1[[#This Row],[Progres Aktual
(%)]]-Table1[[#This Row],[Target Progres
(%)]]</f>
        <v>-1</v>
      </c>
      <c r="V75" s="373">
        <f>Table1[[#This Row],["Volume
BA MC-0"]]</f>
        <v>0</v>
      </c>
      <c r="W75" s="374">
        <f>Table1[[#This Row],[Total Panjang Pipa Aktual
(Sum-&gt;)3]]</f>
        <v>0</v>
      </c>
      <c r="X75" s="47"/>
      <c r="Y75" s="375" t="s">
        <v>611</v>
      </c>
      <c r="Z75" s="375">
        <v>256263690</v>
      </c>
      <c r="AA75" s="375">
        <f>ROUND((Table1[[#This Row],[Nilai RAB Jaringan
(Exclude Ppn)]]-Table1[[#This Row],[RAB Perizinan]])*1.11+Table1[[#This Row],[RAB Perizinan]],0)</f>
        <v>0</v>
      </c>
      <c r="AB75" s="370">
        <f>SUM(Table1[[#This Row],[RAB Kegiatan Umum]:[RAB Perizinan]])</f>
        <v>0</v>
      </c>
      <c r="AC75" s="370"/>
      <c r="AD75" s="370"/>
      <c r="AE75" s="370"/>
      <c r="AF75" s="370"/>
      <c r="AG75" s="370">
        <v>145525030</v>
      </c>
      <c r="AH75" s="371" t="e">
        <f>SUM(Table1[[#This Row],[Bobot Keg Umum]:[Bobot Perizinan]])</f>
        <v>#DIV/0!</v>
      </c>
      <c r="AI75" s="371" t="e">
        <f>Table1[[#This Row],[RAB Kegiatan Umum]]/Table1[[#This Row],[Nilai RAB Jaringan
(Exclude Ppn)]]</f>
        <v>#DIV/0!</v>
      </c>
      <c r="AJ75" s="371" t="e">
        <f>Table1[[#This Row],[RAB Pemasangan]]/Table1[[#This Row],[Nilai RAB Jaringan
(Exclude Ppn)]]</f>
        <v>#DIV/0!</v>
      </c>
      <c r="AK75" s="371" t="e">
        <f>Table1[[#This Row],[RAB Pengadaan]]/Table1[[#This Row],[Nilai RAB Jaringan
(Exclude Ppn)]]</f>
        <v>#DIV/0!</v>
      </c>
      <c r="AL75" s="371" t="e">
        <f>Table1[[#This Row],[RAB Perizinan]]/Table1[[#This Row],[Nilai RAB Jaringan
(Exclude Ppn)]]</f>
        <v>#DIV/0!</v>
      </c>
      <c r="AM75" s="47"/>
      <c r="AN75" s="376">
        <v>0</v>
      </c>
      <c r="AO75" s="376">
        <f>SUM(Table1[[#This Row],[Pipa 63 mm]:[Pipa 1,800 mm]])</f>
        <v>0</v>
      </c>
      <c r="AP75" s="376"/>
      <c r="AQ75" s="376"/>
      <c r="AR75" s="376"/>
      <c r="AS75" s="376"/>
      <c r="AT75" s="376"/>
      <c r="AU75" s="376"/>
      <c r="AV75" s="376"/>
      <c r="AW75" s="376"/>
      <c r="AX75" s="376"/>
      <c r="AY75" s="376"/>
      <c r="AZ75" s="376"/>
      <c r="BA75" s="376"/>
      <c r="BB75" s="376"/>
      <c r="BC75" s="376"/>
      <c r="BD75" s="376"/>
      <c r="BE75" s="376"/>
      <c r="BF75" s="376"/>
      <c r="BG75" s="376"/>
      <c r="BH75" s="376"/>
      <c r="BI75" s="376"/>
      <c r="BJ75" s="377">
        <f>SUM(Table1[[#This Row],[Pipa 63 mm2]:[Pipa 1,800 mm21]])</f>
        <v>0</v>
      </c>
      <c r="BK75" s="378"/>
      <c r="BL75" s="378"/>
      <c r="BM75" s="378"/>
      <c r="BN75" s="378"/>
      <c r="BO75" s="378"/>
      <c r="BP75" s="378"/>
      <c r="BQ75" s="378"/>
      <c r="BR75" s="378"/>
      <c r="BS75" s="378"/>
      <c r="BT75" s="378"/>
      <c r="BU75" s="378"/>
      <c r="BV75" s="378"/>
      <c r="BW75" s="378"/>
      <c r="BX75" s="378"/>
      <c r="BY75" s="378"/>
      <c r="BZ75" s="378"/>
      <c r="CA75" s="378"/>
      <c r="CB75" s="378"/>
      <c r="CC75" s="378"/>
      <c r="CD75" s="378"/>
      <c r="CE75" s="378">
        <v>0</v>
      </c>
      <c r="CF75" s="378"/>
      <c r="CG75" s="378"/>
      <c r="CH75" s="378"/>
      <c r="CI75" s="378">
        <f t="shared" si="6"/>
        <v>0</v>
      </c>
      <c r="CJ75" s="378">
        <f>IF((Table1[[#This Row],["Volume
BA MC-0"]]-Table1[[#This Row],[Total Panjang Pipa Aktual
(Sum-&gt;)3]]-Table1[[#This Row],[Total Volume
tidak dapat dipasang]])&gt;=0,Table1[[#This Row],["Volume
BA MC-0"]]-Table1[[#This Row],[Total Panjang Pipa Aktual
(Sum-&gt;)3]]-Table1[[#This Row],[Total Volume
tidak dapat dipasang]],0)</f>
        <v>0</v>
      </c>
      <c r="CK75" s="47"/>
      <c r="CL75" s="379"/>
      <c r="CM75" s="371"/>
      <c r="CN75" s="379"/>
      <c r="CO75" s="379"/>
      <c r="CP7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5" s="380">
        <f>IFERROR(Table1[[#This Row],[Progres Keg. Umum
(%)]]*Table1[[#This Row],[Nilai RAB Jaringan
(file pa aji)]],0)</f>
        <v>0</v>
      </c>
      <c r="CR75" s="380">
        <f>IFERROR(Table1[[#This Row],[Progres MOS
(%)]]*Table1[[#This Row],[Nilai RAB Jaringan
(file pa aji)]],0)</f>
        <v>0</v>
      </c>
      <c r="CS75" s="380">
        <f>IFERROR(Table1[[#This Row],[Progres Pemasangan
(%)]]*Table1[[#This Row],[Nilai RAB Jaringan
(file pa aji)]],0)</f>
        <v>0</v>
      </c>
      <c r="CT75" s="380">
        <f>IFERROR(Table1[[#This Row],[Progres Perizinan
(%)]]*Table1[[#This Row],[Nilai RAB Jaringan
(file pa aji)]],0)</f>
        <v>0</v>
      </c>
      <c r="CU75" s="329">
        <v>0</v>
      </c>
      <c r="CV75" s="329">
        <v>0</v>
      </c>
      <c r="CW75" s="582">
        <v>0</v>
      </c>
      <c r="CX75" s="329">
        <v>0</v>
      </c>
      <c r="CY75" s="47"/>
      <c r="CZ75" s="330">
        <v>45530</v>
      </c>
      <c r="DA75" s="330">
        <v>45543</v>
      </c>
      <c r="DB75" s="331"/>
      <c r="DC75" s="367"/>
      <c r="DD75" s="375"/>
      <c r="DE7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5" s="331"/>
      <c r="DG75" s="367"/>
      <c r="DH75" s="375"/>
      <c r="DI75"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5" s="330">
        <v>45544</v>
      </c>
      <c r="DK75" s="330">
        <v>45592</v>
      </c>
      <c r="DL75" s="331">
        <v>45639</v>
      </c>
      <c r="DM75" s="381" t="s">
        <v>612</v>
      </c>
      <c r="DN7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5" s="331">
        <v>45650</v>
      </c>
      <c r="DP75" s="367" t="s">
        <v>613</v>
      </c>
      <c r="DQ75" s="366" t="s">
        <v>433</v>
      </c>
      <c r="DR7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5" s="330">
        <v>45544</v>
      </c>
      <c r="DT75" s="330" t="e">
        <v>#N/A</v>
      </c>
      <c r="DU75" s="330">
        <v>45571</v>
      </c>
      <c r="DV75" s="330" t="e">
        <v>#N/A</v>
      </c>
      <c r="DW75" s="331"/>
      <c r="DX75" s="367"/>
      <c r="DY75" s="382"/>
      <c r="DZ75" s="382"/>
      <c r="EA7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5" s="331"/>
      <c r="EC75" s="332"/>
      <c r="ED75" s="332"/>
      <c r="EE75" s="330"/>
      <c r="EF75" s="371" t="b">
        <v>0</v>
      </c>
      <c r="EG75" s="383" t="b">
        <v>0</v>
      </c>
      <c r="EH75" s="316" t="str">
        <f>IF(Table1[[#This Row],[PO Material Aktual 
(%)]]&gt;=100%,"Selesai PO = 100%",IF(Table1[[#This Row],[PO Material Aktual 
(%)]]&gt;=50%,"Proses PO &gt; 100%",IF(Table1[[#This Row],[PO Material Aktual 
(%)]]&gt;0%,"Proses PO &gt; 50%",IF(Table1[[#This Row],[PO Material Aktual 
(%)]]=0,"Belum PO = 0%"))))</f>
        <v>Selesai PO = 100%</v>
      </c>
      <c r="EI7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5" s="330">
        <v>45572</v>
      </c>
      <c r="EK75" s="330" t="e">
        <v>#N/A</v>
      </c>
      <c r="EL75" s="330">
        <v>45620</v>
      </c>
      <c r="EM75" s="330" t="e">
        <v>#N/A</v>
      </c>
      <c r="EN75" s="331"/>
      <c r="EO75" s="332"/>
      <c r="EP75" s="332"/>
      <c r="EQ75" s="88" t="b">
        <v>0</v>
      </c>
      <c r="ER75" s="88" t="b">
        <v>0</v>
      </c>
      <c r="ES75" s="316" t="str">
        <f>IF(Table1[[#This Row],[Progres MOS]]&gt;=100%,"Selesai MOS = 100%",IF(Table1[[#This Row],[Progres MOS]]&gt;=50%,"Proses MOS &gt; 100%",IF(Table1[[#This Row],[Progres MOS]]&gt;0%,"Proses MOS &gt; 50%",IF(Table1[[#This Row],[Progres MOS]]=0,"Belum MOS = 0%"))))</f>
        <v>Selesai MOS = 100%</v>
      </c>
      <c r="ET7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5" s="47"/>
      <c r="EV75" s="330">
        <v>45544</v>
      </c>
      <c r="EW75" s="330" t="e">
        <v>#N/A</v>
      </c>
      <c r="EX75" s="330">
        <v>45620</v>
      </c>
      <c r="EY75" s="330" t="e">
        <v>#N/A</v>
      </c>
      <c r="EZ75" s="384" t="s">
        <v>298</v>
      </c>
      <c r="FA75" s="385" t="s">
        <v>389</v>
      </c>
      <c r="FB75" s="386" t="s">
        <v>260</v>
      </c>
      <c r="FC75" s="330">
        <v>45797</v>
      </c>
      <c r="FD75" s="386" t="s">
        <v>260</v>
      </c>
      <c r="FE75" s="386">
        <v>45884</v>
      </c>
      <c r="FF75" s="386">
        <v>45919</v>
      </c>
      <c r="FG75" s="386" t="s">
        <v>260</v>
      </c>
      <c r="FH75" s="386" t="s">
        <v>260</v>
      </c>
      <c r="FI75" s="386">
        <v>46003</v>
      </c>
      <c r="FJ75" s="386" t="s">
        <v>260</v>
      </c>
      <c r="FK75" s="386"/>
      <c r="FL75" s="336" t="s">
        <v>298</v>
      </c>
      <c r="FM75" s="336">
        <v>45797</v>
      </c>
      <c r="FN75" s="314">
        <f>IF(Table1[[#This Row],[Tanggal Pengajuan Dokumen]]="","",Table1[[#This Row],[PLAN PERMIT
start]]-Table1[[#This Row],[Tanggal Pengajuan Dokumen]])</f>
        <v>-253</v>
      </c>
      <c r="FO75" s="336"/>
      <c r="FP75" s="367"/>
      <c r="FQ75" s="366"/>
      <c r="FR75" s="384"/>
      <c r="FS75" s="338" t="str">
        <f t="shared" si="7"/>
        <v>On Going</v>
      </c>
      <c r="FT75"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5" s="387">
        <f ca="1">IF(Table1[[#This Row],[Status Izin]]="Selesai",Table1[[#This Row],[PLAN PERMIT
finish]]-Table1[[#This Row],[Tanggal Terbit/ Target Izin Terbit]],ROUNDUP(Table1[[#This Row],[PLAN PERMIT
finish]]-NOW(),0))</f>
        <v>-571</v>
      </c>
      <c r="FV75"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5" s="387"/>
      <c r="FX75" s="47"/>
      <c r="FY75" s="340"/>
      <c r="FZ75" s="341"/>
      <c r="GA7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5" s="330">
        <v>45594</v>
      </c>
      <c r="GC75" s="384"/>
      <c r="GD75"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5" s="330">
        <v>45601</v>
      </c>
      <c r="GF75" s="384"/>
      <c r="GG75"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5" s="330">
        <v>45607</v>
      </c>
      <c r="GI75" s="330">
        <v>45613</v>
      </c>
      <c r="GJ75" s="415"/>
      <c r="GK75"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5" s="330">
        <v>45621</v>
      </c>
      <c r="GM75" s="330" t="e">
        <v>#N/A</v>
      </c>
      <c r="GN75" s="330">
        <v>45641</v>
      </c>
      <c r="GO75" s="330" t="e">
        <v>#N/A</v>
      </c>
      <c r="GP75" s="367"/>
      <c r="GQ75"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5" s="386" t="s">
        <v>261</v>
      </c>
      <c r="GS75" s="386" t="s">
        <v>261</v>
      </c>
      <c r="GT75" s="390"/>
      <c r="GU75" s="387" t="str">
        <f>IF(Table1[[#This Row],[Hydro Tes Actual
(tanggal)]]&lt;&gt;"","Sudah","Belum")</f>
        <v>Belum</v>
      </c>
      <c r="GV75" s="386" t="s">
        <v>261</v>
      </c>
      <c r="GW75" s="386" t="s">
        <v>261</v>
      </c>
      <c r="GX75" s="388"/>
      <c r="GY75" s="344" t="str">
        <f>IF(Table1[[#This Row],[Interkoneksi Actual
(tanggal)]]&lt;&gt;"","Sudah","Belum")</f>
        <v>Belum</v>
      </c>
      <c r="GZ75" s="386" t="s">
        <v>261</v>
      </c>
      <c r="HA75" s="386" t="s">
        <v>261</v>
      </c>
      <c r="HB75" s="388"/>
      <c r="HC75" s="344" t="str">
        <f>IF(Table1[[#This Row],[Flushing Actual
(tanggal)]]&lt;&gt;"","Sudah","Belum")</f>
        <v>Belum</v>
      </c>
      <c r="HD75" s="330">
        <v>45628</v>
      </c>
      <c r="HE75" s="330" t="e">
        <v>#N/A</v>
      </c>
      <c r="HF75" s="330">
        <v>45634</v>
      </c>
      <c r="HG75" s="416"/>
      <c r="HH75"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5" s="386" t="s">
        <v>261</v>
      </c>
      <c r="HJ75" s="386" t="s">
        <v>261</v>
      </c>
      <c r="HK75" s="388"/>
      <c r="HL75" s="367"/>
      <c r="HM75" s="330">
        <v>45646</v>
      </c>
      <c r="HN75" s="330">
        <v>45646</v>
      </c>
      <c r="HO75" s="330" t="e">
        <v>#N/A</v>
      </c>
      <c r="HP75" s="417"/>
      <c r="HQ75"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75" s="330">
        <v>45653</v>
      </c>
      <c r="HS75" s="330"/>
      <c r="HT75" s="330">
        <v>45653</v>
      </c>
      <c r="HU75" s="527"/>
      <c r="HV75" s="386"/>
      <c r="HW75"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75" s="47"/>
      <c r="HY75" s="384"/>
      <c r="HZ75" s="384"/>
      <c r="IB75" s="618">
        <f>IFERROR(ROUND((Table1[[#This Row],[PLAN TC
finish]]-Table1[[#This Row],[PLAN MC-0
start]])/30,2),"")</f>
        <v>0.9</v>
      </c>
      <c r="IC75">
        <f>DATEDIF(Table1[[#This Row],[PLAN MC-0
start]],Table1[[#This Row],[PLAN TC
finish]],"m")</f>
        <v>0</v>
      </c>
    </row>
    <row r="76" spans="1:237" s="30" customFormat="1" ht="15" hidden="1" customHeight="1" x14ac:dyDescent="0.2">
      <c r="A76" s="77"/>
      <c r="B76" s="311">
        <f>SUBTOTAL(3,$D$5:D76)</f>
        <v>41</v>
      </c>
      <c r="C76" s="362">
        <v>72</v>
      </c>
      <c r="D76" s="363" t="s">
        <v>244</v>
      </c>
      <c r="E76" s="363" t="s">
        <v>614</v>
      </c>
      <c r="F76" s="363" t="s">
        <v>615</v>
      </c>
      <c r="G76" s="364">
        <v>45752</v>
      </c>
      <c r="H76" s="365" t="s">
        <v>247</v>
      </c>
      <c r="I76" s="363" t="s">
        <v>278</v>
      </c>
      <c r="J76" s="363"/>
      <c r="K76" s="366" t="s">
        <v>249</v>
      </c>
      <c r="L76" s="367" t="s">
        <v>250</v>
      </c>
      <c r="M76" s="367" t="s">
        <v>269</v>
      </c>
      <c r="N76" s="368">
        <v>45</v>
      </c>
      <c r="O76" s="369" t="s">
        <v>252</v>
      </c>
      <c r="P76" s="37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6" s="370" t="s">
        <v>389</v>
      </c>
      <c r="R76" s="88" t="e">
        <v>#N/A</v>
      </c>
      <c r="S76" s="88">
        <v>1</v>
      </c>
      <c r="T76" s="371">
        <f>Table1[[#This Row],[Progres Total Aktual
(%)]]</f>
        <v>0</v>
      </c>
      <c r="U76" s="372">
        <f>Table1[[#This Row],[Progres Aktual
(%)]]-Table1[[#This Row],[Target Progres
(%)]]</f>
        <v>-1</v>
      </c>
      <c r="V76" s="373">
        <f>Table1[[#This Row],["Volume
BA MC-0"]]</f>
        <v>0</v>
      </c>
      <c r="W76" s="374">
        <f>Table1[[#This Row],[Total Panjang Pipa Aktual
(Sum-&gt;)3]]</f>
        <v>0</v>
      </c>
      <c r="X76" s="47"/>
      <c r="Y76" s="375" t="s">
        <v>616</v>
      </c>
      <c r="Z76" s="375">
        <v>109024664</v>
      </c>
      <c r="AA76" s="375">
        <f>ROUND((Table1[[#This Row],[Nilai RAB Jaringan
(Exclude Ppn)]]-Table1[[#This Row],[RAB Perizinan]])*1.11+Table1[[#This Row],[RAB Perizinan]],0)</f>
        <v>0</v>
      </c>
      <c r="AB76" s="370">
        <f>SUM(Table1[[#This Row],[RAB Kegiatan Umum]:[RAB Perizinan]])</f>
        <v>0</v>
      </c>
      <c r="AC76" s="370"/>
      <c r="AD76" s="370"/>
      <c r="AE76" s="370"/>
      <c r="AF76" s="370"/>
      <c r="AG76" s="370">
        <v>24595780</v>
      </c>
      <c r="AH76" s="371" t="e">
        <f>SUM(Table1[[#This Row],[Bobot Keg Umum]:[Bobot Perizinan]])</f>
        <v>#DIV/0!</v>
      </c>
      <c r="AI76" s="371" t="e">
        <f>Table1[[#This Row],[RAB Kegiatan Umum]]/Table1[[#This Row],[Nilai RAB Jaringan
(Exclude Ppn)]]</f>
        <v>#DIV/0!</v>
      </c>
      <c r="AJ76" s="371" t="e">
        <f>Table1[[#This Row],[RAB Pemasangan]]/Table1[[#This Row],[Nilai RAB Jaringan
(Exclude Ppn)]]</f>
        <v>#DIV/0!</v>
      </c>
      <c r="AK76" s="371" t="e">
        <f>Table1[[#This Row],[RAB Pengadaan]]/Table1[[#This Row],[Nilai RAB Jaringan
(Exclude Ppn)]]</f>
        <v>#DIV/0!</v>
      </c>
      <c r="AL76" s="371" t="e">
        <f>Table1[[#This Row],[RAB Perizinan]]/Table1[[#This Row],[Nilai RAB Jaringan
(Exclude Ppn)]]</f>
        <v>#DIV/0!</v>
      </c>
      <c r="AM76" s="47"/>
      <c r="AN76" s="376">
        <v>0</v>
      </c>
      <c r="AO76" s="376">
        <f>SUM(Table1[[#This Row],[Pipa 63 mm]:[Pipa 1,800 mm]])</f>
        <v>0</v>
      </c>
      <c r="AP76" s="376"/>
      <c r="AQ76" s="376"/>
      <c r="AR76" s="376"/>
      <c r="AS76" s="376"/>
      <c r="AT76" s="376"/>
      <c r="AU76" s="376"/>
      <c r="AV76" s="376"/>
      <c r="AW76" s="376"/>
      <c r="AX76" s="376"/>
      <c r="AY76" s="376"/>
      <c r="AZ76" s="376"/>
      <c r="BA76" s="376"/>
      <c r="BB76" s="376"/>
      <c r="BC76" s="376"/>
      <c r="BD76" s="376"/>
      <c r="BE76" s="376"/>
      <c r="BF76" s="376"/>
      <c r="BG76" s="376"/>
      <c r="BH76" s="376"/>
      <c r="BI76" s="376"/>
      <c r="BJ76" s="377">
        <f>SUM(Table1[[#This Row],[Pipa 63 mm2]:[Pipa 1,800 mm21]])</f>
        <v>0</v>
      </c>
      <c r="BK76" s="378"/>
      <c r="BL76" s="378"/>
      <c r="BM76" s="378"/>
      <c r="BN76" s="378"/>
      <c r="BO76" s="378"/>
      <c r="BP76" s="378"/>
      <c r="BQ76" s="378"/>
      <c r="BR76" s="378"/>
      <c r="BS76" s="378"/>
      <c r="BT76" s="378"/>
      <c r="BU76" s="378"/>
      <c r="BV76" s="378"/>
      <c r="BW76" s="378"/>
      <c r="BX76" s="378"/>
      <c r="BY76" s="378"/>
      <c r="BZ76" s="378"/>
      <c r="CA76" s="378"/>
      <c r="CB76" s="378"/>
      <c r="CC76" s="378"/>
      <c r="CD76" s="378"/>
      <c r="CE76" s="378">
        <v>0</v>
      </c>
      <c r="CF76" s="378"/>
      <c r="CG76" s="378"/>
      <c r="CH76" s="378"/>
      <c r="CI76" s="378">
        <f t="shared" si="6"/>
        <v>0</v>
      </c>
      <c r="CJ76" s="378">
        <f>IF((Table1[[#This Row],["Volume
BA MC-0"]]-Table1[[#This Row],[Total Panjang Pipa Aktual
(Sum-&gt;)3]]-Table1[[#This Row],[Total Volume
tidak dapat dipasang]])&gt;=0,Table1[[#This Row],["Volume
BA MC-0"]]-Table1[[#This Row],[Total Panjang Pipa Aktual
(Sum-&gt;)3]]-Table1[[#This Row],[Total Volume
tidak dapat dipasang]],0)</f>
        <v>0</v>
      </c>
      <c r="CK76" s="47"/>
      <c r="CL76" s="379"/>
      <c r="CM76" s="371"/>
      <c r="CN76" s="379"/>
      <c r="CO76" s="379"/>
      <c r="CP7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6" s="380">
        <f>IFERROR(Table1[[#This Row],[Progres Keg. Umum
(%)]]*Table1[[#This Row],[Nilai RAB Jaringan
(file pa aji)]],0)</f>
        <v>0</v>
      </c>
      <c r="CR76" s="380">
        <f>IFERROR(Table1[[#This Row],[Progres MOS
(%)]]*Table1[[#This Row],[Nilai RAB Jaringan
(file pa aji)]],0)</f>
        <v>0</v>
      </c>
      <c r="CS76" s="380">
        <f>IFERROR(Table1[[#This Row],[Progres Pemasangan
(%)]]*Table1[[#This Row],[Nilai RAB Jaringan
(file pa aji)]],0)</f>
        <v>0</v>
      </c>
      <c r="CT76" s="380">
        <f>IFERROR(Table1[[#This Row],[Progres Perizinan
(%)]]*Table1[[#This Row],[Nilai RAB Jaringan
(file pa aji)]],0)</f>
        <v>0</v>
      </c>
      <c r="CU76" s="329">
        <v>0</v>
      </c>
      <c r="CV76" s="329">
        <v>0</v>
      </c>
      <c r="CW76" s="582">
        <v>0</v>
      </c>
      <c r="CX76" s="329">
        <v>0</v>
      </c>
      <c r="CY76" s="47"/>
      <c r="CZ76" s="330">
        <v>45530</v>
      </c>
      <c r="DA76" s="330">
        <v>45543</v>
      </c>
      <c r="DB76" s="331"/>
      <c r="DC76" s="367"/>
      <c r="DD76" s="375"/>
      <c r="DE7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6" s="331"/>
      <c r="DG76" s="367"/>
      <c r="DH76" s="375"/>
      <c r="DI76"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6" s="330">
        <v>45544</v>
      </c>
      <c r="DK76" s="330">
        <v>45592</v>
      </c>
      <c r="DL76" s="331">
        <v>45640</v>
      </c>
      <c r="DM76" s="381" t="s">
        <v>617</v>
      </c>
      <c r="DN7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6" s="331">
        <v>45652</v>
      </c>
      <c r="DP76" s="367" t="s">
        <v>618</v>
      </c>
      <c r="DQ76" s="366" t="s">
        <v>433</v>
      </c>
      <c r="DR7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6" s="330">
        <v>45544</v>
      </c>
      <c r="DT76" s="330" t="e">
        <v>#N/A</v>
      </c>
      <c r="DU76" s="330">
        <v>45571</v>
      </c>
      <c r="DV76" s="330" t="e">
        <v>#N/A</v>
      </c>
      <c r="DW76" s="331"/>
      <c r="DX76" s="367"/>
      <c r="DY76" s="382"/>
      <c r="DZ76" s="382"/>
      <c r="EA7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6" s="331"/>
      <c r="EC76" s="332"/>
      <c r="ED76" s="332"/>
      <c r="EE76" s="330"/>
      <c r="EF76" s="371" t="b">
        <v>0</v>
      </c>
      <c r="EG76" s="383" t="b">
        <v>0</v>
      </c>
      <c r="EH76" s="316" t="str">
        <f>IF(Table1[[#This Row],[PO Material Aktual 
(%)]]&gt;=100%,"Selesai PO = 100%",IF(Table1[[#This Row],[PO Material Aktual 
(%)]]&gt;=50%,"Proses PO &gt; 100%",IF(Table1[[#This Row],[PO Material Aktual 
(%)]]&gt;0%,"Proses PO &gt; 50%",IF(Table1[[#This Row],[PO Material Aktual 
(%)]]=0,"Belum PO = 0%"))))</f>
        <v>Selesai PO = 100%</v>
      </c>
      <c r="EI7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6" s="330">
        <v>45572</v>
      </c>
      <c r="EK76" s="330" t="e">
        <v>#N/A</v>
      </c>
      <c r="EL76" s="330">
        <v>45620</v>
      </c>
      <c r="EM76" s="330" t="e">
        <v>#N/A</v>
      </c>
      <c r="EN76" s="331"/>
      <c r="EO76" s="332"/>
      <c r="EP76" s="332"/>
      <c r="EQ76" s="88" t="b">
        <v>0</v>
      </c>
      <c r="ER76" s="88" t="b">
        <v>0</v>
      </c>
      <c r="ES76" s="316" t="str">
        <f>IF(Table1[[#This Row],[Progres MOS]]&gt;=100%,"Selesai MOS = 100%",IF(Table1[[#This Row],[Progres MOS]]&gt;=50%,"Proses MOS &gt; 100%",IF(Table1[[#This Row],[Progres MOS]]&gt;0%,"Proses MOS &gt; 50%",IF(Table1[[#This Row],[Progres MOS]]=0,"Belum MOS = 0%"))))</f>
        <v>Selesai MOS = 100%</v>
      </c>
      <c r="ET7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6" s="47"/>
      <c r="EV76" s="330">
        <v>45544</v>
      </c>
      <c r="EW76" s="330" t="e">
        <v>#N/A</v>
      </c>
      <c r="EX76" s="330">
        <v>45620</v>
      </c>
      <c r="EY76" s="330" t="e">
        <v>#N/A</v>
      </c>
      <c r="EZ76" s="384" t="s">
        <v>298</v>
      </c>
      <c r="FA76" s="385" t="s">
        <v>389</v>
      </c>
      <c r="FB76" s="386" t="s">
        <v>260</v>
      </c>
      <c r="FC76" s="330">
        <v>45796</v>
      </c>
      <c r="FD76" s="386" t="s">
        <v>260</v>
      </c>
      <c r="FE76" s="386">
        <v>45895</v>
      </c>
      <c r="FF76" s="386">
        <v>45944</v>
      </c>
      <c r="FG76" s="386" t="s">
        <v>260</v>
      </c>
      <c r="FH76" s="386" t="s">
        <v>260</v>
      </c>
      <c r="FI76" s="386">
        <v>46021</v>
      </c>
      <c r="FJ76" s="386" t="s">
        <v>260</v>
      </c>
      <c r="FK76" s="386"/>
      <c r="FL76" s="336" t="s">
        <v>298</v>
      </c>
      <c r="FM76" s="336">
        <v>45796</v>
      </c>
      <c r="FN76" s="314">
        <f>IF(Table1[[#This Row],[Tanggal Pengajuan Dokumen]]="","",Table1[[#This Row],[PLAN PERMIT
start]]-Table1[[#This Row],[Tanggal Pengajuan Dokumen]])</f>
        <v>-252</v>
      </c>
      <c r="FO76" s="336"/>
      <c r="FP76" s="367"/>
      <c r="FQ76" s="366"/>
      <c r="FR76" s="384"/>
      <c r="FS76" s="338" t="str">
        <f t="shared" si="7"/>
        <v>On Going</v>
      </c>
      <c r="FT76"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6" s="387">
        <f ca="1">IF(Table1[[#This Row],[Status Izin]]="Selesai",Table1[[#This Row],[PLAN PERMIT
finish]]-Table1[[#This Row],[Tanggal Terbit/ Target Izin Terbit]],ROUNDUP(Table1[[#This Row],[PLAN PERMIT
finish]]-NOW(),0))</f>
        <v>-571</v>
      </c>
      <c r="FV76"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6" s="387"/>
      <c r="FX76" s="47"/>
      <c r="FY76" s="340"/>
      <c r="FZ76" s="341"/>
      <c r="GA7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6" s="330">
        <v>45594</v>
      </c>
      <c r="GC76" s="384"/>
      <c r="GD76"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6" s="330">
        <v>45601</v>
      </c>
      <c r="GF76" s="384"/>
      <c r="GG76"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6" s="330">
        <v>45607</v>
      </c>
      <c r="GI76" s="330">
        <v>45613</v>
      </c>
      <c r="GJ76" s="415"/>
      <c r="GK76"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6" s="330">
        <v>45621</v>
      </c>
      <c r="GM76" s="330" t="e">
        <v>#N/A</v>
      </c>
      <c r="GN76" s="330">
        <v>45641</v>
      </c>
      <c r="GO76" s="330" t="e">
        <v>#N/A</v>
      </c>
      <c r="GP76" s="367"/>
      <c r="GQ76"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6" s="386" t="s">
        <v>261</v>
      </c>
      <c r="GS76" s="386" t="s">
        <v>261</v>
      </c>
      <c r="GT76" s="390"/>
      <c r="GU76" s="387" t="str">
        <f>IF(Table1[[#This Row],[Hydro Tes Actual
(tanggal)]]&lt;&gt;"","Sudah","Belum")</f>
        <v>Belum</v>
      </c>
      <c r="GV76" s="386" t="s">
        <v>261</v>
      </c>
      <c r="GW76" s="386" t="s">
        <v>261</v>
      </c>
      <c r="GX76" s="388"/>
      <c r="GY76" s="344" t="str">
        <f>IF(Table1[[#This Row],[Interkoneksi Actual
(tanggal)]]&lt;&gt;"","Sudah","Belum")</f>
        <v>Belum</v>
      </c>
      <c r="GZ76" s="386" t="s">
        <v>261</v>
      </c>
      <c r="HA76" s="386" t="s">
        <v>261</v>
      </c>
      <c r="HB76" s="388"/>
      <c r="HC76" s="344" t="str">
        <f>IF(Table1[[#This Row],[Flushing Actual
(tanggal)]]&lt;&gt;"","Sudah","Belum")</f>
        <v>Belum</v>
      </c>
      <c r="HD76" s="330">
        <v>45628</v>
      </c>
      <c r="HE76" s="330" t="e">
        <v>#N/A</v>
      </c>
      <c r="HF76" s="330">
        <v>45634</v>
      </c>
      <c r="HG76" s="416"/>
      <c r="HH76"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6" s="386" t="s">
        <v>261</v>
      </c>
      <c r="HJ76" s="386" t="s">
        <v>261</v>
      </c>
      <c r="HK76" s="388"/>
      <c r="HL76" s="367"/>
      <c r="HM76" s="330">
        <v>45646</v>
      </c>
      <c r="HN76" s="330">
        <v>45646</v>
      </c>
      <c r="HO76" s="330" t="e">
        <v>#N/A</v>
      </c>
      <c r="HP76" s="417"/>
      <c r="HQ76"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76" s="330">
        <v>45653</v>
      </c>
      <c r="HS76" s="330"/>
      <c r="HT76" s="330">
        <v>45653</v>
      </c>
      <c r="HU76" s="527"/>
      <c r="HV76" s="386"/>
      <c r="HW76"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76" s="47"/>
      <c r="HY76" s="384"/>
      <c r="HZ76" s="384"/>
      <c r="IB76" s="618">
        <f>IFERROR(ROUND((Table1[[#This Row],[PLAN TC
finish]]-Table1[[#This Row],[PLAN MC-0
start]])/30,2),"")</f>
        <v>0.9</v>
      </c>
      <c r="IC76">
        <f>DATEDIF(Table1[[#This Row],[PLAN MC-0
start]],Table1[[#This Row],[PLAN TC
finish]],"m")</f>
        <v>0</v>
      </c>
    </row>
    <row r="77" spans="1:237" s="30" customFormat="1" ht="15" hidden="1" customHeight="1" x14ac:dyDescent="0.2">
      <c r="A77" s="77"/>
      <c r="B77" s="311">
        <f>SUBTOTAL(3,$D$5:D77)</f>
        <v>41</v>
      </c>
      <c r="C77" s="362">
        <v>73</v>
      </c>
      <c r="D77" s="363" t="s">
        <v>244</v>
      </c>
      <c r="E77" s="363" t="s">
        <v>619</v>
      </c>
      <c r="F77" s="363" t="s">
        <v>620</v>
      </c>
      <c r="G77" s="364">
        <v>45752</v>
      </c>
      <c r="H77" s="365" t="s">
        <v>247</v>
      </c>
      <c r="I77" s="363" t="s">
        <v>278</v>
      </c>
      <c r="J77" s="363"/>
      <c r="K77" s="366" t="s">
        <v>249</v>
      </c>
      <c r="L77" s="367" t="s">
        <v>250</v>
      </c>
      <c r="M77" s="367" t="s">
        <v>269</v>
      </c>
      <c r="N77" s="368">
        <v>149</v>
      </c>
      <c r="O77" s="369" t="s">
        <v>252</v>
      </c>
      <c r="P77" s="37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7" s="370" t="s">
        <v>389</v>
      </c>
      <c r="R77" s="88" t="e">
        <v>#N/A</v>
      </c>
      <c r="S77" s="88">
        <v>1</v>
      </c>
      <c r="T77" s="371">
        <f>Table1[[#This Row],[Progres Total Aktual
(%)]]</f>
        <v>0</v>
      </c>
      <c r="U77" s="372">
        <f>Table1[[#This Row],[Progres Aktual
(%)]]-Table1[[#This Row],[Target Progres
(%)]]</f>
        <v>-1</v>
      </c>
      <c r="V77" s="373">
        <f>Table1[[#This Row],["Volume
BA MC-0"]]</f>
        <v>0</v>
      </c>
      <c r="W77" s="374">
        <f>Table1[[#This Row],[Total Panjang Pipa Aktual
(Sum-&gt;)3]]</f>
        <v>0</v>
      </c>
      <c r="X77" s="47"/>
      <c r="Y77" s="375" t="s">
        <v>621</v>
      </c>
      <c r="Z77" s="375">
        <v>206908137</v>
      </c>
      <c r="AA77" s="375">
        <f>ROUND((Table1[[#This Row],[Nilai RAB Jaringan
(Exclude Ppn)]]-Table1[[#This Row],[RAB Perizinan]])*1.11+Table1[[#This Row],[RAB Perizinan]],0)</f>
        <v>0</v>
      </c>
      <c r="AB77" s="370">
        <f>SUM(Table1[[#This Row],[RAB Kegiatan Umum]:[RAB Perizinan]])</f>
        <v>0</v>
      </c>
      <c r="AC77" s="370"/>
      <c r="AD77" s="370"/>
      <c r="AE77" s="370"/>
      <c r="AF77" s="370"/>
      <c r="AG77" s="370">
        <v>40992966</v>
      </c>
      <c r="AH77" s="371" t="e">
        <f>SUM(Table1[[#This Row],[Bobot Keg Umum]:[Bobot Perizinan]])</f>
        <v>#DIV/0!</v>
      </c>
      <c r="AI77" s="371" t="e">
        <f>Table1[[#This Row],[RAB Kegiatan Umum]]/Table1[[#This Row],[Nilai RAB Jaringan
(Exclude Ppn)]]</f>
        <v>#DIV/0!</v>
      </c>
      <c r="AJ77" s="371" t="e">
        <f>Table1[[#This Row],[RAB Pemasangan]]/Table1[[#This Row],[Nilai RAB Jaringan
(Exclude Ppn)]]</f>
        <v>#DIV/0!</v>
      </c>
      <c r="AK77" s="371" t="e">
        <f>Table1[[#This Row],[RAB Pengadaan]]/Table1[[#This Row],[Nilai RAB Jaringan
(Exclude Ppn)]]</f>
        <v>#DIV/0!</v>
      </c>
      <c r="AL77" s="371" t="e">
        <f>Table1[[#This Row],[RAB Perizinan]]/Table1[[#This Row],[Nilai RAB Jaringan
(Exclude Ppn)]]</f>
        <v>#DIV/0!</v>
      </c>
      <c r="AM77" s="47"/>
      <c r="AN77" s="376">
        <v>0</v>
      </c>
      <c r="AO77" s="376">
        <f>SUM(Table1[[#This Row],[Pipa 63 mm]:[Pipa 1,800 mm]])</f>
        <v>0</v>
      </c>
      <c r="AP77" s="376"/>
      <c r="AQ77" s="376"/>
      <c r="AR77" s="376"/>
      <c r="AS77" s="376"/>
      <c r="AT77" s="376"/>
      <c r="AU77" s="376"/>
      <c r="AV77" s="376"/>
      <c r="AW77" s="376"/>
      <c r="AX77" s="376"/>
      <c r="AY77" s="376"/>
      <c r="AZ77" s="376"/>
      <c r="BA77" s="376"/>
      <c r="BB77" s="376"/>
      <c r="BC77" s="376"/>
      <c r="BD77" s="376"/>
      <c r="BE77" s="376"/>
      <c r="BF77" s="376"/>
      <c r="BG77" s="376"/>
      <c r="BH77" s="376"/>
      <c r="BI77" s="376"/>
      <c r="BJ77" s="377">
        <f>SUM(Table1[[#This Row],[Pipa 63 mm2]:[Pipa 1,800 mm21]])</f>
        <v>0</v>
      </c>
      <c r="BK77" s="378"/>
      <c r="BL77" s="378"/>
      <c r="BM77" s="378"/>
      <c r="BN77" s="378"/>
      <c r="BO77" s="378"/>
      <c r="BP77" s="378"/>
      <c r="BQ77" s="378"/>
      <c r="BR77" s="378"/>
      <c r="BS77" s="378"/>
      <c r="BT77" s="378"/>
      <c r="BU77" s="378"/>
      <c r="BV77" s="378"/>
      <c r="BW77" s="378"/>
      <c r="BX77" s="378"/>
      <c r="BY77" s="378"/>
      <c r="BZ77" s="378"/>
      <c r="CA77" s="378"/>
      <c r="CB77" s="378"/>
      <c r="CC77" s="378"/>
      <c r="CD77" s="378"/>
      <c r="CE77" s="378">
        <v>0</v>
      </c>
      <c r="CF77" s="378"/>
      <c r="CG77" s="378"/>
      <c r="CH77" s="378"/>
      <c r="CI77" s="378">
        <f t="shared" si="6"/>
        <v>0</v>
      </c>
      <c r="CJ77" s="378">
        <f>IF((Table1[[#This Row],["Volume
BA MC-0"]]-Table1[[#This Row],[Total Panjang Pipa Aktual
(Sum-&gt;)3]]-Table1[[#This Row],[Total Volume
tidak dapat dipasang]])&gt;=0,Table1[[#This Row],["Volume
BA MC-0"]]-Table1[[#This Row],[Total Panjang Pipa Aktual
(Sum-&gt;)3]]-Table1[[#This Row],[Total Volume
tidak dapat dipasang]],0)</f>
        <v>0</v>
      </c>
      <c r="CK77" s="47"/>
      <c r="CL77" s="379"/>
      <c r="CM77" s="371"/>
      <c r="CN77" s="379"/>
      <c r="CO77" s="379"/>
      <c r="CP7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7" s="380">
        <f>IFERROR(Table1[[#This Row],[Progres Keg. Umum
(%)]]*Table1[[#This Row],[Nilai RAB Jaringan
(file pa aji)]],0)</f>
        <v>0</v>
      </c>
      <c r="CR77" s="380">
        <f>IFERROR(Table1[[#This Row],[Progres MOS
(%)]]*Table1[[#This Row],[Nilai RAB Jaringan
(file pa aji)]],0)</f>
        <v>0</v>
      </c>
      <c r="CS77" s="380">
        <f>IFERROR(Table1[[#This Row],[Progres Pemasangan
(%)]]*Table1[[#This Row],[Nilai RAB Jaringan
(file pa aji)]],0)</f>
        <v>0</v>
      </c>
      <c r="CT77" s="380">
        <f>IFERROR(Table1[[#This Row],[Progres Perizinan
(%)]]*Table1[[#This Row],[Nilai RAB Jaringan
(file pa aji)]],0)</f>
        <v>0</v>
      </c>
      <c r="CU77" s="329">
        <v>0</v>
      </c>
      <c r="CV77" s="329">
        <v>0</v>
      </c>
      <c r="CW77" s="582">
        <v>0</v>
      </c>
      <c r="CX77" s="329">
        <v>0</v>
      </c>
      <c r="CY77" s="47"/>
      <c r="CZ77" s="330">
        <v>45530</v>
      </c>
      <c r="DA77" s="330">
        <v>45543</v>
      </c>
      <c r="DB77" s="331"/>
      <c r="DC77" s="367"/>
      <c r="DD77" s="375"/>
      <c r="DE7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7" s="331"/>
      <c r="DG77" s="367"/>
      <c r="DH77" s="375"/>
      <c r="DI77"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7" s="330">
        <v>45544</v>
      </c>
      <c r="DK77" s="330">
        <v>45592</v>
      </c>
      <c r="DL77" s="331">
        <v>45640</v>
      </c>
      <c r="DM77" s="381" t="s">
        <v>622</v>
      </c>
      <c r="DN7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7" s="331">
        <v>45650</v>
      </c>
      <c r="DP77" s="367" t="s">
        <v>623</v>
      </c>
      <c r="DQ77" s="366" t="s">
        <v>433</v>
      </c>
      <c r="DR7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7" s="330">
        <v>45544</v>
      </c>
      <c r="DT77" s="330" t="e">
        <v>#N/A</v>
      </c>
      <c r="DU77" s="330">
        <v>45571</v>
      </c>
      <c r="DV77" s="330" t="e">
        <v>#N/A</v>
      </c>
      <c r="DW77" s="331"/>
      <c r="DX77" s="367"/>
      <c r="DY77" s="382"/>
      <c r="DZ77" s="382"/>
      <c r="EA7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7" s="331"/>
      <c r="EC77" s="332"/>
      <c r="ED77" s="332"/>
      <c r="EE77" s="330"/>
      <c r="EF77" s="371" t="b">
        <v>0</v>
      </c>
      <c r="EG77" s="383" t="b">
        <v>0</v>
      </c>
      <c r="EH77" s="316" t="str">
        <f>IF(Table1[[#This Row],[PO Material Aktual 
(%)]]&gt;=100%,"Selesai PO = 100%",IF(Table1[[#This Row],[PO Material Aktual 
(%)]]&gt;=50%,"Proses PO &gt; 100%",IF(Table1[[#This Row],[PO Material Aktual 
(%)]]&gt;0%,"Proses PO &gt; 50%",IF(Table1[[#This Row],[PO Material Aktual 
(%)]]=0,"Belum PO = 0%"))))</f>
        <v>Selesai PO = 100%</v>
      </c>
      <c r="EI7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7" s="330">
        <v>45572</v>
      </c>
      <c r="EK77" s="330" t="e">
        <v>#N/A</v>
      </c>
      <c r="EL77" s="330">
        <v>45620</v>
      </c>
      <c r="EM77" s="330" t="e">
        <v>#N/A</v>
      </c>
      <c r="EN77" s="331"/>
      <c r="EO77" s="332"/>
      <c r="EP77" s="332"/>
      <c r="EQ77" s="88" t="b">
        <v>0</v>
      </c>
      <c r="ER77" s="88" t="b">
        <v>0</v>
      </c>
      <c r="ES77" s="316" t="str">
        <f>IF(Table1[[#This Row],[Progres MOS]]&gt;=100%,"Selesai MOS = 100%",IF(Table1[[#This Row],[Progres MOS]]&gt;=50%,"Proses MOS &gt; 100%",IF(Table1[[#This Row],[Progres MOS]]&gt;0%,"Proses MOS &gt; 50%",IF(Table1[[#This Row],[Progres MOS]]=0,"Belum MOS = 0%"))))</f>
        <v>Selesai MOS = 100%</v>
      </c>
      <c r="ET7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7" s="47"/>
      <c r="EV77" s="330">
        <v>45544</v>
      </c>
      <c r="EW77" s="330" t="e">
        <v>#N/A</v>
      </c>
      <c r="EX77" s="330">
        <v>45620</v>
      </c>
      <c r="EY77" s="330" t="e">
        <v>#N/A</v>
      </c>
      <c r="EZ77" s="384" t="s">
        <v>298</v>
      </c>
      <c r="FA77" s="385" t="s">
        <v>389</v>
      </c>
      <c r="FB77" s="386" t="s">
        <v>260</v>
      </c>
      <c r="FC77" s="330">
        <v>45797</v>
      </c>
      <c r="FD77" s="386" t="s">
        <v>260</v>
      </c>
      <c r="FE77" s="386">
        <v>45884</v>
      </c>
      <c r="FF77" s="386">
        <v>45919</v>
      </c>
      <c r="FG77" s="386" t="s">
        <v>260</v>
      </c>
      <c r="FH77" s="386" t="s">
        <v>260</v>
      </c>
      <c r="FI77" s="386">
        <v>46003</v>
      </c>
      <c r="FJ77" s="386" t="s">
        <v>260</v>
      </c>
      <c r="FK77" s="386"/>
      <c r="FL77" s="336" t="s">
        <v>298</v>
      </c>
      <c r="FM77" s="336">
        <v>45797</v>
      </c>
      <c r="FN77" s="314">
        <f>IF(Table1[[#This Row],[Tanggal Pengajuan Dokumen]]="","",Table1[[#This Row],[PLAN PERMIT
start]]-Table1[[#This Row],[Tanggal Pengajuan Dokumen]])</f>
        <v>-253</v>
      </c>
      <c r="FO77" s="336"/>
      <c r="FP77" s="367"/>
      <c r="FQ77" s="366"/>
      <c r="FR77" s="384"/>
      <c r="FS77" s="338" t="str">
        <f t="shared" si="7"/>
        <v>On Going</v>
      </c>
      <c r="FT77"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7" s="387">
        <f ca="1">IF(Table1[[#This Row],[Status Izin]]="Selesai",Table1[[#This Row],[PLAN PERMIT
finish]]-Table1[[#This Row],[Tanggal Terbit/ Target Izin Terbit]],ROUNDUP(Table1[[#This Row],[PLAN PERMIT
finish]]-NOW(),0))</f>
        <v>-571</v>
      </c>
      <c r="FV77"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7" s="387"/>
      <c r="FX77" s="47"/>
      <c r="FY77" s="340"/>
      <c r="FZ77" s="341"/>
      <c r="GA7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7" s="330">
        <v>45594</v>
      </c>
      <c r="GC77" s="384"/>
      <c r="GD77"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7" s="330">
        <v>45601</v>
      </c>
      <c r="GF77" s="384"/>
      <c r="GG77"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7" s="330">
        <v>45607</v>
      </c>
      <c r="GI77" s="330">
        <v>45613</v>
      </c>
      <c r="GJ77" s="415"/>
      <c r="GK77"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7" s="330">
        <v>45621</v>
      </c>
      <c r="GM77" s="330" t="e">
        <v>#N/A</v>
      </c>
      <c r="GN77" s="330">
        <v>45641</v>
      </c>
      <c r="GO77" s="330" t="e">
        <v>#N/A</v>
      </c>
      <c r="GP77" s="367"/>
      <c r="GQ77"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7" s="386" t="s">
        <v>261</v>
      </c>
      <c r="GS77" s="386" t="s">
        <v>261</v>
      </c>
      <c r="GT77" s="390"/>
      <c r="GU77" s="387" t="str">
        <f>IF(Table1[[#This Row],[Hydro Tes Actual
(tanggal)]]&lt;&gt;"","Sudah","Belum")</f>
        <v>Belum</v>
      </c>
      <c r="GV77" s="386" t="s">
        <v>261</v>
      </c>
      <c r="GW77" s="386" t="s">
        <v>261</v>
      </c>
      <c r="GX77" s="388"/>
      <c r="GY77" s="344" t="str">
        <f>IF(Table1[[#This Row],[Interkoneksi Actual
(tanggal)]]&lt;&gt;"","Sudah","Belum")</f>
        <v>Belum</v>
      </c>
      <c r="GZ77" s="386" t="s">
        <v>261</v>
      </c>
      <c r="HA77" s="386" t="s">
        <v>261</v>
      </c>
      <c r="HB77" s="388"/>
      <c r="HC77" s="344" t="str">
        <f>IF(Table1[[#This Row],[Flushing Actual
(tanggal)]]&lt;&gt;"","Sudah","Belum")</f>
        <v>Belum</v>
      </c>
      <c r="HD77" s="330">
        <v>45628</v>
      </c>
      <c r="HE77" s="330" t="e">
        <v>#N/A</v>
      </c>
      <c r="HF77" s="330">
        <v>45634</v>
      </c>
      <c r="HG77" s="416"/>
      <c r="HH77"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7" s="386" t="s">
        <v>261</v>
      </c>
      <c r="HJ77" s="386" t="s">
        <v>261</v>
      </c>
      <c r="HK77" s="388"/>
      <c r="HL77" s="367"/>
      <c r="HM77" s="330">
        <v>45646</v>
      </c>
      <c r="HN77" s="330">
        <v>45646</v>
      </c>
      <c r="HO77" s="330" t="e">
        <v>#N/A</v>
      </c>
      <c r="HP77" s="417"/>
      <c r="HQ77"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77" s="330">
        <v>45653</v>
      </c>
      <c r="HS77" s="330"/>
      <c r="HT77" s="330">
        <v>45653</v>
      </c>
      <c r="HU77" s="527"/>
      <c r="HV77" s="386"/>
      <c r="HW77"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77" s="47"/>
      <c r="HY77" s="384"/>
      <c r="HZ77" s="384"/>
      <c r="IB77" s="618">
        <f>IFERROR(ROUND((Table1[[#This Row],[PLAN TC
finish]]-Table1[[#This Row],[PLAN MC-0
start]])/30,2),"")</f>
        <v>0.9</v>
      </c>
      <c r="IC77">
        <f>DATEDIF(Table1[[#This Row],[PLAN MC-0
start]],Table1[[#This Row],[PLAN TC
finish]],"m")</f>
        <v>0</v>
      </c>
    </row>
    <row r="78" spans="1:237" s="30" customFormat="1" ht="15" hidden="1" customHeight="1" x14ac:dyDescent="0.2">
      <c r="A78" s="77"/>
      <c r="B78" s="311">
        <f>SUBTOTAL(3,$D$5:D78)</f>
        <v>41</v>
      </c>
      <c r="C78" s="362">
        <v>74</v>
      </c>
      <c r="D78" s="363" t="s">
        <v>244</v>
      </c>
      <c r="E78" s="363" t="s">
        <v>624</v>
      </c>
      <c r="F78" s="363" t="s">
        <v>625</v>
      </c>
      <c r="G78" s="364">
        <v>45752</v>
      </c>
      <c r="H78" s="365" t="s">
        <v>247</v>
      </c>
      <c r="I78" s="363" t="s">
        <v>278</v>
      </c>
      <c r="J78" s="363"/>
      <c r="K78" s="366" t="s">
        <v>249</v>
      </c>
      <c r="L78" s="367" t="s">
        <v>250</v>
      </c>
      <c r="M78" s="367" t="s">
        <v>269</v>
      </c>
      <c r="N78" s="368">
        <v>498</v>
      </c>
      <c r="O78" s="369" t="s">
        <v>252</v>
      </c>
      <c r="P78" s="37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8" s="370" t="s">
        <v>389</v>
      </c>
      <c r="R78" s="88" t="e">
        <v>#N/A</v>
      </c>
      <c r="S78" s="88">
        <v>1</v>
      </c>
      <c r="T78" s="371">
        <f>Table1[[#This Row],[Progres Total Aktual
(%)]]</f>
        <v>0</v>
      </c>
      <c r="U78" s="372">
        <f>Table1[[#This Row],[Progres Aktual
(%)]]-Table1[[#This Row],[Target Progres
(%)]]</f>
        <v>-1</v>
      </c>
      <c r="V78" s="373">
        <f>Table1[[#This Row],["Volume
BA MC-0"]]</f>
        <v>0</v>
      </c>
      <c r="W78" s="374">
        <f>Table1[[#This Row],[Total Panjang Pipa Aktual
(Sum-&gt;)3]]</f>
        <v>0</v>
      </c>
      <c r="X78" s="47"/>
      <c r="Y78" s="375" t="s">
        <v>626</v>
      </c>
      <c r="Z78" s="375">
        <v>832074435</v>
      </c>
      <c r="AA78" s="375">
        <f>ROUND((Table1[[#This Row],[Nilai RAB Jaringan
(Exclude Ppn)]]-Table1[[#This Row],[RAB Perizinan]])*1.11+Table1[[#This Row],[RAB Perizinan]],0)</f>
        <v>0</v>
      </c>
      <c r="AB78" s="370">
        <f>SUM(Table1[[#This Row],[RAB Kegiatan Umum]:[RAB Perizinan]])</f>
        <v>0</v>
      </c>
      <c r="AC78" s="370"/>
      <c r="AD78" s="370"/>
      <c r="AE78" s="370"/>
      <c r="AF78" s="370"/>
      <c r="AG78" s="370">
        <v>102482415</v>
      </c>
      <c r="AH78" s="371" t="e">
        <f>SUM(Table1[[#This Row],[Bobot Keg Umum]:[Bobot Perizinan]])</f>
        <v>#DIV/0!</v>
      </c>
      <c r="AI78" s="371" t="e">
        <f>Table1[[#This Row],[RAB Kegiatan Umum]]/Table1[[#This Row],[Nilai RAB Jaringan
(Exclude Ppn)]]</f>
        <v>#DIV/0!</v>
      </c>
      <c r="AJ78" s="371" t="e">
        <f>Table1[[#This Row],[RAB Pemasangan]]/Table1[[#This Row],[Nilai RAB Jaringan
(Exclude Ppn)]]</f>
        <v>#DIV/0!</v>
      </c>
      <c r="AK78" s="371" t="e">
        <f>Table1[[#This Row],[RAB Pengadaan]]/Table1[[#This Row],[Nilai RAB Jaringan
(Exclude Ppn)]]</f>
        <v>#DIV/0!</v>
      </c>
      <c r="AL78" s="371" t="e">
        <f>Table1[[#This Row],[RAB Perizinan]]/Table1[[#This Row],[Nilai RAB Jaringan
(Exclude Ppn)]]</f>
        <v>#DIV/0!</v>
      </c>
      <c r="AM78" s="47"/>
      <c r="AN78" s="376">
        <v>0</v>
      </c>
      <c r="AO78" s="376">
        <f>SUM(Table1[[#This Row],[Pipa 63 mm]:[Pipa 1,800 mm]])</f>
        <v>0</v>
      </c>
      <c r="AP78" s="376"/>
      <c r="AQ78" s="376"/>
      <c r="AR78" s="376"/>
      <c r="AS78" s="376"/>
      <c r="AT78" s="376"/>
      <c r="AU78" s="376"/>
      <c r="AV78" s="376"/>
      <c r="AW78" s="376"/>
      <c r="AX78" s="376"/>
      <c r="AY78" s="376"/>
      <c r="AZ78" s="376"/>
      <c r="BA78" s="376"/>
      <c r="BB78" s="376"/>
      <c r="BC78" s="376"/>
      <c r="BD78" s="376"/>
      <c r="BE78" s="376"/>
      <c r="BF78" s="376"/>
      <c r="BG78" s="376"/>
      <c r="BH78" s="376"/>
      <c r="BI78" s="376"/>
      <c r="BJ78" s="377">
        <f>SUM(Table1[[#This Row],[Pipa 63 mm2]:[Pipa 1,800 mm21]])</f>
        <v>0</v>
      </c>
      <c r="BK78" s="378"/>
      <c r="BL78" s="378"/>
      <c r="BM78" s="378"/>
      <c r="BN78" s="378"/>
      <c r="BO78" s="378"/>
      <c r="BP78" s="378"/>
      <c r="BQ78" s="378"/>
      <c r="BR78" s="378"/>
      <c r="BS78" s="378"/>
      <c r="BT78" s="378"/>
      <c r="BU78" s="378"/>
      <c r="BV78" s="378"/>
      <c r="BW78" s="378"/>
      <c r="BX78" s="378"/>
      <c r="BY78" s="378"/>
      <c r="BZ78" s="378"/>
      <c r="CA78" s="378"/>
      <c r="CB78" s="378"/>
      <c r="CC78" s="378"/>
      <c r="CD78" s="378"/>
      <c r="CE78" s="378">
        <v>0</v>
      </c>
      <c r="CF78" s="378"/>
      <c r="CG78" s="378"/>
      <c r="CH78" s="378"/>
      <c r="CI78" s="378">
        <f t="shared" si="6"/>
        <v>0</v>
      </c>
      <c r="CJ78" s="378">
        <f>IF((Table1[[#This Row],["Volume
BA MC-0"]]-Table1[[#This Row],[Total Panjang Pipa Aktual
(Sum-&gt;)3]]-Table1[[#This Row],[Total Volume
tidak dapat dipasang]])&gt;=0,Table1[[#This Row],["Volume
BA MC-0"]]-Table1[[#This Row],[Total Panjang Pipa Aktual
(Sum-&gt;)3]]-Table1[[#This Row],[Total Volume
tidak dapat dipasang]],0)</f>
        <v>0</v>
      </c>
      <c r="CK78" s="47"/>
      <c r="CL78" s="379"/>
      <c r="CM78" s="371"/>
      <c r="CN78" s="379"/>
      <c r="CO78" s="379"/>
      <c r="CP7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8" s="380">
        <f>IFERROR(Table1[[#This Row],[Progres Keg. Umum
(%)]]*Table1[[#This Row],[Nilai RAB Jaringan
(file pa aji)]],0)</f>
        <v>0</v>
      </c>
      <c r="CR78" s="380">
        <f>IFERROR(Table1[[#This Row],[Progres MOS
(%)]]*Table1[[#This Row],[Nilai RAB Jaringan
(file pa aji)]],0)</f>
        <v>0</v>
      </c>
      <c r="CS78" s="380">
        <f>IFERROR(Table1[[#This Row],[Progres Pemasangan
(%)]]*Table1[[#This Row],[Nilai RAB Jaringan
(file pa aji)]],0)</f>
        <v>0</v>
      </c>
      <c r="CT78" s="380">
        <f>IFERROR(Table1[[#This Row],[Progres Perizinan
(%)]]*Table1[[#This Row],[Nilai RAB Jaringan
(file pa aji)]],0)</f>
        <v>0</v>
      </c>
      <c r="CU78" s="329">
        <v>0</v>
      </c>
      <c r="CV78" s="329">
        <v>0</v>
      </c>
      <c r="CW78" s="582">
        <v>0</v>
      </c>
      <c r="CX78" s="329">
        <v>0</v>
      </c>
      <c r="CY78" s="47"/>
      <c r="CZ78" s="330">
        <v>45530</v>
      </c>
      <c r="DA78" s="330">
        <v>45557</v>
      </c>
      <c r="DB78" s="331"/>
      <c r="DC78" s="367"/>
      <c r="DD78" s="375"/>
      <c r="DE7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8" s="331"/>
      <c r="DG78" s="367"/>
      <c r="DH78" s="375"/>
      <c r="DI78"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8" s="330">
        <v>45558</v>
      </c>
      <c r="DK78" s="330">
        <v>45592</v>
      </c>
      <c r="DL78" s="331">
        <v>45640</v>
      </c>
      <c r="DM78" s="381" t="s">
        <v>627</v>
      </c>
      <c r="DN7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8" s="331">
        <v>45650</v>
      </c>
      <c r="DP78" s="367" t="s">
        <v>628</v>
      </c>
      <c r="DQ78" s="366" t="s">
        <v>433</v>
      </c>
      <c r="DR7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8" s="330">
        <v>45558</v>
      </c>
      <c r="DT78" s="330" t="e">
        <v>#N/A</v>
      </c>
      <c r="DU78" s="330">
        <v>45599</v>
      </c>
      <c r="DV78" s="330" t="e">
        <v>#N/A</v>
      </c>
      <c r="DW78" s="331"/>
      <c r="DX78" s="367"/>
      <c r="DY78" s="382"/>
      <c r="DZ78" s="382"/>
      <c r="EA7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8" s="331"/>
      <c r="EC78" s="332"/>
      <c r="ED78" s="332"/>
      <c r="EE78" s="330"/>
      <c r="EF78" s="371" t="b">
        <v>0</v>
      </c>
      <c r="EG78" s="383" t="b">
        <v>0</v>
      </c>
      <c r="EH78" s="316" t="str">
        <f>IF(Table1[[#This Row],[PO Material Aktual 
(%)]]&gt;=100%,"Selesai PO = 100%",IF(Table1[[#This Row],[PO Material Aktual 
(%)]]&gt;=50%,"Proses PO &gt; 100%",IF(Table1[[#This Row],[PO Material Aktual 
(%)]]&gt;0%,"Proses PO &gt; 50%",IF(Table1[[#This Row],[PO Material Aktual 
(%)]]=0,"Belum PO = 0%"))))</f>
        <v>Selesai PO = 100%</v>
      </c>
      <c r="EI7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8" s="330">
        <v>45600</v>
      </c>
      <c r="EK78" s="330" t="e">
        <v>#N/A</v>
      </c>
      <c r="EL78" s="330">
        <v>45655</v>
      </c>
      <c r="EM78" s="330" t="e">
        <v>#N/A</v>
      </c>
      <c r="EN78" s="331"/>
      <c r="EO78" s="332"/>
      <c r="EP78" s="332"/>
      <c r="EQ78" s="88" t="b">
        <v>0</v>
      </c>
      <c r="ER78" s="88" t="b">
        <v>0</v>
      </c>
      <c r="ES78" s="316" t="str">
        <f>IF(Table1[[#This Row],[Progres MOS]]&gt;=100%,"Selesai MOS = 100%",IF(Table1[[#This Row],[Progres MOS]]&gt;=50%,"Proses MOS &gt; 100%",IF(Table1[[#This Row],[Progres MOS]]&gt;0%,"Proses MOS &gt; 50%",IF(Table1[[#This Row],[Progres MOS]]=0,"Belum MOS = 0%"))))</f>
        <v>Selesai MOS = 100%</v>
      </c>
      <c r="ET7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8" s="47"/>
      <c r="EV78" s="330">
        <v>45558</v>
      </c>
      <c r="EW78" s="330" t="e">
        <v>#N/A</v>
      </c>
      <c r="EX78" s="330">
        <v>45620</v>
      </c>
      <c r="EY78" s="330" t="e">
        <v>#N/A</v>
      </c>
      <c r="EZ78" s="384" t="s">
        <v>298</v>
      </c>
      <c r="FA78" s="385" t="s">
        <v>389</v>
      </c>
      <c r="FB78" s="388"/>
      <c r="FC78" s="330"/>
      <c r="FD78" s="388"/>
      <c r="FE78" s="388"/>
      <c r="FF78" s="388"/>
      <c r="FG78" s="388"/>
      <c r="FH78" s="388"/>
      <c r="FI78" s="388"/>
      <c r="FJ78" s="388"/>
      <c r="FK78" s="388"/>
      <c r="FL78" s="384" t="s">
        <v>298</v>
      </c>
      <c r="FM78" s="336"/>
      <c r="FN78" s="314" t="str">
        <f>IF(Table1[[#This Row],[Tanggal Pengajuan Dokumen]]="","",Table1[[#This Row],[PLAN PERMIT
start]]-Table1[[#This Row],[Tanggal Pengajuan Dokumen]])</f>
        <v/>
      </c>
      <c r="FO78" s="336"/>
      <c r="FP78" s="367"/>
      <c r="FQ78" s="366"/>
      <c r="FR78" s="384"/>
      <c r="FS78" s="338" t="str">
        <f t="shared" si="7"/>
        <v>On Going</v>
      </c>
      <c r="FT78"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8" s="387">
        <f ca="1">IF(Table1[[#This Row],[Status Izin]]="Selesai",Table1[[#This Row],[PLAN PERMIT
finish]]-Table1[[#This Row],[Tanggal Terbit/ Target Izin Terbit]],ROUNDUP(Table1[[#This Row],[PLAN PERMIT
finish]]-NOW(),0))</f>
        <v>-571</v>
      </c>
      <c r="FV78"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8" s="387"/>
      <c r="FX78" s="47"/>
      <c r="FY78" s="340"/>
      <c r="FZ78" s="341"/>
      <c r="GA7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8" s="330">
        <v>45594</v>
      </c>
      <c r="GC78" s="384"/>
      <c r="GD78"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8" s="330">
        <v>45601</v>
      </c>
      <c r="GF78" s="384"/>
      <c r="GG78"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8" s="330">
        <v>45607</v>
      </c>
      <c r="GI78" s="330">
        <v>45613</v>
      </c>
      <c r="GJ78" s="415"/>
      <c r="GK78"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8" s="330">
        <v>45621</v>
      </c>
      <c r="GM78" s="330" t="e">
        <v>#N/A</v>
      </c>
      <c r="GN78" s="330">
        <v>45690</v>
      </c>
      <c r="GO78" s="330" t="e">
        <v>#N/A</v>
      </c>
      <c r="GP78" s="367"/>
      <c r="GQ78"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8" s="386" t="s">
        <v>261</v>
      </c>
      <c r="GS78" s="386" t="s">
        <v>261</v>
      </c>
      <c r="GT78" s="390"/>
      <c r="GU78" s="387" t="str">
        <f>IF(Table1[[#This Row],[Hydro Tes Actual
(tanggal)]]&lt;&gt;"","Sudah","Belum")</f>
        <v>Belum</v>
      </c>
      <c r="GV78" s="386" t="s">
        <v>261</v>
      </c>
      <c r="GW78" s="386" t="s">
        <v>261</v>
      </c>
      <c r="GX78" s="388"/>
      <c r="GY78" s="344" t="str">
        <f>IF(Table1[[#This Row],[Interkoneksi Actual
(tanggal)]]&lt;&gt;"","Sudah","Belum")</f>
        <v>Belum</v>
      </c>
      <c r="GZ78" s="386" t="s">
        <v>261</v>
      </c>
      <c r="HA78" s="386" t="s">
        <v>261</v>
      </c>
      <c r="HB78" s="388"/>
      <c r="HC78" s="344" t="str">
        <f>IF(Table1[[#This Row],[Flushing Actual
(tanggal)]]&lt;&gt;"","Sudah","Belum")</f>
        <v>Belum</v>
      </c>
      <c r="HD78" s="330">
        <v>45677</v>
      </c>
      <c r="HE78" s="330" t="e">
        <v>#N/A</v>
      </c>
      <c r="HF78" s="330">
        <v>45683</v>
      </c>
      <c r="HG78" s="416"/>
      <c r="HH78"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8" s="386" t="s">
        <v>261</v>
      </c>
      <c r="HJ78" s="386" t="s">
        <v>261</v>
      </c>
      <c r="HK78" s="388"/>
      <c r="HL78" s="367"/>
      <c r="HM78" s="330">
        <v>45702</v>
      </c>
      <c r="HN78" s="330">
        <v>45702</v>
      </c>
      <c r="HO78" s="330" t="e">
        <v>#N/A</v>
      </c>
      <c r="HP78" s="417"/>
      <c r="HQ78"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78" s="330">
        <v>45709</v>
      </c>
      <c r="HS78" s="330"/>
      <c r="HT78" s="330">
        <v>45709</v>
      </c>
      <c r="HU78" s="527"/>
      <c r="HV78" s="386"/>
      <c r="HW78"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78" s="47"/>
      <c r="HY78" s="384"/>
      <c r="HZ78" s="384"/>
      <c r="IB78" s="618">
        <f>IFERROR(ROUND((Table1[[#This Row],[PLAN TC
finish]]-Table1[[#This Row],[PLAN MC-0
start]])/30,2),"")</f>
        <v>2.5299999999999998</v>
      </c>
      <c r="IC78">
        <f>DATEDIF(Table1[[#This Row],[PLAN MC-0
start]],Table1[[#This Row],[PLAN TC
finish]],"m")</f>
        <v>2</v>
      </c>
    </row>
    <row r="79" spans="1:237" s="4" customFormat="1" ht="15" customHeight="1" x14ac:dyDescent="0.2">
      <c r="B79" s="311">
        <f>SUBTOTAL(3,$D$5:D79)</f>
        <v>42</v>
      </c>
      <c r="C79" s="348">
        <v>75</v>
      </c>
      <c r="D79" s="338" t="s">
        <v>629</v>
      </c>
      <c r="E79" s="315" t="s">
        <v>630</v>
      </c>
      <c r="F79" s="315" t="s">
        <v>631</v>
      </c>
      <c r="G79" s="349">
        <v>45752</v>
      </c>
      <c r="H79" s="314" t="s">
        <v>247</v>
      </c>
      <c r="I79" s="315" t="s">
        <v>278</v>
      </c>
      <c r="J79" s="315"/>
      <c r="K79" s="338" t="s">
        <v>632</v>
      </c>
      <c r="L79" s="316" t="s">
        <v>250</v>
      </c>
      <c r="M79" s="316" t="s">
        <v>269</v>
      </c>
      <c r="N79" s="107">
        <v>140</v>
      </c>
      <c r="O79" s="31" t="s">
        <v>252</v>
      </c>
      <c r="P7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9" s="87" t="e">
        <v>#N/A</v>
      </c>
      <c r="S79" s="87">
        <v>1</v>
      </c>
      <c r="T79" s="35">
        <f>Table1[[#This Row],[Progres Total Aktual
(%)]]</f>
        <v>1</v>
      </c>
      <c r="U79" s="124">
        <f>Table1[[#This Row],[Progres Aktual
(%)]]-Table1[[#This Row],[Target Progres
(%)]]</f>
        <v>0</v>
      </c>
      <c r="V79" s="350">
        <f>Table1[[#This Row],["Volume
BA MC-0"]]</f>
        <v>145</v>
      </c>
      <c r="W79" s="351">
        <f>Table1[[#This Row],[Total Panjang Pipa Aktual
(Sum-&gt;)3]]</f>
        <v>145</v>
      </c>
      <c r="X79" s="47"/>
      <c r="Y79" s="67" t="s">
        <v>633</v>
      </c>
      <c r="Z79" s="67">
        <v>233287930</v>
      </c>
      <c r="AA79" s="67">
        <f>ROUND((Table1[[#This Row],[Nilai RAB Jaringan
(Exclude Ppn)]]-Table1[[#This Row],[RAB Perizinan]])*1.11+Table1[[#This Row],[RAB Perizinan]],0)</f>
        <v>0</v>
      </c>
      <c r="AB79" s="320">
        <f>SUM(Table1[[#This Row],[RAB Kegiatan Umum]:[RAB Perizinan]])</f>
        <v>0</v>
      </c>
      <c r="AC79" s="320"/>
      <c r="AD79" s="320"/>
      <c r="AE79" s="320"/>
      <c r="AF79" s="320"/>
      <c r="AG79" s="320">
        <v>20496483</v>
      </c>
      <c r="AH79" s="35" t="e">
        <f>SUM(Table1[[#This Row],[Bobot Keg Umum]:[Bobot Perizinan]])</f>
        <v>#DIV/0!</v>
      </c>
      <c r="AI79" s="35" t="e">
        <f>Table1[[#This Row],[RAB Kegiatan Umum]]/Table1[[#This Row],[Nilai RAB Jaringan
(Exclude Ppn)]]</f>
        <v>#DIV/0!</v>
      </c>
      <c r="AJ79" s="35" t="e">
        <f>Table1[[#This Row],[RAB Pemasangan]]/Table1[[#This Row],[Nilai RAB Jaringan
(Exclude Ppn)]]</f>
        <v>#DIV/0!</v>
      </c>
      <c r="AK79" s="35" t="e">
        <f>Table1[[#This Row],[RAB Pengadaan]]/Table1[[#This Row],[Nilai RAB Jaringan
(Exclude Ppn)]]</f>
        <v>#DIV/0!</v>
      </c>
      <c r="AL79" s="35" t="e">
        <f>Table1[[#This Row],[RAB Perizinan]]/Table1[[#This Row],[Nilai RAB Jaringan
(Exclude Ppn)]]</f>
        <v>#DIV/0!</v>
      </c>
      <c r="AM79" s="47"/>
      <c r="AN79" s="285">
        <v>145</v>
      </c>
      <c r="AO79" s="285">
        <f>SUM(Table1[[#This Row],[Pipa 63 mm]:[Pipa 1,800 mm]])</f>
        <v>145</v>
      </c>
      <c r="AP79" s="285">
        <v>145</v>
      </c>
      <c r="AQ79" s="285"/>
      <c r="AR79" s="285"/>
      <c r="AS79" s="285"/>
      <c r="AT79" s="285"/>
      <c r="AU79" s="285"/>
      <c r="AV79" s="285"/>
      <c r="AW79" s="285"/>
      <c r="AX79" s="285"/>
      <c r="AY79" s="285"/>
      <c r="AZ79" s="285"/>
      <c r="BA79" s="285"/>
      <c r="BB79" s="285"/>
      <c r="BC79" s="285"/>
      <c r="BD79" s="285"/>
      <c r="BE79" s="285"/>
      <c r="BF79" s="285"/>
      <c r="BG79" s="285"/>
      <c r="BH79" s="285"/>
      <c r="BI79" s="285"/>
      <c r="BJ79" s="36">
        <f>SUM(Table1[[#This Row],[Pipa 63 mm2]:[Pipa 1,800 mm21]])</f>
        <v>145</v>
      </c>
      <c r="BK79" s="32">
        <v>145</v>
      </c>
      <c r="BL79" s="32"/>
      <c r="BM79" s="32"/>
      <c r="BN79" s="32"/>
      <c r="BO79" s="32"/>
      <c r="BP79" s="32"/>
      <c r="BQ79" s="32"/>
      <c r="BR79" s="32"/>
      <c r="BS79" s="32"/>
      <c r="BT79" s="32"/>
      <c r="BU79" s="32"/>
      <c r="BV79" s="32"/>
      <c r="BW79" s="32"/>
      <c r="BX79" s="32"/>
      <c r="BY79" s="32"/>
      <c r="BZ79" s="32"/>
      <c r="CA79" s="32"/>
      <c r="CB79" s="32"/>
      <c r="CC79" s="32"/>
      <c r="CD79" s="32"/>
      <c r="CE79" s="32">
        <v>0</v>
      </c>
      <c r="CF79" s="32"/>
      <c r="CG79" s="32"/>
      <c r="CH79" s="32"/>
      <c r="CI79" s="32">
        <f t="shared" si="6"/>
        <v>0</v>
      </c>
      <c r="CJ79" s="65">
        <f>IF((Table1[[#This Row],["Volume
BA MC-0"]]-Table1[[#This Row],[Total Panjang Pipa Aktual
(Sum-&gt;)3]]-Table1[[#This Row],[Total Volume
tidak dapat dipasang]])&gt;=0,Table1[[#This Row],["Volume
BA MC-0"]]-Table1[[#This Row],[Total Panjang Pipa Aktual
(Sum-&gt;)3]]-Table1[[#This Row],[Total Volume
tidak dapat dipasang]],0)</f>
        <v>0</v>
      </c>
      <c r="CK79" s="47"/>
      <c r="CL79" s="131"/>
      <c r="CM79" s="35"/>
      <c r="CN79" s="131"/>
      <c r="CO79" s="131"/>
      <c r="CP7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9" s="66">
        <f>IFERROR(Table1[[#This Row],[Progres Keg. Umum
(%)]]*Table1[[#This Row],[Nilai RAB Jaringan
(file pa aji)]],0)</f>
        <v>0</v>
      </c>
      <c r="CR79" s="66">
        <f>IFERROR(Table1[[#This Row],[Progres MOS
(%)]]*Table1[[#This Row],[Nilai RAB Jaringan
(file pa aji)]],0)</f>
        <v>0</v>
      </c>
      <c r="CS79" s="66">
        <f>IFERROR(Table1[[#This Row],[Progres Pemasangan
(%)]]*Table1[[#This Row],[Nilai RAB Jaringan
(file pa aji)]],0)</f>
        <v>0</v>
      </c>
      <c r="CT79" s="66">
        <f>IFERROR(Table1[[#This Row],[Progres Perizinan
(%)]]*Table1[[#This Row],[Nilai RAB Jaringan
(file pa aji)]],0)</f>
        <v>0</v>
      </c>
      <c r="CU79" s="329">
        <v>236465135</v>
      </c>
      <c r="CV79" s="329">
        <v>236465135</v>
      </c>
      <c r="CW79" s="583">
        <v>236465135</v>
      </c>
      <c r="CX79" s="329">
        <v>236465135</v>
      </c>
      <c r="CY79" s="47"/>
      <c r="CZ79" s="330">
        <v>45411</v>
      </c>
      <c r="DA79" s="330">
        <v>45438</v>
      </c>
      <c r="DB79" s="331"/>
      <c r="DC79" s="316"/>
      <c r="DD79" s="67"/>
      <c r="DE7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9" s="331"/>
      <c r="DG79" s="316"/>
      <c r="DH79" s="67"/>
      <c r="DI7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9" s="330">
        <v>45439</v>
      </c>
      <c r="DK79" s="330">
        <v>45480</v>
      </c>
      <c r="DL79" s="331">
        <v>45447</v>
      </c>
      <c r="DM79" s="316" t="s">
        <v>634</v>
      </c>
      <c r="DN7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79" s="331">
        <v>45448</v>
      </c>
      <c r="DP79" s="316" t="s">
        <v>635</v>
      </c>
      <c r="DQ79" s="338" t="s">
        <v>312</v>
      </c>
      <c r="DR7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79" s="330">
        <v>45439</v>
      </c>
      <c r="DT79" s="330" t="e">
        <v>#N/A</v>
      </c>
      <c r="DU79" s="330">
        <v>45480</v>
      </c>
      <c r="DV79" s="330" t="e">
        <v>#N/A</v>
      </c>
      <c r="DW79" s="331"/>
      <c r="DX79" s="316"/>
      <c r="DY79" s="334"/>
      <c r="DZ79" s="334"/>
      <c r="EA7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9" s="331"/>
      <c r="EC79" s="332"/>
      <c r="ED79" s="332"/>
      <c r="EE79" s="330"/>
      <c r="EF79" s="35">
        <v>1</v>
      </c>
      <c r="EG79" s="337">
        <v>1</v>
      </c>
      <c r="EH79" s="316" t="str">
        <f>IF(Table1[[#This Row],[PO Material Aktual 
(%)]]&gt;=100%,"Selesai PO = 100%",IF(Table1[[#This Row],[PO Material Aktual 
(%)]]&gt;=50%,"Proses PO &gt; 100%",IF(Table1[[#This Row],[PO Material Aktual 
(%)]]&gt;0%,"Proses PO &gt; 50%",IF(Table1[[#This Row],[PO Material Aktual 
(%)]]=0,"Belum PO = 0%"))))</f>
        <v>Selesai PO = 100%</v>
      </c>
      <c r="EI7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9" s="330">
        <v>45481</v>
      </c>
      <c r="EK79" s="330" t="e">
        <v>#N/A</v>
      </c>
      <c r="EL79" s="330">
        <v>45529</v>
      </c>
      <c r="EM79" s="330" t="e">
        <v>#N/A</v>
      </c>
      <c r="EN79" s="331"/>
      <c r="EO79" s="332"/>
      <c r="EP79" s="332"/>
      <c r="EQ79" s="87">
        <v>1</v>
      </c>
      <c r="ER79" s="87">
        <v>1</v>
      </c>
      <c r="ES79" s="316" t="str">
        <f>IF(Table1[[#This Row],[Progres MOS]]&gt;=100%,"Selesai MOS = 100%",IF(Table1[[#This Row],[Progres MOS]]&gt;=50%,"Proses MOS &gt; 100%",IF(Table1[[#This Row],[Progres MOS]]&gt;0%,"Proses MOS &gt; 50%",IF(Table1[[#This Row],[Progres MOS]]=0,"Belum MOS = 0%"))))</f>
        <v>Selesai MOS = 100%</v>
      </c>
      <c r="ET7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9" s="47"/>
      <c r="EV79" s="330">
        <v>45439</v>
      </c>
      <c r="EW79" s="330" t="e">
        <v>#N/A</v>
      </c>
      <c r="EX79" s="330">
        <v>45529</v>
      </c>
      <c r="EY79" s="330" t="e">
        <v>#N/A</v>
      </c>
      <c r="EZ79" s="352" t="s">
        <v>259</v>
      </c>
      <c r="FA79" s="336" t="s">
        <v>259</v>
      </c>
      <c r="FB79" s="330" t="s">
        <v>260</v>
      </c>
      <c r="FC79" s="330">
        <v>45420</v>
      </c>
      <c r="FD79" s="330" t="s">
        <v>260</v>
      </c>
      <c r="FE79" s="330">
        <v>45727</v>
      </c>
      <c r="FF79" s="330">
        <v>45897</v>
      </c>
      <c r="FG79" s="330" t="s">
        <v>260</v>
      </c>
      <c r="FH79" s="330" t="s">
        <v>260</v>
      </c>
      <c r="FI79" s="330">
        <v>45987</v>
      </c>
      <c r="FJ79" s="330" t="s">
        <v>260</v>
      </c>
      <c r="FK79" s="330">
        <v>46020</v>
      </c>
      <c r="FL79" s="336" t="s">
        <v>259</v>
      </c>
      <c r="FM79" s="336">
        <v>45420</v>
      </c>
      <c r="FN79" s="314">
        <f>IF(Table1[[#This Row],[Tanggal Pengajuan Dokumen]]="","",Table1[[#This Row],[PLAN PERMIT
start]]-Table1[[#This Row],[Tanggal Pengajuan Dokumen]])</f>
        <v>19</v>
      </c>
      <c r="FO79" s="336"/>
      <c r="FP79" s="316"/>
      <c r="FQ79" s="338"/>
      <c r="FR79" s="352"/>
      <c r="FS79" s="338" t="str">
        <f t="shared" si="7"/>
        <v>Sudah Terbit</v>
      </c>
      <c r="FT7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9" s="344">
        <f ca="1">IF(Table1[[#This Row],[Status Izin]]="Selesai",Table1[[#This Row],[PLAN PERMIT
finish]]-Table1[[#This Row],[Tanggal Terbit/ Target Izin Terbit]],ROUNDUP(Table1[[#This Row],[PLAN PERMIT
finish]]-NOW(),0))</f>
        <v>45529</v>
      </c>
      <c r="FV7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9" s="344"/>
      <c r="FX79" s="47"/>
      <c r="FY79" s="340"/>
      <c r="FZ79" s="341">
        <v>45582</v>
      </c>
      <c r="GA7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79" s="330">
        <v>45503</v>
      </c>
      <c r="GC79" s="352">
        <v>45457</v>
      </c>
      <c r="GD7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79" s="330">
        <v>45510</v>
      </c>
      <c r="GF79" s="352">
        <v>45457</v>
      </c>
      <c r="GG7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79" s="330">
        <v>45516</v>
      </c>
      <c r="GI79" s="330">
        <v>45522</v>
      </c>
      <c r="GJ79" s="352">
        <v>45462</v>
      </c>
      <c r="GK7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79" s="330">
        <v>45530</v>
      </c>
      <c r="GM79" s="330" t="e">
        <v>#N/A</v>
      </c>
      <c r="GN79" s="330">
        <v>45550</v>
      </c>
      <c r="GO79" s="330" t="e">
        <v>#N/A</v>
      </c>
      <c r="GP79" s="316"/>
      <c r="GQ7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9" s="330" t="s">
        <v>261</v>
      </c>
      <c r="GS79" s="330" t="s">
        <v>261</v>
      </c>
      <c r="GT79" s="354">
        <v>45841</v>
      </c>
      <c r="GU79" s="344" t="str">
        <f>IF(Table1[[#This Row],[Hydro Tes Actual
(tanggal)]]&lt;&gt;"","Sudah","Belum")</f>
        <v>Sudah</v>
      </c>
      <c r="GV79" s="330" t="s">
        <v>261</v>
      </c>
      <c r="GW79" s="330" t="s">
        <v>261</v>
      </c>
      <c r="GX79" s="331">
        <v>45849</v>
      </c>
      <c r="GY79" s="344" t="str">
        <f>IF(Table1[[#This Row],[Interkoneksi Actual
(tanggal)]]&lt;&gt;"","Sudah","Belum")</f>
        <v>Sudah</v>
      </c>
      <c r="GZ79" s="330" t="s">
        <v>261</v>
      </c>
      <c r="HA79" s="330" t="s">
        <v>261</v>
      </c>
      <c r="HB79" s="331">
        <v>45856</v>
      </c>
      <c r="HC79" s="344" t="str">
        <f>IF(Table1[[#This Row],[Flushing Actual
(tanggal)]]&lt;&gt;"","Sudah","Belum")</f>
        <v>Sudah</v>
      </c>
      <c r="HD79" s="330">
        <v>45537</v>
      </c>
      <c r="HE79" s="330" t="e">
        <v>#N/A</v>
      </c>
      <c r="HF79" s="330">
        <v>45543</v>
      </c>
      <c r="HG79" s="352">
        <v>45524</v>
      </c>
      <c r="HH7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79" s="330" t="s">
        <v>261</v>
      </c>
      <c r="HJ79" s="330" t="s">
        <v>261</v>
      </c>
      <c r="HK79" s="331"/>
      <c r="HL79" s="316"/>
      <c r="HM79" s="330">
        <v>45555</v>
      </c>
      <c r="HN79" s="330">
        <v>45555</v>
      </c>
      <c r="HO79" s="330" t="e">
        <v>#N/A</v>
      </c>
      <c r="HP79" s="331">
        <v>45524</v>
      </c>
      <c r="HQ7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79" s="330">
        <v>45562</v>
      </c>
      <c r="HS79" s="330"/>
      <c r="HT79" s="330">
        <v>45562</v>
      </c>
      <c r="HU79" s="527"/>
      <c r="HV79" s="330">
        <f>IF(Table1[[#This Row],[MC-100 Aktual
(tanggal)]]&lt;&gt;"",Table1[[#This Row],[MC-100 Aktual
(tanggal)]]+5,"")</f>
        <v>45529</v>
      </c>
      <c r="HW7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79" s="47"/>
      <c r="HY79" s="352"/>
      <c r="HZ79" s="352"/>
      <c r="IB79" s="618">
        <f>IFERROR(ROUND((Table1[[#This Row],[PLAN TC
finish]]-Table1[[#This Row],[PLAN MC-0
start]])/30,2),"")</f>
        <v>0.9</v>
      </c>
      <c r="IC79">
        <f>DATEDIF(Table1[[#This Row],[PLAN MC-0
start]],Table1[[#This Row],[PLAN TC
finish]],"m")</f>
        <v>0</v>
      </c>
    </row>
    <row r="80" spans="1:237" s="4" customFormat="1" ht="15" customHeight="1" x14ac:dyDescent="0.2">
      <c r="B80" s="311">
        <f>SUBTOTAL(3,$D$5:D80)</f>
        <v>43</v>
      </c>
      <c r="C80" s="348">
        <v>76</v>
      </c>
      <c r="D80" s="338" t="s">
        <v>629</v>
      </c>
      <c r="E80" s="315" t="s">
        <v>636</v>
      </c>
      <c r="F80" s="315" t="s">
        <v>637</v>
      </c>
      <c r="G80" s="349">
        <v>45752</v>
      </c>
      <c r="H80" s="314" t="s">
        <v>247</v>
      </c>
      <c r="I80" s="315" t="s">
        <v>278</v>
      </c>
      <c r="J80" s="315"/>
      <c r="K80" s="338" t="s">
        <v>632</v>
      </c>
      <c r="L80" s="316" t="s">
        <v>250</v>
      </c>
      <c r="M80" s="316" t="s">
        <v>269</v>
      </c>
      <c r="N80" s="107">
        <v>349</v>
      </c>
      <c r="O80" s="31" t="s">
        <v>252</v>
      </c>
      <c r="P8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0" s="87" t="e">
        <v>#N/A</v>
      </c>
      <c r="S80" s="87">
        <v>1</v>
      </c>
      <c r="T80" s="35">
        <f>Table1[[#This Row],[Progres Total Aktual
(%)]]</f>
        <v>1</v>
      </c>
      <c r="U80" s="124">
        <f>Table1[[#This Row],[Progres Aktual
(%)]]-Table1[[#This Row],[Target Progres
(%)]]</f>
        <v>0</v>
      </c>
      <c r="V80" s="350">
        <f>Table1[[#This Row],["Volume
BA MC-0"]]</f>
        <v>346</v>
      </c>
      <c r="W80" s="351">
        <f>Table1[[#This Row],[Total Panjang Pipa Aktual
(Sum-&gt;)3]]</f>
        <v>338</v>
      </c>
      <c r="X80" s="47"/>
      <c r="Y80" s="67" t="s">
        <v>638</v>
      </c>
      <c r="Z80" s="67">
        <v>533312925</v>
      </c>
      <c r="AA80" s="67">
        <f>ROUND((Table1[[#This Row],[Nilai RAB Jaringan
(Exclude Ppn)]]-Table1[[#This Row],[RAB Perizinan]])*1.11+Table1[[#This Row],[RAB Perizinan]],0)</f>
        <v>0</v>
      </c>
      <c r="AB80" s="320">
        <f>SUM(Table1[[#This Row],[RAB Kegiatan Umum]:[RAB Perizinan]])</f>
        <v>0</v>
      </c>
      <c r="AC80" s="320"/>
      <c r="AD80" s="320"/>
      <c r="AE80" s="320"/>
      <c r="AF80" s="320"/>
      <c r="AG80" s="320">
        <v>40992966</v>
      </c>
      <c r="AH80" s="35" t="e">
        <f>SUM(Table1[[#This Row],[Bobot Keg Umum]:[Bobot Perizinan]])</f>
        <v>#DIV/0!</v>
      </c>
      <c r="AI80" s="35" t="e">
        <f>Table1[[#This Row],[RAB Kegiatan Umum]]/Table1[[#This Row],[Nilai RAB Jaringan
(Exclude Ppn)]]</f>
        <v>#DIV/0!</v>
      </c>
      <c r="AJ80" s="35" t="e">
        <f>Table1[[#This Row],[RAB Pemasangan]]/Table1[[#This Row],[Nilai RAB Jaringan
(Exclude Ppn)]]</f>
        <v>#DIV/0!</v>
      </c>
      <c r="AK80" s="35" t="e">
        <f>Table1[[#This Row],[RAB Pengadaan]]/Table1[[#This Row],[Nilai RAB Jaringan
(Exclude Ppn)]]</f>
        <v>#DIV/0!</v>
      </c>
      <c r="AL80" s="35" t="e">
        <f>Table1[[#This Row],[RAB Perizinan]]/Table1[[#This Row],[Nilai RAB Jaringan
(Exclude Ppn)]]</f>
        <v>#DIV/0!</v>
      </c>
      <c r="AM80" s="47"/>
      <c r="AN80" s="285">
        <v>346</v>
      </c>
      <c r="AO80" s="285">
        <f>SUM(Table1[[#This Row],[Pipa 63 mm]:[Pipa 1,800 mm]])</f>
        <v>346</v>
      </c>
      <c r="AP80" s="285">
        <v>346</v>
      </c>
      <c r="AQ80" s="285"/>
      <c r="AR80" s="285"/>
      <c r="AS80" s="285"/>
      <c r="AT80" s="285"/>
      <c r="AU80" s="285"/>
      <c r="AV80" s="285"/>
      <c r="AW80" s="285"/>
      <c r="AX80" s="285"/>
      <c r="AY80" s="285"/>
      <c r="AZ80" s="285"/>
      <c r="BA80" s="285"/>
      <c r="BB80" s="285"/>
      <c r="BC80" s="285"/>
      <c r="BD80" s="285"/>
      <c r="BE80" s="285"/>
      <c r="BF80" s="285"/>
      <c r="BG80" s="285"/>
      <c r="BH80" s="285"/>
      <c r="BI80" s="285"/>
      <c r="BJ80" s="36">
        <f>SUM(Table1[[#This Row],[Pipa 63 mm2]:[Pipa 1,800 mm21]])</f>
        <v>338</v>
      </c>
      <c r="BK80" s="32">
        <v>338</v>
      </c>
      <c r="BL80" s="32"/>
      <c r="BM80" s="32"/>
      <c r="BN80" s="32"/>
      <c r="BO80" s="32"/>
      <c r="BP80" s="32"/>
      <c r="BQ80" s="32"/>
      <c r="BR80" s="32"/>
      <c r="BS80" s="32"/>
      <c r="BT80" s="32"/>
      <c r="BU80" s="32"/>
      <c r="BV80" s="32"/>
      <c r="BW80" s="32"/>
      <c r="BX80" s="32"/>
      <c r="BY80" s="32"/>
      <c r="BZ80" s="32"/>
      <c r="CA80" s="32"/>
      <c r="CB80" s="32"/>
      <c r="CC80" s="32"/>
      <c r="CD80" s="32"/>
      <c r="CE80" s="32">
        <v>0</v>
      </c>
      <c r="CF80" s="32"/>
      <c r="CG80" s="32"/>
      <c r="CH80" s="32"/>
      <c r="CI80" s="32">
        <f t="shared" si="6"/>
        <v>0</v>
      </c>
      <c r="CJ80" s="65">
        <f>IF((Table1[[#This Row],["Volume
BA MC-0"]]-Table1[[#This Row],[Total Panjang Pipa Aktual
(Sum-&gt;)3]]-Table1[[#This Row],[Total Volume
tidak dapat dipasang]])&gt;=0,Table1[[#This Row],["Volume
BA MC-0"]]-Table1[[#This Row],[Total Panjang Pipa Aktual
(Sum-&gt;)3]]-Table1[[#This Row],[Total Volume
tidak dapat dipasang]],0)</f>
        <v>8</v>
      </c>
      <c r="CK80" s="47"/>
      <c r="CL80" s="131"/>
      <c r="CM80" s="35"/>
      <c r="CN80" s="131"/>
      <c r="CO80" s="131"/>
      <c r="CP8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0" s="66">
        <f>IFERROR(Table1[[#This Row],[Progres Keg. Umum
(%)]]*Table1[[#This Row],[Nilai RAB Jaringan
(file pa aji)]],0)</f>
        <v>0</v>
      </c>
      <c r="CR80" s="66">
        <f>IFERROR(Table1[[#This Row],[Progres MOS
(%)]]*Table1[[#This Row],[Nilai RAB Jaringan
(file pa aji)]],0)</f>
        <v>0</v>
      </c>
      <c r="CS80" s="66">
        <f>IFERROR(Table1[[#This Row],[Progres Pemasangan
(%)]]*Table1[[#This Row],[Nilai RAB Jaringan
(file pa aji)]],0)</f>
        <v>0</v>
      </c>
      <c r="CT80" s="66">
        <f>IFERROR(Table1[[#This Row],[Progres Perizinan
(%)]]*Table1[[#This Row],[Nilai RAB Jaringan
(file pa aji)]],0)</f>
        <v>0</v>
      </c>
      <c r="CU80" s="329">
        <v>509812803</v>
      </c>
      <c r="CV80" s="329">
        <v>509812803</v>
      </c>
      <c r="CW80" s="583">
        <v>509812803</v>
      </c>
      <c r="CX80" s="329">
        <v>509812803</v>
      </c>
      <c r="CY80" s="47"/>
      <c r="CZ80" s="330">
        <v>45411</v>
      </c>
      <c r="DA80" s="330">
        <v>45438</v>
      </c>
      <c r="DB80" s="331"/>
      <c r="DC80" s="316"/>
      <c r="DD80" s="67"/>
      <c r="DE8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0" s="331"/>
      <c r="DG80" s="316"/>
      <c r="DH80" s="67"/>
      <c r="DI8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0" s="330">
        <v>45439</v>
      </c>
      <c r="DK80" s="330">
        <v>45480</v>
      </c>
      <c r="DL80" s="331">
        <v>45447</v>
      </c>
      <c r="DM80" s="316" t="s">
        <v>639</v>
      </c>
      <c r="DN8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80" s="331">
        <v>45448</v>
      </c>
      <c r="DP80" s="316" t="s">
        <v>640</v>
      </c>
      <c r="DQ80" s="338" t="s">
        <v>312</v>
      </c>
      <c r="DR8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80" s="330">
        <v>45439</v>
      </c>
      <c r="DT80" s="330" t="e">
        <v>#N/A</v>
      </c>
      <c r="DU80" s="330">
        <v>45480</v>
      </c>
      <c r="DV80" s="330" t="e">
        <v>#N/A</v>
      </c>
      <c r="DW80" s="331"/>
      <c r="DX80" s="316"/>
      <c r="DY80" s="334"/>
      <c r="DZ80" s="334"/>
      <c r="EA8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0" s="331"/>
      <c r="EC80" s="332"/>
      <c r="ED80" s="332"/>
      <c r="EE80" s="330"/>
      <c r="EF80" s="35">
        <v>1</v>
      </c>
      <c r="EG80" s="337">
        <v>1</v>
      </c>
      <c r="EH80" s="316" t="str">
        <f>IF(Table1[[#This Row],[PO Material Aktual 
(%)]]&gt;=100%,"Selesai PO = 100%",IF(Table1[[#This Row],[PO Material Aktual 
(%)]]&gt;=50%,"Proses PO &gt; 100%",IF(Table1[[#This Row],[PO Material Aktual 
(%)]]&gt;0%,"Proses PO &gt; 50%",IF(Table1[[#This Row],[PO Material Aktual 
(%)]]=0,"Belum PO = 0%"))))</f>
        <v>Selesai PO = 100%</v>
      </c>
      <c r="EI8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0" s="330">
        <v>45481</v>
      </c>
      <c r="EK80" s="330" t="e">
        <v>#N/A</v>
      </c>
      <c r="EL80" s="330">
        <v>45529</v>
      </c>
      <c r="EM80" s="330" t="e">
        <v>#N/A</v>
      </c>
      <c r="EN80" s="331"/>
      <c r="EO80" s="332"/>
      <c r="EP80" s="332"/>
      <c r="EQ80" s="87">
        <v>1</v>
      </c>
      <c r="ER80" s="87">
        <v>1</v>
      </c>
      <c r="ES80" s="316" t="str">
        <f>IF(Table1[[#This Row],[Progres MOS]]&gt;=100%,"Selesai MOS = 100%",IF(Table1[[#This Row],[Progres MOS]]&gt;=50%,"Proses MOS &gt; 100%",IF(Table1[[#This Row],[Progres MOS]]&gt;0%,"Proses MOS &gt; 50%",IF(Table1[[#This Row],[Progres MOS]]=0,"Belum MOS = 0%"))))</f>
        <v>Selesai MOS = 100%</v>
      </c>
      <c r="ET8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0" s="47"/>
      <c r="EV80" s="330">
        <v>45439</v>
      </c>
      <c r="EW80" s="330" t="e">
        <v>#N/A</v>
      </c>
      <c r="EX80" s="330">
        <v>45529</v>
      </c>
      <c r="EY80" s="330" t="e">
        <v>#N/A</v>
      </c>
      <c r="EZ80" s="352" t="s">
        <v>259</v>
      </c>
      <c r="FA80" s="336" t="s">
        <v>259</v>
      </c>
      <c r="FB80" s="330" t="s">
        <v>260</v>
      </c>
      <c r="FC80" s="330">
        <v>45420</v>
      </c>
      <c r="FD80" s="330" t="s">
        <v>260</v>
      </c>
      <c r="FE80" s="330">
        <v>45727</v>
      </c>
      <c r="FF80" s="330">
        <v>45897</v>
      </c>
      <c r="FG80" s="330" t="s">
        <v>260</v>
      </c>
      <c r="FH80" s="330" t="s">
        <v>260</v>
      </c>
      <c r="FI80" s="330">
        <v>45987</v>
      </c>
      <c r="FJ80" s="330" t="s">
        <v>260</v>
      </c>
      <c r="FK80" s="330">
        <v>46020</v>
      </c>
      <c r="FL80" s="336" t="s">
        <v>259</v>
      </c>
      <c r="FM80" s="336">
        <v>45420</v>
      </c>
      <c r="FN80" s="314">
        <f>IF(Table1[[#This Row],[Tanggal Pengajuan Dokumen]]="","",Table1[[#This Row],[PLAN PERMIT
start]]-Table1[[#This Row],[Tanggal Pengajuan Dokumen]])</f>
        <v>19</v>
      </c>
      <c r="FO80" s="336"/>
      <c r="FP80" s="316"/>
      <c r="FQ80" s="338"/>
      <c r="FR80" s="352"/>
      <c r="FS80" s="338" t="str">
        <f t="shared" si="7"/>
        <v>Sudah Terbit</v>
      </c>
      <c r="FT8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0" s="344">
        <f ca="1">IF(Table1[[#This Row],[Status Izin]]="Selesai",Table1[[#This Row],[PLAN PERMIT
finish]]-Table1[[#This Row],[Tanggal Terbit/ Target Izin Terbit]],ROUNDUP(Table1[[#This Row],[PLAN PERMIT
finish]]-NOW(),0))</f>
        <v>45529</v>
      </c>
      <c r="FV8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0" s="344"/>
      <c r="FX80" s="47"/>
      <c r="FY80" s="340"/>
      <c r="FZ80" s="341">
        <v>45582</v>
      </c>
      <c r="GA8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0" s="330">
        <v>45503</v>
      </c>
      <c r="GC80" s="352">
        <v>45457</v>
      </c>
      <c r="GD8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0" s="330">
        <v>45510</v>
      </c>
      <c r="GF80" s="352">
        <v>45457</v>
      </c>
      <c r="GG8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0" s="330">
        <v>45516</v>
      </c>
      <c r="GI80" s="330">
        <v>45522</v>
      </c>
      <c r="GJ80" s="352">
        <v>45462</v>
      </c>
      <c r="GK8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0" s="330">
        <v>45530</v>
      </c>
      <c r="GM80" s="330" t="e">
        <v>#N/A</v>
      </c>
      <c r="GN80" s="330">
        <v>45550</v>
      </c>
      <c r="GO80" s="330" t="e">
        <v>#N/A</v>
      </c>
      <c r="GP80" s="316"/>
      <c r="GQ8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0" s="330" t="s">
        <v>261</v>
      </c>
      <c r="GS80" s="330" t="s">
        <v>261</v>
      </c>
      <c r="GT80" s="354">
        <v>45842</v>
      </c>
      <c r="GU80" s="344" t="str">
        <f>IF(Table1[[#This Row],[Hydro Tes Actual
(tanggal)]]&lt;&gt;"","Sudah","Belum")</f>
        <v>Sudah</v>
      </c>
      <c r="GV80" s="330" t="s">
        <v>261</v>
      </c>
      <c r="GW80" s="330" t="s">
        <v>261</v>
      </c>
      <c r="GX80" s="331">
        <v>45850</v>
      </c>
      <c r="GY80" s="344" t="str">
        <f>IF(Table1[[#This Row],[Interkoneksi Actual
(tanggal)]]&lt;&gt;"","Sudah","Belum")</f>
        <v>Sudah</v>
      </c>
      <c r="GZ80" s="330" t="s">
        <v>261</v>
      </c>
      <c r="HA80" s="330" t="s">
        <v>261</v>
      </c>
      <c r="HB80" s="331">
        <v>45856</v>
      </c>
      <c r="HC80" s="344" t="str">
        <f>IF(Table1[[#This Row],[Flushing Actual
(tanggal)]]&lt;&gt;"","Sudah","Belum")</f>
        <v>Sudah</v>
      </c>
      <c r="HD80" s="330">
        <v>45537</v>
      </c>
      <c r="HE80" s="330" t="e">
        <v>#N/A</v>
      </c>
      <c r="HF80" s="330">
        <v>45543</v>
      </c>
      <c r="HG80" s="352">
        <v>45524</v>
      </c>
      <c r="HH8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0" s="330" t="s">
        <v>261</v>
      </c>
      <c r="HJ80" s="330" t="s">
        <v>261</v>
      </c>
      <c r="HK80" s="331"/>
      <c r="HL80" s="316"/>
      <c r="HM80" s="330">
        <v>45555</v>
      </c>
      <c r="HN80" s="330">
        <v>45555</v>
      </c>
      <c r="HO80" s="330" t="e">
        <v>#N/A</v>
      </c>
      <c r="HP80" s="331">
        <v>45524</v>
      </c>
      <c r="HQ8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80" s="330">
        <v>45562</v>
      </c>
      <c r="HS80" s="330"/>
      <c r="HT80" s="330">
        <v>45562</v>
      </c>
      <c r="HU80" s="527"/>
      <c r="HV80" s="330">
        <f>IF(Table1[[#This Row],[MC-100 Aktual
(tanggal)]]&lt;&gt;"",Table1[[#This Row],[MC-100 Aktual
(tanggal)]]+5,"")</f>
        <v>45529</v>
      </c>
      <c r="HW8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80" s="47"/>
      <c r="HY80" s="352"/>
      <c r="HZ80" s="352"/>
      <c r="IB80" s="618">
        <f>IFERROR(ROUND((Table1[[#This Row],[PLAN TC
finish]]-Table1[[#This Row],[PLAN MC-0
start]])/30,2),"")</f>
        <v>0.9</v>
      </c>
      <c r="IC80">
        <f>DATEDIF(Table1[[#This Row],[PLAN MC-0
start]],Table1[[#This Row],[PLAN TC
finish]],"m")</f>
        <v>0</v>
      </c>
    </row>
    <row r="81" spans="2:237" s="4" customFormat="1" ht="15" hidden="1" customHeight="1" x14ac:dyDescent="0.2">
      <c r="B81" s="311">
        <f>SUBTOTAL(3,$D$5:D81)</f>
        <v>43</v>
      </c>
      <c r="C81" s="348">
        <v>77</v>
      </c>
      <c r="D81" s="338" t="s">
        <v>629</v>
      </c>
      <c r="E81" s="315" t="s">
        <v>641</v>
      </c>
      <c r="F81" s="315" t="s">
        <v>642</v>
      </c>
      <c r="G81" s="349">
        <v>45752</v>
      </c>
      <c r="H81" s="314" t="s">
        <v>247</v>
      </c>
      <c r="I81" s="315" t="s">
        <v>248</v>
      </c>
      <c r="J81" s="315"/>
      <c r="K81" s="338" t="s">
        <v>632</v>
      </c>
      <c r="L81" s="316" t="s">
        <v>250</v>
      </c>
      <c r="M81" s="316" t="s">
        <v>251</v>
      </c>
      <c r="N81" s="107">
        <v>2650</v>
      </c>
      <c r="O81" s="31" t="s">
        <v>252</v>
      </c>
      <c r="P8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1" s="87" t="e">
        <v>#N/A</v>
      </c>
      <c r="S81" s="87">
        <v>1</v>
      </c>
      <c r="T81" s="35">
        <f>Table1[[#This Row],[Progres Total Aktual
(%)]]</f>
        <v>1</v>
      </c>
      <c r="U81" s="124">
        <f>Table1[[#This Row],[Progres Aktual
(%)]]-Table1[[#This Row],[Target Progres
(%)]]</f>
        <v>0</v>
      </c>
      <c r="V81" s="350">
        <f>Table1[[#This Row],["Volume
BA MC-0"]]</f>
        <v>2650</v>
      </c>
      <c r="W81" s="351">
        <f>Table1[[#This Row],[Total Panjang Pipa Aktual
(Sum-&gt;)3]]</f>
        <v>2654</v>
      </c>
      <c r="X81" s="47"/>
      <c r="Y81" s="67" t="s">
        <v>643</v>
      </c>
      <c r="Z81" s="67">
        <v>261103020543</v>
      </c>
      <c r="AA81" s="67">
        <f>ROUND((Table1[[#This Row],[Nilai RAB Jaringan
(Exclude Ppn)]]-Table1[[#This Row],[RAB Perizinan]])*1.11+Table1[[#This Row],[RAB Perizinan]],0)</f>
        <v>0</v>
      </c>
      <c r="AB81" s="320">
        <f>SUM(Table1[[#This Row],[RAB Kegiatan Umum]:[RAB Perizinan]])</f>
        <v>0</v>
      </c>
      <c r="AC81" s="320"/>
      <c r="AD81" s="320"/>
      <c r="AE81" s="320"/>
      <c r="AF81" s="320"/>
      <c r="AG81" s="320">
        <v>0</v>
      </c>
      <c r="AH81" s="35" t="e">
        <f>SUM(Table1[[#This Row],[Bobot Keg Umum]:[Bobot Perizinan]])</f>
        <v>#DIV/0!</v>
      </c>
      <c r="AI81" s="35" t="e">
        <f>Table1[[#This Row],[RAB Kegiatan Umum]]/Table1[[#This Row],[Nilai RAB Jaringan
(Exclude Ppn)]]</f>
        <v>#DIV/0!</v>
      </c>
      <c r="AJ81" s="35" t="e">
        <f>Table1[[#This Row],[RAB Pemasangan]]/Table1[[#This Row],[Nilai RAB Jaringan
(Exclude Ppn)]]</f>
        <v>#DIV/0!</v>
      </c>
      <c r="AK81" s="35" t="e">
        <f>Table1[[#This Row],[RAB Pengadaan]]/Table1[[#This Row],[Nilai RAB Jaringan
(Exclude Ppn)]]</f>
        <v>#DIV/0!</v>
      </c>
      <c r="AL81" s="35" t="e">
        <f>Table1[[#This Row],[RAB Perizinan]]/Table1[[#This Row],[Nilai RAB Jaringan
(Exclude Ppn)]]</f>
        <v>#DIV/0!</v>
      </c>
      <c r="AM81" s="47"/>
      <c r="AN81" s="285">
        <v>2650</v>
      </c>
      <c r="AO81" s="285">
        <f>SUM(Table1[[#This Row],[Pipa 63 mm]:[Pipa 1,800 mm]])</f>
        <v>2650</v>
      </c>
      <c r="AP81" s="285"/>
      <c r="AQ81" s="285"/>
      <c r="AR81" s="285"/>
      <c r="AS81" s="285"/>
      <c r="AT81" s="285"/>
      <c r="AU81" s="285"/>
      <c r="AV81" s="285"/>
      <c r="AW81" s="285"/>
      <c r="AX81" s="285"/>
      <c r="AY81" s="285"/>
      <c r="AZ81" s="285"/>
      <c r="BA81" s="285"/>
      <c r="BB81" s="285"/>
      <c r="BC81" s="285"/>
      <c r="BD81" s="285"/>
      <c r="BE81" s="285"/>
      <c r="BF81" s="285"/>
      <c r="BG81" s="285"/>
      <c r="BH81" s="285"/>
      <c r="BI81" s="285">
        <v>2650</v>
      </c>
      <c r="BJ81" s="36">
        <f>SUM(Table1[[#This Row],[Pipa 63 mm2]:[Pipa 1,800 mm21]])</f>
        <v>2654</v>
      </c>
      <c r="BK81" s="32"/>
      <c r="BL81" s="32"/>
      <c r="BM81" s="32"/>
      <c r="BN81" s="32"/>
      <c r="BO81" s="32"/>
      <c r="BP81" s="32"/>
      <c r="BQ81" s="32"/>
      <c r="BR81" s="32"/>
      <c r="BS81" s="32"/>
      <c r="BT81" s="32"/>
      <c r="BU81" s="32"/>
      <c r="BV81" s="32"/>
      <c r="BW81" s="32"/>
      <c r="BX81" s="32"/>
      <c r="BY81" s="32"/>
      <c r="BZ81" s="32"/>
      <c r="CA81" s="32"/>
      <c r="CB81" s="32"/>
      <c r="CC81" s="32"/>
      <c r="CD81" s="32">
        <v>2654</v>
      </c>
      <c r="CE81" s="32">
        <v>0</v>
      </c>
      <c r="CF81" s="32"/>
      <c r="CG81" s="32"/>
      <c r="CH81" s="32"/>
      <c r="CI81" s="32">
        <f t="shared" si="6"/>
        <v>0</v>
      </c>
      <c r="CJ81" s="65">
        <f>IF((Table1[[#This Row],["Volume
BA MC-0"]]-Table1[[#This Row],[Total Panjang Pipa Aktual
(Sum-&gt;)3]]-Table1[[#This Row],[Total Volume
tidak dapat dipasang]])&gt;=0,Table1[[#This Row],["Volume
BA MC-0"]]-Table1[[#This Row],[Total Panjang Pipa Aktual
(Sum-&gt;)3]]-Table1[[#This Row],[Total Volume
tidak dapat dipasang]],0)</f>
        <v>0</v>
      </c>
      <c r="CK81" s="47"/>
      <c r="CL81" s="131"/>
      <c r="CM81" s="35"/>
      <c r="CN81" s="131"/>
      <c r="CO81" s="131"/>
      <c r="CP8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1" s="66">
        <f>IFERROR(Table1[[#This Row],[Progres Keg. Umum
(%)]]*Table1[[#This Row],[Nilai RAB Jaringan
(file pa aji)]],0)</f>
        <v>0</v>
      </c>
      <c r="CR81" s="66">
        <f>IFERROR(Table1[[#This Row],[Progres MOS
(%)]]*Table1[[#This Row],[Nilai RAB Jaringan
(file pa aji)]],0)</f>
        <v>0</v>
      </c>
      <c r="CS81" s="66">
        <f>IFERROR(Table1[[#This Row],[Progres Pemasangan
(%)]]*Table1[[#This Row],[Nilai RAB Jaringan
(file pa aji)]],0)</f>
        <v>0</v>
      </c>
      <c r="CT81" s="66">
        <f>IFERROR(Table1[[#This Row],[Progres Perizinan
(%)]]*Table1[[#This Row],[Nilai RAB Jaringan
(file pa aji)]],0)</f>
        <v>0</v>
      </c>
      <c r="CU81" s="329">
        <v>181565133009</v>
      </c>
      <c r="CV81" s="329">
        <v>181565133009</v>
      </c>
      <c r="CW81" s="583">
        <v>181565133009</v>
      </c>
      <c r="CX81" s="329">
        <v>181565133009</v>
      </c>
      <c r="CY81" s="47"/>
      <c r="CZ81" s="330">
        <v>45320</v>
      </c>
      <c r="DA81" s="330">
        <v>45354</v>
      </c>
      <c r="DB81" s="331"/>
      <c r="DC81" s="316"/>
      <c r="DD81" s="67"/>
      <c r="DE8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1" s="331"/>
      <c r="DG81" s="316"/>
      <c r="DH81" s="67"/>
      <c r="DI8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1" s="330">
        <v>45355</v>
      </c>
      <c r="DK81" s="330">
        <v>45508</v>
      </c>
      <c r="DL81" s="331">
        <v>45643</v>
      </c>
      <c r="DM81" s="357" t="s">
        <v>644</v>
      </c>
      <c r="DN8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81" s="331">
        <v>45659</v>
      </c>
      <c r="DP81" s="316" t="s">
        <v>645</v>
      </c>
      <c r="DQ81" s="338" t="s">
        <v>646</v>
      </c>
      <c r="DR8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1" s="330">
        <v>45355</v>
      </c>
      <c r="DT81" s="330" t="e">
        <v>#N/A</v>
      </c>
      <c r="DU81" s="330">
        <v>45403</v>
      </c>
      <c r="DV81" s="330" t="e">
        <v>#N/A</v>
      </c>
      <c r="DW81" s="331"/>
      <c r="DX81" s="316"/>
      <c r="DY81" s="334"/>
      <c r="DZ81" s="334"/>
      <c r="EA8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1" s="331"/>
      <c r="EC81" s="332"/>
      <c r="ED81" s="332"/>
      <c r="EE81" s="330"/>
      <c r="EF81" s="35">
        <v>1</v>
      </c>
      <c r="EG81" s="337">
        <v>1</v>
      </c>
      <c r="EH81" s="316" t="str">
        <f>IF(Table1[[#This Row],[PO Material Aktual 
(%)]]&gt;=100%,"Selesai PO = 100%",IF(Table1[[#This Row],[PO Material Aktual 
(%)]]&gt;=50%,"Proses PO &gt; 100%",IF(Table1[[#This Row],[PO Material Aktual 
(%)]]&gt;0%,"Proses PO &gt; 50%",IF(Table1[[#This Row],[PO Material Aktual 
(%)]]=0,"Belum PO = 0%"))))</f>
        <v>Selesai PO = 100%</v>
      </c>
      <c r="EI8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1" s="330">
        <v>45404</v>
      </c>
      <c r="EK81" s="330" t="e">
        <v>#N/A</v>
      </c>
      <c r="EL81" s="330">
        <v>45592</v>
      </c>
      <c r="EM81" s="330" t="e">
        <v>#N/A</v>
      </c>
      <c r="EN81" s="331"/>
      <c r="EO81" s="332"/>
      <c r="EP81" s="332"/>
      <c r="EQ81" s="87">
        <v>1</v>
      </c>
      <c r="ER81" s="87">
        <v>1</v>
      </c>
      <c r="ES81" s="316" t="str">
        <f>IF(Table1[[#This Row],[Progres MOS]]&gt;=100%,"Selesai MOS = 100%",IF(Table1[[#This Row],[Progres MOS]]&gt;=50%,"Proses MOS &gt; 100%",IF(Table1[[#This Row],[Progres MOS]]&gt;0%,"Proses MOS &gt; 50%",IF(Table1[[#This Row],[Progres MOS]]=0,"Belum MOS = 0%"))))</f>
        <v>Selesai MOS = 100%</v>
      </c>
      <c r="ET8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1" s="47"/>
      <c r="EV81" s="330">
        <v>45355</v>
      </c>
      <c r="EW81" s="330" t="e">
        <v>#N/A</v>
      </c>
      <c r="EX81" s="330">
        <v>45536</v>
      </c>
      <c r="EY81" s="330" t="e">
        <v>#N/A</v>
      </c>
      <c r="EZ81" s="352" t="s">
        <v>259</v>
      </c>
      <c r="FA81" s="336" t="s">
        <v>259</v>
      </c>
      <c r="FB81" s="330" t="s">
        <v>260</v>
      </c>
      <c r="FC81" s="330">
        <v>45014</v>
      </c>
      <c r="FD81" s="330" t="s">
        <v>260</v>
      </c>
      <c r="FE81" s="330"/>
      <c r="FF81" s="330">
        <v>45134</v>
      </c>
      <c r="FG81" s="330" t="s">
        <v>260</v>
      </c>
      <c r="FH81" s="330" t="s">
        <v>260</v>
      </c>
      <c r="FI81" s="330">
        <v>45187</v>
      </c>
      <c r="FJ81" s="330" t="s">
        <v>260</v>
      </c>
      <c r="FK81" s="330">
        <v>45309</v>
      </c>
      <c r="FL81" s="336" t="s">
        <v>259</v>
      </c>
      <c r="FM81" s="336">
        <v>45014</v>
      </c>
      <c r="FN81" s="314">
        <f>IF(Table1[[#This Row],[Tanggal Pengajuan Dokumen]]="","",Table1[[#This Row],[PLAN PERMIT
start]]-Table1[[#This Row],[Tanggal Pengajuan Dokumen]])</f>
        <v>341</v>
      </c>
      <c r="FO81" s="336">
        <v>45309</v>
      </c>
      <c r="FP81" s="316" t="s">
        <v>175</v>
      </c>
      <c r="FQ81" s="316"/>
      <c r="FR81" s="316" t="s">
        <v>175</v>
      </c>
      <c r="FS81" s="338" t="str">
        <f t="shared" si="7"/>
        <v>Sudah Terbit</v>
      </c>
      <c r="FT8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1" s="344">
        <f ca="1">IF(Table1[[#This Row],[Status Izin]]="Selesai",Table1[[#This Row],[PLAN PERMIT
finish]]-Table1[[#This Row],[Tanggal Terbit/ Target Izin Terbit]],ROUNDUP(Table1[[#This Row],[PLAN PERMIT
finish]]-NOW(),0))</f>
        <v>227</v>
      </c>
      <c r="FV8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81" s="344"/>
      <c r="FX81" s="47"/>
      <c r="FY81" s="340"/>
      <c r="FZ81" s="341">
        <v>45582</v>
      </c>
      <c r="GA8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1" s="330">
        <v>45510</v>
      </c>
      <c r="GC81" s="352">
        <v>45780</v>
      </c>
      <c r="GD8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81" s="330">
        <v>45517</v>
      </c>
      <c r="GF81" s="352">
        <v>45779</v>
      </c>
      <c r="GG8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81" s="330">
        <v>45523</v>
      </c>
      <c r="GI81" s="330">
        <v>45529</v>
      </c>
      <c r="GJ81" s="352">
        <v>45814</v>
      </c>
      <c r="GK8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81" s="330">
        <v>45537</v>
      </c>
      <c r="GM81" s="330" t="e">
        <v>#N/A</v>
      </c>
      <c r="GN81" s="330">
        <v>45725</v>
      </c>
      <c r="GO81" s="330" t="e">
        <v>#N/A</v>
      </c>
      <c r="GP81" s="316"/>
      <c r="GQ8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1" s="330" t="s">
        <v>261</v>
      </c>
      <c r="GS81" s="330" t="s">
        <v>261</v>
      </c>
      <c r="GT81" s="354">
        <v>45740</v>
      </c>
      <c r="GU81" s="344" t="str">
        <f>IF(Table1[[#This Row],[Hydro Tes Actual
(tanggal)]]&lt;&gt;"","Sudah","Belum")</f>
        <v>Sudah</v>
      </c>
      <c r="GV81" s="330" t="s">
        <v>261</v>
      </c>
      <c r="GW81" s="330" t="s">
        <v>261</v>
      </c>
      <c r="GX81" s="331"/>
      <c r="GY81" s="344" t="str">
        <f>IF(Table1[[#This Row],[Interkoneksi Actual
(tanggal)]]&lt;&gt;"","Sudah","Belum")</f>
        <v>Belum</v>
      </c>
      <c r="GZ81" s="330" t="s">
        <v>261</v>
      </c>
      <c r="HA81" s="330" t="s">
        <v>261</v>
      </c>
      <c r="HB81" s="331">
        <v>45764</v>
      </c>
      <c r="HC81" s="344" t="str">
        <f>IF(Table1[[#This Row],[Flushing Actual
(tanggal)]]&lt;&gt;"","Sudah","Belum")</f>
        <v>Sudah</v>
      </c>
      <c r="HD81" s="330">
        <v>45712</v>
      </c>
      <c r="HE81" s="330" t="e">
        <v>#N/A</v>
      </c>
      <c r="HF81" s="330">
        <v>45718</v>
      </c>
      <c r="HG81" s="352">
        <v>45779</v>
      </c>
      <c r="HH8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1" s="330" t="s">
        <v>261</v>
      </c>
      <c r="HJ81" s="330" t="s">
        <v>261</v>
      </c>
      <c r="HK81" s="331"/>
      <c r="HL81" s="316"/>
      <c r="HM81" s="330">
        <v>45737</v>
      </c>
      <c r="HN81" s="330">
        <v>45737</v>
      </c>
      <c r="HO81" s="330" t="e">
        <v>#N/A</v>
      </c>
      <c r="HP81" s="331">
        <v>45792</v>
      </c>
      <c r="HQ8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81" s="330">
        <v>45744</v>
      </c>
      <c r="HS81" s="330"/>
      <c r="HT81" s="330">
        <v>45744</v>
      </c>
      <c r="HU81" s="527"/>
      <c r="HV81" s="330">
        <f>IF(Table1[[#This Row],[MC-100 Aktual
(tanggal)]]&lt;&gt;"",Table1[[#This Row],[MC-100 Aktual
(tanggal)]]+5,"")</f>
        <v>45797</v>
      </c>
      <c r="HW8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81" s="47"/>
      <c r="HY81" s="352"/>
      <c r="HZ81" s="352"/>
      <c r="IB81" s="618">
        <f>IFERROR(ROUND((Table1[[#This Row],[PLAN TC
finish]]-Table1[[#This Row],[PLAN MC-0
start]])/30,2),"")</f>
        <v>6.5</v>
      </c>
      <c r="IC81">
        <f>DATEDIF(Table1[[#This Row],[PLAN MC-0
start]],Table1[[#This Row],[PLAN TC
finish]],"m")</f>
        <v>6</v>
      </c>
    </row>
    <row r="82" spans="2:237" s="4" customFormat="1" ht="15" hidden="1" customHeight="1" x14ac:dyDescent="0.2">
      <c r="B82" s="311">
        <f>SUBTOTAL(3,$D$5:D82)</f>
        <v>43</v>
      </c>
      <c r="C82" s="348">
        <v>78</v>
      </c>
      <c r="D82" s="338" t="s">
        <v>629</v>
      </c>
      <c r="E82" s="315" t="s">
        <v>647</v>
      </c>
      <c r="F82" s="315" t="s">
        <v>648</v>
      </c>
      <c r="G82" s="349">
        <v>45752</v>
      </c>
      <c r="H82" s="314" t="s">
        <v>247</v>
      </c>
      <c r="I82" s="315" t="s">
        <v>248</v>
      </c>
      <c r="J82" s="315"/>
      <c r="K82" s="338" t="s">
        <v>632</v>
      </c>
      <c r="L82" s="316" t="s">
        <v>250</v>
      </c>
      <c r="M82" s="316" t="s">
        <v>251</v>
      </c>
      <c r="N82" s="107">
        <v>400</v>
      </c>
      <c r="O82" s="31" t="s">
        <v>252</v>
      </c>
      <c r="P8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2" s="87" t="e">
        <v>#N/A</v>
      </c>
      <c r="S82" s="87">
        <v>1</v>
      </c>
      <c r="T82" s="35">
        <f>Table1[[#This Row],[Progres Total Aktual
(%)]]</f>
        <v>1</v>
      </c>
      <c r="U82" s="124">
        <f>Table1[[#This Row],[Progres Aktual
(%)]]-Table1[[#This Row],[Target Progres
(%)]]</f>
        <v>0</v>
      </c>
      <c r="V82" s="350">
        <f>Table1[[#This Row],["Volume
BA MC-0"]]</f>
        <v>413</v>
      </c>
      <c r="W82" s="351">
        <f>Table1[[#This Row],[Total Panjang Pipa Aktual
(Sum-&gt;)3]]</f>
        <v>413.3</v>
      </c>
      <c r="X82" s="47"/>
      <c r="Y82" s="67" t="s">
        <v>649</v>
      </c>
      <c r="Z82" s="67">
        <v>35252754673</v>
      </c>
      <c r="AA82" s="67">
        <f>ROUND((Table1[[#This Row],[Nilai RAB Jaringan
(Exclude Ppn)]]-Table1[[#This Row],[RAB Perizinan]])*1.11+Table1[[#This Row],[RAB Perizinan]],0)</f>
        <v>0</v>
      </c>
      <c r="AB82" s="320">
        <f>SUM(Table1[[#This Row],[RAB Kegiatan Umum]:[RAB Perizinan]])</f>
        <v>0</v>
      </c>
      <c r="AC82" s="320"/>
      <c r="AD82" s="320"/>
      <c r="AE82" s="320"/>
      <c r="AF82" s="320"/>
      <c r="AG82" s="320">
        <v>0</v>
      </c>
      <c r="AH82" s="35" t="e">
        <f>SUM(Table1[[#This Row],[Bobot Keg Umum]:[Bobot Perizinan]])</f>
        <v>#DIV/0!</v>
      </c>
      <c r="AI82" s="35" t="e">
        <f>Table1[[#This Row],[RAB Kegiatan Umum]]/Table1[[#This Row],[Nilai RAB Jaringan
(Exclude Ppn)]]</f>
        <v>#DIV/0!</v>
      </c>
      <c r="AJ82" s="35" t="e">
        <f>Table1[[#This Row],[RAB Pemasangan]]/Table1[[#This Row],[Nilai RAB Jaringan
(Exclude Ppn)]]</f>
        <v>#DIV/0!</v>
      </c>
      <c r="AK82" s="35" t="e">
        <f>Table1[[#This Row],[RAB Pengadaan]]/Table1[[#This Row],[Nilai RAB Jaringan
(Exclude Ppn)]]</f>
        <v>#DIV/0!</v>
      </c>
      <c r="AL82" s="35" t="e">
        <f>Table1[[#This Row],[RAB Perizinan]]/Table1[[#This Row],[Nilai RAB Jaringan
(Exclude Ppn)]]</f>
        <v>#DIV/0!</v>
      </c>
      <c r="AM82" s="47"/>
      <c r="AN82" s="285">
        <v>413</v>
      </c>
      <c r="AO82" s="285">
        <f>SUM(Table1[[#This Row],[Pipa 63 mm]:[Pipa 1,800 mm]])</f>
        <v>413</v>
      </c>
      <c r="AP82" s="285"/>
      <c r="AQ82" s="285"/>
      <c r="AR82" s="285"/>
      <c r="AS82" s="285"/>
      <c r="AT82" s="285"/>
      <c r="AU82" s="285"/>
      <c r="AV82" s="285"/>
      <c r="AW82" s="285"/>
      <c r="AX82" s="285"/>
      <c r="AY82" s="285"/>
      <c r="AZ82" s="285"/>
      <c r="BA82" s="285"/>
      <c r="BB82" s="285"/>
      <c r="BC82" s="285"/>
      <c r="BD82" s="285"/>
      <c r="BE82" s="285">
        <v>413</v>
      </c>
      <c r="BF82" s="285"/>
      <c r="BG82" s="285"/>
      <c r="BH82" s="285"/>
      <c r="BI82" s="285"/>
      <c r="BJ82" s="36">
        <f>SUM(Table1[[#This Row],[Pipa 63 mm2]:[Pipa 1,800 mm21]])</f>
        <v>413.3</v>
      </c>
      <c r="BK82" s="32"/>
      <c r="BL82" s="32"/>
      <c r="BM82" s="32"/>
      <c r="BN82" s="32"/>
      <c r="BO82" s="32"/>
      <c r="BP82" s="32"/>
      <c r="BQ82" s="32"/>
      <c r="BR82" s="32"/>
      <c r="BS82" s="32"/>
      <c r="BT82" s="32"/>
      <c r="BU82" s="32"/>
      <c r="BV82" s="32"/>
      <c r="BW82" s="32"/>
      <c r="BX82" s="32"/>
      <c r="BY82" s="32"/>
      <c r="BZ82" s="32">
        <v>413.3</v>
      </c>
      <c r="CA82" s="32"/>
      <c r="CB82" s="32"/>
      <c r="CC82" s="32"/>
      <c r="CD82" s="32"/>
      <c r="CE82" s="32">
        <v>0</v>
      </c>
      <c r="CF82" s="32"/>
      <c r="CG82" s="32"/>
      <c r="CH82" s="32"/>
      <c r="CI82" s="32">
        <f t="shared" si="6"/>
        <v>0</v>
      </c>
      <c r="CJ82" s="65">
        <f>IF((Table1[[#This Row],["Volume
BA MC-0"]]-Table1[[#This Row],[Total Panjang Pipa Aktual
(Sum-&gt;)3]]-Table1[[#This Row],[Total Volume
tidak dapat dipasang]])&gt;=0,Table1[[#This Row],["Volume
BA MC-0"]]-Table1[[#This Row],[Total Panjang Pipa Aktual
(Sum-&gt;)3]]-Table1[[#This Row],[Total Volume
tidak dapat dipasang]],0)</f>
        <v>0</v>
      </c>
      <c r="CK82" s="47"/>
      <c r="CL82" s="131"/>
      <c r="CM82" s="35"/>
      <c r="CN82" s="131"/>
      <c r="CO82" s="131"/>
      <c r="CP8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2" s="66">
        <f>IFERROR(Table1[[#This Row],[Progres Keg. Umum
(%)]]*Table1[[#This Row],[Nilai RAB Jaringan
(file pa aji)]],0)</f>
        <v>0</v>
      </c>
      <c r="CR82" s="66">
        <f>IFERROR(Table1[[#This Row],[Progres MOS
(%)]]*Table1[[#This Row],[Nilai RAB Jaringan
(file pa aji)]],0)</f>
        <v>0</v>
      </c>
      <c r="CS82" s="66">
        <f>IFERROR(Table1[[#This Row],[Progres Pemasangan
(%)]]*Table1[[#This Row],[Nilai RAB Jaringan
(file pa aji)]],0)</f>
        <v>0</v>
      </c>
      <c r="CT82" s="66">
        <f>IFERROR(Table1[[#This Row],[Progres Perizinan
(%)]]*Table1[[#This Row],[Nilai RAB Jaringan
(file pa aji)]],0)</f>
        <v>0</v>
      </c>
      <c r="CU82" s="329">
        <v>38791921143</v>
      </c>
      <c r="CV82" s="329">
        <v>38791921143</v>
      </c>
      <c r="CW82" s="583">
        <v>38791921143</v>
      </c>
      <c r="CX82" s="329">
        <v>38791921143</v>
      </c>
      <c r="CY82" s="47"/>
      <c r="CZ82" s="330">
        <v>45348</v>
      </c>
      <c r="DA82" s="330">
        <v>45382</v>
      </c>
      <c r="DB82" s="331">
        <v>45253</v>
      </c>
      <c r="DC82" s="316" t="s">
        <v>650</v>
      </c>
      <c r="DD82" s="67">
        <v>40920656403</v>
      </c>
      <c r="DE8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82" s="331">
        <v>45275</v>
      </c>
      <c r="DG82" s="316" t="s">
        <v>651</v>
      </c>
      <c r="DH82" s="67">
        <v>40920656403</v>
      </c>
      <c r="DI8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82" s="330">
        <v>45383</v>
      </c>
      <c r="DK82" s="330">
        <v>45536</v>
      </c>
      <c r="DL82" s="331">
        <v>45602</v>
      </c>
      <c r="DM82" s="316" t="s">
        <v>652</v>
      </c>
      <c r="DN8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82" s="331">
        <v>45642</v>
      </c>
      <c r="DP82" s="316" t="s">
        <v>653</v>
      </c>
      <c r="DQ82" s="338" t="s">
        <v>258</v>
      </c>
      <c r="DR8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2" s="330">
        <v>45383</v>
      </c>
      <c r="DT82" s="330" t="e">
        <v>#N/A</v>
      </c>
      <c r="DU82" s="330">
        <v>45431</v>
      </c>
      <c r="DV82" s="330" t="e">
        <v>#N/A</v>
      </c>
      <c r="DW82" s="331"/>
      <c r="DX82" s="316">
        <v>0</v>
      </c>
      <c r="DY82" s="334"/>
      <c r="DZ82" s="334"/>
      <c r="EA8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2" s="331"/>
      <c r="EC82" s="332"/>
      <c r="ED82" s="332"/>
      <c r="EE82" s="330"/>
      <c r="EF82" s="35">
        <v>1</v>
      </c>
      <c r="EG82" s="337">
        <v>1</v>
      </c>
      <c r="EH82" s="316" t="str">
        <f>IF(Table1[[#This Row],[PO Material Aktual 
(%)]]&gt;=100%,"Selesai PO = 100%",IF(Table1[[#This Row],[PO Material Aktual 
(%)]]&gt;=50%,"Proses PO &gt; 100%",IF(Table1[[#This Row],[PO Material Aktual 
(%)]]&gt;0%,"Proses PO &gt; 50%",IF(Table1[[#This Row],[PO Material Aktual 
(%)]]=0,"Belum PO = 0%"))))</f>
        <v>Selesai PO = 100%</v>
      </c>
      <c r="EI8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2" s="330">
        <v>45432</v>
      </c>
      <c r="EK82" s="330" t="e">
        <v>#N/A</v>
      </c>
      <c r="EL82" s="330">
        <v>45620</v>
      </c>
      <c r="EM82" s="330" t="e">
        <v>#N/A</v>
      </c>
      <c r="EN82" s="331"/>
      <c r="EO82" s="332"/>
      <c r="EP82" s="332"/>
      <c r="EQ82" s="87">
        <v>1</v>
      </c>
      <c r="ER82" s="87">
        <v>1</v>
      </c>
      <c r="ES82" s="316" t="str">
        <f>IF(Table1[[#This Row],[Progres MOS]]&gt;=100%,"Selesai MOS = 100%",IF(Table1[[#This Row],[Progres MOS]]&gt;=50%,"Proses MOS &gt; 100%",IF(Table1[[#This Row],[Progres MOS]]&gt;0%,"Proses MOS &gt; 50%",IF(Table1[[#This Row],[Progres MOS]]=0,"Belum MOS = 0%"))))</f>
        <v>Selesai MOS = 100%</v>
      </c>
      <c r="ET8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2" s="47"/>
      <c r="EV82" s="330">
        <v>45383</v>
      </c>
      <c r="EW82" s="330" t="e">
        <v>#N/A</v>
      </c>
      <c r="EX82" s="330">
        <v>45564</v>
      </c>
      <c r="EY82" s="330" t="e">
        <v>#N/A</v>
      </c>
      <c r="EZ82" s="352" t="s">
        <v>259</v>
      </c>
      <c r="FA82" s="336" t="s">
        <v>259</v>
      </c>
      <c r="FB82" s="330" t="s">
        <v>260</v>
      </c>
      <c r="FC82" s="330">
        <v>45014</v>
      </c>
      <c r="FD82" s="330" t="s">
        <v>260</v>
      </c>
      <c r="FE82" s="330"/>
      <c r="FF82" s="330">
        <v>45134</v>
      </c>
      <c r="FG82" s="330" t="s">
        <v>260</v>
      </c>
      <c r="FH82" s="330" t="s">
        <v>260</v>
      </c>
      <c r="FI82" s="330">
        <v>45187</v>
      </c>
      <c r="FJ82" s="330" t="s">
        <v>260</v>
      </c>
      <c r="FK82" s="330">
        <v>45309</v>
      </c>
      <c r="FL82" s="336" t="s">
        <v>259</v>
      </c>
      <c r="FM82" s="336">
        <v>45014</v>
      </c>
      <c r="FN82" s="314">
        <f>IF(Table1[[#This Row],[Tanggal Pengajuan Dokumen]]="","",Table1[[#This Row],[PLAN PERMIT
start]]-Table1[[#This Row],[Tanggal Pengajuan Dokumen]])</f>
        <v>369</v>
      </c>
      <c r="FO82" s="336">
        <v>45309</v>
      </c>
      <c r="FP82" s="316" t="s">
        <v>175</v>
      </c>
      <c r="FQ82" s="338"/>
      <c r="FR82" s="352"/>
      <c r="FS82" s="338" t="str">
        <f t="shared" si="7"/>
        <v>Sudah Terbit</v>
      </c>
      <c r="FT8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2" s="344">
        <f ca="1">IF(Table1[[#This Row],[Status Izin]]="Selesai",Table1[[#This Row],[PLAN PERMIT
finish]]-Table1[[#This Row],[Tanggal Terbit/ Target Izin Terbit]],ROUNDUP(Table1[[#This Row],[PLAN PERMIT
finish]]-NOW(),0))</f>
        <v>255</v>
      </c>
      <c r="FV8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82" s="344"/>
      <c r="FX82" s="47"/>
      <c r="FY82" s="340"/>
      <c r="FZ82" s="341">
        <v>45582</v>
      </c>
      <c r="GA8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2" s="330">
        <v>45538</v>
      </c>
      <c r="GC82" s="352">
        <v>45520</v>
      </c>
      <c r="GD8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2" s="330">
        <v>45545</v>
      </c>
      <c r="GF82" s="352">
        <v>45520</v>
      </c>
      <c r="GG8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2" s="330">
        <v>45551</v>
      </c>
      <c r="GI82" s="330">
        <v>45557</v>
      </c>
      <c r="GJ82" s="352">
        <v>45525</v>
      </c>
      <c r="GK8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2" s="330">
        <v>45565</v>
      </c>
      <c r="GM82" s="330" t="e">
        <v>#N/A</v>
      </c>
      <c r="GN82" s="330">
        <v>45725</v>
      </c>
      <c r="GO82" s="330" t="e">
        <v>#N/A</v>
      </c>
      <c r="GP82" s="316"/>
      <c r="GQ8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2" s="330" t="s">
        <v>261</v>
      </c>
      <c r="GS82" s="330" t="s">
        <v>261</v>
      </c>
      <c r="GT82" s="354">
        <v>45755</v>
      </c>
      <c r="GU82" s="344" t="str">
        <f>IF(Table1[[#This Row],[Hydro Tes Actual
(tanggal)]]&lt;&gt;"","Sudah","Belum")</f>
        <v>Sudah</v>
      </c>
      <c r="GV82" s="330" t="s">
        <v>261</v>
      </c>
      <c r="GW82" s="330" t="s">
        <v>261</v>
      </c>
      <c r="GX82" s="331">
        <v>45740</v>
      </c>
      <c r="GY82" s="344" t="str">
        <f>IF(Table1[[#This Row],[Interkoneksi Actual
(tanggal)]]&lt;&gt;"","Sudah","Belum")</f>
        <v>Sudah</v>
      </c>
      <c r="GZ82" s="330" t="s">
        <v>261</v>
      </c>
      <c r="HA82" s="330" t="s">
        <v>261</v>
      </c>
      <c r="HB82" s="331">
        <v>45765</v>
      </c>
      <c r="HC82" s="344" t="str">
        <f>IF(Table1[[#This Row],[Flushing Actual
(tanggal)]]&lt;&gt;"","Sudah","Belum")</f>
        <v>Sudah</v>
      </c>
      <c r="HD82" s="330">
        <v>45712</v>
      </c>
      <c r="HE82" s="330" t="e">
        <v>#N/A</v>
      </c>
      <c r="HF82" s="330">
        <v>45718</v>
      </c>
      <c r="HG82" s="352">
        <v>45779</v>
      </c>
      <c r="HH8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2" s="330" t="s">
        <v>261</v>
      </c>
      <c r="HJ82" s="330" t="s">
        <v>261</v>
      </c>
      <c r="HK82" s="331"/>
      <c r="HL82" s="316"/>
      <c r="HM82" s="330">
        <v>45737</v>
      </c>
      <c r="HN82" s="330">
        <v>45737</v>
      </c>
      <c r="HO82" s="330" t="e">
        <v>#N/A</v>
      </c>
      <c r="HP82" s="331">
        <v>45792</v>
      </c>
      <c r="HQ8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82" s="330">
        <v>45744</v>
      </c>
      <c r="HS82" s="330"/>
      <c r="HT82" s="330">
        <v>45744</v>
      </c>
      <c r="HU82" s="527"/>
      <c r="HV82" s="330">
        <f>IF(Table1[[#This Row],[MC-100 Aktual
(tanggal)]]&lt;&gt;"",Table1[[#This Row],[MC-100 Aktual
(tanggal)]]+5,"")</f>
        <v>45797</v>
      </c>
      <c r="HW8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82" s="47"/>
      <c r="HY82" s="352"/>
      <c r="HZ82" s="352"/>
      <c r="IB82" s="618">
        <f>IFERROR(ROUND((Table1[[#This Row],[PLAN TC
finish]]-Table1[[#This Row],[PLAN MC-0
start]])/30,2),"")</f>
        <v>5.57</v>
      </c>
      <c r="IC82">
        <f>DATEDIF(Table1[[#This Row],[PLAN MC-0
start]],Table1[[#This Row],[PLAN TC
finish]],"m")</f>
        <v>5</v>
      </c>
    </row>
    <row r="83" spans="2:237" s="4" customFormat="1" ht="15" customHeight="1" x14ac:dyDescent="0.2">
      <c r="B83" s="311">
        <f>SUBTOTAL(3,$D$5:D83)</f>
        <v>44</v>
      </c>
      <c r="C83" s="348">
        <v>79</v>
      </c>
      <c r="D83" s="338" t="s">
        <v>629</v>
      </c>
      <c r="E83" s="315" t="s">
        <v>654</v>
      </c>
      <c r="F83" s="315" t="s">
        <v>655</v>
      </c>
      <c r="G83" s="349">
        <v>45752</v>
      </c>
      <c r="H83" s="314" t="s">
        <v>247</v>
      </c>
      <c r="I83" s="315" t="s">
        <v>278</v>
      </c>
      <c r="J83" s="315"/>
      <c r="K83" s="338" t="s">
        <v>632</v>
      </c>
      <c r="L83" s="316" t="s">
        <v>250</v>
      </c>
      <c r="M83" s="316" t="s">
        <v>269</v>
      </c>
      <c r="N83" s="107">
        <v>644</v>
      </c>
      <c r="O83" s="31" t="s">
        <v>252</v>
      </c>
      <c r="P8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3" s="87" t="e">
        <v>#N/A</v>
      </c>
      <c r="S83" s="87">
        <v>1</v>
      </c>
      <c r="T83" s="35">
        <f>Table1[[#This Row],[Progres Total Aktual
(%)]]</f>
        <v>1</v>
      </c>
      <c r="U83" s="124">
        <f>Table1[[#This Row],[Progres Aktual
(%)]]-Table1[[#This Row],[Target Progres
(%)]]</f>
        <v>0</v>
      </c>
      <c r="V83" s="350">
        <f>Table1[[#This Row],["Volume
BA MC-0"]]</f>
        <v>644</v>
      </c>
      <c r="W83" s="351">
        <f>Table1[[#This Row],[Total Panjang Pipa Aktual
(Sum-&gt;)3]]</f>
        <v>599</v>
      </c>
      <c r="X83" s="47"/>
      <c r="Y83" s="67" t="s">
        <v>656</v>
      </c>
      <c r="Z83" s="67">
        <v>1166157946</v>
      </c>
      <c r="AA83" s="67">
        <f>ROUND((Table1[[#This Row],[Nilai RAB Jaringan
(Exclude Ppn)]]-Table1[[#This Row],[RAB Perizinan]])*1.11+Table1[[#This Row],[RAB Perizinan]],0)</f>
        <v>0</v>
      </c>
      <c r="AB83" s="320">
        <f>SUM(Table1[[#This Row],[RAB Kegiatan Umum]:[RAB Perizinan]])</f>
        <v>0</v>
      </c>
      <c r="AC83" s="320"/>
      <c r="AD83" s="320"/>
      <c r="AE83" s="320"/>
      <c r="AF83" s="320"/>
      <c r="AG83" s="320">
        <v>471419109</v>
      </c>
      <c r="AH83" s="35" t="e">
        <f>SUM(Table1[[#This Row],[Bobot Keg Umum]:[Bobot Perizinan]])</f>
        <v>#DIV/0!</v>
      </c>
      <c r="AI83" s="35" t="e">
        <f>Table1[[#This Row],[RAB Kegiatan Umum]]/Table1[[#This Row],[Nilai RAB Jaringan
(Exclude Ppn)]]</f>
        <v>#DIV/0!</v>
      </c>
      <c r="AJ83" s="35" t="e">
        <f>Table1[[#This Row],[RAB Pemasangan]]/Table1[[#This Row],[Nilai RAB Jaringan
(Exclude Ppn)]]</f>
        <v>#DIV/0!</v>
      </c>
      <c r="AK83" s="35" t="e">
        <f>Table1[[#This Row],[RAB Pengadaan]]/Table1[[#This Row],[Nilai RAB Jaringan
(Exclude Ppn)]]</f>
        <v>#DIV/0!</v>
      </c>
      <c r="AL83" s="35" t="e">
        <f>Table1[[#This Row],[RAB Perizinan]]/Table1[[#This Row],[Nilai RAB Jaringan
(Exclude Ppn)]]</f>
        <v>#DIV/0!</v>
      </c>
      <c r="AM83" s="47"/>
      <c r="AN83" s="285">
        <v>644</v>
      </c>
      <c r="AO83" s="285">
        <f>SUM(Table1[[#This Row],[Pipa 63 mm]:[Pipa 1,800 mm]])</f>
        <v>629</v>
      </c>
      <c r="AP83" s="285">
        <v>120</v>
      </c>
      <c r="AQ83" s="285">
        <v>509</v>
      </c>
      <c r="AR83" s="285"/>
      <c r="AS83" s="285"/>
      <c r="AT83" s="285"/>
      <c r="AU83" s="285"/>
      <c r="AV83" s="285"/>
      <c r="AW83" s="285"/>
      <c r="AX83" s="285"/>
      <c r="AY83" s="285"/>
      <c r="AZ83" s="285"/>
      <c r="BA83" s="285"/>
      <c r="BB83" s="285"/>
      <c r="BC83" s="285"/>
      <c r="BD83" s="285"/>
      <c r="BE83" s="285"/>
      <c r="BF83" s="285"/>
      <c r="BG83" s="285"/>
      <c r="BH83" s="285"/>
      <c r="BI83" s="285"/>
      <c r="BJ83" s="36">
        <f>SUM(Table1[[#This Row],[Pipa 63 mm2]:[Pipa 1,800 mm21]])</f>
        <v>599</v>
      </c>
      <c r="BK83" s="32">
        <v>107</v>
      </c>
      <c r="BL83" s="32">
        <v>492</v>
      </c>
      <c r="BM83" s="32"/>
      <c r="BN83" s="32"/>
      <c r="BO83" s="32"/>
      <c r="BP83" s="32"/>
      <c r="BQ83" s="32"/>
      <c r="BR83" s="32"/>
      <c r="BS83" s="32"/>
      <c r="BT83" s="32"/>
      <c r="BU83" s="32"/>
      <c r="BV83" s="32"/>
      <c r="BW83" s="32"/>
      <c r="BX83" s="32"/>
      <c r="BY83" s="32"/>
      <c r="BZ83" s="32"/>
      <c r="CA83" s="32"/>
      <c r="CB83" s="32"/>
      <c r="CC83" s="32"/>
      <c r="CD83" s="32"/>
      <c r="CE83" s="32">
        <v>0</v>
      </c>
      <c r="CF83" s="32"/>
      <c r="CG83" s="32"/>
      <c r="CH83" s="32"/>
      <c r="CI83" s="32">
        <f t="shared" si="6"/>
        <v>0</v>
      </c>
      <c r="CJ83" s="65">
        <f>IF((Table1[[#This Row],["Volume
BA MC-0"]]-Table1[[#This Row],[Total Panjang Pipa Aktual
(Sum-&gt;)3]]-Table1[[#This Row],[Total Volume
tidak dapat dipasang]])&gt;=0,Table1[[#This Row],["Volume
BA MC-0"]]-Table1[[#This Row],[Total Panjang Pipa Aktual
(Sum-&gt;)3]]-Table1[[#This Row],[Total Volume
tidak dapat dipasang]],0)</f>
        <v>45</v>
      </c>
      <c r="CK83" s="47"/>
      <c r="CL83" s="131"/>
      <c r="CM83" s="35"/>
      <c r="CN83" s="131"/>
      <c r="CO83" s="131"/>
      <c r="CP8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3" s="66">
        <f>IFERROR(Table1[[#This Row],[Progres Keg. Umum
(%)]]*Table1[[#This Row],[Nilai RAB Jaringan
(file pa aji)]],0)</f>
        <v>0</v>
      </c>
      <c r="CR83" s="66">
        <f>IFERROR(Table1[[#This Row],[Progres MOS
(%)]]*Table1[[#This Row],[Nilai RAB Jaringan
(file pa aji)]],0)</f>
        <v>0</v>
      </c>
      <c r="CS83" s="66">
        <f>IFERROR(Table1[[#This Row],[Progres Pemasangan
(%)]]*Table1[[#This Row],[Nilai RAB Jaringan
(file pa aji)]],0)</f>
        <v>0</v>
      </c>
      <c r="CT83" s="66">
        <f>IFERROR(Table1[[#This Row],[Progres Perizinan
(%)]]*Table1[[#This Row],[Nilai RAB Jaringan
(file pa aji)]],0)</f>
        <v>0</v>
      </c>
      <c r="CU83" s="329">
        <v>1047995087</v>
      </c>
      <c r="CV83" s="329">
        <v>1047995087</v>
      </c>
      <c r="CW83" s="583">
        <v>1047995087</v>
      </c>
      <c r="CX83" s="329">
        <v>1047995087</v>
      </c>
      <c r="CY83" s="47"/>
      <c r="CZ83" s="330">
        <v>45530</v>
      </c>
      <c r="DA83" s="330">
        <v>45557</v>
      </c>
      <c r="DB83" s="331"/>
      <c r="DC83" s="316"/>
      <c r="DD83" s="67"/>
      <c r="DE8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3" s="331"/>
      <c r="DG83" s="316"/>
      <c r="DH83" s="67"/>
      <c r="DI8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3" s="330">
        <v>45558</v>
      </c>
      <c r="DK83" s="330">
        <v>45627</v>
      </c>
      <c r="DL83" s="331">
        <v>45626</v>
      </c>
      <c r="DM83" s="316" t="s">
        <v>657</v>
      </c>
      <c r="DN8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83" s="331">
        <v>45635</v>
      </c>
      <c r="DP83" s="316" t="s">
        <v>658</v>
      </c>
      <c r="DQ83" s="338" t="s">
        <v>275</v>
      </c>
      <c r="DR8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3" s="330">
        <v>45558</v>
      </c>
      <c r="DT83" s="330" t="e">
        <v>#N/A</v>
      </c>
      <c r="DU83" s="330">
        <v>45599</v>
      </c>
      <c r="DV83" s="330" t="e">
        <v>#N/A</v>
      </c>
      <c r="DW83" s="331"/>
      <c r="DX83" s="316"/>
      <c r="DY83" s="334"/>
      <c r="DZ83" s="334"/>
      <c r="EA8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3" s="331"/>
      <c r="EC83" s="332"/>
      <c r="ED83" s="332"/>
      <c r="EE83" s="330"/>
      <c r="EF83" s="35">
        <v>1</v>
      </c>
      <c r="EG83" s="337">
        <v>1</v>
      </c>
      <c r="EH83" s="316" t="str">
        <f>IF(Table1[[#This Row],[PO Material Aktual 
(%)]]&gt;=100%,"Selesai PO = 100%",IF(Table1[[#This Row],[PO Material Aktual 
(%)]]&gt;=50%,"Proses PO &gt; 100%",IF(Table1[[#This Row],[PO Material Aktual 
(%)]]&gt;0%,"Proses PO &gt; 50%",IF(Table1[[#This Row],[PO Material Aktual 
(%)]]=0,"Belum PO = 0%"))))</f>
        <v>Selesai PO = 100%</v>
      </c>
      <c r="EI8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3" s="330">
        <v>45600</v>
      </c>
      <c r="EK83" s="330" t="e">
        <v>#N/A</v>
      </c>
      <c r="EL83" s="330">
        <v>45676</v>
      </c>
      <c r="EM83" s="330" t="e">
        <v>#N/A</v>
      </c>
      <c r="EN83" s="331"/>
      <c r="EO83" s="332"/>
      <c r="EP83" s="332"/>
      <c r="EQ83" s="87">
        <v>1</v>
      </c>
      <c r="ER83" s="87">
        <v>1</v>
      </c>
      <c r="ES83" s="316" t="str">
        <f>IF(Table1[[#This Row],[Progres MOS]]&gt;=100%,"Selesai MOS = 100%",IF(Table1[[#This Row],[Progres MOS]]&gt;=50%,"Proses MOS &gt; 100%",IF(Table1[[#This Row],[Progres MOS]]&gt;0%,"Proses MOS &gt; 50%",IF(Table1[[#This Row],[Progres MOS]]=0,"Belum MOS = 0%"))))</f>
        <v>Selesai MOS = 100%</v>
      </c>
      <c r="ET8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3" s="47"/>
      <c r="EV83" s="330">
        <v>45558</v>
      </c>
      <c r="EW83" s="330" t="e">
        <v>#N/A</v>
      </c>
      <c r="EX83" s="330">
        <v>45655</v>
      </c>
      <c r="EY83" s="330" t="e">
        <v>#N/A</v>
      </c>
      <c r="EZ83" s="352" t="s">
        <v>298</v>
      </c>
      <c r="FA83" s="336" t="s">
        <v>259</v>
      </c>
      <c r="FB83" s="330" t="s">
        <v>260</v>
      </c>
      <c r="FC83" s="330">
        <v>45721</v>
      </c>
      <c r="FD83" s="330" t="s">
        <v>260</v>
      </c>
      <c r="FE83" s="330">
        <v>45729</v>
      </c>
      <c r="FF83" s="330">
        <v>45911</v>
      </c>
      <c r="FG83" s="330" t="s">
        <v>260</v>
      </c>
      <c r="FH83" s="330" t="s">
        <v>260</v>
      </c>
      <c r="FI83" s="330">
        <v>45988</v>
      </c>
      <c r="FJ83" s="330" t="s">
        <v>260</v>
      </c>
      <c r="FK83" s="330">
        <v>46094</v>
      </c>
      <c r="FL83" s="336" t="s">
        <v>298</v>
      </c>
      <c r="FM83" s="336">
        <v>45721</v>
      </c>
      <c r="FN83" s="314">
        <f>IF(Table1[[#This Row],[Tanggal Pengajuan Dokumen]]="","",Table1[[#This Row],[PLAN PERMIT
start]]-Table1[[#This Row],[Tanggal Pengajuan Dokumen]])</f>
        <v>-163</v>
      </c>
      <c r="FO83" s="336"/>
      <c r="FP83" s="316"/>
      <c r="FQ83" s="338"/>
      <c r="FR83" s="352"/>
      <c r="FS83" s="338" t="str">
        <f t="shared" si="7"/>
        <v>Sudah Terbit</v>
      </c>
      <c r="FT8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3" s="344">
        <f ca="1">IF(Table1[[#This Row],[Status Izin]]="Selesai",Table1[[#This Row],[PLAN PERMIT
finish]]-Table1[[#This Row],[Tanggal Terbit/ Target Izin Terbit]],ROUNDUP(Table1[[#This Row],[PLAN PERMIT
finish]]-NOW(),0))</f>
        <v>45655</v>
      </c>
      <c r="FV8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3" s="344"/>
      <c r="FX83" s="47"/>
      <c r="FY83" s="340"/>
      <c r="FZ83" s="341">
        <v>45582</v>
      </c>
      <c r="GA8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3" s="330">
        <v>45629</v>
      </c>
      <c r="GC83" s="352">
        <v>45610</v>
      </c>
      <c r="GD8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3" s="330">
        <v>45636</v>
      </c>
      <c r="GF83" s="352">
        <v>45610</v>
      </c>
      <c r="GG8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3" s="330">
        <v>45642</v>
      </c>
      <c r="GI83" s="330">
        <v>45648</v>
      </c>
      <c r="GJ83" s="352">
        <v>45614</v>
      </c>
      <c r="GK8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3" s="330">
        <v>45656</v>
      </c>
      <c r="GM83" s="330" t="e">
        <v>#N/A</v>
      </c>
      <c r="GN83" s="330">
        <v>45697</v>
      </c>
      <c r="GO83" s="330" t="e">
        <v>#N/A</v>
      </c>
      <c r="GP83" s="316"/>
      <c r="GQ8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3" s="330" t="s">
        <v>261</v>
      </c>
      <c r="GS83" s="330" t="s">
        <v>261</v>
      </c>
      <c r="GT83" s="354">
        <v>45720</v>
      </c>
      <c r="GU83" s="344" t="str">
        <f>IF(Table1[[#This Row],[Hydro Tes Actual
(tanggal)]]&lt;&gt;"","Sudah","Belum")</f>
        <v>Sudah</v>
      </c>
      <c r="GV83" s="330" t="s">
        <v>261</v>
      </c>
      <c r="GW83" s="330" t="s">
        <v>261</v>
      </c>
      <c r="GX83" s="331">
        <v>45726</v>
      </c>
      <c r="GY83" s="344" t="str">
        <f>IF(Table1[[#This Row],[Interkoneksi Actual
(tanggal)]]&lt;&gt;"","Sudah","Belum")</f>
        <v>Sudah</v>
      </c>
      <c r="GZ83" s="330" t="s">
        <v>261</v>
      </c>
      <c r="HA83" s="330" t="s">
        <v>261</v>
      </c>
      <c r="HB83" s="331">
        <v>45727</v>
      </c>
      <c r="HC83" s="344" t="str">
        <f>IF(Table1[[#This Row],[Flushing Actual
(tanggal)]]&lt;&gt;"","Sudah","Belum")</f>
        <v>Sudah</v>
      </c>
      <c r="HD83" s="330">
        <v>45684</v>
      </c>
      <c r="HE83" s="330" t="e">
        <v>#N/A</v>
      </c>
      <c r="HF83" s="330">
        <v>45690</v>
      </c>
      <c r="HG83" s="352">
        <v>45368</v>
      </c>
      <c r="HH8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3" s="330" t="s">
        <v>261</v>
      </c>
      <c r="HJ83" s="330" t="s">
        <v>261</v>
      </c>
      <c r="HK83" s="331"/>
      <c r="HL83" s="316"/>
      <c r="HM83" s="330">
        <v>45702</v>
      </c>
      <c r="HN83" s="330">
        <v>45702</v>
      </c>
      <c r="HO83" s="330" t="e">
        <v>#N/A</v>
      </c>
      <c r="HP83" s="331">
        <v>45743</v>
      </c>
      <c r="HQ8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83" s="330">
        <v>45709</v>
      </c>
      <c r="HS83" s="330"/>
      <c r="HT83" s="330">
        <v>45709</v>
      </c>
      <c r="HU83" s="527"/>
      <c r="HV83" s="330">
        <f>IF(Table1[[#This Row],[MC-100 Aktual
(tanggal)]]&lt;&gt;"",Table1[[#This Row],[MC-100 Aktual
(tanggal)]]+5,"")</f>
        <v>45748</v>
      </c>
      <c r="HW8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83" s="47"/>
      <c r="HY83" s="352"/>
      <c r="HZ83" s="352"/>
      <c r="IB83" s="618">
        <f>IFERROR(ROUND((Table1[[#This Row],[PLAN TC
finish]]-Table1[[#This Row],[PLAN MC-0
start]])/30,2),"")</f>
        <v>1.6</v>
      </c>
      <c r="IC83">
        <f>DATEDIF(Table1[[#This Row],[PLAN MC-0
start]],Table1[[#This Row],[PLAN TC
finish]],"m")</f>
        <v>1</v>
      </c>
    </row>
    <row r="84" spans="2:237" s="4" customFormat="1" ht="15" customHeight="1" x14ac:dyDescent="0.2">
      <c r="B84" s="311">
        <f>SUBTOTAL(3,$D$5:D84)</f>
        <v>45</v>
      </c>
      <c r="C84" s="348">
        <v>80</v>
      </c>
      <c r="D84" s="338" t="s">
        <v>629</v>
      </c>
      <c r="E84" s="315" t="s">
        <v>659</v>
      </c>
      <c r="F84" s="315" t="s">
        <v>660</v>
      </c>
      <c r="G84" s="349">
        <v>45752</v>
      </c>
      <c r="H84" s="314" t="s">
        <v>247</v>
      </c>
      <c r="I84" s="315" t="s">
        <v>278</v>
      </c>
      <c r="J84" s="315"/>
      <c r="K84" s="338" t="s">
        <v>632</v>
      </c>
      <c r="L84" s="316" t="s">
        <v>250</v>
      </c>
      <c r="M84" s="316" t="s">
        <v>269</v>
      </c>
      <c r="N84" s="107">
        <v>160</v>
      </c>
      <c r="O84" s="31" t="s">
        <v>252</v>
      </c>
      <c r="P84"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4" s="87" t="e">
        <v>#N/A</v>
      </c>
      <c r="S84" s="87">
        <v>1</v>
      </c>
      <c r="T84" s="35">
        <f>Table1[[#This Row],[Progres Total Aktual
(%)]]</f>
        <v>1</v>
      </c>
      <c r="U84" s="124">
        <f>Table1[[#This Row],[Progres Aktual
(%)]]-Table1[[#This Row],[Target Progres
(%)]]</f>
        <v>0</v>
      </c>
      <c r="V84" s="350">
        <f>Table1[[#This Row],["Volume
BA MC-0"]]</f>
        <v>160</v>
      </c>
      <c r="W84" s="351">
        <f>Table1[[#This Row],[Total Panjang Pipa Aktual
(Sum-&gt;)3]]</f>
        <v>167</v>
      </c>
      <c r="X84" s="47"/>
      <c r="Y84" s="67" t="s">
        <v>661</v>
      </c>
      <c r="Z84" s="67">
        <v>374127457</v>
      </c>
      <c r="AA84" s="67">
        <f>ROUND((Table1[[#This Row],[Nilai RAB Jaringan
(Exclude Ppn)]]-Table1[[#This Row],[RAB Perizinan]])*1.11+Table1[[#This Row],[RAB Perizinan]],0)</f>
        <v>0</v>
      </c>
      <c r="AB84" s="320">
        <f>SUM(Table1[[#This Row],[RAB Kegiatan Umum]:[RAB Perizinan]])</f>
        <v>0</v>
      </c>
      <c r="AC84" s="320"/>
      <c r="AD84" s="320"/>
      <c r="AE84" s="320"/>
      <c r="AF84" s="320"/>
      <c r="AG84" s="320">
        <v>40992966</v>
      </c>
      <c r="AH84" s="35" t="e">
        <f>SUM(Table1[[#This Row],[Bobot Keg Umum]:[Bobot Perizinan]])</f>
        <v>#DIV/0!</v>
      </c>
      <c r="AI84" s="35" t="e">
        <f>Table1[[#This Row],[RAB Kegiatan Umum]]/Table1[[#This Row],[Nilai RAB Jaringan
(Exclude Ppn)]]</f>
        <v>#DIV/0!</v>
      </c>
      <c r="AJ84" s="35" t="e">
        <f>Table1[[#This Row],[RAB Pemasangan]]/Table1[[#This Row],[Nilai RAB Jaringan
(Exclude Ppn)]]</f>
        <v>#DIV/0!</v>
      </c>
      <c r="AK84" s="35" t="e">
        <f>Table1[[#This Row],[RAB Pengadaan]]/Table1[[#This Row],[Nilai RAB Jaringan
(Exclude Ppn)]]</f>
        <v>#DIV/0!</v>
      </c>
      <c r="AL84" s="35" t="e">
        <f>Table1[[#This Row],[RAB Perizinan]]/Table1[[#This Row],[Nilai RAB Jaringan
(Exclude Ppn)]]</f>
        <v>#DIV/0!</v>
      </c>
      <c r="AM84" s="47"/>
      <c r="AN84" s="285">
        <v>160</v>
      </c>
      <c r="AO84" s="285">
        <f>SUM(Table1[[#This Row],[Pipa 63 mm]:[Pipa 1,800 mm]])</f>
        <v>167</v>
      </c>
      <c r="AP84" s="285"/>
      <c r="AQ84" s="285"/>
      <c r="AR84" s="285">
        <v>167</v>
      </c>
      <c r="AS84" s="285"/>
      <c r="AT84" s="285"/>
      <c r="AU84" s="285"/>
      <c r="AV84" s="285"/>
      <c r="AW84" s="285"/>
      <c r="AX84" s="285"/>
      <c r="AY84" s="285"/>
      <c r="AZ84" s="285"/>
      <c r="BA84" s="285"/>
      <c r="BB84" s="285"/>
      <c r="BC84" s="285"/>
      <c r="BD84" s="285"/>
      <c r="BE84" s="285"/>
      <c r="BF84" s="285"/>
      <c r="BG84" s="285"/>
      <c r="BH84" s="285"/>
      <c r="BI84" s="285"/>
      <c r="BJ84" s="36">
        <f>SUM(Table1[[#This Row],[Pipa 63 mm2]:[Pipa 1,800 mm21]])</f>
        <v>167</v>
      </c>
      <c r="BK84" s="32"/>
      <c r="BL84" s="32"/>
      <c r="BM84" s="32">
        <v>167</v>
      </c>
      <c r="BN84" s="32"/>
      <c r="BO84" s="32"/>
      <c r="BP84" s="32"/>
      <c r="BQ84" s="32"/>
      <c r="BR84" s="32"/>
      <c r="BS84" s="32"/>
      <c r="BT84" s="32"/>
      <c r="BU84" s="32"/>
      <c r="BV84" s="32"/>
      <c r="BW84" s="32"/>
      <c r="BX84" s="32"/>
      <c r="BY84" s="32"/>
      <c r="BZ84" s="32"/>
      <c r="CA84" s="32"/>
      <c r="CB84" s="32"/>
      <c r="CC84" s="32"/>
      <c r="CD84" s="32"/>
      <c r="CE84" s="32">
        <v>0</v>
      </c>
      <c r="CF84" s="32"/>
      <c r="CG84" s="32"/>
      <c r="CH84" s="32"/>
      <c r="CI84" s="32">
        <f t="shared" si="6"/>
        <v>0</v>
      </c>
      <c r="CJ84" s="65">
        <f>IF((Table1[[#This Row],["Volume
BA MC-0"]]-Table1[[#This Row],[Total Panjang Pipa Aktual
(Sum-&gt;)3]]-Table1[[#This Row],[Total Volume
tidak dapat dipasang]])&gt;=0,Table1[[#This Row],["Volume
BA MC-0"]]-Table1[[#This Row],[Total Panjang Pipa Aktual
(Sum-&gt;)3]]-Table1[[#This Row],[Total Volume
tidak dapat dipasang]],0)</f>
        <v>0</v>
      </c>
      <c r="CK84" s="47"/>
      <c r="CL84" s="131"/>
      <c r="CM84" s="35"/>
      <c r="CN84" s="131"/>
      <c r="CO84" s="131"/>
      <c r="CP8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4" s="66">
        <f>IFERROR(Table1[[#This Row],[Progres Keg. Umum
(%)]]*Table1[[#This Row],[Nilai RAB Jaringan
(file pa aji)]],0)</f>
        <v>0</v>
      </c>
      <c r="CR84" s="66">
        <f>IFERROR(Table1[[#This Row],[Progres MOS
(%)]]*Table1[[#This Row],[Nilai RAB Jaringan
(file pa aji)]],0)</f>
        <v>0</v>
      </c>
      <c r="CS84" s="66">
        <f>IFERROR(Table1[[#This Row],[Progres Pemasangan
(%)]]*Table1[[#This Row],[Nilai RAB Jaringan
(file pa aji)]],0)</f>
        <v>0</v>
      </c>
      <c r="CT84" s="66">
        <f>IFERROR(Table1[[#This Row],[Progres Perizinan
(%)]]*Table1[[#This Row],[Nilai RAB Jaringan
(file pa aji)]],0)</f>
        <v>0</v>
      </c>
      <c r="CU84" s="329">
        <v>374495783</v>
      </c>
      <c r="CV84" s="329">
        <v>374495783</v>
      </c>
      <c r="CW84" s="583">
        <v>374495783</v>
      </c>
      <c r="CX84" s="329">
        <v>374495783</v>
      </c>
      <c r="CY84" s="47"/>
      <c r="CZ84" s="330">
        <v>45530</v>
      </c>
      <c r="DA84" s="330">
        <v>45557</v>
      </c>
      <c r="DB84" s="331"/>
      <c r="DC84" s="316"/>
      <c r="DD84" s="67"/>
      <c r="DE8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4" s="331"/>
      <c r="DG84" s="316"/>
      <c r="DH84" s="67"/>
      <c r="DI8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4" s="330">
        <v>45558</v>
      </c>
      <c r="DK84" s="330">
        <v>45613</v>
      </c>
      <c r="DL84" s="331"/>
      <c r="DM84" s="316"/>
      <c r="DN8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4" s="331"/>
      <c r="DP84" s="316"/>
      <c r="DQ84" s="338"/>
      <c r="DR8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4" s="330">
        <v>45558</v>
      </c>
      <c r="DT84" s="330" t="e">
        <v>#N/A</v>
      </c>
      <c r="DU84" s="330">
        <v>45599</v>
      </c>
      <c r="DV84" s="330" t="e">
        <v>#N/A</v>
      </c>
      <c r="DW84" s="331"/>
      <c r="DX84" s="316"/>
      <c r="DY84" s="334"/>
      <c r="DZ84" s="334"/>
      <c r="EA8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4" s="331"/>
      <c r="EC84" s="332"/>
      <c r="ED84" s="332"/>
      <c r="EE84" s="330"/>
      <c r="EF84" s="35">
        <v>1</v>
      </c>
      <c r="EG84" s="337">
        <v>1</v>
      </c>
      <c r="EH84" s="316" t="str">
        <f>IF(Table1[[#This Row],[PO Material Aktual 
(%)]]&gt;=100%,"Selesai PO = 100%",IF(Table1[[#This Row],[PO Material Aktual 
(%)]]&gt;=50%,"Proses PO &gt; 100%",IF(Table1[[#This Row],[PO Material Aktual 
(%)]]&gt;0%,"Proses PO &gt; 50%",IF(Table1[[#This Row],[PO Material Aktual 
(%)]]=0,"Belum PO = 0%"))))</f>
        <v>Selesai PO = 100%</v>
      </c>
      <c r="EI8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4" s="330">
        <v>45600</v>
      </c>
      <c r="EK84" s="330" t="e">
        <v>#N/A</v>
      </c>
      <c r="EL84" s="330">
        <v>45648</v>
      </c>
      <c r="EM84" s="330" t="e">
        <v>#N/A</v>
      </c>
      <c r="EN84" s="331"/>
      <c r="EO84" s="332"/>
      <c r="EP84" s="332"/>
      <c r="EQ84" s="87">
        <v>1</v>
      </c>
      <c r="ER84" s="87">
        <v>1</v>
      </c>
      <c r="ES84" s="316" t="str">
        <f>IF(Table1[[#This Row],[Progres MOS]]&gt;=100%,"Selesai MOS = 100%",IF(Table1[[#This Row],[Progres MOS]]&gt;=50%,"Proses MOS &gt; 100%",IF(Table1[[#This Row],[Progres MOS]]&gt;0%,"Proses MOS &gt; 50%",IF(Table1[[#This Row],[Progres MOS]]=0,"Belum MOS = 0%"))))</f>
        <v>Selesai MOS = 100%</v>
      </c>
      <c r="ET8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4" s="47"/>
      <c r="EV84" s="330">
        <v>45558</v>
      </c>
      <c r="EW84" s="330" t="e">
        <v>#N/A</v>
      </c>
      <c r="EX84" s="330">
        <v>45641</v>
      </c>
      <c r="EY84" s="330" t="e">
        <v>#N/A</v>
      </c>
      <c r="EZ84" s="352" t="s">
        <v>259</v>
      </c>
      <c r="FA84" s="336" t="s">
        <v>259</v>
      </c>
      <c r="FB84" s="330" t="s">
        <v>260</v>
      </c>
      <c r="FC84" s="330">
        <v>45650</v>
      </c>
      <c r="FD84" s="330" t="s">
        <v>260</v>
      </c>
      <c r="FE84" s="330">
        <v>45723</v>
      </c>
      <c r="FF84" s="330">
        <v>45804</v>
      </c>
      <c r="FG84" s="330" t="s">
        <v>260</v>
      </c>
      <c r="FH84" s="330" t="s">
        <v>260</v>
      </c>
      <c r="FI84" s="330">
        <v>45863</v>
      </c>
      <c r="FJ84" s="330" t="s">
        <v>260</v>
      </c>
      <c r="FK84" s="330">
        <v>46000</v>
      </c>
      <c r="FL84" s="336" t="s">
        <v>259</v>
      </c>
      <c r="FM84" s="336">
        <v>45650</v>
      </c>
      <c r="FN84" s="314">
        <f>IF(Table1[[#This Row],[Tanggal Pengajuan Dokumen]]="","",Table1[[#This Row],[PLAN PERMIT
start]]-Table1[[#This Row],[Tanggal Pengajuan Dokumen]])</f>
        <v>-92</v>
      </c>
      <c r="FO84" s="336">
        <v>46000</v>
      </c>
      <c r="FP84" s="316"/>
      <c r="FQ84" s="338"/>
      <c r="FR84" s="352"/>
      <c r="FS84" s="338" t="str">
        <f t="shared" si="7"/>
        <v>Sudah Terbit</v>
      </c>
      <c r="FT8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4" s="344">
        <f ca="1">IF(Table1[[#This Row],[Status Izin]]="Selesai",Table1[[#This Row],[PLAN PERMIT
finish]]-Table1[[#This Row],[Tanggal Terbit/ Target Izin Terbit]],ROUNDUP(Table1[[#This Row],[PLAN PERMIT
finish]]-NOW(),0))</f>
        <v>-359</v>
      </c>
      <c r="FV8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4" s="344"/>
      <c r="FX84" s="47"/>
      <c r="FY84" s="340"/>
      <c r="FZ84" s="341">
        <v>45582</v>
      </c>
      <c r="GA8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4" s="330">
        <v>45615</v>
      </c>
      <c r="GC84" s="352">
        <v>45555</v>
      </c>
      <c r="GD8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4" s="330">
        <v>45622</v>
      </c>
      <c r="GF84" s="352">
        <v>45555</v>
      </c>
      <c r="GG8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4" s="330">
        <v>45628</v>
      </c>
      <c r="GI84" s="330">
        <v>45634</v>
      </c>
      <c r="GJ84" s="352">
        <v>45561</v>
      </c>
      <c r="GK8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4" s="330">
        <v>45642</v>
      </c>
      <c r="GM84" s="330" t="e">
        <v>#N/A</v>
      </c>
      <c r="GN84" s="330">
        <v>45669</v>
      </c>
      <c r="GO84" s="330" t="e">
        <v>#N/A</v>
      </c>
      <c r="GP84" s="316"/>
      <c r="GQ8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4" s="330" t="s">
        <v>261</v>
      </c>
      <c r="GS84" s="330" t="s">
        <v>261</v>
      </c>
      <c r="GT84" s="354">
        <v>45708</v>
      </c>
      <c r="GU84" s="344" t="str">
        <f>IF(Table1[[#This Row],[Hydro Tes Actual
(tanggal)]]&lt;&gt;"","Sudah","Belum")</f>
        <v>Sudah</v>
      </c>
      <c r="GV84" s="330" t="s">
        <v>261</v>
      </c>
      <c r="GW84" s="330" t="s">
        <v>261</v>
      </c>
      <c r="GX84" s="331">
        <v>45712</v>
      </c>
      <c r="GY84" s="344" t="str">
        <f>IF(Table1[[#This Row],[Interkoneksi Actual
(tanggal)]]&lt;&gt;"","Sudah","Belum")</f>
        <v>Sudah</v>
      </c>
      <c r="GZ84" s="330" t="s">
        <v>261</v>
      </c>
      <c r="HA84" s="330" t="s">
        <v>261</v>
      </c>
      <c r="HB84" s="331">
        <v>45716</v>
      </c>
      <c r="HC84" s="344" t="str">
        <f>IF(Table1[[#This Row],[Flushing Actual
(tanggal)]]&lt;&gt;"","Sudah","Belum")</f>
        <v>Sudah</v>
      </c>
      <c r="HD84" s="330">
        <v>45656</v>
      </c>
      <c r="HE84" s="330" t="e">
        <v>#N/A</v>
      </c>
      <c r="HF84" s="330">
        <v>45662</v>
      </c>
      <c r="HG84" s="352">
        <v>45363</v>
      </c>
      <c r="HH8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4" s="330" t="s">
        <v>261</v>
      </c>
      <c r="HJ84" s="330" t="s">
        <v>261</v>
      </c>
      <c r="HK84" s="331"/>
      <c r="HL84" s="316"/>
      <c r="HM84" s="330">
        <v>45674</v>
      </c>
      <c r="HN84" s="330">
        <v>45674</v>
      </c>
      <c r="HO84" s="330" t="e">
        <v>#N/A</v>
      </c>
      <c r="HP84" s="331">
        <v>45743</v>
      </c>
      <c r="HQ8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84" s="330">
        <v>45681</v>
      </c>
      <c r="HS84" s="330"/>
      <c r="HT84" s="330">
        <v>45681</v>
      </c>
      <c r="HU84" s="527"/>
      <c r="HV84" s="330">
        <f>IF(Table1[[#This Row],[MC-100 Aktual
(tanggal)]]&lt;&gt;"",Table1[[#This Row],[MC-100 Aktual
(tanggal)]]+5,"")</f>
        <v>45748</v>
      </c>
      <c r="HW8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84" s="47"/>
      <c r="HY84" s="352"/>
      <c r="HZ84" s="352"/>
      <c r="IB84" s="618">
        <f>IFERROR(ROUND((Table1[[#This Row],[PLAN TC
finish]]-Table1[[#This Row],[PLAN MC-0
start]])/30,2),"")</f>
        <v>1.1299999999999999</v>
      </c>
      <c r="IC84">
        <f>DATEDIF(Table1[[#This Row],[PLAN MC-0
start]],Table1[[#This Row],[PLAN TC
finish]],"m")</f>
        <v>1</v>
      </c>
    </row>
    <row r="85" spans="2:237" s="4" customFormat="1" ht="15" hidden="1" customHeight="1" x14ac:dyDescent="0.2">
      <c r="B85" s="311">
        <f>SUBTOTAL(3,$D$5:D85)</f>
        <v>45</v>
      </c>
      <c r="C85" s="348">
        <v>81</v>
      </c>
      <c r="D85" s="338" t="s">
        <v>629</v>
      </c>
      <c r="E85" s="315" t="s">
        <v>662</v>
      </c>
      <c r="F85" s="315" t="s">
        <v>663</v>
      </c>
      <c r="G85" s="349">
        <v>45752</v>
      </c>
      <c r="H85" s="314" t="s">
        <v>247</v>
      </c>
      <c r="I85" s="315" t="s">
        <v>278</v>
      </c>
      <c r="J85" s="315"/>
      <c r="K85" s="338" t="s">
        <v>632</v>
      </c>
      <c r="L85" s="316" t="s">
        <v>250</v>
      </c>
      <c r="M85" s="316" t="s">
        <v>269</v>
      </c>
      <c r="N85" s="107">
        <v>2199</v>
      </c>
      <c r="O85" s="31" t="s">
        <v>252</v>
      </c>
      <c r="P8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5" s="87" t="e">
        <v>#N/A</v>
      </c>
      <c r="S85" s="87">
        <v>1</v>
      </c>
      <c r="T85" s="35">
        <f>Table1[[#This Row],[Progres Total Aktual
(%)]]</f>
        <v>1</v>
      </c>
      <c r="U85" s="124">
        <f>Table1[[#This Row],[Progres Aktual
(%)]]-Table1[[#This Row],[Target Progres
(%)]]</f>
        <v>0</v>
      </c>
      <c r="V85" s="350">
        <f>Table1[[#This Row],["Volume
BA MC-0"]]</f>
        <v>2199</v>
      </c>
      <c r="W85" s="351">
        <f>Table1[[#This Row],[Total Panjang Pipa Aktual
(Sum-&gt;)3]]</f>
        <v>2190</v>
      </c>
      <c r="X85" s="47"/>
      <c r="Y85" s="67" t="s">
        <v>664</v>
      </c>
      <c r="Z85" s="67">
        <v>5641702448</v>
      </c>
      <c r="AA85" s="67">
        <f>ROUND((Table1[[#This Row],[Nilai RAB Jaringan
(Exclude Ppn)]]-Table1[[#This Row],[RAB Perizinan]])*1.11+Table1[[#This Row],[RAB Perizinan]],0)</f>
        <v>0</v>
      </c>
      <c r="AB85" s="320">
        <f>SUM(Table1[[#This Row],[RAB Kegiatan Umum]:[RAB Perizinan]])</f>
        <v>0</v>
      </c>
      <c r="AC85" s="320"/>
      <c r="AD85" s="320"/>
      <c r="AE85" s="320"/>
      <c r="AF85" s="320"/>
      <c r="AG85" s="320">
        <v>2049649</v>
      </c>
      <c r="AH85" s="35" t="e">
        <f>SUM(Table1[[#This Row],[Bobot Keg Umum]:[Bobot Perizinan]])</f>
        <v>#DIV/0!</v>
      </c>
      <c r="AI85" s="35" t="e">
        <f>Table1[[#This Row],[RAB Kegiatan Umum]]/Table1[[#This Row],[Nilai RAB Jaringan
(Exclude Ppn)]]</f>
        <v>#DIV/0!</v>
      </c>
      <c r="AJ85" s="35" t="e">
        <f>Table1[[#This Row],[RAB Pemasangan]]/Table1[[#This Row],[Nilai RAB Jaringan
(Exclude Ppn)]]</f>
        <v>#DIV/0!</v>
      </c>
      <c r="AK85" s="35" t="e">
        <f>Table1[[#This Row],[RAB Pengadaan]]/Table1[[#This Row],[Nilai RAB Jaringan
(Exclude Ppn)]]</f>
        <v>#DIV/0!</v>
      </c>
      <c r="AL85" s="35" t="e">
        <f>Table1[[#This Row],[RAB Perizinan]]/Table1[[#This Row],[Nilai RAB Jaringan
(Exclude Ppn)]]</f>
        <v>#DIV/0!</v>
      </c>
      <c r="AM85" s="47"/>
      <c r="AN85" s="285">
        <v>2199</v>
      </c>
      <c r="AO85" s="285">
        <f>SUM(Table1[[#This Row],[Pipa 63 mm]:[Pipa 1,800 mm]])</f>
        <v>2197</v>
      </c>
      <c r="AP85" s="285"/>
      <c r="AQ85" s="285">
        <v>400</v>
      </c>
      <c r="AR85" s="285">
        <v>5</v>
      </c>
      <c r="AS85" s="285">
        <v>1357</v>
      </c>
      <c r="AT85" s="285">
        <v>430</v>
      </c>
      <c r="AU85" s="285">
        <v>5</v>
      </c>
      <c r="AV85" s="285"/>
      <c r="AW85" s="285"/>
      <c r="AX85" s="285"/>
      <c r="AY85" s="285"/>
      <c r="AZ85" s="285"/>
      <c r="BA85" s="285"/>
      <c r="BB85" s="285"/>
      <c r="BC85" s="285"/>
      <c r="BD85" s="285"/>
      <c r="BE85" s="285"/>
      <c r="BF85" s="285"/>
      <c r="BG85" s="285"/>
      <c r="BH85" s="285"/>
      <c r="BI85" s="285"/>
      <c r="BJ85" s="36">
        <f>SUM(Table1[[#This Row],[Pipa 63 mm2]:[Pipa 1,800 mm21]])</f>
        <v>2190</v>
      </c>
      <c r="BK85" s="32"/>
      <c r="BL85" s="32">
        <v>391</v>
      </c>
      <c r="BM85" s="32">
        <v>5</v>
      </c>
      <c r="BN85" s="32">
        <v>1364</v>
      </c>
      <c r="BO85" s="32">
        <v>430</v>
      </c>
      <c r="BP85" s="32"/>
      <c r="BQ85" s="32"/>
      <c r="BR85" s="32"/>
      <c r="BS85" s="32"/>
      <c r="BT85" s="32"/>
      <c r="BU85" s="32"/>
      <c r="BV85" s="32"/>
      <c r="BW85" s="32"/>
      <c r="BX85" s="32"/>
      <c r="BY85" s="32"/>
      <c r="BZ85" s="32"/>
      <c r="CA85" s="32"/>
      <c r="CB85" s="32"/>
      <c r="CC85" s="32"/>
      <c r="CD85" s="32"/>
      <c r="CE85" s="32">
        <v>0</v>
      </c>
      <c r="CF85" s="32"/>
      <c r="CG85" s="32"/>
      <c r="CH85" s="32"/>
      <c r="CI85" s="32">
        <f t="shared" si="6"/>
        <v>0</v>
      </c>
      <c r="CJ85" s="65">
        <f>IF((Table1[[#This Row],["Volume
BA MC-0"]]-Table1[[#This Row],[Total Panjang Pipa Aktual
(Sum-&gt;)3]]-Table1[[#This Row],[Total Volume
tidak dapat dipasang]])&gt;=0,Table1[[#This Row],["Volume
BA MC-0"]]-Table1[[#This Row],[Total Panjang Pipa Aktual
(Sum-&gt;)3]]-Table1[[#This Row],[Total Volume
tidak dapat dipasang]],0)</f>
        <v>9</v>
      </c>
      <c r="CK85" s="47"/>
      <c r="CL85" s="131"/>
      <c r="CM85" s="35"/>
      <c r="CN85" s="131"/>
      <c r="CO85" s="131"/>
      <c r="CP8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5" s="66">
        <f>IFERROR(Table1[[#This Row],[Progres Keg. Umum
(%)]]*Table1[[#This Row],[Nilai RAB Jaringan
(file pa aji)]],0)</f>
        <v>0</v>
      </c>
      <c r="CR85" s="66">
        <f>IFERROR(Table1[[#This Row],[Progres MOS
(%)]]*Table1[[#This Row],[Nilai RAB Jaringan
(file pa aji)]],0)</f>
        <v>0</v>
      </c>
      <c r="CS85" s="66">
        <f>IFERROR(Table1[[#This Row],[Progres Pemasangan
(%)]]*Table1[[#This Row],[Nilai RAB Jaringan
(file pa aji)]],0)</f>
        <v>0</v>
      </c>
      <c r="CT85" s="66">
        <f>IFERROR(Table1[[#This Row],[Progres Perizinan
(%)]]*Table1[[#This Row],[Nilai RAB Jaringan
(file pa aji)]],0)</f>
        <v>0</v>
      </c>
      <c r="CU85" s="329">
        <v>5301539368</v>
      </c>
      <c r="CV85" s="329">
        <v>5301539368</v>
      </c>
      <c r="CW85" s="583">
        <v>5301539368</v>
      </c>
      <c r="CX85" s="329">
        <v>5301539368</v>
      </c>
      <c r="CY85" s="47"/>
      <c r="CZ85" s="330">
        <v>45530</v>
      </c>
      <c r="DA85" s="330">
        <v>45557</v>
      </c>
      <c r="DB85" s="331"/>
      <c r="DC85" s="316"/>
      <c r="DD85" s="67"/>
      <c r="DE8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5" s="331"/>
      <c r="DG85" s="316"/>
      <c r="DH85" s="67"/>
      <c r="DI8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5" s="330">
        <v>45558</v>
      </c>
      <c r="DK85" s="330">
        <v>45627</v>
      </c>
      <c r="DL85" s="331"/>
      <c r="DM85" s="316"/>
      <c r="DN8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5" s="331"/>
      <c r="DP85" s="316"/>
      <c r="DQ85" s="338"/>
      <c r="DR8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5" s="330">
        <v>45558</v>
      </c>
      <c r="DT85" s="330" t="e">
        <v>#N/A</v>
      </c>
      <c r="DU85" s="330">
        <v>45599</v>
      </c>
      <c r="DV85" s="330" t="e">
        <v>#N/A</v>
      </c>
      <c r="DW85" s="331"/>
      <c r="DX85" s="316"/>
      <c r="DY85" s="334"/>
      <c r="DZ85" s="334"/>
      <c r="EA8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5" s="331"/>
      <c r="EC85" s="332"/>
      <c r="ED85" s="332"/>
      <c r="EE85" s="330"/>
      <c r="EF85" s="35">
        <v>1</v>
      </c>
      <c r="EG85" s="337">
        <v>1</v>
      </c>
      <c r="EH85" s="316" t="str">
        <f>IF(Table1[[#This Row],[PO Material Aktual 
(%)]]&gt;=100%,"Selesai PO = 100%",IF(Table1[[#This Row],[PO Material Aktual 
(%)]]&gt;=50%,"Proses PO &gt; 100%",IF(Table1[[#This Row],[PO Material Aktual 
(%)]]&gt;0%,"Proses PO &gt; 50%",IF(Table1[[#This Row],[PO Material Aktual 
(%)]]=0,"Belum PO = 0%"))))</f>
        <v>Selesai PO = 100%</v>
      </c>
      <c r="EI8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5" s="330">
        <v>45600</v>
      </c>
      <c r="EK85" s="330" t="e">
        <v>#N/A</v>
      </c>
      <c r="EL85" s="330">
        <v>45676</v>
      </c>
      <c r="EM85" s="330" t="e">
        <v>#N/A</v>
      </c>
      <c r="EN85" s="331"/>
      <c r="EO85" s="332"/>
      <c r="EP85" s="332"/>
      <c r="EQ85" s="87">
        <v>1</v>
      </c>
      <c r="ER85" s="87">
        <v>1</v>
      </c>
      <c r="ES85" s="316" t="str">
        <f>IF(Table1[[#This Row],[Progres MOS]]&gt;=100%,"Selesai MOS = 100%",IF(Table1[[#This Row],[Progres MOS]]&gt;=50%,"Proses MOS &gt; 100%",IF(Table1[[#This Row],[Progres MOS]]&gt;0%,"Proses MOS &gt; 50%",IF(Table1[[#This Row],[Progres MOS]]=0,"Belum MOS = 0%"))))</f>
        <v>Selesai MOS = 100%</v>
      </c>
      <c r="ET8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5" s="47"/>
      <c r="EV85" s="330">
        <v>45558</v>
      </c>
      <c r="EW85" s="330" t="e">
        <v>#N/A</v>
      </c>
      <c r="EX85" s="330">
        <v>45655</v>
      </c>
      <c r="EY85" s="330" t="e">
        <v>#N/A</v>
      </c>
      <c r="EZ85" s="352" t="s">
        <v>259</v>
      </c>
      <c r="FA85" s="336" t="s">
        <v>259</v>
      </c>
      <c r="FB85" s="330" t="s">
        <v>260</v>
      </c>
      <c r="FC85" s="330">
        <v>45582</v>
      </c>
      <c r="FD85" s="330" t="s">
        <v>260</v>
      </c>
      <c r="FE85" s="330">
        <v>45625</v>
      </c>
      <c r="FF85" s="330">
        <v>45702</v>
      </c>
      <c r="FG85" s="330" t="s">
        <v>260</v>
      </c>
      <c r="FH85" s="330" t="s">
        <v>260</v>
      </c>
      <c r="FI85" s="330">
        <v>45866</v>
      </c>
      <c r="FJ85" s="330" t="s">
        <v>260</v>
      </c>
      <c r="FK85" s="330">
        <v>46000</v>
      </c>
      <c r="FL85" s="336" t="s">
        <v>259</v>
      </c>
      <c r="FM85" s="336">
        <v>45582</v>
      </c>
      <c r="FN85" s="314">
        <f>IF(Table1[[#This Row],[Tanggal Pengajuan Dokumen]]="","",Table1[[#This Row],[PLAN PERMIT
start]]-Table1[[#This Row],[Tanggal Pengajuan Dokumen]])</f>
        <v>-24</v>
      </c>
      <c r="FO85" s="336">
        <v>46000</v>
      </c>
      <c r="FP85" s="316"/>
      <c r="FQ85" s="338"/>
      <c r="FR85" s="352"/>
      <c r="FS85" s="338" t="str">
        <f t="shared" si="7"/>
        <v>Sudah Terbit</v>
      </c>
      <c r="FT8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5" s="344">
        <f ca="1">IF(Table1[[#This Row],[Status Izin]]="Selesai",Table1[[#This Row],[PLAN PERMIT
finish]]-Table1[[#This Row],[Tanggal Terbit/ Target Izin Terbit]],ROUNDUP(Table1[[#This Row],[PLAN PERMIT
finish]]-NOW(),0))</f>
        <v>-345</v>
      </c>
      <c r="FV8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5" s="344"/>
      <c r="FX85" s="47"/>
      <c r="FY85" s="340"/>
      <c r="FZ85" s="341">
        <v>45582</v>
      </c>
      <c r="GA8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5" s="330">
        <v>45629</v>
      </c>
      <c r="GC85" s="352">
        <v>45555</v>
      </c>
      <c r="GD8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5" s="330">
        <v>45636</v>
      </c>
      <c r="GF85" s="352">
        <v>45555</v>
      </c>
      <c r="GG8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5" s="330">
        <v>45642</v>
      </c>
      <c r="GI85" s="330">
        <v>45648</v>
      </c>
      <c r="GJ85" s="352">
        <v>45561</v>
      </c>
      <c r="GK8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5" s="330">
        <v>45656</v>
      </c>
      <c r="GM85" s="330" t="e">
        <v>#N/A</v>
      </c>
      <c r="GN85" s="330">
        <v>45725</v>
      </c>
      <c r="GO85" s="330" t="e">
        <v>#N/A</v>
      </c>
      <c r="GP85" s="316"/>
      <c r="GQ8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5" s="330" t="s">
        <v>261</v>
      </c>
      <c r="GS85" s="330" t="s">
        <v>261</v>
      </c>
      <c r="GT85" s="354">
        <v>45740</v>
      </c>
      <c r="GU85" s="344" t="str">
        <f>IF(Table1[[#This Row],[Hydro Tes Actual
(tanggal)]]&lt;&gt;"","Sudah","Belum")</f>
        <v>Sudah</v>
      </c>
      <c r="GV85" s="330" t="s">
        <v>261</v>
      </c>
      <c r="GW85" s="330" t="s">
        <v>261</v>
      </c>
      <c r="GX85" s="331">
        <v>45734</v>
      </c>
      <c r="GY85" s="344" t="str">
        <f>IF(Table1[[#This Row],[Interkoneksi Actual
(tanggal)]]&lt;&gt;"","Sudah","Belum")</f>
        <v>Sudah</v>
      </c>
      <c r="GZ85" s="330" t="s">
        <v>261</v>
      </c>
      <c r="HA85" s="330" t="s">
        <v>261</v>
      </c>
      <c r="HB85" s="331">
        <v>45745</v>
      </c>
      <c r="HC85" s="344" t="str">
        <f>IF(Table1[[#This Row],[Flushing Actual
(tanggal)]]&lt;&gt;"","Sudah","Belum")</f>
        <v>Sudah</v>
      </c>
      <c r="HD85" s="330">
        <v>45712</v>
      </c>
      <c r="HE85" s="330" t="e">
        <v>#N/A</v>
      </c>
      <c r="HF85" s="330">
        <v>45718</v>
      </c>
      <c r="HG85" s="352">
        <v>45750</v>
      </c>
      <c r="HH8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5" s="330" t="s">
        <v>261</v>
      </c>
      <c r="HJ85" s="330" t="s">
        <v>261</v>
      </c>
      <c r="HK85" s="331"/>
      <c r="HL85" s="316"/>
      <c r="HM85" s="330">
        <v>45737</v>
      </c>
      <c r="HN85" s="330">
        <v>45737</v>
      </c>
      <c r="HO85" s="330" t="e">
        <v>#N/A</v>
      </c>
      <c r="HP85" s="331">
        <v>45785</v>
      </c>
      <c r="HQ8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85" s="330">
        <v>45744</v>
      </c>
      <c r="HS85" s="330"/>
      <c r="HT85" s="330">
        <v>45744</v>
      </c>
      <c r="HU85" s="527"/>
      <c r="HV85" s="330">
        <f>IF(Table1[[#This Row],[MC-100 Aktual
(tanggal)]]&lt;&gt;"",Table1[[#This Row],[MC-100 Aktual
(tanggal)]]+5,"")</f>
        <v>45790</v>
      </c>
      <c r="HW8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85" s="47"/>
      <c r="HY85" s="352"/>
      <c r="HZ85" s="352"/>
      <c r="IB85" s="618">
        <f>IFERROR(ROUND((Table1[[#This Row],[PLAN TC
finish]]-Table1[[#This Row],[PLAN MC-0
start]])/30,2),"")</f>
        <v>2.5299999999999998</v>
      </c>
      <c r="IC85">
        <f>DATEDIF(Table1[[#This Row],[PLAN MC-0
start]],Table1[[#This Row],[PLAN TC
finish]],"m")</f>
        <v>2</v>
      </c>
    </row>
    <row r="86" spans="2:237" s="4" customFormat="1" ht="15" customHeight="1" x14ac:dyDescent="0.2">
      <c r="B86" s="311">
        <f>SUBTOTAL(3,$D$5:D86)</f>
        <v>46</v>
      </c>
      <c r="C86" s="348">
        <v>82</v>
      </c>
      <c r="D86" s="338" t="s">
        <v>629</v>
      </c>
      <c r="E86" s="315" t="s">
        <v>665</v>
      </c>
      <c r="F86" s="315" t="s">
        <v>666</v>
      </c>
      <c r="G86" s="349">
        <v>45752</v>
      </c>
      <c r="H86" s="314" t="s">
        <v>247</v>
      </c>
      <c r="I86" s="315" t="s">
        <v>278</v>
      </c>
      <c r="J86" s="315"/>
      <c r="K86" s="338" t="s">
        <v>632</v>
      </c>
      <c r="L86" s="316" t="s">
        <v>250</v>
      </c>
      <c r="M86" s="316" t="s">
        <v>269</v>
      </c>
      <c r="N86" s="107">
        <v>75</v>
      </c>
      <c r="O86" s="31" t="s">
        <v>252</v>
      </c>
      <c r="P8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6" s="87" t="e">
        <v>#N/A</v>
      </c>
      <c r="S86" s="87">
        <v>1</v>
      </c>
      <c r="T86" s="35">
        <f>Table1[[#This Row],[Progres Total Aktual
(%)]]</f>
        <v>1</v>
      </c>
      <c r="U86" s="124">
        <f>Table1[[#This Row],[Progres Aktual
(%)]]-Table1[[#This Row],[Target Progres
(%)]]</f>
        <v>0</v>
      </c>
      <c r="V86" s="350">
        <f>Table1[[#This Row],["Volume
BA MC-0"]]</f>
        <v>75</v>
      </c>
      <c r="W86" s="351">
        <f>Table1[[#This Row],[Total Panjang Pipa Aktual
(Sum-&gt;)3]]</f>
        <v>75</v>
      </c>
      <c r="X86" s="47"/>
      <c r="Y86" s="67" t="s">
        <v>667</v>
      </c>
      <c r="Z86" s="67">
        <v>180068942</v>
      </c>
      <c r="AA86" s="67">
        <f>ROUND((Table1[[#This Row],[Nilai RAB Jaringan
(Exclude Ppn)]]-Table1[[#This Row],[RAB Perizinan]])*1.11+Table1[[#This Row],[RAB Perizinan]],0)</f>
        <v>0</v>
      </c>
      <c r="AB86" s="320">
        <f>SUM(Table1[[#This Row],[RAB Kegiatan Umum]:[RAB Perizinan]])</f>
        <v>0</v>
      </c>
      <c r="AC86" s="320"/>
      <c r="AD86" s="320"/>
      <c r="AE86" s="320"/>
      <c r="AF86" s="320"/>
      <c r="AG86" s="320">
        <v>12297890</v>
      </c>
      <c r="AH86" s="35" t="e">
        <f>SUM(Table1[[#This Row],[Bobot Keg Umum]:[Bobot Perizinan]])</f>
        <v>#DIV/0!</v>
      </c>
      <c r="AI86" s="35" t="e">
        <f>Table1[[#This Row],[RAB Kegiatan Umum]]/Table1[[#This Row],[Nilai RAB Jaringan
(Exclude Ppn)]]</f>
        <v>#DIV/0!</v>
      </c>
      <c r="AJ86" s="35" t="e">
        <f>Table1[[#This Row],[RAB Pemasangan]]/Table1[[#This Row],[Nilai RAB Jaringan
(Exclude Ppn)]]</f>
        <v>#DIV/0!</v>
      </c>
      <c r="AK86" s="35" t="e">
        <f>Table1[[#This Row],[RAB Pengadaan]]/Table1[[#This Row],[Nilai RAB Jaringan
(Exclude Ppn)]]</f>
        <v>#DIV/0!</v>
      </c>
      <c r="AL86" s="35" t="e">
        <f>Table1[[#This Row],[RAB Perizinan]]/Table1[[#This Row],[Nilai RAB Jaringan
(Exclude Ppn)]]</f>
        <v>#DIV/0!</v>
      </c>
      <c r="AM86" s="47"/>
      <c r="AN86" s="285">
        <v>75</v>
      </c>
      <c r="AO86" s="285">
        <f>SUM(Table1[[#This Row],[Pipa 63 mm]:[Pipa 1,800 mm]])</f>
        <v>75</v>
      </c>
      <c r="AP86" s="285"/>
      <c r="AQ86" s="285"/>
      <c r="AR86" s="285">
        <v>75</v>
      </c>
      <c r="AS86" s="285"/>
      <c r="AT86" s="285"/>
      <c r="AU86" s="285"/>
      <c r="AV86" s="285"/>
      <c r="AW86" s="285"/>
      <c r="AX86" s="285"/>
      <c r="AY86" s="285"/>
      <c r="AZ86" s="285"/>
      <c r="BA86" s="285"/>
      <c r="BB86" s="285"/>
      <c r="BC86" s="285"/>
      <c r="BD86" s="285"/>
      <c r="BE86" s="285"/>
      <c r="BF86" s="285"/>
      <c r="BG86" s="285"/>
      <c r="BH86" s="285"/>
      <c r="BI86" s="285"/>
      <c r="BJ86" s="36">
        <f>SUM(Table1[[#This Row],[Pipa 63 mm2]:[Pipa 1,800 mm21]])</f>
        <v>75</v>
      </c>
      <c r="BK86" s="32"/>
      <c r="BL86" s="32"/>
      <c r="BM86" s="32">
        <v>75</v>
      </c>
      <c r="BN86" s="32"/>
      <c r="BO86" s="32"/>
      <c r="BP86" s="32"/>
      <c r="BQ86" s="32"/>
      <c r="BR86" s="32"/>
      <c r="BS86" s="32"/>
      <c r="BT86" s="32"/>
      <c r="BU86" s="32"/>
      <c r="BV86" s="32"/>
      <c r="BW86" s="32"/>
      <c r="BX86" s="32"/>
      <c r="BY86" s="32"/>
      <c r="BZ86" s="32"/>
      <c r="CA86" s="32"/>
      <c r="CB86" s="32"/>
      <c r="CC86" s="32"/>
      <c r="CD86" s="32"/>
      <c r="CE86" s="32">
        <v>0</v>
      </c>
      <c r="CF86" s="32"/>
      <c r="CG86" s="32"/>
      <c r="CH86" s="32"/>
      <c r="CI86" s="32">
        <f t="shared" si="6"/>
        <v>0</v>
      </c>
      <c r="CJ86" s="65">
        <f>IF((Table1[[#This Row],["Volume
BA MC-0"]]-Table1[[#This Row],[Total Panjang Pipa Aktual
(Sum-&gt;)3]]-Table1[[#This Row],[Total Volume
tidak dapat dipasang]])&gt;=0,Table1[[#This Row],["Volume
BA MC-0"]]-Table1[[#This Row],[Total Panjang Pipa Aktual
(Sum-&gt;)3]]-Table1[[#This Row],[Total Volume
tidak dapat dipasang]],0)</f>
        <v>0</v>
      </c>
      <c r="CK86" s="47"/>
      <c r="CL86" s="131"/>
      <c r="CM86" s="35"/>
      <c r="CN86" s="131"/>
      <c r="CO86" s="131"/>
      <c r="CP8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6" s="66">
        <f>IFERROR(Table1[[#This Row],[Progres Keg. Umum
(%)]]*Table1[[#This Row],[Nilai RAB Jaringan
(file pa aji)]],0)</f>
        <v>0</v>
      </c>
      <c r="CR86" s="66">
        <f>IFERROR(Table1[[#This Row],[Progres MOS
(%)]]*Table1[[#This Row],[Nilai RAB Jaringan
(file pa aji)]],0)</f>
        <v>0</v>
      </c>
      <c r="CS86" s="66">
        <f>IFERROR(Table1[[#This Row],[Progres Pemasangan
(%)]]*Table1[[#This Row],[Nilai RAB Jaringan
(file pa aji)]],0)</f>
        <v>0</v>
      </c>
      <c r="CT86" s="66">
        <f>IFERROR(Table1[[#This Row],[Progres Perizinan
(%)]]*Table1[[#This Row],[Nilai RAB Jaringan
(file pa aji)]],0)</f>
        <v>0</v>
      </c>
      <c r="CU86" s="329">
        <v>178920948</v>
      </c>
      <c r="CV86" s="329">
        <v>178920948</v>
      </c>
      <c r="CW86" s="583">
        <v>178920948</v>
      </c>
      <c r="CX86" s="329">
        <v>178920948</v>
      </c>
      <c r="CY86" s="47"/>
      <c r="CZ86" s="330">
        <v>45530</v>
      </c>
      <c r="DA86" s="330">
        <v>45557</v>
      </c>
      <c r="DB86" s="331"/>
      <c r="DC86" s="316"/>
      <c r="DD86" s="67"/>
      <c r="DE8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6" s="331"/>
      <c r="DG86" s="316"/>
      <c r="DH86" s="67"/>
      <c r="DI8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6" s="330">
        <v>45558</v>
      </c>
      <c r="DK86" s="330">
        <v>45613</v>
      </c>
      <c r="DL86" s="331"/>
      <c r="DM86" s="316"/>
      <c r="DN8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6" s="331"/>
      <c r="DP86" s="316"/>
      <c r="DQ86" s="338"/>
      <c r="DR8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6" s="330">
        <v>45558</v>
      </c>
      <c r="DT86" s="330" t="e">
        <v>#N/A</v>
      </c>
      <c r="DU86" s="330">
        <v>45599</v>
      </c>
      <c r="DV86" s="330" t="e">
        <v>#N/A</v>
      </c>
      <c r="DW86" s="331"/>
      <c r="DX86" s="316"/>
      <c r="DY86" s="334"/>
      <c r="DZ86" s="334"/>
      <c r="EA8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6" s="331"/>
      <c r="EC86" s="332"/>
      <c r="ED86" s="332"/>
      <c r="EE86" s="330"/>
      <c r="EF86" s="35">
        <v>1</v>
      </c>
      <c r="EG86" s="337">
        <v>1</v>
      </c>
      <c r="EH86" s="316" t="str">
        <f>IF(Table1[[#This Row],[PO Material Aktual 
(%)]]&gt;=100%,"Selesai PO = 100%",IF(Table1[[#This Row],[PO Material Aktual 
(%)]]&gt;=50%,"Proses PO &gt; 100%",IF(Table1[[#This Row],[PO Material Aktual 
(%)]]&gt;0%,"Proses PO &gt; 50%",IF(Table1[[#This Row],[PO Material Aktual 
(%)]]=0,"Belum PO = 0%"))))</f>
        <v>Selesai PO = 100%</v>
      </c>
      <c r="EI8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6" s="330">
        <v>45600</v>
      </c>
      <c r="EK86" s="330" t="e">
        <v>#N/A</v>
      </c>
      <c r="EL86" s="330">
        <v>45648</v>
      </c>
      <c r="EM86" s="330" t="e">
        <v>#N/A</v>
      </c>
      <c r="EN86" s="331"/>
      <c r="EO86" s="332"/>
      <c r="EP86" s="332"/>
      <c r="EQ86" s="87">
        <v>1</v>
      </c>
      <c r="ER86" s="87">
        <v>1</v>
      </c>
      <c r="ES86" s="316" t="str">
        <f>IF(Table1[[#This Row],[Progres MOS]]&gt;=100%,"Selesai MOS = 100%",IF(Table1[[#This Row],[Progres MOS]]&gt;=50%,"Proses MOS &gt; 100%",IF(Table1[[#This Row],[Progres MOS]]&gt;0%,"Proses MOS &gt; 50%",IF(Table1[[#This Row],[Progres MOS]]=0,"Belum MOS = 0%"))))</f>
        <v>Selesai MOS = 100%</v>
      </c>
      <c r="ET8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6" s="47"/>
      <c r="EV86" s="330">
        <v>45558</v>
      </c>
      <c r="EW86" s="330" t="e">
        <v>#N/A</v>
      </c>
      <c r="EX86" s="330">
        <v>45641</v>
      </c>
      <c r="EY86" s="330" t="e">
        <v>#N/A</v>
      </c>
      <c r="EZ86" s="352" t="s">
        <v>259</v>
      </c>
      <c r="FA86" s="336" t="s">
        <v>259</v>
      </c>
      <c r="FB86" s="330" t="s">
        <v>260</v>
      </c>
      <c r="FC86" s="330">
        <v>45761</v>
      </c>
      <c r="FD86" s="330" t="s">
        <v>260</v>
      </c>
      <c r="FE86" s="330"/>
      <c r="FF86" s="330">
        <v>45783</v>
      </c>
      <c r="FG86" s="330" t="s">
        <v>260</v>
      </c>
      <c r="FH86" s="330" t="s">
        <v>260</v>
      </c>
      <c r="FI86" s="330"/>
      <c r="FJ86" s="330" t="s">
        <v>260</v>
      </c>
      <c r="FK86" s="330">
        <v>45824</v>
      </c>
      <c r="FL86" s="336" t="s">
        <v>259</v>
      </c>
      <c r="FM86" s="336">
        <v>45761</v>
      </c>
      <c r="FN86" s="314">
        <f>IF(Table1[[#This Row],[Tanggal Pengajuan Dokumen]]="","",Table1[[#This Row],[PLAN PERMIT
start]]-Table1[[#This Row],[Tanggal Pengajuan Dokumen]])</f>
        <v>-203</v>
      </c>
      <c r="FO86" s="336">
        <v>45824</v>
      </c>
      <c r="FP86" s="316"/>
      <c r="FQ86" s="338"/>
      <c r="FR86" s="352"/>
      <c r="FS86" s="338" t="str">
        <f t="shared" si="7"/>
        <v>Sudah Terbit</v>
      </c>
      <c r="FT8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6" s="344">
        <f ca="1">IF(Table1[[#This Row],[Status Izin]]="Selesai",Table1[[#This Row],[PLAN PERMIT
finish]]-Table1[[#This Row],[Tanggal Terbit/ Target Izin Terbit]],ROUNDUP(Table1[[#This Row],[PLAN PERMIT
finish]]-NOW(),0))</f>
        <v>-183</v>
      </c>
      <c r="FV8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6" s="344"/>
      <c r="FX86" s="47"/>
      <c r="FY86" s="340"/>
      <c r="FZ86" s="341">
        <v>45582</v>
      </c>
      <c r="GA8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6" s="330">
        <v>45615</v>
      </c>
      <c r="GC86" s="352">
        <v>45610</v>
      </c>
      <c r="GD8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6" s="330">
        <v>45622</v>
      </c>
      <c r="GF86" s="352">
        <v>45610</v>
      </c>
      <c r="GG8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6" s="330">
        <v>45628</v>
      </c>
      <c r="GI86" s="330">
        <v>45634</v>
      </c>
      <c r="GJ86" s="352">
        <v>45614</v>
      </c>
      <c r="GK8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6" s="330">
        <v>45642</v>
      </c>
      <c r="GM86" s="330" t="e">
        <v>#N/A</v>
      </c>
      <c r="GN86" s="330">
        <v>45669</v>
      </c>
      <c r="GO86" s="330" t="e">
        <v>#N/A</v>
      </c>
      <c r="GP86" s="316"/>
      <c r="GQ8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6" s="330" t="s">
        <v>261</v>
      </c>
      <c r="GS86" s="330" t="s">
        <v>261</v>
      </c>
      <c r="GT86" s="354">
        <v>45737</v>
      </c>
      <c r="GU86" s="344" t="str">
        <f>IF(Table1[[#This Row],[Hydro Tes Actual
(tanggal)]]&lt;&gt;"","Sudah","Belum")</f>
        <v>Sudah</v>
      </c>
      <c r="GV86" s="330" t="s">
        <v>261</v>
      </c>
      <c r="GW86" s="330" t="s">
        <v>261</v>
      </c>
      <c r="GX86" s="331">
        <v>45727</v>
      </c>
      <c r="GY86" s="344" t="str">
        <f>IF(Table1[[#This Row],[Interkoneksi Actual
(tanggal)]]&lt;&gt;"","Sudah","Belum")</f>
        <v>Sudah</v>
      </c>
      <c r="GZ86" s="330" t="s">
        <v>261</v>
      </c>
      <c r="HA86" s="330" t="s">
        <v>261</v>
      </c>
      <c r="HB86" s="331">
        <v>45745</v>
      </c>
      <c r="HC86" s="344" t="str">
        <f>IF(Table1[[#This Row],[Flushing Actual
(tanggal)]]&lt;&gt;"","Sudah","Belum")</f>
        <v>Sudah</v>
      </c>
      <c r="HD86" s="330">
        <v>45656</v>
      </c>
      <c r="HE86" s="330" t="e">
        <v>#N/A</v>
      </c>
      <c r="HF86" s="330">
        <v>45662</v>
      </c>
      <c r="HG86" s="352">
        <v>45750</v>
      </c>
      <c r="HH8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6" s="330" t="s">
        <v>261</v>
      </c>
      <c r="HJ86" s="330" t="s">
        <v>261</v>
      </c>
      <c r="HK86" s="331"/>
      <c r="HL86" s="316"/>
      <c r="HM86" s="330">
        <v>45674</v>
      </c>
      <c r="HN86" s="330">
        <v>45674</v>
      </c>
      <c r="HO86" s="330" t="e">
        <v>#N/A</v>
      </c>
      <c r="HP86" s="331">
        <v>45405</v>
      </c>
      <c r="HQ8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86" s="330">
        <v>45681</v>
      </c>
      <c r="HS86" s="330"/>
      <c r="HT86" s="330">
        <v>45681</v>
      </c>
      <c r="HU86" s="527"/>
      <c r="HV86" s="330">
        <f>IF(Table1[[#This Row],[MC-100 Aktual
(tanggal)]]&lt;&gt;"",Table1[[#This Row],[MC-100 Aktual
(tanggal)]]+5,"")</f>
        <v>45410</v>
      </c>
      <c r="HW8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86" s="47"/>
      <c r="HY86" s="352"/>
      <c r="HZ86" s="352"/>
      <c r="IB86" s="618">
        <f>IFERROR(ROUND((Table1[[#This Row],[PLAN TC
finish]]-Table1[[#This Row],[PLAN MC-0
start]])/30,2),"")</f>
        <v>1.1299999999999999</v>
      </c>
      <c r="IC86">
        <f>DATEDIF(Table1[[#This Row],[PLAN MC-0
start]],Table1[[#This Row],[PLAN TC
finish]],"m")</f>
        <v>1</v>
      </c>
    </row>
    <row r="87" spans="2:237" s="4" customFormat="1" ht="15" hidden="1" customHeight="1" x14ac:dyDescent="0.2">
      <c r="B87" s="311">
        <f>SUBTOTAL(3,$D$5:D87)</f>
        <v>46</v>
      </c>
      <c r="C87" s="348">
        <v>83</v>
      </c>
      <c r="D87" s="338" t="s">
        <v>629</v>
      </c>
      <c r="E87" s="315" t="s">
        <v>668</v>
      </c>
      <c r="F87" s="315" t="s">
        <v>669</v>
      </c>
      <c r="G87" s="349">
        <v>45752</v>
      </c>
      <c r="H87" s="314" t="s">
        <v>247</v>
      </c>
      <c r="I87" s="315" t="s">
        <v>278</v>
      </c>
      <c r="J87" s="418"/>
      <c r="K87" s="338" t="s">
        <v>632</v>
      </c>
      <c r="L87" s="316" t="s">
        <v>250</v>
      </c>
      <c r="M87" s="316" t="s">
        <v>269</v>
      </c>
      <c r="N87" s="107">
        <v>260</v>
      </c>
      <c r="O87" s="31" t="s">
        <v>252</v>
      </c>
      <c r="P87"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7" s="87" t="e">
        <v>#N/A</v>
      </c>
      <c r="S87" s="87">
        <v>1</v>
      </c>
      <c r="T87" s="35">
        <f>Table1[[#This Row],[Progres Total Aktual
(%)]]</f>
        <v>1</v>
      </c>
      <c r="U87" s="124">
        <f>Table1[[#This Row],[Progres Aktual
(%)]]-Table1[[#This Row],[Target Progres
(%)]]</f>
        <v>0</v>
      </c>
      <c r="V87" s="350">
        <f>Table1[[#This Row],["Volume
BA MC-0"]]</f>
        <v>256</v>
      </c>
      <c r="W87" s="351">
        <f>Table1[[#This Row],[Total Panjang Pipa Aktual
(Sum-&gt;)3]]</f>
        <v>239.1</v>
      </c>
      <c r="X87" s="47"/>
      <c r="Y87" s="67" t="s">
        <v>670</v>
      </c>
      <c r="Z87" s="67">
        <v>446463363</v>
      </c>
      <c r="AA87" s="67">
        <f>ROUND((Table1[[#This Row],[Nilai RAB Jaringan
(Exclude Ppn)]]-Table1[[#This Row],[RAB Perizinan]])*1.11+Table1[[#This Row],[RAB Perizinan]],0)</f>
        <v>0</v>
      </c>
      <c r="AB87" s="320">
        <f>SUM(Table1[[#This Row],[RAB Kegiatan Umum]:[RAB Perizinan]])</f>
        <v>0</v>
      </c>
      <c r="AC87" s="320"/>
      <c r="AD87" s="320"/>
      <c r="AE87" s="320"/>
      <c r="AF87" s="320"/>
      <c r="AG87" s="320">
        <v>59439801</v>
      </c>
      <c r="AH87" s="35" t="e">
        <f>SUM(Table1[[#This Row],[Bobot Keg Umum]:[Bobot Perizinan]])</f>
        <v>#DIV/0!</v>
      </c>
      <c r="AI87" s="35" t="e">
        <f>Table1[[#This Row],[RAB Kegiatan Umum]]/Table1[[#This Row],[Nilai RAB Jaringan
(Exclude Ppn)]]</f>
        <v>#DIV/0!</v>
      </c>
      <c r="AJ87" s="35" t="e">
        <f>Table1[[#This Row],[RAB Pemasangan]]/Table1[[#This Row],[Nilai RAB Jaringan
(Exclude Ppn)]]</f>
        <v>#DIV/0!</v>
      </c>
      <c r="AK87" s="35" t="e">
        <f>Table1[[#This Row],[RAB Pengadaan]]/Table1[[#This Row],[Nilai RAB Jaringan
(Exclude Ppn)]]</f>
        <v>#DIV/0!</v>
      </c>
      <c r="AL87" s="35" t="e">
        <f>Table1[[#This Row],[RAB Perizinan]]/Table1[[#This Row],[Nilai RAB Jaringan
(Exclude Ppn)]]</f>
        <v>#DIV/0!</v>
      </c>
      <c r="AM87" s="47"/>
      <c r="AN87" s="285">
        <v>256</v>
      </c>
      <c r="AO87" s="285">
        <f>SUM(Table1[[#This Row],[Pipa 63 mm]:[Pipa 1,800 mm]])</f>
        <v>256</v>
      </c>
      <c r="AP87" s="285">
        <v>18</v>
      </c>
      <c r="AQ87" s="285">
        <v>238</v>
      </c>
      <c r="AR87" s="285"/>
      <c r="AS87" s="285"/>
      <c r="AT87" s="285"/>
      <c r="AU87" s="285"/>
      <c r="AV87" s="285"/>
      <c r="AW87" s="285"/>
      <c r="AX87" s="285"/>
      <c r="AY87" s="285"/>
      <c r="AZ87" s="285"/>
      <c r="BA87" s="285"/>
      <c r="BB87" s="285"/>
      <c r="BC87" s="285"/>
      <c r="BD87" s="285"/>
      <c r="BE87" s="285"/>
      <c r="BF87" s="285"/>
      <c r="BG87" s="285"/>
      <c r="BH87" s="285"/>
      <c r="BI87" s="285"/>
      <c r="BJ87" s="36">
        <f>SUM(Table1[[#This Row],[Pipa 63 mm2]:[Pipa 1,800 mm21]])</f>
        <v>239.1</v>
      </c>
      <c r="BK87" s="32"/>
      <c r="BL87" s="32">
        <v>239.1</v>
      </c>
      <c r="BM87" s="32"/>
      <c r="BN87" s="32"/>
      <c r="BO87" s="32"/>
      <c r="BP87" s="32"/>
      <c r="BQ87" s="32"/>
      <c r="BR87" s="32"/>
      <c r="BS87" s="32"/>
      <c r="BT87" s="32"/>
      <c r="BU87" s="32"/>
      <c r="BV87" s="32"/>
      <c r="BW87" s="32"/>
      <c r="BX87" s="32"/>
      <c r="BY87" s="32"/>
      <c r="BZ87" s="32"/>
      <c r="CA87" s="32"/>
      <c r="CB87" s="32"/>
      <c r="CC87" s="32"/>
      <c r="CD87" s="32"/>
      <c r="CE87" s="32">
        <v>0</v>
      </c>
      <c r="CF87" s="32"/>
      <c r="CG87" s="32"/>
      <c r="CH87" s="32"/>
      <c r="CI87" s="32">
        <f t="shared" si="6"/>
        <v>0</v>
      </c>
      <c r="CJ87" s="65">
        <f>IF((Table1[[#This Row],["Volume
BA MC-0"]]-Table1[[#This Row],[Total Panjang Pipa Aktual
(Sum-&gt;)3]]-Table1[[#This Row],[Total Volume
tidak dapat dipasang]])&gt;=0,Table1[[#This Row],["Volume
BA MC-0"]]-Table1[[#This Row],[Total Panjang Pipa Aktual
(Sum-&gt;)3]]-Table1[[#This Row],[Total Volume
tidak dapat dipasang]],0)</f>
        <v>16.900000000000006</v>
      </c>
      <c r="CK87" s="47"/>
      <c r="CL87" s="131"/>
      <c r="CM87" s="35"/>
      <c r="CN87" s="131"/>
      <c r="CO87" s="131"/>
      <c r="CP8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7" s="66">
        <f>IFERROR(Table1[[#This Row],[Progres Keg. Umum
(%)]]*Table1[[#This Row],[Nilai RAB Jaringan
(file pa aji)]],0)</f>
        <v>0</v>
      </c>
      <c r="CR87" s="66">
        <f>IFERROR(Table1[[#This Row],[Progres MOS
(%)]]*Table1[[#This Row],[Nilai RAB Jaringan
(file pa aji)]],0)</f>
        <v>0</v>
      </c>
      <c r="CS87" s="66">
        <f>IFERROR(Table1[[#This Row],[Progres Pemasangan
(%)]]*Table1[[#This Row],[Nilai RAB Jaringan
(file pa aji)]],0)</f>
        <v>0</v>
      </c>
      <c r="CT87" s="66">
        <f>IFERROR(Table1[[#This Row],[Progres Perizinan
(%)]]*Table1[[#This Row],[Nilai RAB Jaringan
(file pa aji)]],0)</f>
        <v>0</v>
      </c>
      <c r="CU87" s="329">
        <v>415723528</v>
      </c>
      <c r="CV87" s="329">
        <v>415723528</v>
      </c>
      <c r="CW87" s="583">
        <v>415723528</v>
      </c>
      <c r="CX87" s="329">
        <v>415723528</v>
      </c>
      <c r="CY87" s="47"/>
      <c r="CZ87" s="330">
        <v>45530</v>
      </c>
      <c r="DA87" s="330">
        <v>45557</v>
      </c>
      <c r="DB87" s="331"/>
      <c r="DC87" s="316"/>
      <c r="DD87" s="67"/>
      <c r="DE8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7" s="331"/>
      <c r="DG87" s="316"/>
      <c r="DH87" s="67"/>
      <c r="DI8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7" s="330">
        <v>45558</v>
      </c>
      <c r="DK87" s="330">
        <v>45613</v>
      </c>
      <c r="DL87" s="331">
        <v>45924</v>
      </c>
      <c r="DM87" s="316" t="s">
        <v>671</v>
      </c>
      <c r="DN8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87" s="331">
        <v>45929</v>
      </c>
      <c r="DP87" s="316" t="s">
        <v>672</v>
      </c>
      <c r="DQ87" s="338" t="s">
        <v>312</v>
      </c>
      <c r="DR8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7" s="330">
        <v>45558</v>
      </c>
      <c r="DT87" s="330" t="e">
        <v>#N/A</v>
      </c>
      <c r="DU87" s="330">
        <v>45599</v>
      </c>
      <c r="DV87" s="330" t="e">
        <v>#N/A</v>
      </c>
      <c r="DW87" s="331"/>
      <c r="DX87" s="316"/>
      <c r="DY87" s="334"/>
      <c r="DZ87" s="334"/>
      <c r="EA8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7" s="331"/>
      <c r="EC87" s="332"/>
      <c r="ED87" s="332"/>
      <c r="EE87" s="330"/>
      <c r="EF87" s="35">
        <v>1</v>
      </c>
      <c r="EG87" s="337">
        <v>1</v>
      </c>
      <c r="EH87" s="316" t="str">
        <f>IF(Table1[[#This Row],[PO Material Aktual 
(%)]]&gt;=100%,"Selesai PO = 100%",IF(Table1[[#This Row],[PO Material Aktual 
(%)]]&gt;=50%,"Proses PO &gt; 100%",IF(Table1[[#This Row],[PO Material Aktual 
(%)]]&gt;0%,"Proses PO &gt; 50%",IF(Table1[[#This Row],[PO Material Aktual 
(%)]]=0,"Belum PO = 0%"))))</f>
        <v>Selesai PO = 100%</v>
      </c>
      <c r="EI8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7" s="330">
        <v>45600</v>
      </c>
      <c r="EK87" s="330" t="e">
        <v>#N/A</v>
      </c>
      <c r="EL87" s="330">
        <v>45648</v>
      </c>
      <c r="EM87" s="330" t="e">
        <v>#N/A</v>
      </c>
      <c r="EN87" s="331"/>
      <c r="EO87" s="332"/>
      <c r="EP87" s="332"/>
      <c r="EQ87" s="87">
        <v>1</v>
      </c>
      <c r="ER87" s="87">
        <v>1</v>
      </c>
      <c r="ES87" s="316" t="str">
        <f>IF(Table1[[#This Row],[Progres MOS]]&gt;=100%,"Selesai MOS = 100%",IF(Table1[[#This Row],[Progres MOS]]&gt;=50%,"Proses MOS &gt; 100%",IF(Table1[[#This Row],[Progres MOS]]&gt;0%,"Proses MOS &gt; 50%",IF(Table1[[#This Row],[Progres MOS]]=0,"Belum MOS = 0%"))))</f>
        <v>Selesai MOS = 100%</v>
      </c>
      <c r="ET8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7" s="47"/>
      <c r="EV87" s="330">
        <v>45558</v>
      </c>
      <c r="EW87" s="330" t="e">
        <v>#N/A</v>
      </c>
      <c r="EX87" s="330">
        <v>45641</v>
      </c>
      <c r="EY87" s="330" t="e">
        <v>#N/A</v>
      </c>
      <c r="EZ87" s="352" t="s">
        <v>259</v>
      </c>
      <c r="FA87" s="336" t="s">
        <v>259</v>
      </c>
      <c r="FB87" s="330" t="s">
        <v>260</v>
      </c>
      <c r="FC87" s="330">
        <v>45719</v>
      </c>
      <c r="FD87" s="330" t="s">
        <v>260</v>
      </c>
      <c r="FE87" s="330">
        <v>45730</v>
      </c>
      <c r="FF87" s="330">
        <v>45784</v>
      </c>
      <c r="FG87" s="330" t="s">
        <v>260</v>
      </c>
      <c r="FH87" s="330" t="s">
        <v>260</v>
      </c>
      <c r="FI87" s="330">
        <v>45825</v>
      </c>
      <c r="FJ87" s="330" t="s">
        <v>260</v>
      </c>
      <c r="FK87" s="330">
        <v>45877</v>
      </c>
      <c r="FL87" s="336" t="s">
        <v>259</v>
      </c>
      <c r="FM87" s="336">
        <v>45719</v>
      </c>
      <c r="FN87" s="314">
        <f>IF(Table1[[#This Row],[Tanggal Pengajuan Dokumen]]="","",Table1[[#This Row],[PLAN PERMIT
start]]-Table1[[#This Row],[Tanggal Pengajuan Dokumen]])</f>
        <v>-161</v>
      </c>
      <c r="FO87" s="336">
        <v>45877</v>
      </c>
      <c r="FP87" s="316"/>
      <c r="FQ87" s="338"/>
      <c r="FR87" s="352"/>
      <c r="FS87" s="338" t="str">
        <f t="shared" si="7"/>
        <v>Sudah Terbit</v>
      </c>
      <c r="FT8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7" s="344">
        <f ca="1">IF(Table1[[#This Row],[Status Izin]]="Selesai",Table1[[#This Row],[PLAN PERMIT
finish]]-Table1[[#This Row],[Tanggal Terbit/ Target Izin Terbit]],ROUNDUP(Table1[[#This Row],[PLAN PERMIT
finish]]-NOW(),0))</f>
        <v>-236</v>
      </c>
      <c r="FV8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7" s="344"/>
      <c r="FX87" s="47"/>
      <c r="FY87" s="340"/>
      <c r="FZ87" s="341">
        <v>45582</v>
      </c>
      <c r="GA8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7" s="330">
        <v>45615</v>
      </c>
      <c r="GC87" s="352">
        <v>45610</v>
      </c>
      <c r="GD8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7" s="330">
        <v>45622</v>
      </c>
      <c r="GF87" s="352">
        <v>45610</v>
      </c>
      <c r="GG8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7" s="330">
        <v>45628</v>
      </c>
      <c r="GI87" s="330">
        <v>45634</v>
      </c>
      <c r="GJ87" s="352">
        <v>45614</v>
      </c>
      <c r="GK8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7" s="330">
        <v>45642</v>
      </c>
      <c r="GM87" s="330" t="e">
        <v>#N/A</v>
      </c>
      <c r="GN87" s="330">
        <v>45669</v>
      </c>
      <c r="GO87" s="330" t="e">
        <v>#N/A</v>
      </c>
      <c r="GP87" s="316"/>
      <c r="GQ8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7" s="330" t="s">
        <v>261</v>
      </c>
      <c r="GS87" s="330" t="s">
        <v>261</v>
      </c>
      <c r="GT87" s="419">
        <v>45831</v>
      </c>
      <c r="GU87" s="344" t="str">
        <f>IF(Table1[[#This Row],[Hydro Tes Actual
(tanggal)]]&lt;&gt;"","Sudah","Belum")</f>
        <v>Sudah</v>
      </c>
      <c r="GV87" s="330" t="s">
        <v>261</v>
      </c>
      <c r="GW87" s="330" t="s">
        <v>261</v>
      </c>
      <c r="GX87" s="331">
        <v>45839</v>
      </c>
      <c r="GY87" s="344" t="str">
        <f>IF(Table1[[#This Row],[Interkoneksi Actual
(tanggal)]]&lt;&gt;"","Sudah","Belum")</f>
        <v>Sudah</v>
      </c>
      <c r="GZ87" s="330" t="s">
        <v>261</v>
      </c>
      <c r="HA87" s="330" t="s">
        <v>261</v>
      </c>
      <c r="HB87" s="420">
        <v>45845</v>
      </c>
      <c r="HC87" s="344" t="str">
        <f>IF(Table1[[#This Row],[Flushing Actual
(tanggal)]]&lt;&gt;"","Sudah","Belum")</f>
        <v>Sudah</v>
      </c>
      <c r="HD87" s="330">
        <v>45656</v>
      </c>
      <c r="HE87" s="330" t="e">
        <v>#N/A</v>
      </c>
      <c r="HF87" s="330">
        <v>45662</v>
      </c>
      <c r="HG87" s="352">
        <v>45846</v>
      </c>
      <c r="HH8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7" s="330" t="s">
        <v>261</v>
      </c>
      <c r="HJ87" s="330" t="s">
        <v>261</v>
      </c>
      <c r="HK87" s="331"/>
      <c r="HL87" s="316"/>
      <c r="HM87" s="330">
        <v>45674</v>
      </c>
      <c r="HN87" s="330">
        <v>45674</v>
      </c>
      <c r="HO87" s="330" t="e">
        <v>#N/A</v>
      </c>
      <c r="HP87" s="331">
        <v>45911</v>
      </c>
      <c r="HQ8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87" s="330">
        <v>45681</v>
      </c>
      <c r="HS87" s="330"/>
      <c r="HT87" s="330">
        <v>45681</v>
      </c>
      <c r="HU87" s="527"/>
      <c r="HV87" s="330">
        <f>IF(Table1[[#This Row],[MC-100 Aktual
(tanggal)]]&lt;&gt;"",Table1[[#This Row],[MC-100 Aktual
(tanggal)]]+5,"")</f>
        <v>45916</v>
      </c>
      <c r="HW8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87" s="47"/>
      <c r="HY87" s="352"/>
      <c r="HZ87" s="352"/>
      <c r="IB87" s="618">
        <f>IFERROR(ROUND((Table1[[#This Row],[PLAN TC
finish]]-Table1[[#This Row],[PLAN MC-0
start]])/30,2),"")</f>
        <v>1.1299999999999999</v>
      </c>
      <c r="IC87">
        <f>DATEDIF(Table1[[#This Row],[PLAN MC-0
start]],Table1[[#This Row],[PLAN TC
finish]],"m")</f>
        <v>1</v>
      </c>
    </row>
    <row r="88" spans="2:237" s="4" customFormat="1" ht="15" customHeight="1" x14ac:dyDescent="0.2">
      <c r="B88" s="311">
        <f>SUBTOTAL(3,$D$5:D88)</f>
        <v>47</v>
      </c>
      <c r="C88" s="348">
        <v>84</v>
      </c>
      <c r="D88" s="315" t="s">
        <v>673</v>
      </c>
      <c r="E88" s="315" t="s">
        <v>674</v>
      </c>
      <c r="F88" s="315" t="s">
        <v>675</v>
      </c>
      <c r="G88" s="349">
        <v>45752</v>
      </c>
      <c r="H88" s="314" t="s">
        <v>247</v>
      </c>
      <c r="I88" s="315" t="s">
        <v>278</v>
      </c>
      <c r="J88" s="315"/>
      <c r="K88" s="338" t="s">
        <v>676</v>
      </c>
      <c r="L88" s="316" t="s">
        <v>250</v>
      </c>
      <c r="M88" s="316" t="s">
        <v>269</v>
      </c>
      <c r="N88" s="107">
        <v>4099</v>
      </c>
      <c r="O88" s="31" t="s">
        <v>252</v>
      </c>
      <c r="P8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8" s="87" t="e">
        <v>#N/A</v>
      </c>
      <c r="S88" s="87">
        <v>1</v>
      </c>
      <c r="T88" s="35">
        <f>Table1[[#This Row],[Progres Total Aktual
(%)]]</f>
        <v>1</v>
      </c>
      <c r="U88" s="124">
        <f>Table1[[#This Row],[Progres Aktual
(%)]]-Table1[[#This Row],[Target Progres
(%)]]</f>
        <v>0</v>
      </c>
      <c r="V88" s="350">
        <f>Table1[[#This Row],["Volume
BA MC-0"]]</f>
        <v>1193.4000000000001</v>
      </c>
      <c r="W88" s="351">
        <f>Table1[[#This Row],[Total Panjang Pipa Aktual
(Sum-&gt;)3]]</f>
        <v>4324</v>
      </c>
      <c r="X88" s="47"/>
      <c r="Y88" s="67" t="s">
        <v>677</v>
      </c>
      <c r="Z88" s="67">
        <v>11497374215</v>
      </c>
      <c r="AA88" s="67">
        <f>ROUND((Table1[[#This Row],[Nilai RAB Jaringan
(Exclude Ppn)]]-Table1[[#This Row],[RAB Perizinan]])*1.11+Table1[[#This Row],[RAB Perizinan]],0)</f>
        <v>0</v>
      </c>
      <c r="AB88" s="320">
        <f>SUM(Table1[[#This Row],[RAB Kegiatan Umum]:[RAB Perizinan]])</f>
        <v>0</v>
      </c>
      <c r="AC88" s="320"/>
      <c r="AD88" s="320"/>
      <c r="AE88" s="320"/>
      <c r="AF88" s="320"/>
      <c r="AG88" s="320">
        <v>0</v>
      </c>
      <c r="AH88" s="35" t="e">
        <f>SUM(Table1[[#This Row],[Bobot Keg Umum]:[Bobot Perizinan]])</f>
        <v>#DIV/0!</v>
      </c>
      <c r="AI88" s="35" t="e">
        <f>Table1[[#This Row],[RAB Kegiatan Umum]]/Table1[[#This Row],[Nilai RAB Jaringan
(Exclude Ppn)]]</f>
        <v>#DIV/0!</v>
      </c>
      <c r="AJ88" s="35" t="e">
        <f>Table1[[#This Row],[RAB Pemasangan]]/Table1[[#This Row],[Nilai RAB Jaringan
(Exclude Ppn)]]</f>
        <v>#DIV/0!</v>
      </c>
      <c r="AK88" s="35" t="e">
        <f>Table1[[#This Row],[RAB Pengadaan]]/Table1[[#This Row],[Nilai RAB Jaringan
(Exclude Ppn)]]</f>
        <v>#DIV/0!</v>
      </c>
      <c r="AL88" s="35" t="e">
        <f>Table1[[#This Row],[RAB Perizinan]]/Table1[[#This Row],[Nilai RAB Jaringan
(Exclude Ppn)]]</f>
        <v>#DIV/0!</v>
      </c>
      <c r="AM88" s="47"/>
      <c r="AN88" s="285">
        <v>1193.4000000000001</v>
      </c>
      <c r="AO88" s="285">
        <f>SUM(Table1[[#This Row],[Pipa 63 mm]:[Pipa 1,800 mm]])</f>
        <v>0</v>
      </c>
      <c r="AP88" s="285"/>
      <c r="AQ88" s="285"/>
      <c r="AR88" s="285"/>
      <c r="AS88" s="285"/>
      <c r="AT88" s="285"/>
      <c r="AU88" s="285"/>
      <c r="AV88" s="285"/>
      <c r="AW88" s="285"/>
      <c r="AX88" s="285"/>
      <c r="AY88" s="285"/>
      <c r="AZ88" s="285"/>
      <c r="BA88" s="285"/>
      <c r="BB88" s="285"/>
      <c r="BC88" s="285"/>
      <c r="BD88" s="285"/>
      <c r="BE88" s="285"/>
      <c r="BF88" s="285"/>
      <c r="BG88" s="285"/>
      <c r="BH88" s="285"/>
      <c r="BI88" s="285"/>
      <c r="BJ88" s="36">
        <f>SUM(Table1[[#This Row],[Pipa 63 mm2]:[Pipa 1,800 mm21]])</f>
        <v>4324</v>
      </c>
      <c r="BK88" s="32">
        <v>22</v>
      </c>
      <c r="BL88" s="32">
        <v>12</v>
      </c>
      <c r="BM88" s="32">
        <v>114</v>
      </c>
      <c r="BN88" s="32"/>
      <c r="BO88" s="32"/>
      <c r="BP88" s="32"/>
      <c r="BQ88" s="32">
        <v>4160</v>
      </c>
      <c r="BR88" s="32"/>
      <c r="BS88" s="32">
        <v>16</v>
      </c>
      <c r="BT88" s="32"/>
      <c r="BU88" s="32"/>
      <c r="BV88" s="32"/>
      <c r="BW88" s="32"/>
      <c r="BX88" s="32"/>
      <c r="BY88" s="32"/>
      <c r="BZ88" s="32"/>
      <c r="CA88" s="32"/>
      <c r="CB88" s="32"/>
      <c r="CC88" s="32"/>
      <c r="CD88" s="32"/>
      <c r="CE88" s="32">
        <v>0</v>
      </c>
      <c r="CF88" s="32"/>
      <c r="CG88" s="32"/>
      <c r="CH88" s="32"/>
      <c r="CI88" s="32">
        <f t="shared" si="6"/>
        <v>0</v>
      </c>
      <c r="CJ88" s="65">
        <f>IF((Table1[[#This Row],["Volume
BA MC-0"]]-Table1[[#This Row],[Total Panjang Pipa Aktual
(Sum-&gt;)3]]-Table1[[#This Row],[Total Volume
tidak dapat dipasang]])&gt;=0,Table1[[#This Row],["Volume
BA MC-0"]]-Table1[[#This Row],[Total Panjang Pipa Aktual
(Sum-&gt;)3]]-Table1[[#This Row],[Total Volume
tidak dapat dipasang]],0)</f>
        <v>0</v>
      </c>
      <c r="CK88" s="47"/>
      <c r="CL88" s="131"/>
      <c r="CM88" s="35"/>
      <c r="CN88" s="131"/>
      <c r="CO88" s="131"/>
      <c r="CP8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8" s="66">
        <f>IFERROR(Table1[[#This Row],[Progres Keg. Umum
(%)]]*Table1[[#This Row],[Nilai RAB Jaringan
(file pa aji)]],0)</f>
        <v>0</v>
      </c>
      <c r="CR88" s="66">
        <f>IFERROR(Table1[[#This Row],[Progres MOS
(%)]]*Table1[[#This Row],[Nilai RAB Jaringan
(file pa aji)]],0)</f>
        <v>0</v>
      </c>
      <c r="CS88" s="66">
        <f>IFERROR(Table1[[#This Row],[Progres Pemasangan
(%)]]*Table1[[#This Row],[Nilai RAB Jaringan
(file pa aji)]],0)</f>
        <v>0</v>
      </c>
      <c r="CT88" s="66">
        <f>IFERROR(Table1[[#This Row],[Progres Perizinan
(%)]]*Table1[[#This Row],[Nilai RAB Jaringan
(file pa aji)]],0)</f>
        <v>0</v>
      </c>
      <c r="CU88" s="329">
        <v>11312531101</v>
      </c>
      <c r="CV88" s="329">
        <v>11312531101</v>
      </c>
      <c r="CW88" s="583">
        <v>11312531101</v>
      </c>
      <c r="CX88" s="329">
        <v>11312531101</v>
      </c>
      <c r="CY88" s="47"/>
      <c r="CZ88" s="330">
        <v>45194</v>
      </c>
      <c r="DA88" s="330">
        <v>45221</v>
      </c>
      <c r="DB88" s="331"/>
      <c r="DC88" s="316"/>
      <c r="DD88" s="67"/>
      <c r="DE8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8" s="331"/>
      <c r="DG88" s="316"/>
      <c r="DH88" s="67"/>
      <c r="DI8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8" s="330">
        <v>45222</v>
      </c>
      <c r="DK88" s="330">
        <v>45291</v>
      </c>
      <c r="DL88" s="331"/>
      <c r="DM88" s="316"/>
      <c r="DN8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8" s="331"/>
      <c r="DP88" s="316"/>
      <c r="DQ88" s="338"/>
      <c r="DR8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8" s="330">
        <v>45222</v>
      </c>
      <c r="DT88" s="330" t="e">
        <v>#N/A</v>
      </c>
      <c r="DU88" s="330">
        <v>45263</v>
      </c>
      <c r="DV88" s="330" t="e">
        <v>#N/A</v>
      </c>
      <c r="DW88" s="331"/>
      <c r="DX88" s="316"/>
      <c r="DY88" s="334"/>
      <c r="DZ88" s="334"/>
      <c r="EA8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8" s="331"/>
      <c r="EC88" s="332"/>
      <c r="ED88" s="332"/>
      <c r="EE88" s="330"/>
      <c r="EF88" s="35">
        <v>1</v>
      </c>
      <c r="EG88" s="337">
        <v>1</v>
      </c>
      <c r="EH88" s="316" t="str">
        <f>IF(Table1[[#This Row],[PO Material Aktual 
(%)]]&gt;=100%,"Selesai PO = 100%",IF(Table1[[#This Row],[PO Material Aktual 
(%)]]&gt;=50%,"Proses PO &gt; 100%",IF(Table1[[#This Row],[PO Material Aktual 
(%)]]&gt;0%,"Proses PO &gt; 50%",IF(Table1[[#This Row],[PO Material Aktual 
(%)]]=0,"Belum PO = 0%"))))</f>
        <v>Selesai PO = 100%</v>
      </c>
      <c r="EI8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8" s="330">
        <v>45264</v>
      </c>
      <c r="EK88" s="330" t="e">
        <v>#N/A</v>
      </c>
      <c r="EL88" s="330">
        <v>45473</v>
      </c>
      <c r="EM88" s="330" t="e">
        <v>#N/A</v>
      </c>
      <c r="EN88" s="331"/>
      <c r="EO88" s="332"/>
      <c r="EP88" s="332"/>
      <c r="EQ88" s="87">
        <v>1</v>
      </c>
      <c r="ER88" s="87">
        <v>1</v>
      </c>
      <c r="ES88" s="316" t="str">
        <f>IF(Table1[[#This Row],[Progres MOS]]&gt;=100%,"Selesai MOS = 100%",IF(Table1[[#This Row],[Progres MOS]]&gt;=50%,"Proses MOS &gt; 100%",IF(Table1[[#This Row],[Progres MOS]]&gt;0%,"Proses MOS &gt; 50%",IF(Table1[[#This Row],[Progres MOS]]=0,"Belum MOS = 0%"))))</f>
        <v>Selesai MOS = 100%</v>
      </c>
      <c r="ET8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8" s="47"/>
      <c r="EV88" s="330">
        <v>45222</v>
      </c>
      <c r="EW88" s="330" t="e">
        <v>#N/A</v>
      </c>
      <c r="EX88" s="330">
        <v>45319</v>
      </c>
      <c r="EY88" s="330" t="e">
        <v>#N/A</v>
      </c>
      <c r="EZ88" s="352" t="s">
        <v>298</v>
      </c>
      <c r="FA88" s="336" t="s">
        <v>259</v>
      </c>
      <c r="FB88" s="330" t="s">
        <v>260</v>
      </c>
      <c r="FC88" s="330">
        <v>45798</v>
      </c>
      <c r="FD88" s="330" t="s">
        <v>260</v>
      </c>
      <c r="FE88" s="330">
        <v>45881</v>
      </c>
      <c r="FF88" s="330">
        <v>45929</v>
      </c>
      <c r="FG88" s="330" t="s">
        <v>260</v>
      </c>
      <c r="FH88" s="330" t="s">
        <v>260</v>
      </c>
      <c r="FI88" s="330">
        <v>46021</v>
      </c>
      <c r="FJ88" s="330" t="s">
        <v>260</v>
      </c>
      <c r="FK88" s="330">
        <v>46094</v>
      </c>
      <c r="FL88" s="336" t="s">
        <v>298</v>
      </c>
      <c r="FM88" s="336">
        <v>45798</v>
      </c>
      <c r="FN88" s="314">
        <f>IF(Table1[[#This Row],[Tanggal Pengajuan Dokumen]]="","",Table1[[#This Row],[PLAN PERMIT
start]]-Table1[[#This Row],[Tanggal Pengajuan Dokumen]])</f>
        <v>-576</v>
      </c>
      <c r="FO88" s="336"/>
      <c r="FP88" s="316"/>
      <c r="FQ88" s="338"/>
      <c r="FR88" s="352"/>
      <c r="FS88" s="338" t="str">
        <f t="shared" si="7"/>
        <v>Sudah Terbit</v>
      </c>
      <c r="FT8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8" s="344">
        <f ca="1">IF(Table1[[#This Row],[Status Izin]]="Selesai",Table1[[#This Row],[PLAN PERMIT
finish]]-Table1[[#This Row],[Tanggal Terbit/ Target Izin Terbit]],ROUNDUP(Table1[[#This Row],[PLAN PERMIT
finish]]-NOW(),0))</f>
        <v>45319</v>
      </c>
      <c r="FV8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8" s="344"/>
      <c r="FX88" s="47"/>
      <c r="FY88" s="340"/>
      <c r="FZ88" s="341"/>
      <c r="GA8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88" s="330">
        <v>45293</v>
      </c>
      <c r="GC88" s="352">
        <v>45913</v>
      </c>
      <c r="GD8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88" s="330">
        <v>45300</v>
      </c>
      <c r="GF88" s="352">
        <v>45913</v>
      </c>
      <c r="GG8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88" s="330">
        <v>45306</v>
      </c>
      <c r="GI88" s="330">
        <v>45312</v>
      </c>
      <c r="GJ88" s="352">
        <v>45209</v>
      </c>
      <c r="GK8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8" s="330">
        <v>45320</v>
      </c>
      <c r="GM88" s="330" t="e">
        <v>#N/A</v>
      </c>
      <c r="GN88" s="330">
        <v>45578</v>
      </c>
      <c r="GO88" s="330" t="e">
        <v>#N/A</v>
      </c>
      <c r="GP88" s="316"/>
      <c r="GQ8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8" s="330" t="s">
        <v>261</v>
      </c>
      <c r="GS88" s="421" t="s">
        <v>261</v>
      </c>
      <c r="GT88" s="422" t="s">
        <v>678</v>
      </c>
      <c r="GU88" s="423" t="str">
        <f>IF(Table1[[#This Row],[Hydro Tes Actual
(tanggal)]]&lt;&gt;"","Sudah","Belum")</f>
        <v>Sudah</v>
      </c>
      <c r="GV88" s="330" t="s">
        <v>261</v>
      </c>
      <c r="GW88" s="330" t="s">
        <v>261</v>
      </c>
      <c r="GX88" s="331"/>
      <c r="GY88" s="344" t="str">
        <f>IF(Table1[[#This Row],[Interkoneksi Actual
(tanggal)]]&lt;&gt;"","Sudah","Belum")</f>
        <v>Belum</v>
      </c>
      <c r="GZ88" s="330" t="s">
        <v>261</v>
      </c>
      <c r="HA88" s="421" t="s">
        <v>261</v>
      </c>
      <c r="HB88" s="424">
        <v>45468</v>
      </c>
      <c r="HC88" s="344" t="str">
        <f>IF(Table1[[#This Row],[Flushing Actual
(tanggal)]]&lt;&gt;"","Sudah","Belum")</f>
        <v>Sudah</v>
      </c>
      <c r="HD88" s="330">
        <v>45551</v>
      </c>
      <c r="HE88" s="330" t="e">
        <v>#N/A</v>
      </c>
      <c r="HF88" s="330">
        <v>45557</v>
      </c>
      <c r="HG88" s="352">
        <v>45559</v>
      </c>
      <c r="HH8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8" s="330" t="s">
        <v>261</v>
      </c>
      <c r="HJ88" s="330" t="s">
        <v>261</v>
      </c>
      <c r="HK88" s="331"/>
      <c r="HL88" s="316"/>
      <c r="HM88" s="330">
        <v>45583</v>
      </c>
      <c r="HN88" s="330">
        <v>45583</v>
      </c>
      <c r="HO88" s="330" t="e">
        <v>#N/A</v>
      </c>
      <c r="HP88" s="331">
        <v>45735</v>
      </c>
      <c r="HQ8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88" s="330">
        <v>45590</v>
      </c>
      <c r="HS88" s="330"/>
      <c r="HT88" s="330">
        <v>45590</v>
      </c>
      <c r="HU88" s="527"/>
      <c r="HV88" s="330">
        <f>IF(Table1[[#This Row],[MC-100 Aktual
(tanggal)]]&lt;&gt;"",Table1[[#This Row],[MC-100 Aktual
(tanggal)]]+5,"")</f>
        <v>45740</v>
      </c>
      <c r="HW8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88" s="47"/>
      <c r="HY88" s="352"/>
      <c r="HZ88" s="352"/>
      <c r="IB88" s="618">
        <f>IFERROR(ROUND((Table1[[#This Row],[PLAN TC
finish]]-Table1[[#This Row],[PLAN MC-0
start]])/30,2),"")</f>
        <v>8.3699999999999992</v>
      </c>
      <c r="IC88">
        <f>DATEDIF(Table1[[#This Row],[PLAN MC-0
start]],Table1[[#This Row],[PLAN TC
finish]],"m")</f>
        <v>8</v>
      </c>
    </row>
    <row r="89" spans="2:237" s="4" customFormat="1" ht="15" customHeight="1" x14ac:dyDescent="0.2">
      <c r="B89" s="311">
        <f>SUBTOTAL(3,$D$5:D89)</f>
        <v>48</v>
      </c>
      <c r="C89" s="348">
        <v>85</v>
      </c>
      <c r="D89" s="315" t="s">
        <v>673</v>
      </c>
      <c r="E89" s="315" t="s">
        <v>679</v>
      </c>
      <c r="F89" s="315" t="s">
        <v>680</v>
      </c>
      <c r="G89" s="349">
        <v>45752</v>
      </c>
      <c r="H89" s="338" t="s">
        <v>681</v>
      </c>
      <c r="I89" s="315" t="s">
        <v>278</v>
      </c>
      <c r="J89" s="315"/>
      <c r="K89" s="338" t="s">
        <v>676</v>
      </c>
      <c r="L89" s="316" t="s">
        <v>250</v>
      </c>
      <c r="M89" s="316" t="s">
        <v>269</v>
      </c>
      <c r="N89" s="107">
        <v>135</v>
      </c>
      <c r="O89" s="31" t="s">
        <v>252</v>
      </c>
      <c r="P8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9" s="87" t="e">
        <v>#N/A</v>
      </c>
      <c r="S89" s="87">
        <v>1</v>
      </c>
      <c r="T89" s="35">
        <f>Table1[[#This Row],[Progres Total Aktual
(%)]]</f>
        <v>1</v>
      </c>
      <c r="U89" s="124">
        <f>Table1[[#This Row],[Progres Aktual
(%)]]-Table1[[#This Row],[Target Progres
(%)]]</f>
        <v>0</v>
      </c>
      <c r="V89" s="350">
        <f>Table1[[#This Row],["Volume
BA MC-0"]]</f>
        <v>135</v>
      </c>
      <c r="W89" s="351">
        <f>Table1[[#This Row],[Total Panjang Pipa Aktual
(Sum-&gt;)3]]</f>
        <v>135</v>
      </c>
      <c r="X89" s="47"/>
      <c r="Y89" s="67" t="s">
        <v>682</v>
      </c>
      <c r="Z89" s="67">
        <v>535348633</v>
      </c>
      <c r="AA89" s="67">
        <f>ROUND((Table1[[#This Row],[Nilai RAB Jaringan
(Exclude Ppn)]]-Table1[[#This Row],[RAB Perizinan]])*1.11+Table1[[#This Row],[RAB Perizinan]],0)</f>
        <v>0</v>
      </c>
      <c r="AB89" s="320">
        <f>SUM(Table1[[#This Row],[RAB Kegiatan Umum]:[RAB Perizinan]])</f>
        <v>0</v>
      </c>
      <c r="AC89" s="320"/>
      <c r="AD89" s="320"/>
      <c r="AE89" s="320"/>
      <c r="AF89" s="320"/>
      <c r="AG89" s="320">
        <v>0</v>
      </c>
      <c r="AH89" s="35" t="e">
        <f>SUM(Table1[[#This Row],[Bobot Keg Umum]:[Bobot Perizinan]])</f>
        <v>#DIV/0!</v>
      </c>
      <c r="AI89" s="35" t="e">
        <f>Table1[[#This Row],[RAB Kegiatan Umum]]/Table1[[#This Row],[Nilai RAB Jaringan
(Exclude Ppn)]]</f>
        <v>#DIV/0!</v>
      </c>
      <c r="AJ89" s="35" t="e">
        <f>Table1[[#This Row],[RAB Pemasangan]]/Table1[[#This Row],[Nilai RAB Jaringan
(Exclude Ppn)]]</f>
        <v>#DIV/0!</v>
      </c>
      <c r="AK89" s="35" t="e">
        <f>Table1[[#This Row],[RAB Pengadaan]]/Table1[[#This Row],[Nilai RAB Jaringan
(Exclude Ppn)]]</f>
        <v>#DIV/0!</v>
      </c>
      <c r="AL89" s="35" t="e">
        <f>Table1[[#This Row],[RAB Perizinan]]/Table1[[#This Row],[Nilai RAB Jaringan
(Exclude Ppn)]]</f>
        <v>#DIV/0!</v>
      </c>
      <c r="AM89" s="47"/>
      <c r="AN89" s="285">
        <v>135</v>
      </c>
      <c r="AO89" s="285">
        <f>SUM(Table1[[#This Row],[Pipa 63 mm]:[Pipa 1,800 mm]])</f>
        <v>0</v>
      </c>
      <c r="AP89" s="285"/>
      <c r="AQ89" s="285"/>
      <c r="AR89" s="285"/>
      <c r="AS89" s="285"/>
      <c r="AT89" s="285"/>
      <c r="AU89" s="285"/>
      <c r="AV89" s="285"/>
      <c r="AW89" s="285"/>
      <c r="AX89" s="285"/>
      <c r="AY89" s="285"/>
      <c r="AZ89" s="285"/>
      <c r="BA89" s="285"/>
      <c r="BB89" s="285"/>
      <c r="BC89" s="285"/>
      <c r="BD89" s="285"/>
      <c r="BE89" s="285"/>
      <c r="BF89" s="285"/>
      <c r="BG89" s="285"/>
      <c r="BH89" s="285"/>
      <c r="BI89" s="285"/>
      <c r="BJ89" s="36">
        <f>SUM(Table1[[#This Row],[Pipa 63 mm2]:[Pipa 1,800 mm21]])</f>
        <v>135</v>
      </c>
      <c r="BK89" s="32"/>
      <c r="BL89" s="32"/>
      <c r="BM89" s="32"/>
      <c r="BN89" s="32"/>
      <c r="BO89" s="32"/>
      <c r="BP89" s="32"/>
      <c r="BQ89" s="32">
        <v>135</v>
      </c>
      <c r="BR89" s="32"/>
      <c r="BS89" s="32"/>
      <c r="BT89" s="32"/>
      <c r="BU89" s="32"/>
      <c r="BV89" s="32"/>
      <c r="BW89" s="32"/>
      <c r="BX89" s="32"/>
      <c r="BY89" s="32"/>
      <c r="BZ89" s="32"/>
      <c r="CA89" s="32"/>
      <c r="CB89" s="32"/>
      <c r="CC89" s="32"/>
      <c r="CD89" s="32"/>
      <c r="CE89" s="32">
        <v>0</v>
      </c>
      <c r="CF89" s="32"/>
      <c r="CG89" s="32"/>
      <c r="CH89" s="32"/>
      <c r="CI89" s="32">
        <f t="shared" si="6"/>
        <v>0</v>
      </c>
      <c r="CJ89" s="65">
        <f>IF((Table1[[#This Row],["Volume
BA MC-0"]]-Table1[[#This Row],[Total Panjang Pipa Aktual
(Sum-&gt;)3]]-Table1[[#This Row],[Total Volume
tidak dapat dipasang]])&gt;=0,Table1[[#This Row],["Volume
BA MC-0"]]-Table1[[#This Row],[Total Panjang Pipa Aktual
(Sum-&gt;)3]]-Table1[[#This Row],[Total Volume
tidak dapat dipasang]],0)</f>
        <v>0</v>
      </c>
      <c r="CK89" s="47"/>
      <c r="CL89" s="131"/>
      <c r="CM89" s="35"/>
      <c r="CN89" s="131"/>
      <c r="CO89" s="131"/>
      <c r="CP8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9" s="66">
        <f>IFERROR(Table1[[#This Row],[Progres Keg. Umum
(%)]]*Table1[[#This Row],[Nilai RAB Jaringan
(file pa aji)]],0)</f>
        <v>0</v>
      </c>
      <c r="CR89" s="66">
        <f>IFERROR(Table1[[#This Row],[Progres MOS
(%)]]*Table1[[#This Row],[Nilai RAB Jaringan
(file pa aji)]],0)</f>
        <v>0</v>
      </c>
      <c r="CS89" s="66">
        <f>IFERROR(Table1[[#This Row],[Progres Pemasangan
(%)]]*Table1[[#This Row],[Nilai RAB Jaringan
(file pa aji)]],0)</f>
        <v>0</v>
      </c>
      <c r="CT89" s="66">
        <f>IFERROR(Table1[[#This Row],[Progres Perizinan
(%)]]*Table1[[#This Row],[Nilai RAB Jaringan
(file pa aji)]],0)</f>
        <v>0</v>
      </c>
      <c r="CU89" s="329">
        <v>522883510</v>
      </c>
      <c r="CV89" s="329">
        <v>522883510</v>
      </c>
      <c r="CW89" s="583">
        <v>522883510</v>
      </c>
      <c r="CX89" s="329">
        <v>522883510</v>
      </c>
      <c r="CY89" s="47"/>
      <c r="CZ89" s="330">
        <v>45530</v>
      </c>
      <c r="DA89" s="330">
        <v>45550</v>
      </c>
      <c r="DB89" s="331"/>
      <c r="DC89" s="316"/>
      <c r="DD89" s="67"/>
      <c r="DE8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9" s="331"/>
      <c r="DG89" s="316"/>
      <c r="DH89" s="67"/>
      <c r="DI8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9" s="330">
        <v>45551</v>
      </c>
      <c r="DK89" s="330">
        <v>45592</v>
      </c>
      <c r="DL89" s="331">
        <v>45357</v>
      </c>
      <c r="DM89" s="425" t="s">
        <v>683</v>
      </c>
      <c r="DN8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89" s="331">
        <v>45369</v>
      </c>
      <c r="DP89" s="426" t="s">
        <v>684</v>
      </c>
      <c r="DQ89" s="338" t="s">
        <v>685</v>
      </c>
      <c r="DR8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89" s="330">
        <v>45551</v>
      </c>
      <c r="DT89" s="330" t="e">
        <v>#N/A</v>
      </c>
      <c r="DU89" s="330">
        <v>45585</v>
      </c>
      <c r="DV89" s="330" t="e">
        <v>#N/A</v>
      </c>
      <c r="DW89" s="331"/>
      <c r="DX89" s="316"/>
      <c r="DY89" s="334"/>
      <c r="DZ89" s="334"/>
      <c r="EA8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9" s="331"/>
      <c r="EC89" s="332"/>
      <c r="ED89" s="332"/>
      <c r="EE89" s="330"/>
      <c r="EF89" s="35">
        <v>1</v>
      </c>
      <c r="EG89" s="337">
        <v>1</v>
      </c>
      <c r="EH89" s="316" t="str">
        <f>IF(Table1[[#This Row],[PO Material Aktual 
(%)]]&gt;=100%,"Selesai PO = 100%",IF(Table1[[#This Row],[PO Material Aktual 
(%)]]&gt;=50%,"Proses PO &gt; 100%",IF(Table1[[#This Row],[PO Material Aktual 
(%)]]&gt;0%,"Proses PO &gt; 50%",IF(Table1[[#This Row],[PO Material Aktual 
(%)]]=0,"Belum PO = 0%"))))</f>
        <v>Selesai PO = 100%</v>
      </c>
      <c r="EI8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9" s="330">
        <v>45586</v>
      </c>
      <c r="EK89" s="330" t="e">
        <v>#N/A</v>
      </c>
      <c r="EL89" s="330">
        <v>45634</v>
      </c>
      <c r="EM89" s="330" t="e">
        <v>#N/A</v>
      </c>
      <c r="EN89" s="331"/>
      <c r="EO89" s="332"/>
      <c r="EP89" s="332"/>
      <c r="EQ89" s="87">
        <v>1</v>
      </c>
      <c r="ER89" s="87">
        <v>1</v>
      </c>
      <c r="ES89" s="316" t="str">
        <f>IF(Table1[[#This Row],[Progres MOS]]&gt;=100%,"Selesai MOS = 100%",IF(Table1[[#This Row],[Progres MOS]]&gt;=50%,"Proses MOS &gt; 100%",IF(Table1[[#This Row],[Progres MOS]]&gt;0%,"Proses MOS &gt; 50%",IF(Table1[[#This Row],[Progres MOS]]=0,"Belum MOS = 0%"))))</f>
        <v>Selesai MOS = 100%</v>
      </c>
      <c r="ET8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9" s="47"/>
      <c r="EV89" s="330">
        <v>45551</v>
      </c>
      <c r="EW89" s="330" t="e">
        <v>#N/A</v>
      </c>
      <c r="EX89" s="330">
        <v>45620</v>
      </c>
      <c r="EY89" s="330" t="e">
        <v>#N/A</v>
      </c>
      <c r="EZ89" s="352" t="s">
        <v>298</v>
      </c>
      <c r="FA89" s="336" t="s">
        <v>259</v>
      </c>
      <c r="FB89" s="330" t="s">
        <v>260</v>
      </c>
      <c r="FC89" s="330">
        <v>45798</v>
      </c>
      <c r="FD89" s="330" t="s">
        <v>260</v>
      </c>
      <c r="FE89" s="330">
        <v>45881</v>
      </c>
      <c r="FF89" s="330">
        <v>45929</v>
      </c>
      <c r="FG89" s="330" t="s">
        <v>260</v>
      </c>
      <c r="FH89" s="330" t="s">
        <v>260</v>
      </c>
      <c r="FI89" s="330">
        <v>46021</v>
      </c>
      <c r="FJ89" s="330" t="s">
        <v>260</v>
      </c>
      <c r="FK89" s="330">
        <v>46094</v>
      </c>
      <c r="FL89" s="336" t="s">
        <v>298</v>
      </c>
      <c r="FM89" s="336">
        <v>45798</v>
      </c>
      <c r="FN89" s="314">
        <f>IF(Table1[[#This Row],[Tanggal Pengajuan Dokumen]]="","",Table1[[#This Row],[PLAN PERMIT
start]]-Table1[[#This Row],[Tanggal Pengajuan Dokumen]])</f>
        <v>-247</v>
      </c>
      <c r="FO89" s="336"/>
      <c r="FP89" s="316"/>
      <c r="FQ89" s="338"/>
      <c r="FR89" s="352"/>
      <c r="FS89" s="338" t="str">
        <f t="shared" si="7"/>
        <v>Sudah Terbit</v>
      </c>
      <c r="FT8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9" s="344">
        <f ca="1">IF(Table1[[#This Row],[Status Izin]]="Selesai",Table1[[#This Row],[PLAN PERMIT
finish]]-Table1[[#This Row],[Tanggal Terbit/ Target Izin Terbit]],ROUNDUP(Table1[[#This Row],[PLAN PERMIT
finish]]-NOW(),0))</f>
        <v>45620</v>
      </c>
      <c r="FV8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9" s="344"/>
      <c r="FX89" s="47"/>
      <c r="FY89" s="340"/>
      <c r="FZ89" s="341"/>
      <c r="GA8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89" s="330">
        <v>45594</v>
      </c>
      <c r="GC89" s="352">
        <v>45322</v>
      </c>
      <c r="GD8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9" s="330">
        <v>45601</v>
      </c>
      <c r="GF89" s="352">
        <v>45322</v>
      </c>
      <c r="GG8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9" s="330">
        <v>45607</v>
      </c>
      <c r="GI89" s="330">
        <v>45613</v>
      </c>
      <c r="GJ89" s="352">
        <v>45338</v>
      </c>
      <c r="GK8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9" s="330">
        <v>45621</v>
      </c>
      <c r="GM89" s="330" t="e">
        <v>#N/A</v>
      </c>
      <c r="GN89" s="330">
        <v>45662</v>
      </c>
      <c r="GO89" s="330" t="e">
        <v>#N/A</v>
      </c>
      <c r="GP89" s="316"/>
      <c r="GQ8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9" s="330" t="s">
        <v>261</v>
      </c>
      <c r="GS89" s="421" t="s">
        <v>261</v>
      </c>
      <c r="GT89" s="427">
        <v>45422</v>
      </c>
      <c r="GU89" s="423" t="str">
        <f>IF(Table1[[#This Row],[Hydro Tes Actual
(tanggal)]]&lt;&gt;"","Sudah","Belum")</f>
        <v>Sudah</v>
      </c>
      <c r="GV89" s="330" t="s">
        <v>261</v>
      </c>
      <c r="GW89" s="330" t="s">
        <v>261</v>
      </c>
      <c r="GX89" s="331"/>
      <c r="GY89" s="344" t="str">
        <f>IF(Table1[[#This Row],[Interkoneksi Actual
(tanggal)]]&lt;&gt;"","Sudah","Belum")</f>
        <v>Belum</v>
      </c>
      <c r="GZ89" s="330" t="s">
        <v>261</v>
      </c>
      <c r="HA89" s="421" t="s">
        <v>261</v>
      </c>
      <c r="HB89" s="424">
        <v>45475</v>
      </c>
      <c r="HC89" s="344" t="str">
        <f>IF(Table1[[#This Row],[Flushing Actual
(tanggal)]]&lt;&gt;"","Sudah","Belum")</f>
        <v>Sudah</v>
      </c>
      <c r="HD89" s="330">
        <v>45649</v>
      </c>
      <c r="HE89" s="330" t="e">
        <v>#N/A</v>
      </c>
      <c r="HF89" s="330">
        <v>45655</v>
      </c>
      <c r="HG89" s="352">
        <v>45559</v>
      </c>
      <c r="HH8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9" s="330" t="s">
        <v>261</v>
      </c>
      <c r="HJ89" s="330" t="s">
        <v>261</v>
      </c>
      <c r="HK89" s="331"/>
      <c r="HL89" s="316"/>
      <c r="HM89" s="330">
        <v>45674</v>
      </c>
      <c r="HN89" s="330">
        <v>45674</v>
      </c>
      <c r="HO89" s="330" t="e">
        <v>#N/A</v>
      </c>
      <c r="HP89" s="331">
        <v>45735</v>
      </c>
      <c r="HQ8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89" s="330">
        <v>45681</v>
      </c>
      <c r="HS89" s="330"/>
      <c r="HT89" s="330">
        <v>45681</v>
      </c>
      <c r="HU89" s="527"/>
      <c r="HV89" s="330">
        <f>IF(Table1[[#This Row],[MC-100 Aktual
(tanggal)]]&lt;&gt;"",Table1[[#This Row],[MC-100 Aktual
(tanggal)]]+5,"")</f>
        <v>45740</v>
      </c>
      <c r="HW8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89" s="47"/>
      <c r="HY89" s="352"/>
      <c r="HZ89" s="352"/>
      <c r="IB89" s="618">
        <f>IFERROR(ROUND((Table1[[#This Row],[PLAN TC
finish]]-Table1[[#This Row],[PLAN MC-0
start]])/30,2),"")</f>
        <v>1.6</v>
      </c>
      <c r="IC89">
        <f>DATEDIF(Table1[[#This Row],[PLAN MC-0
start]],Table1[[#This Row],[PLAN TC
finish]],"m")</f>
        <v>1</v>
      </c>
    </row>
    <row r="90" spans="2:237" s="4" customFormat="1" ht="15" customHeight="1" x14ac:dyDescent="0.2">
      <c r="B90" s="311">
        <f>SUBTOTAL(3,$D$5:D90)</f>
        <v>49</v>
      </c>
      <c r="C90" s="348">
        <v>86</v>
      </c>
      <c r="D90" s="315" t="s">
        <v>673</v>
      </c>
      <c r="E90" s="315" t="s">
        <v>686</v>
      </c>
      <c r="F90" s="315" t="s">
        <v>687</v>
      </c>
      <c r="G90" s="349">
        <v>45752</v>
      </c>
      <c r="H90" s="314" t="s">
        <v>247</v>
      </c>
      <c r="I90" s="315" t="s">
        <v>278</v>
      </c>
      <c r="J90" s="315"/>
      <c r="K90" s="338" t="s">
        <v>676</v>
      </c>
      <c r="L90" s="316" t="s">
        <v>250</v>
      </c>
      <c r="M90" s="316" t="s">
        <v>269</v>
      </c>
      <c r="N90" s="107">
        <v>152</v>
      </c>
      <c r="O90" s="31" t="s">
        <v>252</v>
      </c>
      <c r="P9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0" s="87" t="e">
        <v>#N/A</v>
      </c>
      <c r="S90" s="87">
        <v>1</v>
      </c>
      <c r="T90" s="35">
        <f>Table1[[#This Row],[Progres Total Aktual
(%)]]</f>
        <v>1</v>
      </c>
      <c r="U90" s="124">
        <f>Table1[[#This Row],[Progres Aktual
(%)]]-Table1[[#This Row],[Target Progres
(%)]]</f>
        <v>0</v>
      </c>
      <c r="V90" s="350">
        <f>Table1[[#This Row],["Volume
BA MC-0"]]</f>
        <v>152</v>
      </c>
      <c r="W90" s="351">
        <f>Table1[[#This Row],[Total Panjang Pipa Aktual
(Sum-&gt;)3]]</f>
        <v>140</v>
      </c>
      <c r="X90" s="47"/>
      <c r="Y90" s="67" t="s">
        <v>688</v>
      </c>
      <c r="Z90" s="67">
        <v>351137399</v>
      </c>
      <c r="AA90" s="67">
        <f>ROUND((Table1[[#This Row],[Nilai RAB Jaringan
(Exclude Ppn)]]-Table1[[#This Row],[RAB Perizinan]])*1.11+Table1[[#This Row],[RAB Perizinan]],0)</f>
        <v>0</v>
      </c>
      <c r="AB90" s="320">
        <f>SUM(Table1[[#This Row],[RAB Kegiatan Umum]:[RAB Perizinan]])</f>
        <v>0</v>
      </c>
      <c r="AC90" s="320"/>
      <c r="AD90" s="320"/>
      <c r="AE90" s="320"/>
      <c r="AF90" s="320"/>
      <c r="AG90" s="320">
        <v>26645428</v>
      </c>
      <c r="AH90" s="35" t="e">
        <f>SUM(Table1[[#This Row],[Bobot Keg Umum]:[Bobot Perizinan]])</f>
        <v>#DIV/0!</v>
      </c>
      <c r="AI90" s="35" t="e">
        <f>Table1[[#This Row],[RAB Kegiatan Umum]]/Table1[[#This Row],[Nilai RAB Jaringan
(Exclude Ppn)]]</f>
        <v>#DIV/0!</v>
      </c>
      <c r="AJ90" s="35" t="e">
        <f>Table1[[#This Row],[RAB Pemasangan]]/Table1[[#This Row],[Nilai RAB Jaringan
(Exclude Ppn)]]</f>
        <v>#DIV/0!</v>
      </c>
      <c r="AK90" s="35" t="e">
        <f>Table1[[#This Row],[RAB Pengadaan]]/Table1[[#This Row],[Nilai RAB Jaringan
(Exclude Ppn)]]</f>
        <v>#DIV/0!</v>
      </c>
      <c r="AL90" s="35" t="e">
        <f>Table1[[#This Row],[RAB Perizinan]]/Table1[[#This Row],[Nilai RAB Jaringan
(Exclude Ppn)]]</f>
        <v>#DIV/0!</v>
      </c>
      <c r="AM90" s="47"/>
      <c r="AN90" s="285">
        <v>152</v>
      </c>
      <c r="AO90" s="285">
        <f>SUM(Table1[[#This Row],[Pipa 63 mm]:[Pipa 1,800 mm]])</f>
        <v>0</v>
      </c>
      <c r="AP90" s="285"/>
      <c r="AQ90" s="285"/>
      <c r="AR90" s="285"/>
      <c r="AS90" s="285"/>
      <c r="AT90" s="285"/>
      <c r="AU90" s="285"/>
      <c r="AV90" s="285"/>
      <c r="AW90" s="285"/>
      <c r="AX90" s="285"/>
      <c r="AY90" s="285"/>
      <c r="AZ90" s="285"/>
      <c r="BA90" s="285"/>
      <c r="BB90" s="285"/>
      <c r="BC90" s="285"/>
      <c r="BD90" s="285"/>
      <c r="BE90" s="285"/>
      <c r="BF90" s="285"/>
      <c r="BG90" s="285"/>
      <c r="BH90" s="285"/>
      <c r="BI90" s="285"/>
      <c r="BJ90" s="36">
        <f>SUM(Table1[[#This Row],[Pipa 63 mm2]:[Pipa 1,800 mm21]])</f>
        <v>140</v>
      </c>
      <c r="BK90" s="32">
        <v>140</v>
      </c>
      <c r="BL90" s="32"/>
      <c r="BM90" s="32"/>
      <c r="BN90" s="32"/>
      <c r="BO90" s="32"/>
      <c r="BP90" s="32"/>
      <c r="BQ90" s="32"/>
      <c r="BR90" s="32"/>
      <c r="BS90" s="32"/>
      <c r="BT90" s="32"/>
      <c r="BU90" s="32"/>
      <c r="BV90" s="32"/>
      <c r="BW90" s="32"/>
      <c r="BX90" s="32"/>
      <c r="BY90" s="32"/>
      <c r="BZ90" s="32"/>
      <c r="CA90" s="32"/>
      <c r="CB90" s="32"/>
      <c r="CC90" s="32"/>
      <c r="CD90" s="32"/>
      <c r="CE90" s="32">
        <v>0</v>
      </c>
      <c r="CF90" s="32"/>
      <c r="CG90" s="32"/>
      <c r="CH90" s="32"/>
      <c r="CI90" s="32">
        <f t="shared" si="6"/>
        <v>0</v>
      </c>
      <c r="CJ90" s="65">
        <f>IF((Table1[[#This Row],["Volume
BA MC-0"]]-Table1[[#This Row],[Total Panjang Pipa Aktual
(Sum-&gt;)3]]-Table1[[#This Row],[Total Volume
tidak dapat dipasang]])&gt;=0,Table1[[#This Row],["Volume
BA MC-0"]]-Table1[[#This Row],[Total Panjang Pipa Aktual
(Sum-&gt;)3]]-Table1[[#This Row],[Total Volume
tidak dapat dipasang]],0)</f>
        <v>12</v>
      </c>
      <c r="CK90" s="47"/>
      <c r="CL90" s="131"/>
      <c r="CM90" s="35"/>
      <c r="CN90" s="131"/>
      <c r="CO90" s="131"/>
      <c r="CP9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0" s="66">
        <f>IFERROR(Table1[[#This Row],[Progres Keg. Umum
(%)]]*Table1[[#This Row],[Nilai RAB Jaringan
(file pa aji)]],0)</f>
        <v>0</v>
      </c>
      <c r="CR90" s="66">
        <f>IFERROR(Table1[[#This Row],[Progres MOS
(%)]]*Table1[[#This Row],[Nilai RAB Jaringan
(file pa aji)]],0)</f>
        <v>0</v>
      </c>
      <c r="CS90" s="66">
        <f>IFERROR(Table1[[#This Row],[Progres Pemasangan
(%)]]*Table1[[#This Row],[Nilai RAB Jaringan
(file pa aji)]],0)</f>
        <v>0</v>
      </c>
      <c r="CT90" s="66">
        <f>IFERROR(Table1[[#This Row],[Progres Perizinan
(%)]]*Table1[[#This Row],[Nilai RAB Jaringan
(file pa aji)]],0)</f>
        <v>0</v>
      </c>
      <c r="CU90" s="329">
        <v>304269448</v>
      </c>
      <c r="CV90" s="329">
        <v>304269448</v>
      </c>
      <c r="CW90" s="583">
        <v>304269448</v>
      </c>
      <c r="CX90" s="329">
        <v>304269448</v>
      </c>
      <c r="CY90" s="47"/>
      <c r="CZ90" s="330">
        <v>45439</v>
      </c>
      <c r="DA90" s="330">
        <v>45466</v>
      </c>
      <c r="DB90" s="331"/>
      <c r="DC90" s="316"/>
      <c r="DD90" s="67"/>
      <c r="DE9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0" s="331"/>
      <c r="DG90" s="316"/>
      <c r="DH90" s="67"/>
      <c r="DI9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0" s="330">
        <v>45467</v>
      </c>
      <c r="DK90" s="330">
        <v>45508</v>
      </c>
      <c r="DL90" s="331">
        <v>45405</v>
      </c>
      <c r="DM90" s="425" t="s">
        <v>689</v>
      </c>
      <c r="DN9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0" s="331">
        <v>45418</v>
      </c>
      <c r="DP90" s="426" t="s">
        <v>690</v>
      </c>
      <c r="DQ90" s="338" t="s">
        <v>371</v>
      </c>
      <c r="DR9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0" s="330">
        <v>45467</v>
      </c>
      <c r="DT90" s="330" t="e">
        <v>#N/A</v>
      </c>
      <c r="DU90" s="330">
        <v>45508</v>
      </c>
      <c r="DV90" s="330" t="e">
        <v>#N/A</v>
      </c>
      <c r="DW90" s="331"/>
      <c r="DX90" s="316"/>
      <c r="DY90" s="334"/>
      <c r="DZ90" s="334"/>
      <c r="EA9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0" s="331"/>
      <c r="EC90" s="332"/>
      <c r="ED90" s="332"/>
      <c r="EE90" s="330"/>
      <c r="EF90" s="35">
        <v>1</v>
      </c>
      <c r="EG90" s="337">
        <v>1</v>
      </c>
      <c r="EH90" s="316" t="str">
        <f>IF(Table1[[#This Row],[PO Material Aktual 
(%)]]&gt;=100%,"Selesai PO = 100%",IF(Table1[[#This Row],[PO Material Aktual 
(%)]]&gt;=50%,"Proses PO &gt; 100%",IF(Table1[[#This Row],[PO Material Aktual 
(%)]]&gt;0%,"Proses PO &gt; 50%",IF(Table1[[#This Row],[PO Material Aktual 
(%)]]=0,"Belum PO = 0%"))))</f>
        <v>Selesai PO = 100%</v>
      </c>
      <c r="EI9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0" s="330">
        <v>45509</v>
      </c>
      <c r="EK90" s="330" t="e">
        <v>#N/A</v>
      </c>
      <c r="EL90" s="330">
        <v>45599</v>
      </c>
      <c r="EM90" s="330" t="e">
        <v>#N/A</v>
      </c>
      <c r="EN90" s="331">
        <v>45960</v>
      </c>
      <c r="EO90" s="332"/>
      <c r="EP90" s="332"/>
      <c r="EQ90" s="87">
        <v>1</v>
      </c>
      <c r="ER90" s="87">
        <v>1</v>
      </c>
      <c r="ES90" s="316" t="str">
        <f>IF(Table1[[#This Row],[Progres MOS]]&gt;=100%,"Selesai MOS = 100%",IF(Table1[[#This Row],[Progres MOS]]&gt;=50%,"Proses MOS &gt; 100%",IF(Table1[[#This Row],[Progres MOS]]&gt;0%,"Proses MOS &gt; 50%",IF(Table1[[#This Row],[Progres MOS]]=0,"Belum MOS = 0%"))))</f>
        <v>Selesai MOS = 100%</v>
      </c>
      <c r="ET9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0" s="47"/>
      <c r="EV90" s="330">
        <v>45467</v>
      </c>
      <c r="EW90" s="330" t="e">
        <v>#N/A</v>
      </c>
      <c r="EX90" s="330">
        <v>45564</v>
      </c>
      <c r="EY90" s="330" t="e">
        <v>#N/A</v>
      </c>
      <c r="EZ90" s="352" t="s">
        <v>298</v>
      </c>
      <c r="FA90" s="336" t="s">
        <v>259</v>
      </c>
      <c r="FB90" s="330" t="s">
        <v>260</v>
      </c>
      <c r="FC90" s="330">
        <v>45798</v>
      </c>
      <c r="FD90" s="330" t="s">
        <v>260</v>
      </c>
      <c r="FE90" s="330">
        <v>45875</v>
      </c>
      <c r="FF90" s="330">
        <v>45929</v>
      </c>
      <c r="FG90" s="330" t="s">
        <v>260</v>
      </c>
      <c r="FH90" s="330" t="s">
        <v>260</v>
      </c>
      <c r="FI90" s="330">
        <v>46003</v>
      </c>
      <c r="FJ90" s="330" t="s">
        <v>260</v>
      </c>
      <c r="FK90" s="330">
        <v>46087</v>
      </c>
      <c r="FL90" s="336" t="s">
        <v>298</v>
      </c>
      <c r="FM90" s="336">
        <v>45798</v>
      </c>
      <c r="FN90" s="314">
        <f>IF(Table1[[#This Row],[Tanggal Pengajuan Dokumen]]="","",Table1[[#This Row],[PLAN PERMIT
start]]-Table1[[#This Row],[Tanggal Pengajuan Dokumen]])</f>
        <v>-331</v>
      </c>
      <c r="FO90" s="336"/>
      <c r="FP90" s="316"/>
      <c r="FQ90" s="338"/>
      <c r="FR90" s="352"/>
      <c r="FS90" s="338" t="str">
        <f t="shared" si="7"/>
        <v>Sudah Terbit</v>
      </c>
      <c r="FT9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0" s="344">
        <f ca="1">IF(Table1[[#This Row],[Status Izin]]="Selesai",Table1[[#This Row],[PLAN PERMIT
finish]]-Table1[[#This Row],[Tanggal Terbit/ Target Izin Terbit]],ROUNDUP(Table1[[#This Row],[PLAN PERMIT
finish]]-NOW(),0))</f>
        <v>45564</v>
      </c>
      <c r="FV9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0" s="344"/>
      <c r="FX90" s="47"/>
      <c r="FY90" s="340"/>
      <c r="FZ90" s="341"/>
      <c r="GA9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0" s="330">
        <v>45538</v>
      </c>
      <c r="GC90" s="352">
        <v>45379</v>
      </c>
      <c r="GD9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0" s="330">
        <v>45545</v>
      </c>
      <c r="GF90" s="352">
        <v>45379</v>
      </c>
      <c r="GG9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0" s="330">
        <v>45551</v>
      </c>
      <c r="GI90" s="330">
        <v>45557</v>
      </c>
      <c r="GJ90" s="352">
        <v>45387</v>
      </c>
      <c r="GK9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0" s="330">
        <v>45565</v>
      </c>
      <c r="GM90" s="330" t="e">
        <v>#N/A</v>
      </c>
      <c r="GN90" s="330">
        <v>45641</v>
      </c>
      <c r="GO90" s="330" t="e">
        <v>#N/A</v>
      </c>
      <c r="GP90" s="316"/>
      <c r="GQ9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0" s="330" t="s">
        <v>261</v>
      </c>
      <c r="GS90" s="421" t="s">
        <v>261</v>
      </c>
      <c r="GT90" s="427">
        <v>45450</v>
      </c>
      <c r="GU90" s="423" t="str">
        <f>IF(Table1[[#This Row],[Hydro Tes Actual
(tanggal)]]&lt;&gt;"","Sudah","Belum")</f>
        <v>Sudah</v>
      </c>
      <c r="GV90" s="330" t="s">
        <v>261</v>
      </c>
      <c r="GW90" s="330" t="s">
        <v>261</v>
      </c>
      <c r="GX90" s="331"/>
      <c r="GY90" s="344" t="str">
        <f>IF(Table1[[#This Row],[Interkoneksi Actual
(tanggal)]]&lt;&gt;"","Sudah","Belum")</f>
        <v>Belum</v>
      </c>
      <c r="GZ90" s="330" t="s">
        <v>261</v>
      </c>
      <c r="HA90" s="421" t="s">
        <v>261</v>
      </c>
      <c r="HB90" s="424">
        <v>45469</v>
      </c>
      <c r="HC90" s="344" t="str">
        <f>IF(Table1[[#This Row],[Flushing Actual
(tanggal)]]&lt;&gt;"","Sudah","Belum")</f>
        <v>Sudah</v>
      </c>
      <c r="HD90" s="330">
        <v>45621</v>
      </c>
      <c r="HE90" s="330" t="e">
        <v>#N/A</v>
      </c>
      <c r="HF90" s="330">
        <v>45623</v>
      </c>
      <c r="HG90" s="352">
        <v>45560</v>
      </c>
      <c r="HH9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0" s="330" t="s">
        <v>261</v>
      </c>
      <c r="HJ90" s="330" t="s">
        <v>261</v>
      </c>
      <c r="HK90" s="331"/>
      <c r="HL90" s="316"/>
      <c r="HM90" s="330">
        <v>45646</v>
      </c>
      <c r="HN90" s="330">
        <v>45646</v>
      </c>
      <c r="HO90" s="330" t="e">
        <v>#N/A</v>
      </c>
      <c r="HP90" s="331">
        <v>45733</v>
      </c>
      <c r="HQ9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90" s="330">
        <v>45653</v>
      </c>
      <c r="HS90" s="330"/>
      <c r="HT90" s="330">
        <v>45653</v>
      </c>
      <c r="HU90" s="527"/>
      <c r="HV90" s="330">
        <f>IF(Table1[[#This Row],[MC-100 Aktual
(tanggal)]]&lt;&gt;"",Table1[[#This Row],[MC-100 Aktual
(tanggal)]]+5,"")</f>
        <v>45738</v>
      </c>
      <c r="HW9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90" s="47"/>
      <c r="HY90" s="352"/>
      <c r="HZ90" s="352"/>
      <c r="IB90" s="618">
        <f>IFERROR(ROUND((Table1[[#This Row],[PLAN TC
finish]]-Table1[[#This Row],[PLAN MC-0
start]])/30,2),"")</f>
        <v>2.4</v>
      </c>
      <c r="IC90">
        <f>DATEDIF(Table1[[#This Row],[PLAN MC-0
start]],Table1[[#This Row],[PLAN TC
finish]],"m")</f>
        <v>2</v>
      </c>
    </row>
    <row r="91" spans="2:237" s="4" customFormat="1" ht="15" customHeight="1" x14ac:dyDescent="0.2">
      <c r="B91" s="311">
        <f>SUBTOTAL(3,$D$5:D91)</f>
        <v>50</v>
      </c>
      <c r="C91" s="348">
        <v>87</v>
      </c>
      <c r="D91" s="315" t="s">
        <v>673</v>
      </c>
      <c r="E91" s="315" t="s">
        <v>691</v>
      </c>
      <c r="F91" s="315" t="s">
        <v>692</v>
      </c>
      <c r="G91" s="349">
        <v>45752</v>
      </c>
      <c r="H91" s="314" t="s">
        <v>247</v>
      </c>
      <c r="I91" s="315" t="s">
        <v>278</v>
      </c>
      <c r="J91" s="315"/>
      <c r="K91" s="338" t="s">
        <v>676</v>
      </c>
      <c r="L91" s="316" t="s">
        <v>250</v>
      </c>
      <c r="M91" s="316" t="s">
        <v>269</v>
      </c>
      <c r="N91" s="107">
        <v>481</v>
      </c>
      <c r="O91" s="31" t="s">
        <v>252</v>
      </c>
      <c r="P9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1" s="87" t="e">
        <v>#N/A</v>
      </c>
      <c r="S91" s="87">
        <v>1</v>
      </c>
      <c r="T91" s="35">
        <f>Table1[[#This Row],[Progres Total Aktual
(%)]]</f>
        <v>1</v>
      </c>
      <c r="U91" s="124">
        <f>Table1[[#This Row],[Progres Aktual
(%)]]-Table1[[#This Row],[Target Progres
(%)]]</f>
        <v>0</v>
      </c>
      <c r="V91" s="350">
        <f>Table1[[#This Row],["Volume
BA MC-0"]]</f>
        <v>473</v>
      </c>
      <c r="W91" s="351">
        <f>Table1[[#This Row],[Total Panjang Pipa Aktual
(Sum-&gt;)3]]</f>
        <v>473</v>
      </c>
      <c r="X91" s="47"/>
      <c r="Y91" s="67" t="s">
        <v>693</v>
      </c>
      <c r="Z91" s="67">
        <v>957106237</v>
      </c>
      <c r="AA91" s="67">
        <f>ROUND((Table1[[#This Row],[Nilai RAB Jaringan
(Exclude Ppn)]]-Table1[[#This Row],[RAB Perizinan]])*1.11+Table1[[#This Row],[RAB Perizinan]],0)</f>
        <v>0</v>
      </c>
      <c r="AB91" s="320">
        <f>SUM(Table1[[#This Row],[RAB Kegiatan Umum]:[RAB Perizinan]])</f>
        <v>0</v>
      </c>
      <c r="AC91" s="320"/>
      <c r="AD91" s="320"/>
      <c r="AE91" s="320"/>
      <c r="AF91" s="320"/>
      <c r="AG91" s="320">
        <v>153723623</v>
      </c>
      <c r="AH91" s="35" t="e">
        <f>SUM(Table1[[#This Row],[Bobot Keg Umum]:[Bobot Perizinan]])</f>
        <v>#DIV/0!</v>
      </c>
      <c r="AI91" s="35" t="e">
        <f>Table1[[#This Row],[RAB Kegiatan Umum]]/Table1[[#This Row],[Nilai RAB Jaringan
(Exclude Ppn)]]</f>
        <v>#DIV/0!</v>
      </c>
      <c r="AJ91" s="35" t="e">
        <f>Table1[[#This Row],[RAB Pemasangan]]/Table1[[#This Row],[Nilai RAB Jaringan
(Exclude Ppn)]]</f>
        <v>#DIV/0!</v>
      </c>
      <c r="AK91" s="35" t="e">
        <f>Table1[[#This Row],[RAB Pengadaan]]/Table1[[#This Row],[Nilai RAB Jaringan
(Exclude Ppn)]]</f>
        <v>#DIV/0!</v>
      </c>
      <c r="AL91" s="35" t="e">
        <f>Table1[[#This Row],[RAB Perizinan]]/Table1[[#This Row],[Nilai RAB Jaringan
(Exclude Ppn)]]</f>
        <v>#DIV/0!</v>
      </c>
      <c r="AM91" s="47"/>
      <c r="AN91" s="285">
        <v>473</v>
      </c>
      <c r="AO91" s="285">
        <f>SUM(Table1[[#This Row],[Pipa 63 mm]:[Pipa 1,800 mm]])</f>
        <v>0</v>
      </c>
      <c r="AP91" s="285"/>
      <c r="AQ91" s="285"/>
      <c r="AR91" s="285"/>
      <c r="AS91" s="285"/>
      <c r="AT91" s="285"/>
      <c r="AU91" s="285"/>
      <c r="AV91" s="285"/>
      <c r="AW91" s="285"/>
      <c r="AX91" s="285"/>
      <c r="AY91" s="285"/>
      <c r="AZ91" s="285"/>
      <c r="BA91" s="285"/>
      <c r="BB91" s="285"/>
      <c r="BC91" s="285"/>
      <c r="BD91" s="285"/>
      <c r="BE91" s="285"/>
      <c r="BF91" s="285"/>
      <c r="BG91" s="285"/>
      <c r="BH91" s="285"/>
      <c r="BI91" s="285"/>
      <c r="BJ91" s="36">
        <f>SUM(Table1[[#This Row],[Pipa 63 mm2]:[Pipa 1,800 mm21]])</f>
        <v>473</v>
      </c>
      <c r="BK91" s="32"/>
      <c r="BL91" s="32">
        <v>473</v>
      </c>
      <c r="BM91" s="32"/>
      <c r="BN91" s="32"/>
      <c r="BO91" s="32"/>
      <c r="BP91" s="32"/>
      <c r="BQ91" s="32"/>
      <c r="BR91" s="32"/>
      <c r="BS91" s="32"/>
      <c r="BT91" s="32"/>
      <c r="BU91" s="32"/>
      <c r="BV91" s="32"/>
      <c r="BW91" s="32"/>
      <c r="BX91" s="32"/>
      <c r="BY91" s="32"/>
      <c r="BZ91" s="32"/>
      <c r="CA91" s="32"/>
      <c r="CB91" s="32"/>
      <c r="CC91" s="32"/>
      <c r="CD91" s="32"/>
      <c r="CE91" s="32">
        <v>0</v>
      </c>
      <c r="CF91" s="32"/>
      <c r="CG91" s="32"/>
      <c r="CH91" s="32"/>
      <c r="CI91" s="32">
        <f t="shared" si="6"/>
        <v>0</v>
      </c>
      <c r="CJ91" s="65">
        <f>IF((Table1[[#This Row],["Volume
BA MC-0"]]-Table1[[#This Row],[Total Panjang Pipa Aktual
(Sum-&gt;)3]]-Table1[[#This Row],[Total Volume
tidak dapat dipasang]])&gt;=0,Table1[[#This Row],["Volume
BA MC-0"]]-Table1[[#This Row],[Total Panjang Pipa Aktual
(Sum-&gt;)3]]-Table1[[#This Row],[Total Volume
tidak dapat dipasang]],0)</f>
        <v>0</v>
      </c>
      <c r="CK91" s="47"/>
      <c r="CL91" s="131"/>
      <c r="CM91" s="35"/>
      <c r="CN91" s="131"/>
      <c r="CO91" s="131"/>
      <c r="CP9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1" s="66">
        <f>IFERROR(Table1[[#This Row],[Progres Keg. Umum
(%)]]*Table1[[#This Row],[Nilai RAB Jaringan
(file pa aji)]],0)</f>
        <v>0</v>
      </c>
      <c r="CR91" s="66">
        <f>IFERROR(Table1[[#This Row],[Progres MOS
(%)]]*Table1[[#This Row],[Nilai RAB Jaringan
(file pa aji)]],0)</f>
        <v>0</v>
      </c>
      <c r="CS91" s="66">
        <f>IFERROR(Table1[[#This Row],[Progres Pemasangan
(%)]]*Table1[[#This Row],[Nilai RAB Jaringan
(file pa aji)]],0)</f>
        <v>0</v>
      </c>
      <c r="CT91" s="66">
        <f>IFERROR(Table1[[#This Row],[Progres Perizinan
(%)]]*Table1[[#This Row],[Nilai RAB Jaringan
(file pa aji)]],0)</f>
        <v>0</v>
      </c>
      <c r="CU91" s="329">
        <v>873370704</v>
      </c>
      <c r="CV91" s="329">
        <v>873370704</v>
      </c>
      <c r="CW91" s="583">
        <v>873370704</v>
      </c>
      <c r="CX91" s="329">
        <v>873370704</v>
      </c>
      <c r="CY91" s="47"/>
      <c r="CZ91" s="330">
        <v>45439</v>
      </c>
      <c r="DA91" s="330">
        <v>45466</v>
      </c>
      <c r="DB91" s="331"/>
      <c r="DC91" s="316"/>
      <c r="DD91" s="67"/>
      <c r="DE9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1" s="331"/>
      <c r="DG91" s="316"/>
      <c r="DH91" s="67"/>
      <c r="DI9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1" s="330">
        <v>45467</v>
      </c>
      <c r="DK91" s="330">
        <v>45508</v>
      </c>
      <c r="DL91" s="331">
        <v>45439</v>
      </c>
      <c r="DM91" s="425" t="s">
        <v>694</v>
      </c>
      <c r="DN9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1" s="331">
        <v>45447</v>
      </c>
      <c r="DP91" s="426" t="s">
        <v>695</v>
      </c>
      <c r="DQ91" s="338" t="s">
        <v>696</v>
      </c>
      <c r="DR9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1" s="330">
        <v>45467</v>
      </c>
      <c r="DT91" s="330" t="e">
        <v>#N/A</v>
      </c>
      <c r="DU91" s="330">
        <v>45508</v>
      </c>
      <c r="DV91" s="330" t="e">
        <v>#N/A</v>
      </c>
      <c r="DW91" s="331"/>
      <c r="DX91" s="316"/>
      <c r="DY91" s="334"/>
      <c r="DZ91" s="334"/>
      <c r="EA9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1" s="331"/>
      <c r="EC91" s="332"/>
      <c r="ED91" s="332"/>
      <c r="EE91" s="330"/>
      <c r="EF91" s="35">
        <v>1</v>
      </c>
      <c r="EG91" s="337">
        <v>1</v>
      </c>
      <c r="EH91" s="316" t="str">
        <f>IF(Table1[[#This Row],[PO Material Aktual 
(%)]]&gt;=100%,"Selesai PO = 100%",IF(Table1[[#This Row],[PO Material Aktual 
(%)]]&gt;=50%,"Proses PO &gt; 100%",IF(Table1[[#This Row],[PO Material Aktual 
(%)]]&gt;0%,"Proses PO &gt; 50%",IF(Table1[[#This Row],[PO Material Aktual 
(%)]]=0,"Belum PO = 0%"))))</f>
        <v>Selesai PO = 100%</v>
      </c>
      <c r="EI9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1" s="330">
        <v>45509</v>
      </c>
      <c r="EK91" s="330" t="e">
        <v>#N/A</v>
      </c>
      <c r="EL91" s="330">
        <v>45599</v>
      </c>
      <c r="EM91" s="330" t="e">
        <v>#N/A</v>
      </c>
      <c r="EN91" s="331">
        <v>45595</v>
      </c>
      <c r="EO91" s="332"/>
      <c r="EP91" s="332"/>
      <c r="EQ91" s="87">
        <v>1</v>
      </c>
      <c r="ER91" s="87">
        <v>1</v>
      </c>
      <c r="ES91" s="316" t="str">
        <f>IF(Table1[[#This Row],[Progres MOS]]&gt;=100%,"Selesai MOS = 100%",IF(Table1[[#This Row],[Progres MOS]]&gt;=50%,"Proses MOS &gt; 100%",IF(Table1[[#This Row],[Progres MOS]]&gt;0%,"Proses MOS &gt; 50%",IF(Table1[[#This Row],[Progres MOS]]=0,"Belum MOS = 0%"))))</f>
        <v>Selesai MOS = 100%</v>
      </c>
      <c r="ET9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1" s="47"/>
      <c r="EV91" s="330">
        <v>45467</v>
      </c>
      <c r="EW91" s="330" t="e">
        <v>#N/A</v>
      </c>
      <c r="EX91" s="330">
        <v>45564</v>
      </c>
      <c r="EY91" s="330" t="e">
        <v>#N/A</v>
      </c>
      <c r="EZ91" s="352" t="s">
        <v>298</v>
      </c>
      <c r="FA91" s="336" t="s">
        <v>259</v>
      </c>
      <c r="FB91" s="330" t="s">
        <v>260</v>
      </c>
      <c r="FC91" s="330">
        <v>45799</v>
      </c>
      <c r="FD91" s="330" t="s">
        <v>260</v>
      </c>
      <c r="FE91" s="330">
        <v>45875</v>
      </c>
      <c r="FF91" s="330">
        <v>45929</v>
      </c>
      <c r="FG91" s="330" t="s">
        <v>260</v>
      </c>
      <c r="FH91" s="330" t="s">
        <v>260</v>
      </c>
      <c r="FI91" s="330">
        <v>46021</v>
      </c>
      <c r="FJ91" s="330" t="s">
        <v>260</v>
      </c>
      <c r="FK91" s="330">
        <v>46087</v>
      </c>
      <c r="FL91" s="336" t="s">
        <v>298</v>
      </c>
      <c r="FM91" s="336">
        <v>45799</v>
      </c>
      <c r="FN91" s="314">
        <f>IF(Table1[[#This Row],[Tanggal Pengajuan Dokumen]]="","",Table1[[#This Row],[PLAN PERMIT
start]]-Table1[[#This Row],[Tanggal Pengajuan Dokumen]])</f>
        <v>-332</v>
      </c>
      <c r="FO91" s="336"/>
      <c r="FP91" s="316"/>
      <c r="FQ91" s="338"/>
      <c r="FR91" s="352"/>
      <c r="FS91" s="338" t="str">
        <f t="shared" si="7"/>
        <v>Sudah Terbit</v>
      </c>
      <c r="FT9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1" s="344">
        <f ca="1">IF(Table1[[#This Row],[Status Izin]]="Selesai",Table1[[#This Row],[PLAN PERMIT
finish]]-Table1[[#This Row],[Tanggal Terbit/ Target Izin Terbit]],ROUNDUP(Table1[[#This Row],[PLAN PERMIT
finish]]-NOW(),0))</f>
        <v>45564</v>
      </c>
      <c r="FV9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1" s="344"/>
      <c r="FX91" s="47"/>
      <c r="FY91" s="340"/>
      <c r="FZ91" s="341"/>
      <c r="GA9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1" s="330">
        <v>45538</v>
      </c>
      <c r="GC91" s="352">
        <v>45443</v>
      </c>
      <c r="GD9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1" s="330">
        <v>45545</v>
      </c>
      <c r="GF91" s="352">
        <v>45443</v>
      </c>
      <c r="GG9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1" s="330">
        <v>45551</v>
      </c>
      <c r="GI91" s="330">
        <v>45557</v>
      </c>
      <c r="GJ91" s="352">
        <v>45448</v>
      </c>
      <c r="GK9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1" s="330">
        <v>45565</v>
      </c>
      <c r="GM91" s="330" t="e">
        <v>#N/A</v>
      </c>
      <c r="GN91" s="330">
        <v>45641</v>
      </c>
      <c r="GO91" s="330" t="e">
        <v>#N/A</v>
      </c>
      <c r="GP91" s="316"/>
      <c r="GQ9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1" s="330" t="s">
        <v>261</v>
      </c>
      <c r="GS91" s="421" t="s">
        <v>261</v>
      </c>
      <c r="GT91" s="427">
        <v>45544</v>
      </c>
      <c r="GU91" s="423" t="str">
        <f>IF(Table1[[#This Row],[Hydro Tes Actual
(tanggal)]]&lt;&gt;"","Sudah","Belum")</f>
        <v>Sudah</v>
      </c>
      <c r="GV91" s="330" t="s">
        <v>261</v>
      </c>
      <c r="GW91" s="330" t="s">
        <v>261</v>
      </c>
      <c r="GX91" s="331"/>
      <c r="GY91" s="344" t="str">
        <f>IF(Table1[[#This Row],[Interkoneksi Actual
(tanggal)]]&lt;&gt;"","Sudah","Belum")</f>
        <v>Belum</v>
      </c>
      <c r="GZ91" s="330" t="s">
        <v>261</v>
      </c>
      <c r="HA91" s="421" t="s">
        <v>261</v>
      </c>
      <c r="HB91" s="424">
        <v>45558</v>
      </c>
      <c r="HC91" s="344" t="str">
        <f>IF(Table1[[#This Row],[Flushing Actual
(tanggal)]]&lt;&gt;"","Sudah","Belum")</f>
        <v>Sudah</v>
      </c>
      <c r="HD91" s="330">
        <v>45621</v>
      </c>
      <c r="HE91" s="330" t="e">
        <v>#N/A</v>
      </c>
      <c r="HF91" s="330">
        <v>45623</v>
      </c>
      <c r="HG91" s="352">
        <v>45560</v>
      </c>
      <c r="HH9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1" s="330" t="s">
        <v>261</v>
      </c>
      <c r="HJ91" s="330" t="s">
        <v>261</v>
      </c>
      <c r="HK91" s="331"/>
      <c r="HL91" s="316"/>
      <c r="HM91" s="330">
        <v>45646</v>
      </c>
      <c r="HN91" s="330">
        <v>45646</v>
      </c>
      <c r="HO91" s="330" t="e">
        <v>#N/A</v>
      </c>
      <c r="HP91" s="331">
        <v>45734</v>
      </c>
      <c r="HQ9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91" s="330">
        <v>45653</v>
      </c>
      <c r="HS91" s="330"/>
      <c r="HT91" s="330">
        <v>45653</v>
      </c>
      <c r="HU91" s="527"/>
      <c r="HV91" s="330">
        <f>IF(Table1[[#This Row],[MC-100 Aktual
(tanggal)]]&lt;&gt;"",Table1[[#This Row],[MC-100 Aktual
(tanggal)]]+5,"")</f>
        <v>45739</v>
      </c>
      <c r="HW9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91" s="47"/>
      <c r="HY91" s="352"/>
      <c r="HZ91" s="352"/>
      <c r="IB91" s="618">
        <f>IFERROR(ROUND((Table1[[#This Row],[PLAN TC
finish]]-Table1[[#This Row],[PLAN MC-0
start]])/30,2),"")</f>
        <v>2.4</v>
      </c>
      <c r="IC91">
        <f>DATEDIF(Table1[[#This Row],[PLAN MC-0
start]],Table1[[#This Row],[PLAN TC
finish]],"m")</f>
        <v>2</v>
      </c>
    </row>
    <row r="92" spans="2:237" s="4" customFormat="1" ht="15" customHeight="1" x14ac:dyDescent="0.2">
      <c r="B92" s="311">
        <f>SUBTOTAL(3,$D$5:D92)</f>
        <v>51</v>
      </c>
      <c r="C92" s="348">
        <v>88</v>
      </c>
      <c r="D92" s="315" t="s">
        <v>673</v>
      </c>
      <c r="E92" s="315" t="s">
        <v>697</v>
      </c>
      <c r="F92" s="315" t="s">
        <v>698</v>
      </c>
      <c r="G92" s="349">
        <v>45752</v>
      </c>
      <c r="H92" s="314" t="s">
        <v>247</v>
      </c>
      <c r="I92" s="315" t="s">
        <v>278</v>
      </c>
      <c r="J92" s="315"/>
      <c r="K92" s="338" t="s">
        <v>676</v>
      </c>
      <c r="L92" s="316" t="s">
        <v>250</v>
      </c>
      <c r="M92" s="316" t="s">
        <v>269</v>
      </c>
      <c r="N92" s="107">
        <v>121</v>
      </c>
      <c r="O92" s="31" t="s">
        <v>252</v>
      </c>
      <c r="P9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2" s="87" t="e">
        <v>#N/A</v>
      </c>
      <c r="S92" s="87">
        <v>1</v>
      </c>
      <c r="T92" s="35">
        <f>Table1[[#This Row],[Progres Total Aktual
(%)]]</f>
        <v>1</v>
      </c>
      <c r="U92" s="124">
        <f>Table1[[#This Row],[Progres Aktual
(%)]]-Table1[[#This Row],[Target Progres
(%)]]</f>
        <v>0</v>
      </c>
      <c r="V92" s="350">
        <f>Table1[[#This Row],["Volume
BA MC-0"]]</f>
        <v>122</v>
      </c>
      <c r="W92" s="351">
        <f>Table1[[#This Row],[Total Panjang Pipa Aktual
(Sum-&gt;)3]]</f>
        <v>122</v>
      </c>
      <c r="X92" s="47"/>
      <c r="Y92" s="67" t="s">
        <v>699</v>
      </c>
      <c r="Z92" s="67">
        <v>243037941</v>
      </c>
      <c r="AA92" s="67">
        <f>ROUND((Table1[[#This Row],[Nilai RAB Jaringan
(Exclude Ppn)]]-Table1[[#This Row],[RAB Perizinan]])*1.11+Table1[[#This Row],[RAB Perizinan]],0)</f>
        <v>0</v>
      </c>
      <c r="AB92" s="320">
        <f>SUM(Table1[[#This Row],[RAB Kegiatan Umum]:[RAB Perizinan]])</f>
        <v>0</v>
      </c>
      <c r="AC92" s="320"/>
      <c r="AD92" s="320"/>
      <c r="AE92" s="320"/>
      <c r="AF92" s="320"/>
      <c r="AG92" s="320">
        <v>24595780</v>
      </c>
      <c r="AH92" s="35" t="e">
        <f>SUM(Table1[[#This Row],[Bobot Keg Umum]:[Bobot Perizinan]])</f>
        <v>#DIV/0!</v>
      </c>
      <c r="AI92" s="35" t="e">
        <f>Table1[[#This Row],[RAB Kegiatan Umum]]/Table1[[#This Row],[Nilai RAB Jaringan
(Exclude Ppn)]]</f>
        <v>#DIV/0!</v>
      </c>
      <c r="AJ92" s="35" t="e">
        <f>Table1[[#This Row],[RAB Pemasangan]]/Table1[[#This Row],[Nilai RAB Jaringan
(Exclude Ppn)]]</f>
        <v>#DIV/0!</v>
      </c>
      <c r="AK92" s="35" t="e">
        <f>Table1[[#This Row],[RAB Pengadaan]]/Table1[[#This Row],[Nilai RAB Jaringan
(Exclude Ppn)]]</f>
        <v>#DIV/0!</v>
      </c>
      <c r="AL92" s="35" t="e">
        <f>Table1[[#This Row],[RAB Perizinan]]/Table1[[#This Row],[Nilai RAB Jaringan
(Exclude Ppn)]]</f>
        <v>#DIV/0!</v>
      </c>
      <c r="AM92" s="47"/>
      <c r="AN92" s="285">
        <v>122</v>
      </c>
      <c r="AO92" s="285">
        <f>SUM(Table1[[#This Row],[Pipa 63 mm]:[Pipa 1,800 mm]])</f>
        <v>0</v>
      </c>
      <c r="AP92" s="285"/>
      <c r="AQ92" s="285"/>
      <c r="AR92" s="285"/>
      <c r="AS92" s="285"/>
      <c r="AT92" s="285"/>
      <c r="AU92" s="285"/>
      <c r="AV92" s="285"/>
      <c r="AW92" s="285"/>
      <c r="AX92" s="285"/>
      <c r="AY92" s="285"/>
      <c r="AZ92" s="285"/>
      <c r="BA92" s="285"/>
      <c r="BB92" s="285"/>
      <c r="BC92" s="285"/>
      <c r="BD92" s="285"/>
      <c r="BE92" s="285"/>
      <c r="BF92" s="285"/>
      <c r="BG92" s="285"/>
      <c r="BH92" s="285"/>
      <c r="BI92" s="285"/>
      <c r="BJ92" s="36">
        <f>SUM(Table1[[#This Row],[Pipa 63 mm2]:[Pipa 1,800 mm21]])</f>
        <v>122</v>
      </c>
      <c r="BK92" s="32"/>
      <c r="BL92" s="32">
        <v>122</v>
      </c>
      <c r="BM92" s="32"/>
      <c r="BN92" s="32"/>
      <c r="BO92" s="32"/>
      <c r="BP92" s="32"/>
      <c r="BQ92" s="32"/>
      <c r="BR92" s="32"/>
      <c r="BS92" s="32"/>
      <c r="BT92" s="32"/>
      <c r="BU92" s="32"/>
      <c r="BV92" s="32"/>
      <c r="BW92" s="32"/>
      <c r="BX92" s="32"/>
      <c r="BY92" s="32"/>
      <c r="BZ92" s="32"/>
      <c r="CA92" s="32"/>
      <c r="CB92" s="32"/>
      <c r="CC92" s="32"/>
      <c r="CD92" s="32"/>
      <c r="CE92" s="32">
        <v>0</v>
      </c>
      <c r="CF92" s="32"/>
      <c r="CG92" s="32"/>
      <c r="CH92" s="32"/>
      <c r="CI92" s="32">
        <f t="shared" si="6"/>
        <v>0</v>
      </c>
      <c r="CJ92" s="65">
        <f>IF((Table1[[#This Row],["Volume
BA MC-0"]]-Table1[[#This Row],[Total Panjang Pipa Aktual
(Sum-&gt;)3]]-Table1[[#This Row],[Total Volume
tidak dapat dipasang]])&gt;=0,Table1[[#This Row],["Volume
BA MC-0"]]-Table1[[#This Row],[Total Panjang Pipa Aktual
(Sum-&gt;)3]]-Table1[[#This Row],[Total Volume
tidak dapat dipasang]],0)</f>
        <v>0</v>
      </c>
      <c r="CK92" s="47"/>
      <c r="CL92" s="131"/>
      <c r="CM92" s="35"/>
      <c r="CN92" s="131"/>
      <c r="CO92" s="131"/>
      <c r="CP9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2" s="66">
        <f>IFERROR(Table1[[#This Row],[Progres Keg. Umum
(%)]]*Table1[[#This Row],[Nilai RAB Jaringan
(file pa aji)]],0)</f>
        <v>0</v>
      </c>
      <c r="CR92" s="66">
        <f>IFERROR(Table1[[#This Row],[Progres MOS
(%)]]*Table1[[#This Row],[Nilai RAB Jaringan
(file pa aji)]],0)</f>
        <v>0</v>
      </c>
      <c r="CS92" s="66">
        <f>IFERROR(Table1[[#This Row],[Progres Pemasangan
(%)]]*Table1[[#This Row],[Nilai RAB Jaringan
(file pa aji)]],0)</f>
        <v>0</v>
      </c>
      <c r="CT92" s="66">
        <f>IFERROR(Table1[[#This Row],[Progres Perizinan
(%)]]*Table1[[#This Row],[Nilai RAB Jaringan
(file pa aji)]],0)</f>
        <v>0</v>
      </c>
      <c r="CU92" s="329">
        <v>245360393</v>
      </c>
      <c r="CV92" s="329">
        <v>245360393</v>
      </c>
      <c r="CW92" s="583">
        <v>245360393</v>
      </c>
      <c r="CX92" s="329">
        <v>245360393</v>
      </c>
      <c r="CY92" s="47"/>
      <c r="CZ92" s="330">
        <v>45439</v>
      </c>
      <c r="DA92" s="330">
        <v>45466</v>
      </c>
      <c r="DB92" s="331"/>
      <c r="DC92" s="316"/>
      <c r="DD92" s="67"/>
      <c r="DE9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2" s="331"/>
      <c r="DG92" s="316"/>
      <c r="DH92" s="67"/>
      <c r="DI9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2" s="330">
        <v>45467</v>
      </c>
      <c r="DK92" s="330">
        <v>45508</v>
      </c>
      <c r="DL92" s="331">
        <v>45439</v>
      </c>
      <c r="DM92" s="425" t="s">
        <v>700</v>
      </c>
      <c r="DN9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2" s="331">
        <v>45447</v>
      </c>
      <c r="DP92" s="426" t="s">
        <v>695</v>
      </c>
      <c r="DQ92" s="338" t="s">
        <v>297</v>
      </c>
      <c r="DR9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2" s="330">
        <v>45467</v>
      </c>
      <c r="DT92" s="330" t="e">
        <v>#N/A</v>
      </c>
      <c r="DU92" s="330">
        <v>45508</v>
      </c>
      <c r="DV92" s="330" t="e">
        <v>#N/A</v>
      </c>
      <c r="DW92" s="331"/>
      <c r="DX92" s="316"/>
      <c r="DY92" s="334"/>
      <c r="DZ92" s="334"/>
      <c r="EA9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2" s="331"/>
      <c r="EC92" s="332"/>
      <c r="ED92" s="332"/>
      <c r="EE92" s="330"/>
      <c r="EF92" s="35">
        <v>1</v>
      </c>
      <c r="EG92" s="337">
        <v>1</v>
      </c>
      <c r="EH92" s="316" t="str">
        <f>IF(Table1[[#This Row],[PO Material Aktual 
(%)]]&gt;=100%,"Selesai PO = 100%",IF(Table1[[#This Row],[PO Material Aktual 
(%)]]&gt;=50%,"Proses PO &gt; 100%",IF(Table1[[#This Row],[PO Material Aktual 
(%)]]&gt;0%,"Proses PO &gt; 50%",IF(Table1[[#This Row],[PO Material Aktual 
(%)]]=0,"Belum PO = 0%"))))</f>
        <v>Selesai PO = 100%</v>
      </c>
      <c r="EI9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2" s="330">
        <v>45509</v>
      </c>
      <c r="EK92" s="330" t="e">
        <v>#N/A</v>
      </c>
      <c r="EL92" s="330">
        <v>45599</v>
      </c>
      <c r="EM92" s="330" t="e">
        <v>#N/A</v>
      </c>
      <c r="EN92" s="331">
        <v>45595</v>
      </c>
      <c r="EO92" s="332"/>
      <c r="EP92" s="332"/>
      <c r="EQ92" s="87">
        <v>1</v>
      </c>
      <c r="ER92" s="87">
        <v>1</v>
      </c>
      <c r="ES92" s="316" t="str">
        <f>IF(Table1[[#This Row],[Progres MOS]]&gt;=100%,"Selesai MOS = 100%",IF(Table1[[#This Row],[Progres MOS]]&gt;=50%,"Proses MOS &gt; 100%",IF(Table1[[#This Row],[Progres MOS]]&gt;0%,"Proses MOS &gt; 50%",IF(Table1[[#This Row],[Progres MOS]]=0,"Belum MOS = 0%"))))</f>
        <v>Selesai MOS = 100%</v>
      </c>
      <c r="ET9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2" s="47"/>
      <c r="EV92" s="330">
        <v>45467</v>
      </c>
      <c r="EW92" s="330" t="e">
        <v>#N/A</v>
      </c>
      <c r="EX92" s="330">
        <v>45564</v>
      </c>
      <c r="EY92" s="330" t="e">
        <v>#N/A</v>
      </c>
      <c r="EZ92" s="352" t="s">
        <v>298</v>
      </c>
      <c r="FA92" s="336" t="s">
        <v>259</v>
      </c>
      <c r="FB92" s="330" t="s">
        <v>260</v>
      </c>
      <c r="FC92" s="330">
        <v>45799</v>
      </c>
      <c r="FD92" s="330" t="s">
        <v>260</v>
      </c>
      <c r="FE92" s="330">
        <v>45875</v>
      </c>
      <c r="FF92" s="330">
        <v>45929</v>
      </c>
      <c r="FG92" s="330" t="s">
        <v>260</v>
      </c>
      <c r="FH92" s="330" t="s">
        <v>260</v>
      </c>
      <c r="FI92" s="330">
        <v>46021</v>
      </c>
      <c r="FJ92" s="330" t="s">
        <v>260</v>
      </c>
      <c r="FK92" s="330">
        <v>46087</v>
      </c>
      <c r="FL92" s="336" t="s">
        <v>298</v>
      </c>
      <c r="FM92" s="336">
        <v>45799</v>
      </c>
      <c r="FN92" s="314">
        <f>IF(Table1[[#This Row],[Tanggal Pengajuan Dokumen]]="","",Table1[[#This Row],[PLAN PERMIT
start]]-Table1[[#This Row],[Tanggal Pengajuan Dokumen]])</f>
        <v>-332</v>
      </c>
      <c r="FO92" s="336"/>
      <c r="FP92" s="316"/>
      <c r="FQ92" s="338"/>
      <c r="FR92" s="352"/>
      <c r="FS92" s="338" t="str">
        <f t="shared" si="7"/>
        <v>Sudah Terbit</v>
      </c>
      <c r="FT9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2" s="344">
        <f ca="1">IF(Table1[[#This Row],[Status Izin]]="Selesai",Table1[[#This Row],[PLAN PERMIT
finish]]-Table1[[#This Row],[Tanggal Terbit/ Target Izin Terbit]],ROUNDUP(Table1[[#This Row],[PLAN PERMIT
finish]]-NOW(),0))</f>
        <v>45564</v>
      </c>
      <c r="FV9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2" s="344"/>
      <c r="FX92" s="47"/>
      <c r="FY92" s="340"/>
      <c r="FZ92" s="341"/>
      <c r="GA9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2" s="330">
        <v>45538</v>
      </c>
      <c r="GC92" s="352">
        <v>45443</v>
      </c>
      <c r="GD9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2" s="330">
        <v>45545</v>
      </c>
      <c r="GF92" s="352">
        <v>45443</v>
      </c>
      <c r="GG9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2" s="330">
        <v>45551</v>
      </c>
      <c r="GI92" s="330">
        <v>45557</v>
      </c>
      <c r="GJ92" s="352">
        <v>45448</v>
      </c>
      <c r="GK9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2" s="330">
        <v>45565</v>
      </c>
      <c r="GM92" s="330" t="e">
        <v>#N/A</v>
      </c>
      <c r="GN92" s="330">
        <v>45641</v>
      </c>
      <c r="GO92" s="330" t="e">
        <v>#N/A</v>
      </c>
      <c r="GP92" s="316"/>
      <c r="GQ9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2" s="330" t="s">
        <v>261</v>
      </c>
      <c r="GS92" s="421" t="s">
        <v>261</v>
      </c>
      <c r="GT92" s="427">
        <v>45534</v>
      </c>
      <c r="GU92" s="423" t="str">
        <f>IF(Table1[[#This Row],[Hydro Tes Actual
(tanggal)]]&lt;&gt;"","Sudah","Belum")</f>
        <v>Sudah</v>
      </c>
      <c r="GV92" s="330" t="s">
        <v>261</v>
      </c>
      <c r="GW92" s="330" t="s">
        <v>261</v>
      </c>
      <c r="GX92" s="331"/>
      <c r="GY92" s="344" t="str">
        <f>IF(Table1[[#This Row],[Interkoneksi Actual
(tanggal)]]&lt;&gt;"","Sudah","Belum")</f>
        <v>Belum</v>
      </c>
      <c r="GZ92" s="330" t="s">
        <v>261</v>
      </c>
      <c r="HA92" s="421" t="s">
        <v>261</v>
      </c>
      <c r="HB92" s="424">
        <v>45535</v>
      </c>
      <c r="HC92" s="344" t="str">
        <f>IF(Table1[[#This Row],[Flushing Actual
(tanggal)]]&lt;&gt;"","Sudah","Belum")</f>
        <v>Sudah</v>
      </c>
      <c r="HD92" s="330">
        <v>45621</v>
      </c>
      <c r="HE92" s="330" t="e">
        <v>#N/A</v>
      </c>
      <c r="HF92" s="330">
        <v>45623</v>
      </c>
      <c r="HG92" s="352">
        <v>45560</v>
      </c>
      <c r="HH9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2" s="330" t="s">
        <v>261</v>
      </c>
      <c r="HJ92" s="330" t="s">
        <v>261</v>
      </c>
      <c r="HK92" s="331"/>
      <c r="HL92" s="316"/>
      <c r="HM92" s="330">
        <v>45646</v>
      </c>
      <c r="HN92" s="330">
        <v>45646</v>
      </c>
      <c r="HO92" s="330" t="e">
        <v>#N/A</v>
      </c>
      <c r="HP92" s="331">
        <v>45734</v>
      </c>
      <c r="HQ9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92" s="330">
        <v>45653</v>
      </c>
      <c r="HS92" s="330"/>
      <c r="HT92" s="330">
        <v>45653</v>
      </c>
      <c r="HU92" s="527"/>
      <c r="HV92" s="330">
        <f>IF(Table1[[#This Row],[MC-100 Aktual
(tanggal)]]&lt;&gt;"",Table1[[#This Row],[MC-100 Aktual
(tanggal)]]+5,"")</f>
        <v>45739</v>
      </c>
      <c r="HW9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92" s="47"/>
      <c r="HY92" s="352"/>
      <c r="HZ92" s="352"/>
      <c r="IB92" s="618">
        <f>IFERROR(ROUND((Table1[[#This Row],[PLAN TC
finish]]-Table1[[#This Row],[PLAN MC-0
start]])/30,2),"")</f>
        <v>2.4</v>
      </c>
      <c r="IC92">
        <f>DATEDIF(Table1[[#This Row],[PLAN MC-0
start]],Table1[[#This Row],[PLAN TC
finish]],"m")</f>
        <v>2</v>
      </c>
    </row>
    <row r="93" spans="2:237" s="4" customFormat="1" ht="15" customHeight="1" x14ac:dyDescent="0.2">
      <c r="B93" s="311">
        <f>SUBTOTAL(3,$D$5:D93)</f>
        <v>52</v>
      </c>
      <c r="C93" s="348">
        <v>89</v>
      </c>
      <c r="D93" s="315" t="s">
        <v>673</v>
      </c>
      <c r="E93" s="315" t="s">
        <v>701</v>
      </c>
      <c r="F93" s="315" t="s">
        <v>702</v>
      </c>
      <c r="G93" s="349">
        <v>45752</v>
      </c>
      <c r="H93" s="314" t="s">
        <v>247</v>
      </c>
      <c r="I93" s="315" t="s">
        <v>278</v>
      </c>
      <c r="J93" s="315"/>
      <c r="K93" s="338" t="s">
        <v>676</v>
      </c>
      <c r="L93" s="316" t="s">
        <v>250</v>
      </c>
      <c r="M93" s="316" t="s">
        <v>269</v>
      </c>
      <c r="N93" s="107">
        <v>94</v>
      </c>
      <c r="O93" s="31" t="s">
        <v>252</v>
      </c>
      <c r="P9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3" s="87" t="e">
        <v>#N/A</v>
      </c>
      <c r="S93" s="87">
        <v>1</v>
      </c>
      <c r="T93" s="35">
        <f>Table1[[#This Row],[Progres Total Aktual
(%)]]</f>
        <v>1</v>
      </c>
      <c r="U93" s="124">
        <f>Table1[[#This Row],[Progres Aktual
(%)]]-Table1[[#This Row],[Target Progres
(%)]]</f>
        <v>0</v>
      </c>
      <c r="V93" s="350">
        <f>Table1[[#This Row],["Volume
BA MC-0"]]</f>
        <v>103</v>
      </c>
      <c r="W93" s="351">
        <f>Table1[[#This Row],[Total Panjang Pipa Aktual
(Sum-&gt;)3]]</f>
        <v>103</v>
      </c>
      <c r="X93" s="47"/>
      <c r="Y93" s="67" t="s">
        <v>703</v>
      </c>
      <c r="Z93" s="67">
        <v>200930786</v>
      </c>
      <c r="AA93" s="67">
        <f>ROUND((Table1[[#This Row],[Nilai RAB Jaringan
(Exclude Ppn)]]-Table1[[#This Row],[RAB Perizinan]])*1.11+Table1[[#This Row],[RAB Perizinan]],0)</f>
        <v>0</v>
      </c>
      <c r="AB93" s="320">
        <f>SUM(Table1[[#This Row],[RAB Kegiatan Umum]:[RAB Perizinan]])</f>
        <v>0</v>
      </c>
      <c r="AC93" s="320"/>
      <c r="AD93" s="320"/>
      <c r="AE93" s="320"/>
      <c r="AF93" s="320"/>
      <c r="AG93" s="320">
        <v>12297890</v>
      </c>
      <c r="AH93" s="35" t="e">
        <f>SUM(Table1[[#This Row],[Bobot Keg Umum]:[Bobot Perizinan]])</f>
        <v>#DIV/0!</v>
      </c>
      <c r="AI93" s="35" t="e">
        <f>Table1[[#This Row],[RAB Kegiatan Umum]]/Table1[[#This Row],[Nilai RAB Jaringan
(Exclude Ppn)]]</f>
        <v>#DIV/0!</v>
      </c>
      <c r="AJ93" s="35" t="e">
        <f>Table1[[#This Row],[RAB Pemasangan]]/Table1[[#This Row],[Nilai RAB Jaringan
(Exclude Ppn)]]</f>
        <v>#DIV/0!</v>
      </c>
      <c r="AK93" s="35" t="e">
        <f>Table1[[#This Row],[RAB Pengadaan]]/Table1[[#This Row],[Nilai RAB Jaringan
(Exclude Ppn)]]</f>
        <v>#DIV/0!</v>
      </c>
      <c r="AL93" s="35" t="e">
        <f>Table1[[#This Row],[RAB Perizinan]]/Table1[[#This Row],[Nilai RAB Jaringan
(Exclude Ppn)]]</f>
        <v>#DIV/0!</v>
      </c>
      <c r="AM93" s="47"/>
      <c r="AN93" s="285">
        <v>103</v>
      </c>
      <c r="AO93" s="285">
        <f>SUM(Table1[[#This Row],[Pipa 63 mm]:[Pipa 1,800 mm]])</f>
        <v>0</v>
      </c>
      <c r="AP93" s="285"/>
      <c r="AQ93" s="285"/>
      <c r="AR93" s="285"/>
      <c r="AS93" s="285"/>
      <c r="AT93" s="285"/>
      <c r="AU93" s="285"/>
      <c r="AV93" s="285"/>
      <c r="AW93" s="285"/>
      <c r="AX93" s="285"/>
      <c r="AY93" s="285"/>
      <c r="AZ93" s="285"/>
      <c r="BA93" s="285"/>
      <c r="BB93" s="285"/>
      <c r="BC93" s="285"/>
      <c r="BD93" s="285"/>
      <c r="BE93" s="285"/>
      <c r="BF93" s="285"/>
      <c r="BG93" s="285"/>
      <c r="BH93" s="285"/>
      <c r="BI93" s="285"/>
      <c r="BJ93" s="36">
        <f>SUM(Table1[[#This Row],[Pipa 63 mm2]:[Pipa 1,800 mm21]])</f>
        <v>103</v>
      </c>
      <c r="BK93" s="32"/>
      <c r="BL93" s="32">
        <v>103</v>
      </c>
      <c r="BM93" s="32"/>
      <c r="BN93" s="32"/>
      <c r="BO93" s="32"/>
      <c r="BP93" s="32"/>
      <c r="BQ93" s="32"/>
      <c r="BR93" s="32"/>
      <c r="BS93" s="32"/>
      <c r="BT93" s="32"/>
      <c r="BU93" s="32"/>
      <c r="BV93" s="32"/>
      <c r="BW93" s="32"/>
      <c r="BX93" s="32"/>
      <c r="BY93" s="32"/>
      <c r="BZ93" s="32"/>
      <c r="CA93" s="32"/>
      <c r="CB93" s="32"/>
      <c r="CC93" s="32"/>
      <c r="CD93" s="32"/>
      <c r="CE93" s="32">
        <v>0</v>
      </c>
      <c r="CF93" s="32"/>
      <c r="CG93" s="32"/>
      <c r="CH93" s="32"/>
      <c r="CI93" s="32">
        <f t="shared" si="6"/>
        <v>0</v>
      </c>
      <c r="CJ93" s="65">
        <f>IF((Table1[[#This Row],["Volume
BA MC-0"]]-Table1[[#This Row],[Total Panjang Pipa Aktual
(Sum-&gt;)3]]-Table1[[#This Row],[Total Volume
tidak dapat dipasang]])&gt;=0,Table1[[#This Row],["Volume
BA MC-0"]]-Table1[[#This Row],[Total Panjang Pipa Aktual
(Sum-&gt;)3]]-Table1[[#This Row],[Total Volume
tidak dapat dipasang]],0)</f>
        <v>0</v>
      </c>
      <c r="CK93" s="47"/>
      <c r="CL93" s="131"/>
      <c r="CM93" s="35"/>
      <c r="CN93" s="131"/>
      <c r="CO93" s="131"/>
      <c r="CP9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3" s="66">
        <f>IFERROR(Table1[[#This Row],[Progres Keg. Umum
(%)]]*Table1[[#This Row],[Nilai RAB Jaringan
(file pa aji)]],0)</f>
        <v>0</v>
      </c>
      <c r="CR93" s="66">
        <f>IFERROR(Table1[[#This Row],[Progres MOS
(%)]]*Table1[[#This Row],[Nilai RAB Jaringan
(file pa aji)]],0)</f>
        <v>0</v>
      </c>
      <c r="CS93" s="66">
        <f>IFERROR(Table1[[#This Row],[Progres Pemasangan
(%)]]*Table1[[#This Row],[Nilai RAB Jaringan
(file pa aji)]],0)</f>
        <v>0</v>
      </c>
      <c r="CT93" s="66">
        <f>IFERROR(Table1[[#This Row],[Progres Perizinan
(%)]]*Table1[[#This Row],[Nilai RAB Jaringan
(file pa aji)]],0)</f>
        <v>0</v>
      </c>
      <c r="CU93" s="329">
        <v>195349512</v>
      </c>
      <c r="CV93" s="329">
        <v>195349512</v>
      </c>
      <c r="CW93" s="583">
        <v>195349512</v>
      </c>
      <c r="CX93" s="329">
        <v>195349512</v>
      </c>
      <c r="CY93" s="47"/>
      <c r="CZ93" s="330">
        <v>45439</v>
      </c>
      <c r="DA93" s="330">
        <v>45466</v>
      </c>
      <c r="DB93" s="331"/>
      <c r="DC93" s="316"/>
      <c r="DD93" s="67"/>
      <c r="DE9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3" s="331"/>
      <c r="DG93" s="316"/>
      <c r="DH93" s="67"/>
      <c r="DI9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3" s="330">
        <v>45467</v>
      </c>
      <c r="DK93" s="330">
        <v>45508</v>
      </c>
      <c r="DL93" s="331">
        <v>45439</v>
      </c>
      <c r="DM93" s="425" t="s">
        <v>704</v>
      </c>
      <c r="DN9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3" s="331">
        <v>45447</v>
      </c>
      <c r="DP93" s="426" t="s">
        <v>695</v>
      </c>
      <c r="DQ93" s="338" t="s">
        <v>297</v>
      </c>
      <c r="DR9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3" s="330">
        <v>45467</v>
      </c>
      <c r="DT93" s="330" t="e">
        <v>#N/A</v>
      </c>
      <c r="DU93" s="330">
        <v>45508</v>
      </c>
      <c r="DV93" s="330" t="e">
        <v>#N/A</v>
      </c>
      <c r="DW93" s="331"/>
      <c r="DX93" s="316"/>
      <c r="DY93" s="334"/>
      <c r="DZ93" s="334"/>
      <c r="EA9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3" s="331"/>
      <c r="EC93" s="332"/>
      <c r="ED93" s="332"/>
      <c r="EE93" s="330"/>
      <c r="EF93" s="35">
        <v>1</v>
      </c>
      <c r="EG93" s="337">
        <v>1</v>
      </c>
      <c r="EH93" s="316" t="str">
        <f>IF(Table1[[#This Row],[PO Material Aktual 
(%)]]&gt;=100%,"Selesai PO = 100%",IF(Table1[[#This Row],[PO Material Aktual 
(%)]]&gt;=50%,"Proses PO &gt; 100%",IF(Table1[[#This Row],[PO Material Aktual 
(%)]]&gt;0%,"Proses PO &gt; 50%",IF(Table1[[#This Row],[PO Material Aktual 
(%)]]=0,"Belum PO = 0%"))))</f>
        <v>Selesai PO = 100%</v>
      </c>
      <c r="EI9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3" s="330">
        <v>45509</v>
      </c>
      <c r="EK93" s="330" t="e">
        <v>#N/A</v>
      </c>
      <c r="EL93" s="330">
        <v>45599</v>
      </c>
      <c r="EM93" s="330" t="e">
        <v>#N/A</v>
      </c>
      <c r="EN93" s="331">
        <v>46139</v>
      </c>
      <c r="EO93" s="332"/>
      <c r="EP93" s="332"/>
      <c r="EQ93" s="87">
        <v>1</v>
      </c>
      <c r="ER93" s="87">
        <v>1</v>
      </c>
      <c r="ES93" s="316" t="str">
        <f>IF(Table1[[#This Row],[Progres MOS]]&gt;=100%,"Selesai MOS = 100%",IF(Table1[[#This Row],[Progres MOS]]&gt;=50%,"Proses MOS &gt; 100%",IF(Table1[[#This Row],[Progres MOS]]&gt;0%,"Proses MOS &gt; 50%",IF(Table1[[#This Row],[Progres MOS]]=0,"Belum MOS = 0%"))))</f>
        <v>Selesai MOS = 100%</v>
      </c>
      <c r="ET9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3" s="47"/>
      <c r="EV93" s="330">
        <v>45467</v>
      </c>
      <c r="EW93" s="330" t="e">
        <v>#N/A</v>
      </c>
      <c r="EX93" s="330">
        <v>45564</v>
      </c>
      <c r="EY93" s="330" t="e">
        <v>#N/A</v>
      </c>
      <c r="EZ93" s="352" t="s">
        <v>298</v>
      </c>
      <c r="FA93" s="336" t="s">
        <v>259</v>
      </c>
      <c r="FB93" s="330" t="s">
        <v>260</v>
      </c>
      <c r="FC93" s="330">
        <v>45799</v>
      </c>
      <c r="FD93" s="330" t="s">
        <v>260</v>
      </c>
      <c r="FE93" s="330">
        <v>45875</v>
      </c>
      <c r="FF93" s="330">
        <v>45929</v>
      </c>
      <c r="FG93" s="330" t="s">
        <v>260</v>
      </c>
      <c r="FH93" s="330" t="s">
        <v>260</v>
      </c>
      <c r="FI93" s="330">
        <v>46021</v>
      </c>
      <c r="FJ93" s="330" t="s">
        <v>260</v>
      </c>
      <c r="FK93" s="330">
        <v>46087</v>
      </c>
      <c r="FL93" s="336" t="s">
        <v>298</v>
      </c>
      <c r="FM93" s="336">
        <v>45799</v>
      </c>
      <c r="FN93" s="314">
        <f>IF(Table1[[#This Row],[Tanggal Pengajuan Dokumen]]="","",Table1[[#This Row],[PLAN PERMIT
start]]-Table1[[#This Row],[Tanggal Pengajuan Dokumen]])</f>
        <v>-332</v>
      </c>
      <c r="FO93" s="336"/>
      <c r="FP93" s="316"/>
      <c r="FQ93" s="338"/>
      <c r="FR93" s="352"/>
      <c r="FS93" s="338" t="str">
        <f t="shared" si="7"/>
        <v>Sudah Terbit</v>
      </c>
      <c r="FT9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3" s="344">
        <f ca="1">IF(Table1[[#This Row],[Status Izin]]="Selesai",Table1[[#This Row],[PLAN PERMIT
finish]]-Table1[[#This Row],[Tanggal Terbit/ Target Izin Terbit]],ROUNDUP(Table1[[#This Row],[PLAN PERMIT
finish]]-NOW(),0))</f>
        <v>45564</v>
      </c>
      <c r="FV9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3" s="344"/>
      <c r="FX93" s="47"/>
      <c r="FY93" s="340"/>
      <c r="FZ93" s="341"/>
      <c r="GA9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3" s="330">
        <v>45538</v>
      </c>
      <c r="GC93" s="352">
        <v>45443</v>
      </c>
      <c r="GD9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3" s="330">
        <v>45545</v>
      </c>
      <c r="GF93" s="352">
        <v>45443</v>
      </c>
      <c r="GG9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3" s="330">
        <v>45551</v>
      </c>
      <c r="GI93" s="330">
        <v>45557</v>
      </c>
      <c r="GJ93" s="352">
        <v>45448</v>
      </c>
      <c r="GK9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3" s="330">
        <v>45565</v>
      </c>
      <c r="GM93" s="330" t="e">
        <v>#N/A</v>
      </c>
      <c r="GN93" s="330">
        <v>45641</v>
      </c>
      <c r="GO93" s="330" t="e">
        <v>#N/A</v>
      </c>
      <c r="GP93" s="316"/>
      <c r="GQ9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3" s="330" t="s">
        <v>261</v>
      </c>
      <c r="GS93" s="421" t="s">
        <v>261</v>
      </c>
      <c r="GT93" s="427">
        <v>45538</v>
      </c>
      <c r="GU93" s="423" t="str">
        <f>IF(Table1[[#This Row],[Hydro Tes Actual
(tanggal)]]&lt;&gt;"","Sudah","Belum")</f>
        <v>Sudah</v>
      </c>
      <c r="GV93" s="330" t="s">
        <v>261</v>
      </c>
      <c r="GW93" s="330" t="s">
        <v>261</v>
      </c>
      <c r="GX93" s="331"/>
      <c r="GY93" s="344" t="str">
        <f>IF(Table1[[#This Row],[Interkoneksi Actual
(tanggal)]]&lt;&gt;"","Sudah","Belum")</f>
        <v>Belum</v>
      </c>
      <c r="GZ93" s="330" t="s">
        <v>261</v>
      </c>
      <c r="HA93" s="421" t="s">
        <v>261</v>
      </c>
      <c r="HB93" s="424">
        <v>45541</v>
      </c>
      <c r="HC93" s="344" t="str">
        <f>IF(Table1[[#This Row],[Flushing Actual
(tanggal)]]&lt;&gt;"","Sudah","Belum")</f>
        <v>Sudah</v>
      </c>
      <c r="HD93" s="330">
        <v>45621</v>
      </c>
      <c r="HE93" s="330" t="e">
        <v>#N/A</v>
      </c>
      <c r="HF93" s="330">
        <v>45623</v>
      </c>
      <c r="HG93" s="352">
        <v>45560</v>
      </c>
      <c r="HH9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3" s="330" t="s">
        <v>261</v>
      </c>
      <c r="HJ93" s="330" t="s">
        <v>261</v>
      </c>
      <c r="HK93" s="331"/>
      <c r="HL93" s="316"/>
      <c r="HM93" s="330">
        <v>45646</v>
      </c>
      <c r="HN93" s="330">
        <v>45646</v>
      </c>
      <c r="HO93" s="330" t="e">
        <v>#N/A</v>
      </c>
      <c r="HP93" s="331">
        <v>45734</v>
      </c>
      <c r="HQ9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93" s="330">
        <v>45653</v>
      </c>
      <c r="HS93" s="330"/>
      <c r="HT93" s="330">
        <v>45653</v>
      </c>
      <c r="HU93" s="527"/>
      <c r="HV93" s="330">
        <f>IF(Table1[[#This Row],[MC-100 Aktual
(tanggal)]]&lt;&gt;"",Table1[[#This Row],[MC-100 Aktual
(tanggal)]]+5,"")</f>
        <v>45739</v>
      </c>
      <c r="HW9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93" s="47"/>
      <c r="HY93" s="352"/>
      <c r="HZ93" s="352"/>
      <c r="IB93" s="618">
        <f>IFERROR(ROUND((Table1[[#This Row],[PLAN TC
finish]]-Table1[[#This Row],[PLAN MC-0
start]])/30,2),"")</f>
        <v>2.4</v>
      </c>
      <c r="IC93">
        <f>DATEDIF(Table1[[#This Row],[PLAN MC-0
start]],Table1[[#This Row],[PLAN TC
finish]],"m")</f>
        <v>2</v>
      </c>
    </row>
    <row r="94" spans="2:237" s="4" customFormat="1" ht="15" customHeight="1" x14ac:dyDescent="0.2">
      <c r="B94" s="311">
        <f>SUBTOTAL(3,$D$5:D94)</f>
        <v>53</v>
      </c>
      <c r="C94" s="348">
        <v>90</v>
      </c>
      <c r="D94" s="315" t="s">
        <v>673</v>
      </c>
      <c r="E94" s="315" t="s">
        <v>705</v>
      </c>
      <c r="F94" s="315" t="s">
        <v>706</v>
      </c>
      <c r="G94" s="349">
        <v>45752</v>
      </c>
      <c r="H94" s="314" t="s">
        <v>247</v>
      </c>
      <c r="I94" s="315" t="s">
        <v>278</v>
      </c>
      <c r="J94" s="315"/>
      <c r="K94" s="338" t="s">
        <v>676</v>
      </c>
      <c r="L94" s="316" t="s">
        <v>250</v>
      </c>
      <c r="M94" s="316" t="s">
        <v>269</v>
      </c>
      <c r="N94" s="107">
        <v>232</v>
      </c>
      <c r="O94" s="31" t="s">
        <v>252</v>
      </c>
      <c r="P94"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4" s="87" t="e">
        <v>#N/A</v>
      </c>
      <c r="S94" s="87">
        <v>1</v>
      </c>
      <c r="T94" s="35">
        <f>Table1[[#This Row],[Progres Total Aktual
(%)]]</f>
        <v>1</v>
      </c>
      <c r="U94" s="124">
        <f>Table1[[#This Row],[Progres Aktual
(%)]]-Table1[[#This Row],[Target Progres
(%)]]</f>
        <v>0</v>
      </c>
      <c r="V94" s="350">
        <f>Table1[[#This Row],["Volume
BA MC-0"]]</f>
        <v>262</v>
      </c>
      <c r="W94" s="351">
        <f>Table1[[#This Row],[Total Panjang Pipa Aktual
(Sum-&gt;)3]]</f>
        <v>262</v>
      </c>
      <c r="X94" s="47"/>
      <c r="Y94" s="67" t="s">
        <v>707</v>
      </c>
      <c r="Z94" s="67">
        <v>417909982</v>
      </c>
      <c r="AA94" s="67">
        <f>ROUND((Table1[[#This Row],[Nilai RAB Jaringan
(Exclude Ppn)]]-Table1[[#This Row],[RAB Perizinan]])*1.11+Table1[[#This Row],[RAB Perizinan]],0)</f>
        <v>0</v>
      </c>
      <c r="AB94" s="320">
        <f>SUM(Table1[[#This Row],[RAB Kegiatan Umum]:[RAB Perizinan]])</f>
        <v>0</v>
      </c>
      <c r="AC94" s="320"/>
      <c r="AD94" s="320"/>
      <c r="AE94" s="320"/>
      <c r="AF94" s="320"/>
      <c r="AG94" s="320">
        <v>28695076</v>
      </c>
      <c r="AH94" s="35" t="e">
        <f>SUM(Table1[[#This Row],[Bobot Keg Umum]:[Bobot Perizinan]])</f>
        <v>#DIV/0!</v>
      </c>
      <c r="AI94" s="35" t="e">
        <f>Table1[[#This Row],[RAB Kegiatan Umum]]/Table1[[#This Row],[Nilai RAB Jaringan
(Exclude Ppn)]]</f>
        <v>#DIV/0!</v>
      </c>
      <c r="AJ94" s="35" t="e">
        <f>Table1[[#This Row],[RAB Pemasangan]]/Table1[[#This Row],[Nilai RAB Jaringan
(Exclude Ppn)]]</f>
        <v>#DIV/0!</v>
      </c>
      <c r="AK94" s="35" t="e">
        <f>Table1[[#This Row],[RAB Pengadaan]]/Table1[[#This Row],[Nilai RAB Jaringan
(Exclude Ppn)]]</f>
        <v>#DIV/0!</v>
      </c>
      <c r="AL94" s="35" t="e">
        <f>Table1[[#This Row],[RAB Perizinan]]/Table1[[#This Row],[Nilai RAB Jaringan
(Exclude Ppn)]]</f>
        <v>#DIV/0!</v>
      </c>
      <c r="AM94" s="47"/>
      <c r="AN94" s="285">
        <v>262</v>
      </c>
      <c r="AO94" s="285">
        <f>SUM(Table1[[#This Row],[Pipa 63 mm]:[Pipa 1,800 mm]])</f>
        <v>0</v>
      </c>
      <c r="AP94" s="285"/>
      <c r="AQ94" s="285"/>
      <c r="AR94" s="285"/>
      <c r="AS94" s="285"/>
      <c r="AT94" s="285"/>
      <c r="AU94" s="285"/>
      <c r="AV94" s="285"/>
      <c r="AW94" s="285"/>
      <c r="AX94" s="285"/>
      <c r="AY94" s="285"/>
      <c r="AZ94" s="285"/>
      <c r="BA94" s="285"/>
      <c r="BB94" s="285"/>
      <c r="BC94" s="285"/>
      <c r="BD94" s="285"/>
      <c r="BE94" s="285"/>
      <c r="BF94" s="285"/>
      <c r="BG94" s="285"/>
      <c r="BH94" s="285"/>
      <c r="BI94" s="285"/>
      <c r="BJ94" s="36">
        <f>SUM(Table1[[#This Row],[Pipa 63 mm2]:[Pipa 1,800 mm21]])</f>
        <v>262</v>
      </c>
      <c r="BK94" s="32"/>
      <c r="BL94" s="32">
        <v>262</v>
      </c>
      <c r="BM94" s="32"/>
      <c r="BN94" s="32"/>
      <c r="BO94" s="32"/>
      <c r="BP94" s="32"/>
      <c r="BQ94" s="32"/>
      <c r="BR94" s="32"/>
      <c r="BS94" s="32"/>
      <c r="BT94" s="32"/>
      <c r="BU94" s="32"/>
      <c r="BV94" s="32"/>
      <c r="BW94" s="32"/>
      <c r="BX94" s="32"/>
      <c r="BY94" s="32"/>
      <c r="BZ94" s="32"/>
      <c r="CA94" s="32"/>
      <c r="CB94" s="32"/>
      <c r="CC94" s="32"/>
      <c r="CD94" s="32"/>
      <c r="CE94" s="32">
        <v>0</v>
      </c>
      <c r="CF94" s="32"/>
      <c r="CG94" s="32"/>
      <c r="CH94" s="32"/>
      <c r="CI94" s="32">
        <f t="shared" si="6"/>
        <v>0</v>
      </c>
      <c r="CJ94" s="65">
        <f>IF((Table1[[#This Row],["Volume
BA MC-0"]]-Table1[[#This Row],[Total Panjang Pipa Aktual
(Sum-&gt;)3]]-Table1[[#This Row],[Total Volume
tidak dapat dipasang]])&gt;=0,Table1[[#This Row],["Volume
BA MC-0"]]-Table1[[#This Row],[Total Panjang Pipa Aktual
(Sum-&gt;)3]]-Table1[[#This Row],[Total Volume
tidak dapat dipasang]],0)</f>
        <v>0</v>
      </c>
      <c r="CK94" s="47"/>
      <c r="CL94" s="131"/>
      <c r="CM94" s="35"/>
      <c r="CN94" s="131"/>
      <c r="CO94" s="131"/>
      <c r="CP9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4" s="66">
        <f>IFERROR(Table1[[#This Row],[Progres Keg. Umum
(%)]]*Table1[[#This Row],[Nilai RAB Jaringan
(file pa aji)]],0)</f>
        <v>0</v>
      </c>
      <c r="CR94" s="66">
        <f>IFERROR(Table1[[#This Row],[Progres MOS
(%)]]*Table1[[#This Row],[Nilai RAB Jaringan
(file pa aji)]],0)</f>
        <v>0</v>
      </c>
      <c r="CS94" s="66">
        <f>IFERROR(Table1[[#This Row],[Progres Pemasangan
(%)]]*Table1[[#This Row],[Nilai RAB Jaringan
(file pa aji)]],0)</f>
        <v>0</v>
      </c>
      <c r="CT94" s="66">
        <f>IFERROR(Table1[[#This Row],[Progres Perizinan
(%)]]*Table1[[#This Row],[Nilai RAB Jaringan
(file pa aji)]],0)</f>
        <v>0</v>
      </c>
      <c r="CU94" s="329">
        <v>471968087</v>
      </c>
      <c r="CV94" s="329">
        <v>471968087</v>
      </c>
      <c r="CW94" s="583">
        <v>471968087</v>
      </c>
      <c r="CX94" s="329">
        <v>471968087</v>
      </c>
      <c r="CY94" s="47"/>
      <c r="CZ94" s="330">
        <v>45439</v>
      </c>
      <c r="DA94" s="330">
        <v>45466</v>
      </c>
      <c r="DB94" s="331"/>
      <c r="DC94" s="316"/>
      <c r="DD94" s="67"/>
      <c r="DE9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4" s="331"/>
      <c r="DG94" s="316"/>
      <c r="DH94" s="67"/>
      <c r="DI9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4" s="330">
        <v>45467</v>
      </c>
      <c r="DK94" s="330">
        <v>45508</v>
      </c>
      <c r="DL94" s="331">
        <v>45439</v>
      </c>
      <c r="DM94" s="425" t="s">
        <v>708</v>
      </c>
      <c r="DN9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4" s="331">
        <v>45447</v>
      </c>
      <c r="DP94" s="426" t="s">
        <v>695</v>
      </c>
      <c r="DQ94" s="338" t="s">
        <v>297</v>
      </c>
      <c r="DR9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4" s="330">
        <v>45467</v>
      </c>
      <c r="DT94" s="330" t="e">
        <v>#N/A</v>
      </c>
      <c r="DU94" s="330">
        <v>45508</v>
      </c>
      <c r="DV94" s="330" t="e">
        <v>#N/A</v>
      </c>
      <c r="DW94" s="331"/>
      <c r="DX94" s="316"/>
      <c r="DY94" s="334"/>
      <c r="DZ94" s="334"/>
      <c r="EA9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4" s="331"/>
      <c r="EC94" s="332"/>
      <c r="ED94" s="332"/>
      <c r="EE94" s="330"/>
      <c r="EF94" s="35">
        <v>1</v>
      </c>
      <c r="EG94" s="337">
        <v>1</v>
      </c>
      <c r="EH94" s="316" t="str">
        <f>IF(Table1[[#This Row],[PO Material Aktual 
(%)]]&gt;=100%,"Selesai PO = 100%",IF(Table1[[#This Row],[PO Material Aktual 
(%)]]&gt;=50%,"Proses PO &gt; 100%",IF(Table1[[#This Row],[PO Material Aktual 
(%)]]&gt;0%,"Proses PO &gt; 50%",IF(Table1[[#This Row],[PO Material Aktual 
(%)]]=0,"Belum PO = 0%"))))</f>
        <v>Selesai PO = 100%</v>
      </c>
      <c r="EI9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4" s="330">
        <v>45509</v>
      </c>
      <c r="EK94" s="330" t="e">
        <v>#N/A</v>
      </c>
      <c r="EL94" s="330">
        <v>45599</v>
      </c>
      <c r="EM94" s="330" t="e">
        <v>#N/A</v>
      </c>
      <c r="EN94" s="331">
        <v>46139</v>
      </c>
      <c r="EO94" s="332"/>
      <c r="EP94" s="332"/>
      <c r="EQ94" s="87">
        <v>1</v>
      </c>
      <c r="ER94" s="87">
        <v>1</v>
      </c>
      <c r="ES94" s="316" t="str">
        <f>IF(Table1[[#This Row],[Progres MOS]]&gt;=100%,"Selesai MOS = 100%",IF(Table1[[#This Row],[Progres MOS]]&gt;=50%,"Proses MOS &gt; 100%",IF(Table1[[#This Row],[Progres MOS]]&gt;0%,"Proses MOS &gt; 50%",IF(Table1[[#This Row],[Progres MOS]]=0,"Belum MOS = 0%"))))</f>
        <v>Selesai MOS = 100%</v>
      </c>
      <c r="ET9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4" s="47"/>
      <c r="EV94" s="330">
        <v>45467</v>
      </c>
      <c r="EW94" s="330" t="e">
        <v>#N/A</v>
      </c>
      <c r="EX94" s="330">
        <v>45564</v>
      </c>
      <c r="EY94" s="330" t="e">
        <v>#N/A</v>
      </c>
      <c r="EZ94" s="352" t="s">
        <v>298</v>
      </c>
      <c r="FA94" s="336" t="s">
        <v>259</v>
      </c>
      <c r="FB94" s="330" t="s">
        <v>260</v>
      </c>
      <c r="FC94" s="330">
        <v>45799</v>
      </c>
      <c r="FD94" s="330" t="s">
        <v>260</v>
      </c>
      <c r="FE94" s="330">
        <v>45875</v>
      </c>
      <c r="FF94" s="330">
        <v>45929</v>
      </c>
      <c r="FG94" s="330" t="s">
        <v>260</v>
      </c>
      <c r="FH94" s="330" t="s">
        <v>260</v>
      </c>
      <c r="FI94" s="330">
        <v>46021</v>
      </c>
      <c r="FJ94" s="330" t="s">
        <v>260</v>
      </c>
      <c r="FK94" s="330">
        <v>46087</v>
      </c>
      <c r="FL94" s="336" t="s">
        <v>298</v>
      </c>
      <c r="FM94" s="336">
        <v>45799</v>
      </c>
      <c r="FN94" s="314">
        <f>IF(Table1[[#This Row],[Tanggal Pengajuan Dokumen]]="","",Table1[[#This Row],[PLAN PERMIT
start]]-Table1[[#This Row],[Tanggal Pengajuan Dokumen]])</f>
        <v>-332</v>
      </c>
      <c r="FO94" s="336"/>
      <c r="FP94" s="316"/>
      <c r="FQ94" s="338"/>
      <c r="FR94" s="352"/>
      <c r="FS94" s="338" t="str">
        <f t="shared" si="7"/>
        <v>Sudah Terbit</v>
      </c>
      <c r="FT9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4" s="344">
        <f ca="1">IF(Table1[[#This Row],[Status Izin]]="Selesai",Table1[[#This Row],[PLAN PERMIT
finish]]-Table1[[#This Row],[Tanggal Terbit/ Target Izin Terbit]],ROUNDUP(Table1[[#This Row],[PLAN PERMIT
finish]]-NOW(),0))</f>
        <v>45564</v>
      </c>
      <c r="FV9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4" s="344"/>
      <c r="FX94" s="47"/>
      <c r="FY94" s="340"/>
      <c r="FZ94" s="341"/>
      <c r="GA9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4" s="330">
        <v>45538</v>
      </c>
      <c r="GC94" s="352">
        <v>45443</v>
      </c>
      <c r="GD9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4" s="330">
        <v>45545</v>
      </c>
      <c r="GF94" s="352">
        <v>45443</v>
      </c>
      <c r="GG9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4" s="330">
        <v>45551</v>
      </c>
      <c r="GI94" s="330">
        <v>45557</v>
      </c>
      <c r="GJ94" s="352">
        <v>45448</v>
      </c>
      <c r="GK9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4" s="330">
        <v>45565</v>
      </c>
      <c r="GM94" s="330" t="e">
        <v>#N/A</v>
      </c>
      <c r="GN94" s="330">
        <v>45641</v>
      </c>
      <c r="GO94" s="330" t="e">
        <v>#N/A</v>
      </c>
      <c r="GP94" s="316"/>
      <c r="GQ9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4" s="330" t="s">
        <v>261</v>
      </c>
      <c r="GS94" s="421" t="s">
        <v>261</v>
      </c>
      <c r="GT94" s="427">
        <v>45513</v>
      </c>
      <c r="GU94" s="423" t="str">
        <f>IF(Table1[[#This Row],[Hydro Tes Actual
(tanggal)]]&lt;&gt;"","Sudah","Belum")</f>
        <v>Sudah</v>
      </c>
      <c r="GV94" s="330" t="s">
        <v>261</v>
      </c>
      <c r="GW94" s="330" t="s">
        <v>261</v>
      </c>
      <c r="GX94" s="331"/>
      <c r="GY94" s="344" t="str">
        <f>IF(Table1[[#This Row],[Interkoneksi Actual
(tanggal)]]&lt;&gt;"","Sudah","Belum")</f>
        <v>Belum</v>
      </c>
      <c r="GZ94" s="330" t="s">
        <v>261</v>
      </c>
      <c r="HA94" s="421" t="s">
        <v>261</v>
      </c>
      <c r="HB94" s="424">
        <v>45540</v>
      </c>
      <c r="HC94" s="344" t="str">
        <f>IF(Table1[[#This Row],[Flushing Actual
(tanggal)]]&lt;&gt;"","Sudah","Belum")</f>
        <v>Sudah</v>
      </c>
      <c r="HD94" s="330">
        <v>45621</v>
      </c>
      <c r="HE94" s="330" t="e">
        <v>#N/A</v>
      </c>
      <c r="HF94" s="330">
        <v>45623</v>
      </c>
      <c r="HG94" s="352">
        <v>45560</v>
      </c>
      <c r="HH9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4" s="330" t="s">
        <v>261</v>
      </c>
      <c r="HJ94" s="330" t="s">
        <v>261</v>
      </c>
      <c r="HK94" s="331"/>
      <c r="HL94" s="316"/>
      <c r="HM94" s="330">
        <v>45646</v>
      </c>
      <c r="HN94" s="330">
        <v>45646</v>
      </c>
      <c r="HO94" s="330" t="e">
        <v>#N/A</v>
      </c>
      <c r="HP94" s="331">
        <v>45734</v>
      </c>
      <c r="HQ9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94" s="330">
        <v>45653</v>
      </c>
      <c r="HS94" s="330"/>
      <c r="HT94" s="330">
        <v>45653</v>
      </c>
      <c r="HU94" s="527"/>
      <c r="HV94" s="330">
        <f>IF(Table1[[#This Row],[MC-100 Aktual
(tanggal)]]&lt;&gt;"",Table1[[#This Row],[MC-100 Aktual
(tanggal)]]+5,"")</f>
        <v>45739</v>
      </c>
      <c r="HW9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94" s="47"/>
      <c r="HY94" s="352"/>
      <c r="HZ94" s="352"/>
      <c r="IB94" s="618">
        <f>IFERROR(ROUND((Table1[[#This Row],[PLAN TC
finish]]-Table1[[#This Row],[PLAN MC-0
start]])/30,2),"")</f>
        <v>2.4</v>
      </c>
      <c r="IC94">
        <f>DATEDIF(Table1[[#This Row],[PLAN MC-0
start]],Table1[[#This Row],[PLAN TC
finish]],"m")</f>
        <v>2</v>
      </c>
    </row>
    <row r="95" spans="2:237" s="4" customFormat="1" ht="15" customHeight="1" x14ac:dyDescent="0.2">
      <c r="B95" s="311">
        <f>SUBTOTAL(3,$D$5:D95)</f>
        <v>54</v>
      </c>
      <c r="C95" s="348">
        <v>91</v>
      </c>
      <c r="D95" s="315" t="s">
        <v>673</v>
      </c>
      <c r="E95" s="315" t="s">
        <v>709</v>
      </c>
      <c r="F95" s="315" t="s">
        <v>710</v>
      </c>
      <c r="G95" s="349">
        <v>45752</v>
      </c>
      <c r="H95" s="314" t="s">
        <v>247</v>
      </c>
      <c r="I95" s="315" t="s">
        <v>278</v>
      </c>
      <c r="J95" s="315"/>
      <c r="K95" s="338" t="s">
        <v>676</v>
      </c>
      <c r="L95" s="316" t="s">
        <v>250</v>
      </c>
      <c r="M95" s="316" t="s">
        <v>269</v>
      </c>
      <c r="N95" s="107">
        <v>57</v>
      </c>
      <c r="O95" s="31" t="s">
        <v>252</v>
      </c>
      <c r="P9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5" s="87" t="e">
        <v>#N/A</v>
      </c>
      <c r="S95" s="87">
        <v>1</v>
      </c>
      <c r="T95" s="35">
        <f>Table1[[#This Row],[Progres Total Aktual
(%)]]</f>
        <v>1</v>
      </c>
      <c r="U95" s="124">
        <f>Table1[[#This Row],[Progres Aktual
(%)]]-Table1[[#This Row],[Target Progres
(%)]]</f>
        <v>0</v>
      </c>
      <c r="V95" s="350">
        <f>Table1[[#This Row],["Volume
BA MC-0"]]</f>
        <v>57</v>
      </c>
      <c r="W95" s="351">
        <f>Table1[[#This Row],[Total Panjang Pipa Aktual
(Sum-&gt;)3]]</f>
        <v>283</v>
      </c>
      <c r="X95" s="47"/>
      <c r="Y95" s="67" t="s">
        <v>711</v>
      </c>
      <c r="Z95" s="67">
        <v>119133648</v>
      </c>
      <c r="AA95" s="67">
        <f>ROUND((Table1[[#This Row],[Nilai RAB Jaringan
(Exclude Ppn)]]-Table1[[#This Row],[RAB Perizinan]])*1.11+Table1[[#This Row],[RAB Perizinan]],0)</f>
        <v>0</v>
      </c>
      <c r="AB95" s="320">
        <f>SUM(Table1[[#This Row],[RAB Kegiatan Umum]:[RAB Perizinan]])</f>
        <v>0</v>
      </c>
      <c r="AC95" s="320"/>
      <c r="AD95" s="320"/>
      <c r="AE95" s="320"/>
      <c r="AF95" s="320"/>
      <c r="AG95" s="320">
        <v>28695077</v>
      </c>
      <c r="AH95" s="35" t="e">
        <f>SUM(Table1[[#This Row],[Bobot Keg Umum]:[Bobot Perizinan]])</f>
        <v>#DIV/0!</v>
      </c>
      <c r="AI95" s="35" t="e">
        <f>Table1[[#This Row],[RAB Kegiatan Umum]]/Table1[[#This Row],[Nilai RAB Jaringan
(Exclude Ppn)]]</f>
        <v>#DIV/0!</v>
      </c>
      <c r="AJ95" s="35" t="e">
        <f>Table1[[#This Row],[RAB Pemasangan]]/Table1[[#This Row],[Nilai RAB Jaringan
(Exclude Ppn)]]</f>
        <v>#DIV/0!</v>
      </c>
      <c r="AK95" s="35" t="e">
        <f>Table1[[#This Row],[RAB Pengadaan]]/Table1[[#This Row],[Nilai RAB Jaringan
(Exclude Ppn)]]</f>
        <v>#DIV/0!</v>
      </c>
      <c r="AL95" s="35" t="e">
        <f>Table1[[#This Row],[RAB Perizinan]]/Table1[[#This Row],[Nilai RAB Jaringan
(Exclude Ppn)]]</f>
        <v>#DIV/0!</v>
      </c>
      <c r="AM95" s="47"/>
      <c r="AN95" s="285">
        <v>57</v>
      </c>
      <c r="AO95" s="285">
        <f>SUM(Table1[[#This Row],[Pipa 63 mm]:[Pipa 1,800 mm]])</f>
        <v>0</v>
      </c>
      <c r="AP95" s="285"/>
      <c r="AQ95" s="285"/>
      <c r="AR95" s="285"/>
      <c r="AS95" s="285"/>
      <c r="AT95" s="285"/>
      <c r="AU95" s="285"/>
      <c r="AV95" s="285"/>
      <c r="AW95" s="285"/>
      <c r="AX95" s="285"/>
      <c r="AY95" s="285"/>
      <c r="AZ95" s="285"/>
      <c r="BA95" s="285"/>
      <c r="BB95" s="285"/>
      <c r="BC95" s="285"/>
      <c r="BD95" s="285"/>
      <c r="BE95" s="285"/>
      <c r="BF95" s="285"/>
      <c r="BG95" s="285"/>
      <c r="BH95" s="285"/>
      <c r="BI95" s="285"/>
      <c r="BJ95" s="36">
        <f>SUM(Table1[[#This Row],[Pipa 63 mm2]:[Pipa 1,800 mm21]])</f>
        <v>283</v>
      </c>
      <c r="BK95" s="32">
        <v>283</v>
      </c>
      <c r="BL95" s="32"/>
      <c r="BM95" s="32"/>
      <c r="BN95" s="32"/>
      <c r="BO95" s="32"/>
      <c r="BP95" s="32"/>
      <c r="BQ95" s="32"/>
      <c r="BR95" s="32"/>
      <c r="BS95" s="32"/>
      <c r="BT95" s="32"/>
      <c r="BU95" s="32"/>
      <c r="BV95" s="32"/>
      <c r="BW95" s="32"/>
      <c r="BX95" s="32"/>
      <c r="BY95" s="32"/>
      <c r="BZ95" s="32"/>
      <c r="CA95" s="32"/>
      <c r="CB95" s="32"/>
      <c r="CC95" s="32"/>
      <c r="CD95" s="32"/>
      <c r="CE95" s="32">
        <v>0</v>
      </c>
      <c r="CF95" s="32"/>
      <c r="CG95" s="32"/>
      <c r="CH95" s="32"/>
      <c r="CI95" s="32">
        <f t="shared" si="6"/>
        <v>0</v>
      </c>
      <c r="CJ95" s="65">
        <f>IF((Table1[[#This Row],["Volume
BA MC-0"]]-Table1[[#This Row],[Total Panjang Pipa Aktual
(Sum-&gt;)3]]-Table1[[#This Row],[Total Volume
tidak dapat dipasang]])&gt;=0,Table1[[#This Row],["Volume
BA MC-0"]]-Table1[[#This Row],[Total Panjang Pipa Aktual
(Sum-&gt;)3]]-Table1[[#This Row],[Total Volume
tidak dapat dipasang]],0)</f>
        <v>0</v>
      </c>
      <c r="CK95" s="47"/>
      <c r="CL95" s="131"/>
      <c r="CM95" s="35"/>
      <c r="CN95" s="131"/>
      <c r="CO95" s="131"/>
      <c r="CP9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5" s="66">
        <f>IFERROR(Table1[[#This Row],[Progres Keg. Umum
(%)]]*Table1[[#This Row],[Nilai RAB Jaringan
(file pa aji)]],0)</f>
        <v>0</v>
      </c>
      <c r="CR95" s="66">
        <f>IFERROR(Table1[[#This Row],[Progres MOS
(%)]]*Table1[[#This Row],[Nilai RAB Jaringan
(file pa aji)]],0)</f>
        <v>0</v>
      </c>
      <c r="CS95" s="66">
        <f>IFERROR(Table1[[#This Row],[Progres Pemasangan
(%)]]*Table1[[#This Row],[Nilai RAB Jaringan
(file pa aji)]],0)</f>
        <v>0</v>
      </c>
      <c r="CT95" s="66">
        <f>IFERROR(Table1[[#This Row],[Progres Perizinan
(%)]]*Table1[[#This Row],[Nilai RAB Jaringan
(file pa aji)]],0)</f>
        <v>0</v>
      </c>
      <c r="CU95" s="329">
        <v>830932740</v>
      </c>
      <c r="CV95" s="329">
        <v>830932740</v>
      </c>
      <c r="CW95" s="583">
        <v>830932740</v>
      </c>
      <c r="CX95" s="329">
        <v>830932740</v>
      </c>
      <c r="CY95" s="47"/>
      <c r="CZ95" s="330">
        <v>45411</v>
      </c>
      <c r="DA95" s="330">
        <v>45438</v>
      </c>
      <c r="DB95" s="331"/>
      <c r="DC95" s="316"/>
      <c r="DD95" s="67"/>
      <c r="DE9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5" s="331"/>
      <c r="DG95" s="316"/>
      <c r="DH95" s="67"/>
      <c r="DI9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5" s="330">
        <v>45439</v>
      </c>
      <c r="DK95" s="330">
        <v>45480</v>
      </c>
      <c r="DL95" s="331">
        <v>45644</v>
      </c>
      <c r="DM95" s="425" t="s">
        <v>712</v>
      </c>
      <c r="DN9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95" s="331">
        <v>45792</v>
      </c>
      <c r="DP95" s="426" t="s">
        <v>713</v>
      </c>
      <c r="DQ95" s="338" t="s">
        <v>297</v>
      </c>
      <c r="DR9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95" s="330">
        <v>45439</v>
      </c>
      <c r="DT95" s="330" t="e">
        <v>#N/A</v>
      </c>
      <c r="DU95" s="330">
        <v>45480</v>
      </c>
      <c r="DV95" s="330" t="e">
        <v>#N/A</v>
      </c>
      <c r="DW95" s="331"/>
      <c r="DX95" s="316"/>
      <c r="DY95" s="334"/>
      <c r="DZ95" s="334"/>
      <c r="EA9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5" s="331"/>
      <c r="EC95" s="332"/>
      <c r="ED95" s="332"/>
      <c r="EE95" s="330"/>
      <c r="EF95" s="35">
        <v>1</v>
      </c>
      <c r="EG95" s="337">
        <v>1</v>
      </c>
      <c r="EH95" s="316" t="str">
        <f>IF(Table1[[#This Row],[PO Material Aktual 
(%)]]&gt;=100%,"Selesai PO = 100%",IF(Table1[[#This Row],[PO Material Aktual 
(%)]]&gt;=50%,"Proses PO &gt; 100%",IF(Table1[[#This Row],[PO Material Aktual 
(%)]]&gt;0%,"Proses PO &gt; 50%",IF(Table1[[#This Row],[PO Material Aktual 
(%)]]=0,"Belum PO = 0%"))))</f>
        <v>Selesai PO = 100%</v>
      </c>
      <c r="EI9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5" s="330">
        <v>45481</v>
      </c>
      <c r="EK95" s="330" t="e">
        <v>#N/A</v>
      </c>
      <c r="EL95" s="330">
        <v>45529</v>
      </c>
      <c r="EM95" s="330" t="e">
        <v>#N/A</v>
      </c>
      <c r="EN95" s="331">
        <v>45881</v>
      </c>
      <c r="EO95" s="332"/>
      <c r="EP95" s="332"/>
      <c r="EQ95" s="87">
        <v>1</v>
      </c>
      <c r="ER95" s="87">
        <v>1</v>
      </c>
      <c r="ES95" s="316" t="str">
        <f>IF(Table1[[#This Row],[Progres MOS]]&gt;=100%,"Selesai MOS = 100%",IF(Table1[[#This Row],[Progres MOS]]&gt;=50%,"Proses MOS &gt; 100%",IF(Table1[[#This Row],[Progres MOS]]&gt;0%,"Proses MOS &gt; 50%",IF(Table1[[#This Row],[Progres MOS]]=0,"Belum MOS = 0%"))))</f>
        <v>Selesai MOS = 100%</v>
      </c>
      <c r="ET9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5" s="47"/>
      <c r="EV95" s="330">
        <v>45439</v>
      </c>
      <c r="EW95" s="330" t="e">
        <v>#N/A</v>
      </c>
      <c r="EX95" s="330">
        <v>45529</v>
      </c>
      <c r="EY95" s="330" t="e">
        <v>#N/A</v>
      </c>
      <c r="EZ95" s="352" t="s">
        <v>298</v>
      </c>
      <c r="FA95" s="336" t="s">
        <v>259</v>
      </c>
      <c r="FB95" s="330" t="s">
        <v>260</v>
      </c>
      <c r="FC95" s="330">
        <v>45799</v>
      </c>
      <c r="FD95" s="330" t="s">
        <v>260</v>
      </c>
      <c r="FE95" s="330">
        <v>45875</v>
      </c>
      <c r="FF95" s="330">
        <v>45929</v>
      </c>
      <c r="FG95" s="330" t="s">
        <v>260</v>
      </c>
      <c r="FH95" s="330" t="s">
        <v>260</v>
      </c>
      <c r="FI95" s="330">
        <v>46021</v>
      </c>
      <c r="FJ95" s="330" t="s">
        <v>260</v>
      </c>
      <c r="FK95" s="330">
        <v>46087</v>
      </c>
      <c r="FL95" s="336" t="s">
        <v>298</v>
      </c>
      <c r="FM95" s="336">
        <v>45799</v>
      </c>
      <c r="FN95" s="314">
        <f>IF(Table1[[#This Row],[Tanggal Pengajuan Dokumen]]="","",Table1[[#This Row],[PLAN PERMIT
start]]-Table1[[#This Row],[Tanggal Pengajuan Dokumen]])</f>
        <v>-360</v>
      </c>
      <c r="FO95" s="336"/>
      <c r="FP95" s="316"/>
      <c r="FQ95" s="338"/>
      <c r="FR95" s="352"/>
      <c r="FS95" s="338" t="str">
        <f t="shared" si="7"/>
        <v>Sudah Terbit</v>
      </c>
      <c r="FT9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5" s="344">
        <f ca="1">IF(Table1[[#This Row],[Status Izin]]="Selesai",Table1[[#This Row],[PLAN PERMIT
finish]]-Table1[[#This Row],[Tanggal Terbit/ Target Izin Terbit]],ROUNDUP(Table1[[#This Row],[PLAN PERMIT
finish]]-NOW(),0))</f>
        <v>45529</v>
      </c>
      <c r="FV9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5" s="344"/>
      <c r="FX95" s="47"/>
      <c r="FY95" s="340"/>
      <c r="FZ95" s="341"/>
      <c r="GA9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5" s="330">
        <v>45503</v>
      </c>
      <c r="GC95" s="352">
        <v>45379</v>
      </c>
      <c r="GD9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5" s="330">
        <v>45510</v>
      </c>
      <c r="GF95" s="352">
        <v>45379</v>
      </c>
      <c r="GG9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5" s="330">
        <v>45516</v>
      </c>
      <c r="GI95" s="330">
        <v>45522</v>
      </c>
      <c r="GJ95" s="352">
        <v>45387</v>
      </c>
      <c r="GK9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5" s="330">
        <v>45530</v>
      </c>
      <c r="GM95" s="330" t="e">
        <v>#N/A</v>
      </c>
      <c r="GN95" s="330">
        <v>45550</v>
      </c>
      <c r="GO95" s="330" t="e">
        <v>#N/A</v>
      </c>
      <c r="GP95" s="316"/>
      <c r="GQ9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5" s="330" t="s">
        <v>261</v>
      </c>
      <c r="GS95" s="421" t="s">
        <v>261</v>
      </c>
      <c r="GT95" s="427">
        <v>45645</v>
      </c>
      <c r="GU95" s="423" t="str">
        <f>IF(Table1[[#This Row],[Hydro Tes Actual
(tanggal)]]&lt;&gt;"","Sudah","Belum")</f>
        <v>Sudah</v>
      </c>
      <c r="GV95" s="330" t="s">
        <v>261</v>
      </c>
      <c r="GW95" s="330" t="s">
        <v>261</v>
      </c>
      <c r="GX95" s="331"/>
      <c r="GY95" s="344" t="str">
        <f>IF(Table1[[#This Row],[Interkoneksi Actual
(tanggal)]]&lt;&gt;"","Sudah","Belum")</f>
        <v>Belum</v>
      </c>
      <c r="GZ95" s="330" t="s">
        <v>261</v>
      </c>
      <c r="HA95" s="421" t="s">
        <v>261</v>
      </c>
      <c r="HB95" s="424">
        <v>45701</v>
      </c>
      <c r="HC95" s="344" t="str">
        <f>IF(Table1[[#This Row],[Flushing Actual
(tanggal)]]&lt;&gt;"","Sudah","Belum")</f>
        <v>Sudah</v>
      </c>
      <c r="HD95" s="330">
        <v>45537</v>
      </c>
      <c r="HE95" s="330" t="e">
        <v>#N/A</v>
      </c>
      <c r="HF95" s="330">
        <v>45543</v>
      </c>
      <c r="HG95" s="352">
        <v>45719</v>
      </c>
      <c r="HH9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5" s="330" t="s">
        <v>261</v>
      </c>
      <c r="HJ95" s="330" t="s">
        <v>261</v>
      </c>
      <c r="HK95" s="331"/>
      <c r="HL95" s="316"/>
      <c r="HM95" s="330">
        <v>45555</v>
      </c>
      <c r="HN95" s="330">
        <v>45555</v>
      </c>
      <c r="HO95" s="330" t="e">
        <v>#N/A</v>
      </c>
      <c r="HP95" s="331">
        <v>45733</v>
      </c>
      <c r="HQ9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95" s="330">
        <v>45562</v>
      </c>
      <c r="HS95" s="330"/>
      <c r="HT95" s="330">
        <v>45562</v>
      </c>
      <c r="HU95" s="527"/>
      <c r="HV95" s="330">
        <f>IF(Table1[[#This Row],[MC-100 Aktual
(tanggal)]]&lt;&gt;"",Table1[[#This Row],[MC-100 Aktual
(tanggal)]]+5,"")</f>
        <v>45738</v>
      </c>
      <c r="HW9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95" s="47"/>
      <c r="HY95" s="352"/>
      <c r="HZ95" s="352"/>
      <c r="IB95" s="618">
        <f>IFERROR(ROUND((Table1[[#This Row],[PLAN TC
finish]]-Table1[[#This Row],[PLAN MC-0
start]])/30,2),"")</f>
        <v>0.9</v>
      </c>
      <c r="IC95">
        <f>DATEDIF(Table1[[#This Row],[PLAN MC-0
start]],Table1[[#This Row],[PLAN TC
finish]],"m")</f>
        <v>0</v>
      </c>
    </row>
    <row r="96" spans="2:237" s="4" customFormat="1" ht="15" customHeight="1" x14ac:dyDescent="0.2">
      <c r="B96" s="311">
        <f>SUBTOTAL(3,$D$5:D96)</f>
        <v>55</v>
      </c>
      <c r="C96" s="348">
        <v>92</v>
      </c>
      <c r="D96" s="315" t="s">
        <v>673</v>
      </c>
      <c r="E96" s="315" t="s">
        <v>714</v>
      </c>
      <c r="F96" s="315" t="s">
        <v>715</v>
      </c>
      <c r="G96" s="349">
        <v>45752</v>
      </c>
      <c r="H96" s="314" t="s">
        <v>247</v>
      </c>
      <c r="I96" s="315" t="s">
        <v>278</v>
      </c>
      <c r="J96" s="315"/>
      <c r="K96" s="338" t="s">
        <v>676</v>
      </c>
      <c r="L96" s="316" t="s">
        <v>250</v>
      </c>
      <c r="M96" s="316" t="s">
        <v>269</v>
      </c>
      <c r="N96" s="107">
        <v>40</v>
      </c>
      <c r="O96" s="31" t="s">
        <v>252</v>
      </c>
      <c r="P9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6" s="87" t="e">
        <v>#N/A</v>
      </c>
      <c r="S96" s="87">
        <v>1</v>
      </c>
      <c r="T96" s="35">
        <f>Table1[[#This Row],[Progres Total Aktual
(%)]]</f>
        <v>1</v>
      </c>
      <c r="U96" s="124">
        <f>Table1[[#This Row],[Progres Aktual
(%)]]-Table1[[#This Row],[Target Progres
(%)]]</f>
        <v>0</v>
      </c>
      <c r="V96" s="350">
        <f>Table1[[#This Row],["Volume
BA MC-0"]]</f>
        <v>42</v>
      </c>
      <c r="W96" s="351">
        <f>Table1[[#This Row],[Total Panjang Pipa Aktual
(Sum-&gt;)3]]</f>
        <v>44</v>
      </c>
      <c r="X96" s="47"/>
      <c r="Y96" s="67" t="s">
        <v>716</v>
      </c>
      <c r="Z96" s="67">
        <v>115735796</v>
      </c>
      <c r="AA96" s="67">
        <f>ROUND((Table1[[#This Row],[Nilai RAB Jaringan
(Exclude Ppn)]]-Table1[[#This Row],[RAB Perizinan]])*1.11+Table1[[#This Row],[RAB Perizinan]],0)</f>
        <v>0</v>
      </c>
      <c r="AB96" s="320">
        <f>SUM(Table1[[#This Row],[RAB Kegiatan Umum]:[RAB Perizinan]])</f>
        <v>0</v>
      </c>
      <c r="AC96" s="320"/>
      <c r="AD96" s="320"/>
      <c r="AE96" s="320"/>
      <c r="AF96" s="320"/>
      <c r="AG96" s="320">
        <v>24595780</v>
      </c>
      <c r="AH96" s="35" t="e">
        <f>SUM(Table1[[#This Row],[Bobot Keg Umum]:[Bobot Perizinan]])</f>
        <v>#DIV/0!</v>
      </c>
      <c r="AI96" s="35" t="e">
        <f>Table1[[#This Row],[RAB Kegiatan Umum]]/Table1[[#This Row],[Nilai RAB Jaringan
(Exclude Ppn)]]</f>
        <v>#DIV/0!</v>
      </c>
      <c r="AJ96" s="35" t="e">
        <f>Table1[[#This Row],[RAB Pemasangan]]/Table1[[#This Row],[Nilai RAB Jaringan
(Exclude Ppn)]]</f>
        <v>#DIV/0!</v>
      </c>
      <c r="AK96" s="35" t="e">
        <f>Table1[[#This Row],[RAB Pengadaan]]/Table1[[#This Row],[Nilai RAB Jaringan
(Exclude Ppn)]]</f>
        <v>#DIV/0!</v>
      </c>
      <c r="AL96" s="35" t="e">
        <f>Table1[[#This Row],[RAB Perizinan]]/Table1[[#This Row],[Nilai RAB Jaringan
(Exclude Ppn)]]</f>
        <v>#DIV/0!</v>
      </c>
      <c r="AM96" s="47"/>
      <c r="AN96" s="285">
        <v>42</v>
      </c>
      <c r="AO96" s="285">
        <f>SUM(Table1[[#This Row],[Pipa 63 mm]:[Pipa 1,800 mm]])</f>
        <v>0</v>
      </c>
      <c r="AP96" s="285"/>
      <c r="AQ96" s="285"/>
      <c r="AR96" s="285"/>
      <c r="AS96" s="285"/>
      <c r="AT96" s="285"/>
      <c r="AU96" s="285"/>
      <c r="AV96" s="285"/>
      <c r="AW96" s="285"/>
      <c r="AX96" s="285"/>
      <c r="AY96" s="285"/>
      <c r="AZ96" s="285"/>
      <c r="BA96" s="285"/>
      <c r="BB96" s="285"/>
      <c r="BC96" s="285"/>
      <c r="BD96" s="285"/>
      <c r="BE96" s="285"/>
      <c r="BF96" s="285"/>
      <c r="BG96" s="285"/>
      <c r="BH96" s="285"/>
      <c r="BI96" s="285"/>
      <c r="BJ96" s="36">
        <f>SUM(Table1[[#This Row],[Pipa 63 mm2]:[Pipa 1,800 mm21]])</f>
        <v>44</v>
      </c>
      <c r="BK96" s="32">
        <v>44</v>
      </c>
      <c r="BL96" s="32"/>
      <c r="BM96" s="32"/>
      <c r="BN96" s="32"/>
      <c r="BO96" s="32"/>
      <c r="BP96" s="32"/>
      <c r="BQ96" s="32"/>
      <c r="BR96" s="32"/>
      <c r="BS96" s="32"/>
      <c r="BT96" s="32"/>
      <c r="BU96" s="32"/>
      <c r="BV96" s="32"/>
      <c r="BW96" s="32"/>
      <c r="BX96" s="32"/>
      <c r="BY96" s="32"/>
      <c r="BZ96" s="32"/>
      <c r="CA96" s="32"/>
      <c r="CB96" s="32"/>
      <c r="CC96" s="32"/>
      <c r="CD96" s="32"/>
      <c r="CE96" s="32">
        <v>0</v>
      </c>
      <c r="CF96" s="32"/>
      <c r="CG96" s="32"/>
      <c r="CH96" s="32"/>
      <c r="CI96" s="32">
        <f t="shared" si="6"/>
        <v>0</v>
      </c>
      <c r="CJ96" s="65">
        <f>IF((Table1[[#This Row],["Volume
BA MC-0"]]-Table1[[#This Row],[Total Panjang Pipa Aktual
(Sum-&gt;)3]]-Table1[[#This Row],[Total Volume
tidak dapat dipasang]])&gt;=0,Table1[[#This Row],["Volume
BA MC-0"]]-Table1[[#This Row],[Total Panjang Pipa Aktual
(Sum-&gt;)3]]-Table1[[#This Row],[Total Volume
tidak dapat dipasang]],0)</f>
        <v>0</v>
      </c>
      <c r="CK96" s="47"/>
      <c r="CL96" s="131"/>
      <c r="CM96" s="35"/>
      <c r="CN96" s="131"/>
      <c r="CO96" s="131"/>
      <c r="CP9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6" s="66">
        <f>IFERROR(Table1[[#This Row],[Progres Keg. Umum
(%)]]*Table1[[#This Row],[Nilai RAB Jaringan
(file pa aji)]],0)</f>
        <v>0</v>
      </c>
      <c r="CR96" s="66">
        <f>IFERROR(Table1[[#This Row],[Progres MOS
(%)]]*Table1[[#This Row],[Nilai RAB Jaringan
(file pa aji)]],0)</f>
        <v>0</v>
      </c>
      <c r="CS96" s="66">
        <f>IFERROR(Table1[[#This Row],[Progres Pemasangan
(%)]]*Table1[[#This Row],[Nilai RAB Jaringan
(file pa aji)]],0)</f>
        <v>0</v>
      </c>
      <c r="CT96" s="66">
        <f>IFERROR(Table1[[#This Row],[Progres Perizinan
(%)]]*Table1[[#This Row],[Nilai RAB Jaringan
(file pa aji)]],0)</f>
        <v>0</v>
      </c>
      <c r="CU96" s="329">
        <v>105609126</v>
      </c>
      <c r="CV96" s="329">
        <v>105609126</v>
      </c>
      <c r="CW96" s="583">
        <v>105609126</v>
      </c>
      <c r="CX96" s="329">
        <v>105609126</v>
      </c>
      <c r="CY96" s="47"/>
      <c r="CZ96" s="330">
        <v>45411</v>
      </c>
      <c r="DA96" s="330">
        <v>45438</v>
      </c>
      <c r="DB96" s="331"/>
      <c r="DC96" s="316"/>
      <c r="DD96" s="67"/>
      <c r="DE9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6" s="331"/>
      <c r="DG96" s="316"/>
      <c r="DH96" s="67"/>
      <c r="DI9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6" s="330">
        <v>45439</v>
      </c>
      <c r="DK96" s="330">
        <v>45480</v>
      </c>
      <c r="DL96" s="331">
        <v>45405</v>
      </c>
      <c r="DM96" s="425" t="s">
        <v>717</v>
      </c>
      <c r="DN9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6" s="331">
        <v>45418</v>
      </c>
      <c r="DP96" s="426" t="s">
        <v>690</v>
      </c>
      <c r="DQ96" s="338" t="s">
        <v>371</v>
      </c>
      <c r="DR9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6" s="330">
        <v>45439</v>
      </c>
      <c r="DT96" s="330" t="e">
        <v>#N/A</v>
      </c>
      <c r="DU96" s="330">
        <v>45480</v>
      </c>
      <c r="DV96" s="330" t="e">
        <v>#N/A</v>
      </c>
      <c r="DW96" s="331"/>
      <c r="DX96" s="316"/>
      <c r="DY96" s="334"/>
      <c r="DZ96" s="334"/>
      <c r="EA9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6" s="331"/>
      <c r="EC96" s="332"/>
      <c r="ED96" s="332"/>
      <c r="EE96" s="330"/>
      <c r="EF96" s="35">
        <v>1</v>
      </c>
      <c r="EG96" s="337">
        <v>1</v>
      </c>
      <c r="EH96" s="316" t="str">
        <f>IF(Table1[[#This Row],[PO Material Aktual 
(%)]]&gt;=100%,"Selesai PO = 100%",IF(Table1[[#This Row],[PO Material Aktual 
(%)]]&gt;=50%,"Proses PO &gt; 100%",IF(Table1[[#This Row],[PO Material Aktual 
(%)]]&gt;0%,"Proses PO &gt; 50%",IF(Table1[[#This Row],[PO Material Aktual 
(%)]]=0,"Belum PO = 0%"))))</f>
        <v>Selesai PO = 100%</v>
      </c>
      <c r="EI9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6" s="330">
        <v>45481</v>
      </c>
      <c r="EK96" s="330" t="e">
        <v>#N/A</v>
      </c>
      <c r="EL96" s="330">
        <v>45529</v>
      </c>
      <c r="EM96" s="330" t="e">
        <v>#N/A</v>
      </c>
      <c r="EN96" s="331">
        <v>45960</v>
      </c>
      <c r="EO96" s="332"/>
      <c r="EP96" s="332"/>
      <c r="EQ96" s="87">
        <v>1</v>
      </c>
      <c r="ER96" s="87">
        <v>1</v>
      </c>
      <c r="ES96" s="316" t="str">
        <f>IF(Table1[[#This Row],[Progres MOS]]&gt;=100%,"Selesai MOS = 100%",IF(Table1[[#This Row],[Progres MOS]]&gt;=50%,"Proses MOS &gt; 100%",IF(Table1[[#This Row],[Progres MOS]]&gt;0%,"Proses MOS &gt; 50%",IF(Table1[[#This Row],[Progres MOS]]=0,"Belum MOS = 0%"))))</f>
        <v>Selesai MOS = 100%</v>
      </c>
      <c r="ET9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6" s="47"/>
      <c r="EV96" s="330">
        <v>45439</v>
      </c>
      <c r="EW96" s="330" t="e">
        <v>#N/A</v>
      </c>
      <c r="EX96" s="330">
        <v>45529</v>
      </c>
      <c r="EY96" s="330" t="e">
        <v>#N/A</v>
      </c>
      <c r="EZ96" s="352" t="s">
        <v>298</v>
      </c>
      <c r="FA96" s="336" t="s">
        <v>259</v>
      </c>
      <c r="FB96" s="330" t="s">
        <v>260</v>
      </c>
      <c r="FC96" s="330">
        <v>45799</v>
      </c>
      <c r="FD96" s="330" t="s">
        <v>260</v>
      </c>
      <c r="FE96" s="330">
        <v>45875</v>
      </c>
      <c r="FF96" s="330">
        <v>45929</v>
      </c>
      <c r="FG96" s="330" t="s">
        <v>260</v>
      </c>
      <c r="FH96" s="330" t="s">
        <v>260</v>
      </c>
      <c r="FI96" s="330">
        <v>46021</v>
      </c>
      <c r="FJ96" s="330" t="s">
        <v>260</v>
      </c>
      <c r="FK96" s="330">
        <v>46087</v>
      </c>
      <c r="FL96" s="336" t="s">
        <v>298</v>
      </c>
      <c r="FM96" s="336">
        <v>45799</v>
      </c>
      <c r="FN96" s="314">
        <f>IF(Table1[[#This Row],[Tanggal Pengajuan Dokumen]]="","",Table1[[#This Row],[PLAN PERMIT
start]]-Table1[[#This Row],[Tanggal Pengajuan Dokumen]])</f>
        <v>-360</v>
      </c>
      <c r="FO96" s="336"/>
      <c r="FP96" s="316"/>
      <c r="FQ96" s="338"/>
      <c r="FR96" s="352"/>
      <c r="FS96" s="338" t="str">
        <f t="shared" si="7"/>
        <v>Sudah Terbit</v>
      </c>
      <c r="FT9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6" s="344">
        <f ca="1">IF(Table1[[#This Row],[Status Izin]]="Selesai",Table1[[#This Row],[PLAN PERMIT
finish]]-Table1[[#This Row],[Tanggal Terbit/ Target Izin Terbit]],ROUNDUP(Table1[[#This Row],[PLAN PERMIT
finish]]-NOW(),0))</f>
        <v>45529</v>
      </c>
      <c r="FV9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6" s="344"/>
      <c r="FX96" s="47"/>
      <c r="FY96" s="340"/>
      <c r="FZ96" s="341"/>
      <c r="GA9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6" s="330">
        <v>45503</v>
      </c>
      <c r="GC96" s="352">
        <v>45379</v>
      </c>
      <c r="GD9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6" s="330">
        <v>45510</v>
      </c>
      <c r="GF96" s="352">
        <v>45379</v>
      </c>
      <c r="GG9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6" s="330">
        <v>45516</v>
      </c>
      <c r="GI96" s="330">
        <v>45522</v>
      </c>
      <c r="GJ96" s="352">
        <v>45387</v>
      </c>
      <c r="GK9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6" s="330">
        <v>45530</v>
      </c>
      <c r="GM96" s="330" t="e">
        <v>#N/A</v>
      </c>
      <c r="GN96" s="330">
        <v>45550</v>
      </c>
      <c r="GO96" s="330" t="e">
        <v>#N/A</v>
      </c>
      <c r="GP96" s="316"/>
      <c r="GQ9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6" s="330" t="s">
        <v>261</v>
      </c>
      <c r="GS96" s="421" t="s">
        <v>261</v>
      </c>
      <c r="GT96" s="427">
        <v>45453</v>
      </c>
      <c r="GU96" s="423" t="str">
        <f>IF(Table1[[#This Row],[Hydro Tes Actual
(tanggal)]]&lt;&gt;"","Sudah","Belum")</f>
        <v>Sudah</v>
      </c>
      <c r="GV96" s="330" t="s">
        <v>261</v>
      </c>
      <c r="GW96" s="330" t="s">
        <v>261</v>
      </c>
      <c r="GX96" s="331"/>
      <c r="GY96" s="344" t="str">
        <f>IF(Table1[[#This Row],[Interkoneksi Actual
(tanggal)]]&lt;&gt;"","Sudah","Belum")</f>
        <v>Belum</v>
      </c>
      <c r="GZ96" s="330" t="s">
        <v>261</v>
      </c>
      <c r="HA96" s="421" t="s">
        <v>261</v>
      </c>
      <c r="HB96" s="424">
        <v>45469</v>
      </c>
      <c r="HC96" s="344" t="str">
        <f>IF(Table1[[#This Row],[Flushing Actual
(tanggal)]]&lt;&gt;"","Sudah","Belum")</f>
        <v>Sudah</v>
      </c>
      <c r="HD96" s="330">
        <v>45537</v>
      </c>
      <c r="HE96" s="330" t="e">
        <v>#N/A</v>
      </c>
      <c r="HF96" s="330">
        <v>45543</v>
      </c>
      <c r="HG96" s="352">
        <v>45560</v>
      </c>
      <c r="HH9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6" s="330" t="s">
        <v>261</v>
      </c>
      <c r="HJ96" s="330" t="s">
        <v>261</v>
      </c>
      <c r="HK96" s="331"/>
      <c r="HL96" s="316"/>
      <c r="HM96" s="330">
        <v>45555</v>
      </c>
      <c r="HN96" s="330">
        <v>45555</v>
      </c>
      <c r="HO96" s="330" t="e">
        <v>#N/A</v>
      </c>
      <c r="HP96" s="331">
        <v>45733</v>
      </c>
      <c r="HQ9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96" s="330">
        <v>45562</v>
      </c>
      <c r="HS96" s="330"/>
      <c r="HT96" s="330">
        <v>45562</v>
      </c>
      <c r="HU96" s="527"/>
      <c r="HV96" s="330">
        <f>IF(Table1[[#This Row],[MC-100 Aktual
(tanggal)]]&lt;&gt;"",Table1[[#This Row],[MC-100 Aktual
(tanggal)]]+5,"")</f>
        <v>45738</v>
      </c>
      <c r="HW9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96" s="47"/>
      <c r="HY96" s="352"/>
      <c r="HZ96" s="352"/>
      <c r="IB96" s="618">
        <f>IFERROR(ROUND((Table1[[#This Row],[PLAN TC
finish]]-Table1[[#This Row],[PLAN MC-0
start]])/30,2),"")</f>
        <v>0.9</v>
      </c>
      <c r="IC96">
        <f>DATEDIF(Table1[[#This Row],[PLAN MC-0
start]],Table1[[#This Row],[PLAN TC
finish]],"m")</f>
        <v>0</v>
      </c>
    </row>
    <row r="97" spans="2:237" s="4" customFormat="1" ht="15" customHeight="1" x14ac:dyDescent="0.2">
      <c r="B97" s="311">
        <f>SUBTOTAL(3,$D$5:D97)</f>
        <v>56</v>
      </c>
      <c r="C97" s="348">
        <v>93</v>
      </c>
      <c r="D97" s="315" t="s">
        <v>673</v>
      </c>
      <c r="E97" s="315" t="s">
        <v>718</v>
      </c>
      <c r="F97" s="315" t="s">
        <v>719</v>
      </c>
      <c r="G97" s="349">
        <v>45752</v>
      </c>
      <c r="H97" s="314" t="s">
        <v>247</v>
      </c>
      <c r="I97" s="315" t="s">
        <v>278</v>
      </c>
      <c r="J97" s="315"/>
      <c r="K97" s="338" t="s">
        <v>676</v>
      </c>
      <c r="L97" s="316" t="s">
        <v>250</v>
      </c>
      <c r="M97" s="316" t="s">
        <v>269</v>
      </c>
      <c r="N97" s="107">
        <v>441</v>
      </c>
      <c r="O97" s="31" t="s">
        <v>252</v>
      </c>
      <c r="P97"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7" s="87" t="e">
        <v>#N/A</v>
      </c>
      <c r="S97" s="87">
        <v>1</v>
      </c>
      <c r="T97" s="35">
        <f>Table1[[#This Row],[Progres Total Aktual
(%)]]</f>
        <v>1</v>
      </c>
      <c r="U97" s="124">
        <f>Table1[[#This Row],[Progres Aktual
(%)]]-Table1[[#This Row],[Target Progres
(%)]]</f>
        <v>0</v>
      </c>
      <c r="V97" s="350">
        <f>Table1[[#This Row],["Volume
BA MC-0"]]</f>
        <v>447</v>
      </c>
      <c r="W97" s="351">
        <f>Table1[[#This Row],[Total Panjang Pipa Aktual
(Sum-&gt;)3]]</f>
        <v>533</v>
      </c>
      <c r="X97" s="47"/>
      <c r="Y97" s="67" t="s">
        <v>720</v>
      </c>
      <c r="Z97" s="67">
        <v>876682855</v>
      </c>
      <c r="AA97" s="67">
        <f>ROUND((Table1[[#This Row],[Nilai RAB Jaringan
(Exclude Ppn)]]-Table1[[#This Row],[RAB Perizinan]])*1.11+Table1[[#This Row],[RAB Perizinan]],0)</f>
        <v>0</v>
      </c>
      <c r="AB97" s="320">
        <f>SUM(Table1[[#This Row],[RAB Kegiatan Umum]:[RAB Perizinan]])</f>
        <v>0</v>
      </c>
      <c r="AC97" s="320"/>
      <c r="AD97" s="320"/>
      <c r="AE97" s="320"/>
      <c r="AF97" s="320"/>
      <c r="AG97" s="320">
        <v>92234174</v>
      </c>
      <c r="AH97" s="35" t="e">
        <f>SUM(Table1[[#This Row],[Bobot Keg Umum]:[Bobot Perizinan]])</f>
        <v>#DIV/0!</v>
      </c>
      <c r="AI97" s="35" t="e">
        <f>Table1[[#This Row],[RAB Kegiatan Umum]]/Table1[[#This Row],[Nilai RAB Jaringan
(Exclude Ppn)]]</f>
        <v>#DIV/0!</v>
      </c>
      <c r="AJ97" s="35" t="e">
        <f>Table1[[#This Row],[RAB Pemasangan]]/Table1[[#This Row],[Nilai RAB Jaringan
(Exclude Ppn)]]</f>
        <v>#DIV/0!</v>
      </c>
      <c r="AK97" s="35" t="e">
        <f>Table1[[#This Row],[RAB Pengadaan]]/Table1[[#This Row],[Nilai RAB Jaringan
(Exclude Ppn)]]</f>
        <v>#DIV/0!</v>
      </c>
      <c r="AL97" s="35" t="e">
        <f>Table1[[#This Row],[RAB Perizinan]]/Table1[[#This Row],[Nilai RAB Jaringan
(Exclude Ppn)]]</f>
        <v>#DIV/0!</v>
      </c>
      <c r="AM97" s="47"/>
      <c r="AN97" s="285">
        <v>447</v>
      </c>
      <c r="AO97" s="285">
        <f>SUM(Table1[[#This Row],[Pipa 63 mm]:[Pipa 1,800 mm]])</f>
        <v>0</v>
      </c>
      <c r="AP97" s="285"/>
      <c r="AQ97" s="285"/>
      <c r="AR97" s="285"/>
      <c r="AS97" s="285"/>
      <c r="AT97" s="285"/>
      <c r="AU97" s="285"/>
      <c r="AV97" s="285"/>
      <c r="AW97" s="285"/>
      <c r="AX97" s="285"/>
      <c r="AY97" s="285"/>
      <c r="AZ97" s="285"/>
      <c r="BA97" s="285"/>
      <c r="BB97" s="285"/>
      <c r="BC97" s="285"/>
      <c r="BD97" s="285"/>
      <c r="BE97" s="285"/>
      <c r="BF97" s="285"/>
      <c r="BG97" s="285"/>
      <c r="BH97" s="285"/>
      <c r="BI97" s="285"/>
      <c r="BJ97" s="36">
        <f>SUM(Table1[[#This Row],[Pipa 63 mm2]:[Pipa 1,800 mm21]])</f>
        <v>533</v>
      </c>
      <c r="BK97" s="32"/>
      <c r="BL97" s="32">
        <v>533</v>
      </c>
      <c r="BM97" s="32"/>
      <c r="BN97" s="32"/>
      <c r="BO97" s="32"/>
      <c r="BP97" s="32"/>
      <c r="BQ97" s="32"/>
      <c r="BR97" s="32"/>
      <c r="BS97" s="32"/>
      <c r="BT97" s="32"/>
      <c r="BU97" s="32"/>
      <c r="BV97" s="32"/>
      <c r="BW97" s="32"/>
      <c r="BX97" s="32"/>
      <c r="BY97" s="32"/>
      <c r="BZ97" s="32"/>
      <c r="CA97" s="32"/>
      <c r="CB97" s="32"/>
      <c r="CC97" s="32"/>
      <c r="CD97" s="32"/>
      <c r="CE97" s="32">
        <v>0</v>
      </c>
      <c r="CF97" s="32"/>
      <c r="CG97" s="32"/>
      <c r="CH97" s="32"/>
      <c r="CI97" s="32">
        <f t="shared" si="6"/>
        <v>0</v>
      </c>
      <c r="CJ97" s="65">
        <f>IF((Table1[[#This Row],["Volume
BA MC-0"]]-Table1[[#This Row],[Total Panjang Pipa Aktual
(Sum-&gt;)3]]-Table1[[#This Row],[Total Volume
tidak dapat dipasang]])&gt;=0,Table1[[#This Row],["Volume
BA MC-0"]]-Table1[[#This Row],[Total Panjang Pipa Aktual
(Sum-&gt;)3]]-Table1[[#This Row],[Total Volume
tidak dapat dipasang]],0)</f>
        <v>0</v>
      </c>
      <c r="CK97" s="47"/>
      <c r="CL97" s="131"/>
      <c r="CM97" s="35"/>
      <c r="CN97" s="131"/>
      <c r="CO97" s="131"/>
      <c r="CP9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7" s="66">
        <f>IFERROR(Table1[[#This Row],[Progres Keg. Umum
(%)]]*Table1[[#This Row],[Nilai RAB Jaringan
(file pa aji)]],0)</f>
        <v>0</v>
      </c>
      <c r="CR97" s="66">
        <f>IFERROR(Table1[[#This Row],[Progres MOS
(%)]]*Table1[[#This Row],[Nilai RAB Jaringan
(file pa aji)]],0)</f>
        <v>0</v>
      </c>
      <c r="CS97" s="66">
        <f>IFERROR(Table1[[#This Row],[Progres Pemasangan
(%)]]*Table1[[#This Row],[Nilai RAB Jaringan
(file pa aji)]],0)</f>
        <v>0</v>
      </c>
      <c r="CT97" s="66">
        <f>IFERROR(Table1[[#This Row],[Progres Perizinan
(%)]]*Table1[[#This Row],[Nilai RAB Jaringan
(file pa aji)]],0)</f>
        <v>0</v>
      </c>
      <c r="CU97" s="329">
        <v>1182056053</v>
      </c>
      <c r="CV97" s="329">
        <v>1182056053</v>
      </c>
      <c r="CW97" s="583">
        <v>1182056053</v>
      </c>
      <c r="CX97" s="329">
        <v>1182056053</v>
      </c>
      <c r="CY97" s="47"/>
      <c r="CZ97" s="330">
        <v>45411</v>
      </c>
      <c r="DA97" s="330">
        <v>45438</v>
      </c>
      <c r="DB97" s="331"/>
      <c r="DC97" s="316"/>
      <c r="DD97" s="67"/>
      <c r="DE9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7" s="331"/>
      <c r="DG97" s="316"/>
      <c r="DH97" s="67"/>
      <c r="DI9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7" s="330">
        <v>45439</v>
      </c>
      <c r="DK97" s="330">
        <v>45480</v>
      </c>
      <c r="DL97" s="331">
        <v>45405</v>
      </c>
      <c r="DM97" s="425" t="s">
        <v>721</v>
      </c>
      <c r="DN9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7" s="331">
        <v>45418</v>
      </c>
      <c r="DP97" s="426" t="s">
        <v>690</v>
      </c>
      <c r="DQ97" s="338" t="s">
        <v>371</v>
      </c>
      <c r="DR9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7" s="330">
        <v>45439</v>
      </c>
      <c r="DT97" s="330" t="e">
        <v>#N/A</v>
      </c>
      <c r="DU97" s="330">
        <v>45480</v>
      </c>
      <c r="DV97" s="330" t="e">
        <v>#N/A</v>
      </c>
      <c r="DW97" s="331"/>
      <c r="DX97" s="316"/>
      <c r="DY97" s="334"/>
      <c r="DZ97" s="334"/>
      <c r="EA9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7" s="331"/>
      <c r="EC97" s="332"/>
      <c r="ED97" s="332"/>
      <c r="EE97" s="330"/>
      <c r="EF97" s="35">
        <v>1</v>
      </c>
      <c r="EG97" s="337">
        <v>1</v>
      </c>
      <c r="EH97" s="316" t="str">
        <f>IF(Table1[[#This Row],[PO Material Aktual 
(%)]]&gt;=100%,"Selesai PO = 100%",IF(Table1[[#This Row],[PO Material Aktual 
(%)]]&gt;=50%,"Proses PO &gt; 100%",IF(Table1[[#This Row],[PO Material Aktual 
(%)]]&gt;0%,"Proses PO &gt; 50%",IF(Table1[[#This Row],[PO Material Aktual 
(%)]]=0,"Belum PO = 0%"))))</f>
        <v>Selesai PO = 100%</v>
      </c>
      <c r="EI9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7" s="330">
        <v>45481</v>
      </c>
      <c r="EK97" s="330" t="e">
        <v>#N/A</v>
      </c>
      <c r="EL97" s="330">
        <v>45529</v>
      </c>
      <c r="EM97" s="330" t="e">
        <v>#N/A</v>
      </c>
      <c r="EN97" s="331">
        <v>45523</v>
      </c>
      <c r="EO97" s="332"/>
      <c r="EP97" s="332"/>
      <c r="EQ97" s="87">
        <v>1</v>
      </c>
      <c r="ER97" s="87">
        <v>1</v>
      </c>
      <c r="ES97" s="316" t="str">
        <f>IF(Table1[[#This Row],[Progres MOS]]&gt;=100%,"Selesai MOS = 100%",IF(Table1[[#This Row],[Progres MOS]]&gt;=50%,"Proses MOS &gt; 100%",IF(Table1[[#This Row],[Progres MOS]]&gt;0%,"Proses MOS &gt; 50%",IF(Table1[[#This Row],[Progres MOS]]=0,"Belum MOS = 0%"))))</f>
        <v>Selesai MOS = 100%</v>
      </c>
      <c r="ET9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7" s="47"/>
      <c r="EV97" s="330">
        <v>45439</v>
      </c>
      <c r="EW97" s="330" t="e">
        <v>#N/A</v>
      </c>
      <c r="EX97" s="330">
        <v>45529</v>
      </c>
      <c r="EY97" s="330" t="e">
        <v>#N/A</v>
      </c>
      <c r="EZ97" s="352" t="s">
        <v>298</v>
      </c>
      <c r="FA97" s="336" t="s">
        <v>259</v>
      </c>
      <c r="FB97" s="330" t="s">
        <v>260</v>
      </c>
      <c r="FC97" s="330">
        <v>45797</v>
      </c>
      <c r="FD97" s="330" t="s">
        <v>260</v>
      </c>
      <c r="FE97" s="330">
        <v>45884</v>
      </c>
      <c r="FF97" s="330">
        <v>45929</v>
      </c>
      <c r="FG97" s="330" t="s">
        <v>260</v>
      </c>
      <c r="FH97" s="330" t="s">
        <v>260</v>
      </c>
      <c r="FI97" s="330">
        <v>46021</v>
      </c>
      <c r="FJ97" s="330" t="s">
        <v>260</v>
      </c>
      <c r="FK97" s="330">
        <v>46090</v>
      </c>
      <c r="FL97" s="336" t="s">
        <v>298</v>
      </c>
      <c r="FM97" s="336">
        <v>45797</v>
      </c>
      <c r="FN97" s="314">
        <f>IF(Table1[[#This Row],[Tanggal Pengajuan Dokumen]]="","",Table1[[#This Row],[PLAN PERMIT
start]]-Table1[[#This Row],[Tanggal Pengajuan Dokumen]])</f>
        <v>-358</v>
      </c>
      <c r="FO97" s="336"/>
      <c r="FP97" s="316"/>
      <c r="FQ97" s="338"/>
      <c r="FR97" s="352"/>
      <c r="FS97" s="338" t="str">
        <f t="shared" si="7"/>
        <v>Sudah Terbit</v>
      </c>
      <c r="FT9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7" s="344">
        <f ca="1">IF(Table1[[#This Row],[Status Izin]]="Selesai",Table1[[#This Row],[PLAN PERMIT
finish]]-Table1[[#This Row],[Tanggal Terbit/ Target Izin Terbit]],ROUNDUP(Table1[[#This Row],[PLAN PERMIT
finish]]-NOW(),0))</f>
        <v>45529</v>
      </c>
      <c r="FV9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7" s="344"/>
      <c r="FX97" s="47"/>
      <c r="FY97" s="340"/>
      <c r="FZ97" s="341"/>
      <c r="GA9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7" s="330">
        <v>45503</v>
      </c>
      <c r="GC97" s="352">
        <v>45379</v>
      </c>
      <c r="GD9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7" s="330">
        <v>45510</v>
      </c>
      <c r="GF97" s="352">
        <v>45379</v>
      </c>
      <c r="GG9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7" s="330">
        <v>45516</v>
      </c>
      <c r="GI97" s="330">
        <v>45522</v>
      </c>
      <c r="GJ97" s="352">
        <v>45386</v>
      </c>
      <c r="GK9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7" s="330">
        <v>45530</v>
      </c>
      <c r="GM97" s="330" t="e">
        <v>#N/A</v>
      </c>
      <c r="GN97" s="330">
        <v>45550</v>
      </c>
      <c r="GO97" s="330" t="e">
        <v>#N/A</v>
      </c>
      <c r="GP97" s="316"/>
      <c r="GQ9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7" s="330" t="s">
        <v>261</v>
      </c>
      <c r="GS97" s="421" t="s">
        <v>261</v>
      </c>
      <c r="GT97" s="427" t="s">
        <v>722</v>
      </c>
      <c r="GU97" s="423" t="str">
        <f>IF(Table1[[#This Row],[Hydro Tes Actual
(tanggal)]]&lt;&gt;"","Sudah","Belum")</f>
        <v>Sudah</v>
      </c>
      <c r="GV97" s="330" t="s">
        <v>261</v>
      </c>
      <c r="GW97" s="330" t="s">
        <v>261</v>
      </c>
      <c r="GX97" s="331"/>
      <c r="GY97" s="344" t="str">
        <f>IF(Table1[[#This Row],[Interkoneksi Actual
(tanggal)]]&lt;&gt;"","Sudah","Belum")</f>
        <v>Belum</v>
      </c>
      <c r="GZ97" s="330" t="s">
        <v>261</v>
      </c>
      <c r="HA97" s="421" t="s">
        <v>261</v>
      </c>
      <c r="HB97" s="424">
        <v>45547</v>
      </c>
      <c r="HC97" s="344" t="str">
        <f>IF(Table1[[#This Row],[Flushing Actual
(tanggal)]]&lt;&gt;"","Sudah","Belum")</f>
        <v>Sudah</v>
      </c>
      <c r="HD97" s="330">
        <v>45537</v>
      </c>
      <c r="HE97" s="330" t="e">
        <v>#N/A</v>
      </c>
      <c r="HF97" s="330">
        <v>45543</v>
      </c>
      <c r="HG97" s="352">
        <v>45559</v>
      </c>
      <c r="HH9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7" s="330" t="s">
        <v>261</v>
      </c>
      <c r="HJ97" s="330" t="s">
        <v>261</v>
      </c>
      <c r="HK97" s="331"/>
      <c r="HL97" s="316"/>
      <c r="HM97" s="330">
        <v>45555</v>
      </c>
      <c r="HN97" s="330">
        <v>45555</v>
      </c>
      <c r="HO97" s="330" t="e">
        <v>#N/A</v>
      </c>
      <c r="HP97" s="331">
        <v>45734</v>
      </c>
      <c r="HQ9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97" s="330">
        <v>45562</v>
      </c>
      <c r="HS97" s="330"/>
      <c r="HT97" s="330">
        <v>45562</v>
      </c>
      <c r="HU97" s="527"/>
      <c r="HV97" s="330">
        <f>IF(Table1[[#This Row],[MC-100 Aktual
(tanggal)]]&lt;&gt;"",Table1[[#This Row],[MC-100 Aktual
(tanggal)]]+5,"")</f>
        <v>45739</v>
      </c>
      <c r="HW9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97" s="47"/>
      <c r="HY97" s="352"/>
      <c r="HZ97" s="352"/>
      <c r="IB97" s="618">
        <f>IFERROR(ROUND((Table1[[#This Row],[PLAN TC
finish]]-Table1[[#This Row],[PLAN MC-0
start]])/30,2),"")</f>
        <v>0.9</v>
      </c>
      <c r="IC97">
        <f>DATEDIF(Table1[[#This Row],[PLAN MC-0
start]],Table1[[#This Row],[PLAN TC
finish]],"m")</f>
        <v>0</v>
      </c>
    </row>
    <row r="98" spans="2:237" s="4" customFormat="1" ht="15" customHeight="1" x14ac:dyDescent="0.2">
      <c r="B98" s="311">
        <f>SUBTOTAL(3,$D$5:D98)</f>
        <v>57</v>
      </c>
      <c r="C98" s="348">
        <v>94</v>
      </c>
      <c r="D98" s="315" t="s">
        <v>673</v>
      </c>
      <c r="E98" s="315" t="s">
        <v>723</v>
      </c>
      <c r="F98" s="315" t="s">
        <v>724</v>
      </c>
      <c r="G98" s="349">
        <v>45752</v>
      </c>
      <c r="H98" s="314" t="s">
        <v>247</v>
      </c>
      <c r="I98" s="315" t="s">
        <v>278</v>
      </c>
      <c r="J98" s="315"/>
      <c r="K98" s="338" t="s">
        <v>676</v>
      </c>
      <c r="L98" s="316" t="s">
        <v>250</v>
      </c>
      <c r="M98" s="316" t="s">
        <v>269</v>
      </c>
      <c r="N98" s="107">
        <v>117</v>
      </c>
      <c r="O98" s="31" t="s">
        <v>252</v>
      </c>
      <c r="P9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8" s="87" t="e">
        <v>#N/A</v>
      </c>
      <c r="S98" s="87">
        <v>1</v>
      </c>
      <c r="T98" s="35">
        <f>Table1[[#This Row],[Progres Total Aktual
(%)]]</f>
        <v>1</v>
      </c>
      <c r="U98" s="124">
        <f>Table1[[#This Row],[Progres Aktual
(%)]]-Table1[[#This Row],[Target Progres
(%)]]</f>
        <v>0</v>
      </c>
      <c r="V98" s="350">
        <f>Table1[[#This Row],["Volume
BA MC-0"]]</f>
        <v>125</v>
      </c>
      <c r="W98" s="351">
        <f>Table1[[#This Row],[Total Panjang Pipa Aktual
(Sum-&gt;)3]]</f>
        <v>125</v>
      </c>
      <c r="X98" s="47"/>
      <c r="Y98" s="67" t="s">
        <v>725</v>
      </c>
      <c r="Z98" s="67">
        <v>251969292</v>
      </c>
      <c r="AA98" s="67">
        <f>ROUND((Table1[[#This Row],[Nilai RAB Jaringan
(Exclude Ppn)]]-Table1[[#This Row],[RAB Perizinan]])*1.11+Table1[[#This Row],[RAB Perizinan]],0)</f>
        <v>0</v>
      </c>
      <c r="AB98" s="320">
        <f>SUM(Table1[[#This Row],[RAB Kegiatan Umum]:[RAB Perizinan]])</f>
        <v>0</v>
      </c>
      <c r="AC98" s="320"/>
      <c r="AD98" s="320"/>
      <c r="AE98" s="320"/>
      <c r="AF98" s="320"/>
      <c r="AG98" s="320">
        <v>26645428</v>
      </c>
      <c r="AH98" s="35" t="e">
        <f>SUM(Table1[[#This Row],[Bobot Keg Umum]:[Bobot Perizinan]])</f>
        <v>#DIV/0!</v>
      </c>
      <c r="AI98" s="35" t="e">
        <f>Table1[[#This Row],[RAB Kegiatan Umum]]/Table1[[#This Row],[Nilai RAB Jaringan
(Exclude Ppn)]]</f>
        <v>#DIV/0!</v>
      </c>
      <c r="AJ98" s="35" t="e">
        <f>Table1[[#This Row],[RAB Pemasangan]]/Table1[[#This Row],[Nilai RAB Jaringan
(Exclude Ppn)]]</f>
        <v>#DIV/0!</v>
      </c>
      <c r="AK98" s="35" t="e">
        <f>Table1[[#This Row],[RAB Pengadaan]]/Table1[[#This Row],[Nilai RAB Jaringan
(Exclude Ppn)]]</f>
        <v>#DIV/0!</v>
      </c>
      <c r="AL98" s="35" t="e">
        <f>Table1[[#This Row],[RAB Perizinan]]/Table1[[#This Row],[Nilai RAB Jaringan
(Exclude Ppn)]]</f>
        <v>#DIV/0!</v>
      </c>
      <c r="AM98" s="47"/>
      <c r="AN98" s="285">
        <v>125</v>
      </c>
      <c r="AO98" s="285">
        <f>SUM(Table1[[#This Row],[Pipa 63 mm]:[Pipa 1,800 mm]])</f>
        <v>0</v>
      </c>
      <c r="AP98" s="285"/>
      <c r="AQ98" s="285"/>
      <c r="AR98" s="285"/>
      <c r="AS98" s="285"/>
      <c r="AT98" s="285"/>
      <c r="AU98" s="285"/>
      <c r="AV98" s="285"/>
      <c r="AW98" s="285"/>
      <c r="AX98" s="285"/>
      <c r="AY98" s="285"/>
      <c r="AZ98" s="285"/>
      <c r="BA98" s="285"/>
      <c r="BB98" s="285"/>
      <c r="BC98" s="285"/>
      <c r="BD98" s="285"/>
      <c r="BE98" s="285"/>
      <c r="BF98" s="285"/>
      <c r="BG98" s="285"/>
      <c r="BH98" s="285"/>
      <c r="BI98" s="285"/>
      <c r="BJ98" s="36">
        <f>SUM(Table1[[#This Row],[Pipa 63 mm2]:[Pipa 1,800 mm21]])</f>
        <v>125</v>
      </c>
      <c r="BK98" s="32"/>
      <c r="BL98" s="32">
        <v>125</v>
      </c>
      <c r="BM98" s="32"/>
      <c r="BN98" s="32"/>
      <c r="BO98" s="32"/>
      <c r="BP98" s="32"/>
      <c r="BQ98" s="32"/>
      <c r="BR98" s="32"/>
      <c r="BS98" s="32"/>
      <c r="BT98" s="32"/>
      <c r="BU98" s="32"/>
      <c r="BV98" s="32"/>
      <c r="BW98" s="32"/>
      <c r="BX98" s="32"/>
      <c r="BY98" s="32"/>
      <c r="BZ98" s="32"/>
      <c r="CA98" s="32"/>
      <c r="CB98" s="32"/>
      <c r="CC98" s="32"/>
      <c r="CD98" s="32"/>
      <c r="CE98" s="32">
        <v>0</v>
      </c>
      <c r="CF98" s="32"/>
      <c r="CG98" s="32"/>
      <c r="CH98" s="32"/>
      <c r="CI98" s="32">
        <f t="shared" si="6"/>
        <v>0</v>
      </c>
      <c r="CJ98" s="65">
        <f>IF((Table1[[#This Row],["Volume
BA MC-0"]]-Table1[[#This Row],[Total Panjang Pipa Aktual
(Sum-&gt;)3]]-Table1[[#This Row],[Total Volume
tidak dapat dipasang]])&gt;=0,Table1[[#This Row],["Volume
BA MC-0"]]-Table1[[#This Row],[Total Panjang Pipa Aktual
(Sum-&gt;)3]]-Table1[[#This Row],[Total Volume
tidak dapat dipasang]],0)</f>
        <v>0</v>
      </c>
      <c r="CK98" s="47"/>
      <c r="CL98" s="131"/>
      <c r="CM98" s="35"/>
      <c r="CN98" s="131"/>
      <c r="CO98" s="131"/>
      <c r="CP9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8" s="66">
        <f>IFERROR(Table1[[#This Row],[Progres Keg. Umum
(%)]]*Table1[[#This Row],[Nilai RAB Jaringan
(file pa aji)]],0)</f>
        <v>0</v>
      </c>
      <c r="CR98" s="66">
        <f>IFERROR(Table1[[#This Row],[Progres MOS
(%)]]*Table1[[#This Row],[Nilai RAB Jaringan
(file pa aji)]],0)</f>
        <v>0</v>
      </c>
      <c r="CS98" s="66">
        <f>IFERROR(Table1[[#This Row],[Progres Pemasangan
(%)]]*Table1[[#This Row],[Nilai RAB Jaringan
(file pa aji)]],0)</f>
        <v>0</v>
      </c>
      <c r="CT98" s="66">
        <f>IFERROR(Table1[[#This Row],[Progres Perizinan
(%)]]*Table1[[#This Row],[Nilai RAB Jaringan
(file pa aji)]],0)</f>
        <v>0</v>
      </c>
      <c r="CU98" s="329">
        <v>265131831</v>
      </c>
      <c r="CV98" s="329">
        <v>265131831</v>
      </c>
      <c r="CW98" s="583">
        <v>265131831</v>
      </c>
      <c r="CX98" s="329">
        <v>265131831</v>
      </c>
      <c r="CY98" s="47"/>
      <c r="CZ98" s="330">
        <v>45411</v>
      </c>
      <c r="DA98" s="330">
        <v>45438</v>
      </c>
      <c r="DB98" s="331"/>
      <c r="DC98" s="316"/>
      <c r="DD98" s="67"/>
      <c r="DE9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8" s="331"/>
      <c r="DG98" s="316"/>
      <c r="DH98" s="67"/>
      <c r="DI9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8" s="330">
        <v>45439</v>
      </c>
      <c r="DK98" s="330">
        <v>45480</v>
      </c>
      <c r="DL98" s="331"/>
      <c r="DM98" s="316"/>
      <c r="DN9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98" s="331"/>
      <c r="DP98" s="316"/>
      <c r="DQ98" s="338"/>
      <c r="DR9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98" s="330">
        <v>45439</v>
      </c>
      <c r="DT98" s="330" t="e">
        <v>#N/A</v>
      </c>
      <c r="DU98" s="330">
        <v>45480</v>
      </c>
      <c r="DV98" s="330" t="e">
        <v>#N/A</v>
      </c>
      <c r="DW98" s="331"/>
      <c r="DX98" s="316"/>
      <c r="DY98" s="334"/>
      <c r="DZ98" s="334"/>
      <c r="EA9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8" s="331"/>
      <c r="EC98" s="332"/>
      <c r="ED98" s="332"/>
      <c r="EE98" s="330"/>
      <c r="EF98" s="35">
        <v>1</v>
      </c>
      <c r="EG98" s="337">
        <v>1</v>
      </c>
      <c r="EH98" s="316" t="str">
        <f>IF(Table1[[#This Row],[PO Material Aktual 
(%)]]&gt;=100%,"Selesai PO = 100%",IF(Table1[[#This Row],[PO Material Aktual 
(%)]]&gt;=50%,"Proses PO &gt; 100%",IF(Table1[[#This Row],[PO Material Aktual 
(%)]]&gt;0%,"Proses PO &gt; 50%",IF(Table1[[#This Row],[PO Material Aktual 
(%)]]=0,"Belum PO = 0%"))))</f>
        <v>Selesai PO = 100%</v>
      </c>
      <c r="EI9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8" s="330">
        <v>45481</v>
      </c>
      <c r="EK98" s="330" t="e">
        <v>#N/A</v>
      </c>
      <c r="EL98" s="330">
        <v>45529</v>
      </c>
      <c r="EM98" s="330" t="e">
        <v>#N/A</v>
      </c>
      <c r="EN98" s="331"/>
      <c r="EO98" s="332"/>
      <c r="EP98" s="332"/>
      <c r="EQ98" s="87">
        <v>1</v>
      </c>
      <c r="ER98" s="87">
        <v>1</v>
      </c>
      <c r="ES98" s="316" t="str">
        <f>IF(Table1[[#This Row],[Progres MOS]]&gt;=100%,"Selesai MOS = 100%",IF(Table1[[#This Row],[Progres MOS]]&gt;=50%,"Proses MOS &gt; 100%",IF(Table1[[#This Row],[Progres MOS]]&gt;0%,"Proses MOS &gt; 50%",IF(Table1[[#This Row],[Progres MOS]]=0,"Belum MOS = 0%"))))</f>
        <v>Selesai MOS = 100%</v>
      </c>
      <c r="ET9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98" s="47"/>
      <c r="EV98" s="330">
        <v>45439</v>
      </c>
      <c r="EW98" s="330" t="e">
        <v>#N/A</v>
      </c>
      <c r="EX98" s="330">
        <v>45529</v>
      </c>
      <c r="EY98" s="330" t="e">
        <v>#N/A</v>
      </c>
      <c r="EZ98" s="352" t="s">
        <v>298</v>
      </c>
      <c r="FA98" s="336" t="s">
        <v>259</v>
      </c>
      <c r="FB98" s="330" t="s">
        <v>260</v>
      </c>
      <c r="FC98" s="330">
        <v>45799</v>
      </c>
      <c r="FD98" s="330" t="s">
        <v>260</v>
      </c>
      <c r="FE98" s="330">
        <v>45875</v>
      </c>
      <c r="FF98" s="330">
        <v>45929</v>
      </c>
      <c r="FG98" s="330" t="s">
        <v>260</v>
      </c>
      <c r="FH98" s="330" t="s">
        <v>260</v>
      </c>
      <c r="FI98" s="330">
        <v>46021</v>
      </c>
      <c r="FJ98" s="330" t="s">
        <v>260</v>
      </c>
      <c r="FK98" s="330">
        <v>46087</v>
      </c>
      <c r="FL98" s="336" t="s">
        <v>298</v>
      </c>
      <c r="FM98" s="336">
        <v>45799</v>
      </c>
      <c r="FN98" s="314">
        <f>IF(Table1[[#This Row],[Tanggal Pengajuan Dokumen]]="","",Table1[[#This Row],[PLAN PERMIT
start]]-Table1[[#This Row],[Tanggal Pengajuan Dokumen]])</f>
        <v>-360</v>
      </c>
      <c r="FO98" s="336"/>
      <c r="FP98" s="316"/>
      <c r="FQ98" s="338"/>
      <c r="FR98" s="352"/>
      <c r="FS98" s="338" t="str">
        <f t="shared" si="7"/>
        <v>Sudah Terbit</v>
      </c>
      <c r="FT9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8" s="344">
        <f ca="1">IF(Table1[[#This Row],[Status Izin]]="Selesai",Table1[[#This Row],[PLAN PERMIT
finish]]-Table1[[#This Row],[Tanggal Terbit/ Target Izin Terbit]],ROUNDUP(Table1[[#This Row],[PLAN PERMIT
finish]]-NOW(),0))</f>
        <v>45529</v>
      </c>
      <c r="FV9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8" s="344"/>
      <c r="FX98" s="47"/>
      <c r="FY98" s="340"/>
      <c r="FZ98" s="341"/>
      <c r="GA9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8" s="330">
        <v>45503</v>
      </c>
      <c r="GC98" s="352">
        <v>45443</v>
      </c>
      <c r="GD9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8" s="330">
        <v>45510</v>
      </c>
      <c r="GF98" s="352">
        <v>45443</v>
      </c>
      <c r="GG9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8" s="330">
        <v>45516</v>
      </c>
      <c r="GI98" s="330">
        <v>45522</v>
      </c>
      <c r="GJ98" s="352">
        <v>45448</v>
      </c>
      <c r="GK9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8" s="330">
        <v>45530</v>
      </c>
      <c r="GM98" s="330" t="e">
        <v>#N/A</v>
      </c>
      <c r="GN98" s="330">
        <v>45550</v>
      </c>
      <c r="GO98" s="330" t="e">
        <v>#N/A</v>
      </c>
      <c r="GP98" s="316"/>
      <c r="GQ9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8" s="330" t="s">
        <v>261</v>
      </c>
      <c r="GS98" s="421" t="s">
        <v>261</v>
      </c>
      <c r="GT98" s="427">
        <v>45447</v>
      </c>
      <c r="GU98" s="423" t="str">
        <f>IF(Table1[[#This Row],[Hydro Tes Actual
(tanggal)]]&lt;&gt;"","Sudah","Belum")</f>
        <v>Sudah</v>
      </c>
      <c r="GV98" s="330" t="s">
        <v>261</v>
      </c>
      <c r="GW98" s="330" t="s">
        <v>261</v>
      </c>
      <c r="GX98" s="331"/>
      <c r="GY98" s="344" t="str">
        <f>IF(Table1[[#This Row],[Interkoneksi Actual
(tanggal)]]&lt;&gt;"","Sudah","Belum")</f>
        <v>Belum</v>
      </c>
      <c r="GZ98" s="330" t="s">
        <v>261</v>
      </c>
      <c r="HA98" s="421" t="s">
        <v>261</v>
      </c>
      <c r="HB98" s="424">
        <v>45469</v>
      </c>
      <c r="HC98" s="344" t="str">
        <f>IF(Table1[[#This Row],[Flushing Actual
(tanggal)]]&lt;&gt;"","Sudah","Belum")</f>
        <v>Sudah</v>
      </c>
      <c r="HD98" s="330">
        <v>45537</v>
      </c>
      <c r="HE98" s="330" t="e">
        <v>#N/A</v>
      </c>
      <c r="HF98" s="330">
        <v>45543</v>
      </c>
      <c r="HG98" s="352">
        <v>45566</v>
      </c>
      <c r="HH9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8" s="330" t="s">
        <v>261</v>
      </c>
      <c r="HJ98" s="330" t="s">
        <v>261</v>
      </c>
      <c r="HK98" s="331"/>
      <c r="HL98" s="316"/>
      <c r="HM98" s="330">
        <v>45555</v>
      </c>
      <c r="HN98" s="330">
        <v>45555</v>
      </c>
      <c r="HO98" s="330" t="e">
        <v>#N/A</v>
      </c>
      <c r="HP98" s="331">
        <v>45735</v>
      </c>
      <c r="HQ9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98" s="330">
        <v>45562</v>
      </c>
      <c r="HS98" s="330"/>
      <c r="HT98" s="330">
        <v>45562</v>
      </c>
      <c r="HU98" s="527"/>
      <c r="HV98" s="330">
        <f>IF(Table1[[#This Row],[MC-100 Aktual
(tanggal)]]&lt;&gt;"",Table1[[#This Row],[MC-100 Aktual
(tanggal)]]+5,"")</f>
        <v>45740</v>
      </c>
      <c r="HW9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98" s="47"/>
      <c r="HY98" s="352"/>
      <c r="HZ98" s="352"/>
      <c r="IB98" s="618">
        <f>IFERROR(ROUND((Table1[[#This Row],[PLAN TC
finish]]-Table1[[#This Row],[PLAN MC-0
start]])/30,2),"")</f>
        <v>0.9</v>
      </c>
      <c r="IC98">
        <f>DATEDIF(Table1[[#This Row],[PLAN MC-0
start]],Table1[[#This Row],[PLAN TC
finish]],"m")</f>
        <v>0</v>
      </c>
    </row>
    <row r="99" spans="2:237" s="4" customFormat="1" ht="15" customHeight="1" x14ac:dyDescent="0.2">
      <c r="B99" s="311">
        <f>SUBTOTAL(3,$D$5:D99)</f>
        <v>58</v>
      </c>
      <c r="C99" s="348">
        <v>95</v>
      </c>
      <c r="D99" s="315" t="s">
        <v>673</v>
      </c>
      <c r="E99" s="315" t="s">
        <v>726</v>
      </c>
      <c r="F99" s="315" t="s">
        <v>727</v>
      </c>
      <c r="G99" s="349">
        <v>45752</v>
      </c>
      <c r="H99" s="314" t="s">
        <v>247</v>
      </c>
      <c r="I99" s="315" t="s">
        <v>278</v>
      </c>
      <c r="J99" s="315"/>
      <c r="K99" s="338" t="s">
        <v>676</v>
      </c>
      <c r="L99" s="316" t="s">
        <v>250</v>
      </c>
      <c r="M99" s="316" t="s">
        <v>269</v>
      </c>
      <c r="N99" s="107">
        <v>387</v>
      </c>
      <c r="O99" s="31" t="s">
        <v>252</v>
      </c>
      <c r="P9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9" s="87" t="e">
        <v>#N/A</v>
      </c>
      <c r="S99" s="87">
        <v>1</v>
      </c>
      <c r="T99" s="35">
        <f>Table1[[#This Row],[Progres Total Aktual
(%)]]</f>
        <v>1</v>
      </c>
      <c r="U99" s="124">
        <f>Table1[[#This Row],[Progres Aktual
(%)]]-Table1[[#This Row],[Target Progres
(%)]]</f>
        <v>0</v>
      </c>
      <c r="V99" s="350">
        <f>Table1[[#This Row],["Volume
BA MC-0"]]</f>
        <v>397</v>
      </c>
      <c r="W99" s="351">
        <f>Table1[[#This Row],[Total Panjang Pipa Aktual
(Sum-&gt;)3]]</f>
        <v>397</v>
      </c>
      <c r="X99" s="47"/>
      <c r="Y99" s="67" t="s">
        <v>728</v>
      </c>
      <c r="Z99" s="67">
        <v>387454691</v>
      </c>
      <c r="AA99" s="67">
        <f>ROUND((Table1[[#This Row],[Nilai RAB Jaringan
(Exclude Ppn)]]-Table1[[#This Row],[RAB Perizinan]])*1.11+Table1[[#This Row],[RAB Perizinan]],0)</f>
        <v>0</v>
      </c>
      <c r="AB99" s="320">
        <f>SUM(Table1[[#This Row],[RAB Kegiatan Umum]:[RAB Perizinan]])</f>
        <v>0</v>
      </c>
      <c r="AC99" s="320"/>
      <c r="AD99" s="320"/>
      <c r="AE99" s="320"/>
      <c r="AF99" s="320"/>
      <c r="AG99" s="320">
        <v>705079015</v>
      </c>
      <c r="AH99" s="35" t="e">
        <f>SUM(Table1[[#This Row],[Bobot Keg Umum]:[Bobot Perizinan]])</f>
        <v>#DIV/0!</v>
      </c>
      <c r="AI99" s="35" t="e">
        <f>Table1[[#This Row],[RAB Kegiatan Umum]]/Table1[[#This Row],[Nilai RAB Jaringan
(Exclude Ppn)]]</f>
        <v>#DIV/0!</v>
      </c>
      <c r="AJ99" s="35" t="e">
        <f>Table1[[#This Row],[RAB Pemasangan]]/Table1[[#This Row],[Nilai RAB Jaringan
(Exclude Ppn)]]</f>
        <v>#DIV/0!</v>
      </c>
      <c r="AK99" s="35" t="e">
        <f>Table1[[#This Row],[RAB Pengadaan]]/Table1[[#This Row],[Nilai RAB Jaringan
(Exclude Ppn)]]</f>
        <v>#DIV/0!</v>
      </c>
      <c r="AL99" s="35" t="e">
        <f>Table1[[#This Row],[RAB Perizinan]]/Table1[[#This Row],[Nilai RAB Jaringan
(Exclude Ppn)]]</f>
        <v>#DIV/0!</v>
      </c>
      <c r="AM99" s="47"/>
      <c r="AN99" s="285">
        <v>397</v>
      </c>
      <c r="AO99" s="285">
        <f>SUM(Table1[[#This Row],[Pipa 63 mm]:[Pipa 1,800 mm]])</f>
        <v>0</v>
      </c>
      <c r="AP99" s="285"/>
      <c r="AQ99" s="285"/>
      <c r="AR99" s="285"/>
      <c r="AS99" s="285"/>
      <c r="AT99" s="285"/>
      <c r="AU99" s="285"/>
      <c r="AV99" s="285"/>
      <c r="AW99" s="285"/>
      <c r="AX99" s="285"/>
      <c r="AY99" s="285"/>
      <c r="AZ99" s="285"/>
      <c r="BA99" s="285"/>
      <c r="BB99" s="285"/>
      <c r="BC99" s="285"/>
      <c r="BD99" s="285"/>
      <c r="BE99" s="285"/>
      <c r="BF99" s="285"/>
      <c r="BG99" s="285"/>
      <c r="BH99" s="285"/>
      <c r="BI99" s="285"/>
      <c r="BJ99" s="36">
        <f>SUM(Table1[[#This Row],[Pipa 63 mm2]:[Pipa 1,800 mm21]])</f>
        <v>397</v>
      </c>
      <c r="BK99" s="32"/>
      <c r="BL99" s="32">
        <v>397</v>
      </c>
      <c r="BM99" s="32"/>
      <c r="BN99" s="32"/>
      <c r="BO99" s="32"/>
      <c r="BP99" s="32"/>
      <c r="BQ99" s="32"/>
      <c r="BR99" s="32"/>
      <c r="BS99" s="32"/>
      <c r="BT99" s="32"/>
      <c r="BU99" s="32"/>
      <c r="BV99" s="32"/>
      <c r="BW99" s="32"/>
      <c r="BX99" s="32"/>
      <c r="BY99" s="32"/>
      <c r="BZ99" s="32"/>
      <c r="CA99" s="32"/>
      <c r="CB99" s="32"/>
      <c r="CC99" s="32"/>
      <c r="CD99" s="32"/>
      <c r="CE99" s="32">
        <v>0</v>
      </c>
      <c r="CF99" s="32"/>
      <c r="CG99" s="32"/>
      <c r="CH99" s="32"/>
      <c r="CI99" s="32">
        <f t="shared" si="6"/>
        <v>0</v>
      </c>
      <c r="CJ99" s="65">
        <f>IF((Table1[[#This Row],["Volume
BA MC-0"]]-Table1[[#This Row],[Total Panjang Pipa Aktual
(Sum-&gt;)3]]-Table1[[#This Row],[Total Volume
tidak dapat dipasang]])&gt;=0,Table1[[#This Row],["Volume
BA MC-0"]]-Table1[[#This Row],[Total Panjang Pipa Aktual
(Sum-&gt;)3]]-Table1[[#This Row],[Total Volume
tidak dapat dipasang]],0)</f>
        <v>0</v>
      </c>
      <c r="CK99" s="47"/>
      <c r="CL99" s="131"/>
      <c r="CM99" s="35"/>
      <c r="CN99" s="131"/>
      <c r="CO99" s="131"/>
      <c r="CP9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9" s="66">
        <f>IFERROR(Table1[[#This Row],[Progres Keg. Umum
(%)]]*Table1[[#This Row],[Nilai RAB Jaringan
(file pa aji)]],0)</f>
        <v>0</v>
      </c>
      <c r="CR99" s="66">
        <f>IFERROR(Table1[[#This Row],[Progres MOS
(%)]]*Table1[[#This Row],[Nilai RAB Jaringan
(file pa aji)]],0)</f>
        <v>0</v>
      </c>
      <c r="CS99" s="66">
        <f>IFERROR(Table1[[#This Row],[Progres Pemasangan
(%)]]*Table1[[#This Row],[Nilai RAB Jaringan
(file pa aji)]],0)</f>
        <v>0</v>
      </c>
      <c r="CT99" s="66">
        <f>IFERROR(Table1[[#This Row],[Progres Perizinan
(%)]]*Table1[[#This Row],[Nilai RAB Jaringan
(file pa aji)]],0)</f>
        <v>0</v>
      </c>
      <c r="CU99" s="329">
        <v>357672601</v>
      </c>
      <c r="CV99" s="329">
        <v>357672601</v>
      </c>
      <c r="CW99" s="583">
        <v>357672601</v>
      </c>
      <c r="CX99" s="329">
        <v>357672601</v>
      </c>
      <c r="CY99" s="47"/>
      <c r="CZ99" s="330">
        <v>45439</v>
      </c>
      <c r="DA99" s="330">
        <v>45466</v>
      </c>
      <c r="DB99" s="331"/>
      <c r="DC99" s="316"/>
      <c r="DD99" s="67"/>
      <c r="DE9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9" s="331"/>
      <c r="DG99" s="316"/>
      <c r="DH99" s="67"/>
      <c r="DI9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9" s="330">
        <v>45467</v>
      </c>
      <c r="DK99" s="330">
        <v>45508</v>
      </c>
      <c r="DL99" s="331">
        <v>45439</v>
      </c>
      <c r="DM99" s="425" t="s">
        <v>729</v>
      </c>
      <c r="DN9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9" s="331">
        <v>45447</v>
      </c>
      <c r="DP99" s="426" t="s">
        <v>695</v>
      </c>
      <c r="DQ99" s="338" t="s">
        <v>297</v>
      </c>
      <c r="DR9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9" s="330">
        <v>45467</v>
      </c>
      <c r="DT99" s="330" t="e">
        <v>#N/A</v>
      </c>
      <c r="DU99" s="330">
        <v>45508</v>
      </c>
      <c r="DV99" s="330" t="e">
        <v>#N/A</v>
      </c>
      <c r="DW99" s="331"/>
      <c r="DX99" s="316"/>
      <c r="DY99" s="334"/>
      <c r="DZ99" s="334"/>
      <c r="EA9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9" s="331"/>
      <c r="EC99" s="332"/>
      <c r="ED99" s="332"/>
      <c r="EE99" s="330"/>
      <c r="EF99" s="35">
        <v>1</v>
      </c>
      <c r="EG99" s="337">
        <v>1</v>
      </c>
      <c r="EH99" s="316" t="str">
        <f>IF(Table1[[#This Row],[PO Material Aktual 
(%)]]&gt;=100%,"Selesai PO = 100%",IF(Table1[[#This Row],[PO Material Aktual 
(%)]]&gt;=50%,"Proses PO &gt; 100%",IF(Table1[[#This Row],[PO Material Aktual 
(%)]]&gt;0%,"Proses PO &gt; 50%",IF(Table1[[#This Row],[PO Material Aktual 
(%)]]=0,"Belum PO = 0%"))))</f>
        <v>Selesai PO = 100%</v>
      </c>
      <c r="EI9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9" s="330">
        <v>45509</v>
      </c>
      <c r="EK99" s="330" t="e">
        <v>#N/A</v>
      </c>
      <c r="EL99" s="330">
        <v>45599</v>
      </c>
      <c r="EM99" s="330" t="e">
        <v>#N/A</v>
      </c>
      <c r="EN99" s="331">
        <v>45595</v>
      </c>
      <c r="EO99" s="332"/>
      <c r="EP99" s="332"/>
      <c r="EQ99" s="87">
        <v>1</v>
      </c>
      <c r="ER99" s="87">
        <v>1</v>
      </c>
      <c r="ES99" s="316" t="str">
        <f>IF(Table1[[#This Row],[Progres MOS]]&gt;=100%,"Selesai MOS = 100%",IF(Table1[[#This Row],[Progres MOS]]&gt;=50%,"Proses MOS &gt; 100%",IF(Table1[[#This Row],[Progres MOS]]&gt;0%,"Proses MOS &gt; 50%",IF(Table1[[#This Row],[Progres MOS]]=0,"Belum MOS = 0%"))))</f>
        <v>Selesai MOS = 100%</v>
      </c>
      <c r="ET9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9" s="47"/>
      <c r="EV99" s="330">
        <v>45467</v>
      </c>
      <c r="EW99" s="330" t="e">
        <v>#N/A</v>
      </c>
      <c r="EX99" s="330">
        <v>45564</v>
      </c>
      <c r="EY99" s="330" t="e">
        <v>#N/A</v>
      </c>
      <c r="EZ99" s="352" t="s">
        <v>298</v>
      </c>
      <c r="FA99" s="336" t="s">
        <v>259</v>
      </c>
      <c r="FB99" s="330" t="s">
        <v>260</v>
      </c>
      <c r="FC99" s="330">
        <v>45799</v>
      </c>
      <c r="FD99" s="330" t="s">
        <v>260</v>
      </c>
      <c r="FE99" s="330">
        <v>45875</v>
      </c>
      <c r="FF99" s="330">
        <v>45929</v>
      </c>
      <c r="FG99" s="330" t="s">
        <v>260</v>
      </c>
      <c r="FH99" s="330" t="s">
        <v>260</v>
      </c>
      <c r="FI99" s="330">
        <v>46021</v>
      </c>
      <c r="FJ99" s="330" t="s">
        <v>260</v>
      </c>
      <c r="FK99" s="330">
        <v>46087</v>
      </c>
      <c r="FL99" s="336" t="s">
        <v>298</v>
      </c>
      <c r="FM99" s="336">
        <v>45799</v>
      </c>
      <c r="FN99" s="314">
        <f>IF(Table1[[#This Row],[Tanggal Pengajuan Dokumen]]="","",Table1[[#This Row],[PLAN PERMIT
start]]-Table1[[#This Row],[Tanggal Pengajuan Dokumen]])</f>
        <v>-332</v>
      </c>
      <c r="FO99" s="336"/>
      <c r="FP99" s="316"/>
      <c r="FQ99" s="338"/>
      <c r="FR99" s="352"/>
      <c r="FS99" s="338" t="str">
        <f t="shared" si="7"/>
        <v>Sudah Terbit</v>
      </c>
      <c r="FT9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9" s="344">
        <f ca="1">IF(Table1[[#This Row],[Status Izin]]="Selesai",Table1[[#This Row],[PLAN PERMIT
finish]]-Table1[[#This Row],[Tanggal Terbit/ Target Izin Terbit]],ROUNDUP(Table1[[#This Row],[PLAN PERMIT
finish]]-NOW(),0))</f>
        <v>45564</v>
      </c>
      <c r="FV9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9" s="344"/>
      <c r="FX99" s="47"/>
      <c r="FY99" s="340"/>
      <c r="FZ99" s="341"/>
      <c r="GA9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9" s="330">
        <v>45538</v>
      </c>
      <c r="GC99" s="352">
        <v>45443</v>
      </c>
      <c r="GD9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9" s="330">
        <v>45545</v>
      </c>
      <c r="GF99" s="352">
        <v>45443</v>
      </c>
      <c r="GG9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9" s="330">
        <v>45551</v>
      </c>
      <c r="GI99" s="330">
        <v>45557</v>
      </c>
      <c r="GJ99" s="352">
        <v>45448</v>
      </c>
      <c r="GK9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9" s="330">
        <v>45565</v>
      </c>
      <c r="GM99" s="330" t="e">
        <v>#N/A</v>
      </c>
      <c r="GN99" s="330">
        <v>45641</v>
      </c>
      <c r="GO99" s="330" t="e">
        <v>#N/A</v>
      </c>
      <c r="GP99" s="316"/>
      <c r="GQ9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9" s="330" t="s">
        <v>261</v>
      </c>
      <c r="GS99" s="421" t="s">
        <v>261</v>
      </c>
      <c r="GT99" s="427">
        <v>45525</v>
      </c>
      <c r="GU99" s="423" t="str">
        <f>IF(Table1[[#This Row],[Hydro Tes Actual
(tanggal)]]&lt;&gt;"","Sudah","Belum")</f>
        <v>Sudah</v>
      </c>
      <c r="GV99" s="330" t="s">
        <v>261</v>
      </c>
      <c r="GW99" s="330" t="s">
        <v>261</v>
      </c>
      <c r="GX99" s="331"/>
      <c r="GY99" s="344" t="str">
        <f>IF(Table1[[#This Row],[Interkoneksi Actual
(tanggal)]]&lt;&gt;"","Sudah","Belum")</f>
        <v>Belum</v>
      </c>
      <c r="GZ99" s="330" t="s">
        <v>261</v>
      </c>
      <c r="HA99" s="421" t="s">
        <v>261</v>
      </c>
      <c r="HB99" s="424">
        <v>45554</v>
      </c>
      <c r="HC99" s="344" t="str">
        <f>IF(Table1[[#This Row],[Flushing Actual
(tanggal)]]&lt;&gt;"","Sudah","Belum")</f>
        <v>Sudah</v>
      </c>
      <c r="HD99" s="330">
        <v>45621</v>
      </c>
      <c r="HE99" s="330" t="e">
        <v>#N/A</v>
      </c>
      <c r="HF99" s="330">
        <v>45623</v>
      </c>
      <c r="HG99" s="352">
        <v>45566</v>
      </c>
      <c r="HH9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9" s="330" t="s">
        <v>261</v>
      </c>
      <c r="HJ99" s="330" t="s">
        <v>261</v>
      </c>
      <c r="HK99" s="331"/>
      <c r="HL99" s="316"/>
      <c r="HM99" s="330">
        <v>45646</v>
      </c>
      <c r="HN99" s="330">
        <v>45646</v>
      </c>
      <c r="HO99" s="330" t="e">
        <v>#N/A</v>
      </c>
      <c r="HP99" s="331">
        <v>45733</v>
      </c>
      <c r="HQ9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99" s="330">
        <v>45653</v>
      </c>
      <c r="HS99" s="330"/>
      <c r="HT99" s="330">
        <v>45653</v>
      </c>
      <c r="HU99" s="527"/>
      <c r="HV99" s="330">
        <f>IF(Table1[[#This Row],[MC-100 Aktual
(tanggal)]]&lt;&gt;"",Table1[[#This Row],[MC-100 Aktual
(tanggal)]]+5,"")</f>
        <v>45738</v>
      </c>
      <c r="HW9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99" s="47"/>
      <c r="HY99" s="352"/>
      <c r="HZ99" s="352"/>
      <c r="IB99" s="618">
        <f>IFERROR(ROUND((Table1[[#This Row],[PLAN TC
finish]]-Table1[[#This Row],[PLAN MC-0
start]])/30,2),"")</f>
        <v>2.4</v>
      </c>
      <c r="IC99">
        <f>DATEDIF(Table1[[#This Row],[PLAN MC-0
start]],Table1[[#This Row],[PLAN TC
finish]],"m")</f>
        <v>2</v>
      </c>
    </row>
    <row r="100" spans="2:237" s="4" customFormat="1" ht="15" customHeight="1" x14ac:dyDescent="0.2">
      <c r="B100" s="311">
        <f>SUBTOTAL(3,$D$5:D100)</f>
        <v>59</v>
      </c>
      <c r="C100" s="348">
        <v>96</v>
      </c>
      <c r="D100" s="315" t="s">
        <v>673</v>
      </c>
      <c r="E100" s="315" t="s">
        <v>730</v>
      </c>
      <c r="F100" s="315" t="s">
        <v>731</v>
      </c>
      <c r="G100" s="349">
        <v>45752</v>
      </c>
      <c r="H100" s="314" t="s">
        <v>247</v>
      </c>
      <c r="I100" s="315" t="s">
        <v>278</v>
      </c>
      <c r="J100" s="315"/>
      <c r="K100" s="338" t="s">
        <v>676</v>
      </c>
      <c r="L100" s="316" t="s">
        <v>250</v>
      </c>
      <c r="M100" s="316" t="s">
        <v>269</v>
      </c>
      <c r="N100" s="107">
        <v>126</v>
      </c>
      <c r="O100" s="31" t="s">
        <v>252</v>
      </c>
      <c r="P10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0" s="87" t="e">
        <v>#N/A</v>
      </c>
      <c r="S100" s="87">
        <v>1</v>
      </c>
      <c r="T100" s="35">
        <f>Table1[[#This Row],[Progres Total Aktual
(%)]]</f>
        <v>1</v>
      </c>
      <c r="U100" s="124">
        <f>Table1[[#This Row],[Progres Aktual
(%)]]-Table1[[#This Row],[Target Progres
(%)]]</f>
        <v>0</v>
      </c>
      <c r="V100" s="350">
        <f>Table1[[#This Row],["Volume
BA MC-0"]]</f>
        <v>124</v>
      </c>
      <c r="W100" s="351">
        <f>Table1[[#This Row],[Total Panjang Pipa Aktual
(Sum-&gt;)3]]</f>
        <v>126</v>
      </c>
      <c r="X100" s="47"/>
      <c r="Y100" s="67" t="s">
        <v>732</v>
      </c>
      <c r="Z100" s="67">
        <v>201946200</v>
      </c>
      <c r="AA100" s="67">
        <f>ROUND((Table1[[#This Row],[Nilai RAB Jaringan
(Exclude Ppn)]]-Table1[[#This Row],[RAB Perizinan]])*1.11+Table1[[#This Row],[RAB Perizinan]],0)</f>
        <v>0</v>
      </c>
      <c r="AB100" s="320">
        <f>SUM(Table1[[#This Row],[RAB Kegiatan Umum]:[RAB Perizinan]])</f>
        <v>0</v>
      </c>
      <c r="AC100" s="320"/>
      <c r="AD100" s="320"/>
      <c r="AE100" s="320"/>
      <c r="AF100" s="320"/>
      <c r="AG100" s="320">
        <v>49191560</v>
      </c>
      <c r="AH100" s="35" t="e">
        <f>SUM(Table1[[#This Row],[Bobot Keg Umum]:[Bobot Perizinan]])</f>
        <v>#DIV/0!</v>
      </c>
      <c r="AI100" s="35" t="e">
        <f>Table1[[#This Row],[RAB Kegiatan Umum]]/Table1[[#This Row],[Nilai RAB Jaringan
(Exclude Ppn)]]</f>
        <v>#DIV/0!</v>
      </c>
      <c r="AJ100" s="35" t="e">
        <f>Table1[[#This Row],[RAB Pemasangan]]/Table1[[#This Row],[Nilai RAB Jaringan
(Exclude Ppn)]]</f>
        <v>#DIV/0!</v>
      </c>
      <c r="AK100" s="35" t="e">
        <f>Table1[[#This Row],[RAB Pengadaan]]/Table1[[#This Row],[Nilai RAB Jaringan
(Exclude Ppn)]]</f>
        <v>#DIV/0!</v>
      </c>
      <c r="AL100" s="35" t="e">
        <f>Table1[[#This Row],[RAB Perizinan]]/Table1[[#This Row],[Nilai RAB Jaringan
(Exclude Ppn)]]</f>
        <v>#DIV/0!</v>
      </c>
      <c r="AM100" s="47"/>
      <c r="AN100" s="285">
        <v>124</v>
      </c>
      <c r="AO100" s="285">
        <f>SUM(Table1[[#This Row],[Pipa 63 mm]:[Pipa 1,800 mm]])</f>
        <v>0</v>
      </c>
      <c r="AP100" s="285"/>
      <c r="AQ100" s="285"/>
      <c r="AR100" s="285"/>
      <c r="AS100" s="285"/>
      <c r="AT100" s="285"/>
      <c r="AU100" s="285"/>
      <c r="AV100" s="285"/>
      <c r="AW100" s="285"/>
      <c r="AX100" s="285"/>
      <c r="AY100" s="285"/>
      <c r="AZ100" s="285"/>
      <c r="BA100" s="285"/>
      <c r="BB100" s="285"/>
      <c r="BC100" s="285"/>
      <c r="BD100" s="285"/>
      <c r="BE100" s="285"/>
      <c r="BF100" s="285"/>
      <c r="BG100" s="285"/>
      <c r="BH100" s="285"/>
      <c r="BI100" s="285"/>
      <c r="BJ100" s="36">
        <f>SUM(Table1[[#This Row],[Pipa 63 mm2]:[Pipa 1,800 mm21]])</f>
        <v>126</v>
      </c>
      <c r="BK100" s="32">
        <v>126</v>
      </c>
      <c r="BL100" s="32"/>
      <c r="BM100" s="32"/>
      <c r="BN100" s="32"/>
      <c r="BO100" s="32"/>
      <c r="BP100" s="32"/>
      <c r="BQ100" s="32"/>
      <c r="BR100" s="32"/>
      <c r="BS100" s="32"/>
      <c r="BT100" s="32"/>
      <c r="BU100" s="32"/>
      <c r="BV100" s="32"/>
      <c r="BW100" s="32"/>
      <c r="BX100" s="32"/>
      <c r="BY100" s="32"/>
      <c r="BZ100" s="32"/>
      <c r="CA100" s="32"/>
      <c r="CB100" s="32"/>
      <c r="CC100" s="32"/>
      <c r="CD100" s="32"/>
      <c r="CE100" s="32">
        <v>0</v>
      </c>
      <c r="CF100" s="32"/>
      <c r="CG100" s="32"/>
      <c r="CH100" s="32"/>
      <c r="CI100" s="32">
        <f t="shared" si="6"/>
        <v>0</v>
      </c>
      <c r="CJ100" s="65">
        <f>IF((Table1[[#This Row],["Volume
BA MC-0"]]-Table1[[#This Row],[Total Panjang Pipa Aktual
(Sum-&gt;)3]]-Table1[[#This Row],[Total Volume
tidak dapat dipasang]])&gt;=0,Table1[[#This Row],["Volume
BA MC-0"]]-Table1[[#This Row],[Total Panjang Pipa Aktual
(Sum-&gt;)3]]-Table1[[#This Row],[Total Volume
tidak dapat dipasang]],0)</f>
        <v>0</v>
      </c>
      <c r="CK100" s="47"/>
      <c r="CL100" s="131"/>
      <c r="CM100" s="35"/>
      <c r="CN100" s="131"/>
      <c r="CO100" s="131"/>
      <c r="CP10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0" s="66">
        <f>IFERROR(Table1[[#This Row],[Progres Keg. Umum
(%)]]*Table1[[#This Row],[Nilai RAB Jaringan
(file pa aji)]],0)</f>
        <v>0</v>
      </c>
      <c r="CR100" s="66">
        <f>IFERROR(Table1[[#This Row],[Progres MOS
(%)]]*Table1[[#This Row],[Nilai RAB Jaringan
(file pa aji)]],0)</f>
        <v>0</v>
      </c>
      <c r="CS100" s="66">
        <f>IFERROR(Table1[[#This Row],[Progres Pemasangan
(%)]]*Table1[[#This Row],[Nilai RAB Jaringan
(file pa aji)]],0)</f>
        <v>0</v>
      </c>
      <c r="CT100" s="66">
        <f>IFERROR(Table1[[#This Row],[Progres Perizinan
(%)]]*Table1[[#This Row],[Nilai RAB Jaringan
(file pa aji)]],0)</f>
        <v>0</v>
      </c>
      <c r="CU100" s="329">
        <v>219308195</v>
      </c>
      <c r="CV100" s="329">
        <v>219308195</v>
      </c>
      <c r="CW100" s="583">
        <v>219308195</v>
      </c>
      <c r="CX100" s="329">
        <v>219308195</v>
      </c>
      <c r="CY100" s="47"/>
      <c r="CZ100" s="330">
        <v>45411</v>
      </c>
      <c r="DA100" s="330">
        <v>45438</v>
      </c>
      <c r="DB100" s="331"/>
      <c r="DC100" s="316"/>
      <c r="DD100" s="67"/>
      <c r="DE10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0" s="331"/>
      <c r="DG100" s="316"/>
      <c r="DH100" s="67"/>
      <c r="DI10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0" s="330">
        <v>45439</v>
      </c>
      <c r="DK100" s="330">
        <v>45480</v>
      </c>
      <c r="DL100" s="331">
        <v>45439</v>
      </c>
      <c r="DM100" s="425" t="s">
        <v>733</v>
      </c>
      <c r="DN10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0" s="331">
        <v>45447</v>
      </c>
      <c r="DP100" s="426" t="s">
        <v>695</v>
      </c>
      <c r="DQ100" s="338" t="s">
        <v>297</v>
      </c>
      <c r="DR10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0" s="330">
        <v>45439</v>
      </c>
      <c r="DT100" s="330" t="e">
        <v>#N/A</v>
      </c>
      <c r="DU100" s="330">
        <v>45480</v>
      </c>
      <c r="DV100" s="330" t="e">
        <v>#N/A</v>
      </c>
      <c r="DW100" s="331"/>
      <c r="DX100" s="316"/>
      <c r="DY100" s="334"/>
      <c r="DZ100" s="334"/>
      <c r="EA10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0" s="331"/>
      <c r="EC100" s="332"/>
      <c r="ED100" s="332"/>
      <c r="EE100" s="330"/>
      <c r="EF100" s="35">
        <v>1</v>
      </c>
      <c r="EG100" s="337">
        <v>1</v>
      </c>
      <c r="EH100" s="316" t="str">
        <f>IF(Table1[[#This Row],[PO Material Aktual 
(%)]]&gt;=100%,"Selesai PO = 100%",IF(Table1[[#This Row],[PO Material Aktual 
(%)]]&gt;=50%,"Proses PO &gt; 100%",IF(Table1[[#This Row],[PO Material Aktual 
(%)]]&gt;0%,"Proses PO &gt; 50%",IF(Table1[[#This Row],[PO Material Aktual 
(%)]]=0,"Belum PO = 0%"))))</f>
        <v>Selesai PO = 100%</v>
      </c>
      <c r="EI10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0" s="330">
        <v>45481</v>
      </c>
      <c r="EK100" s="330" t="e">
        <v>#N/A</v>
      </c>
      <c r="EL100" s="330">
        <v>45529</v>
      </c>
      <c r="EM100" s="330" t="e">
        <v>#N/A</v>
      </c>
      <c r="EN100" s="331">
        <v>45527</v>
      </c>
      <c r="EO100" s="332"/>
      <c r="EP100" s="332"/>
      <c r="EQ100" s="87">
        <v>1</v>
      </c>
      <c r="ER100" s="87">
        <v>1</v>
      </c>
      <c r="ES100" s="316" t="str">
        <f>IF(Table1[[#This Row],[Progres MOS]]&gt;=100%,"Selesai MOS = 100%",IF(Table1[[#This Row],[Progres MOS]]&gt;=50%,"Proses MOS &gt; 100%",IF(Table1[[#This Row],[Progres MOS]]&gt;0%,"Proses MOS &gt; 50%",IF(Table1[[#This Row],[Progres MOS]]=0,"Belum MOS = 0%"))))</f>
        <v>Selesai MOS = 100%</v>
      </c>
      <c r="ET10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100" s="47"/>
      <c r="EV100" s="330">
        <v>45439</v>
      </c>
      <c r="EW100" s="330" t="e">
        <v>#N/A</v>
      </c>
      <c r="EX100" s="330">
        <v>45529</v>
      </c>
      <c r="EY100" s="330" t="e">
        <v>#N/A</v>
      </c>
      <c r="EZ100" s="352" t="s">
        <v>298</v>
      </c>
      <c r="FA100" s="336" t="s">
        <v>259</v>
      </c>
      <c r="FB100" s="330" t="s">
        <v>260</v>
      </c>
      <c r="FC100" s="330">
        <v>45799</v>
      </c>
      <c r="FD100" s="330" t="s">
        <v>260</v>
      </c>
      <c r="FE100" s="330">
        <v>45875</v>
      </c>
      <c r="FF100" s="330">
        <v>45929</v>
      </c>
      <c r="FG100" s="330" t="s">
        <v>260</v>
      </c>
      <c r="FH100" s="330" t="s">
        <v>260</v>
      </c>
      <c r="FI100" s="330">
        <v>46021</v>
      </c>
      <c r="FJ100" s="330" t="s">
        <v>260</v>
      </c>
      <c r="FK100" s="330">
        <v>46087</v>
      </c>
      <c r="FL100" s="336" t="s">
        <v>298</v>
      </c>
      <c r="FM100" s="336">
        <v>45799</v>
      </c>
      <c r="FN100" s="314">
        <f>IF(Table1[[#This Row],[Tanggal Pengajuan Dokumen]]="","",Table1[[#This Row],[PLAN PERMIT
start]]-Table1[[#This Row],[Tanggal Pengajuan Dokumen]])</f>
        <v>-360</v>
      </c>
      <c r="FO100" s="336"/>
      <c r="FP100" s="316"/>
      <c r="FQ100" s="338"/>
      <c r="FR100" s="352"/>
      <c r="FS100" s="338" t="str">
        <f t="shared" si="7"/>
        <v>Sudah Terbit</v>
      </c>
      <c r="FT10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0" s="344">
        <f ca="1">IF(Table1[[#This Row],[Status Izin]]="Selesai",Table1[[#This Row],[PLAN PERMIT
finish]]-Table1[[#This Row],[Tanggal Terbit/ Target Izin Terbit]],ROUNDUP(Table1[[#This Row],[PLAN PERMIT
finish]]-NOW(),0))</f>
        <v>45529</v>
      </c>
      <c r="FV10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0" s="344"/>
      <c r="FX100" s="47"/>
      <c r="FY100" s="340"/>
      <c r="FZ100" s="341"/>
      <c r="GA10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0" s="330">
        <v>45503</v>
      </c>
      <c r="GC100" s="352">
        <v>45443</v>
      </c>
      <c r="GD10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0" s="330">
        <v>45510</v>
      </c>
      <c r="GF100" s="352">
        <v>45443</v>
      </c>
      <c r="GG10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0" s="330">
        <v>45516</v>
      </c>
      <c r="GI100" s="330">
        <v>45522</v>
      </c>
      <c r="GJ100" s="352">
        <v>45448</v>
      </c>
      <c r="GK10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0" s="330">
        <v>45530</v>
      </c>
      <c r="GM100" s="330" t="e">
        <v>#N/A</v>
      </c>
      <c r="GN100" s="330">
        <v>45550</v>
      </c>
      <c r="GO100" s="330" t="e">
        <v>#N/A</v>
      </c>
      <c r="GP100" s="316"/>
      <c r="GQ10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0" s="330" t="s">
        <v>261</v>
      </c>
      <c r="GS100" s="421" t="s">
        <v>261</v>
      </c>
      <c r="GT100" s="427">
        <v>45525</v>
      </c>
      <c r="GU100" s="423" t="str">
        <f>IF(Table1[[#This Row],[Hydro Tes Actual
(tanggal)]]&lt;&gt;"","Sudah","Belum")</f>
        <v>Sudah</v>
      </c>
      <c r="GV100" s="330" t="s">
        <v>261</v>
      </c>
      <c r="GW100" s="330" t="s">
        <v>261</v>
      </c>
      <c r="GX100" s="331"/>
      <c r="GY100" s="344" t="str">
        <f>IF(Table1[[#This Row],[Interkoneksi Actual
(tanggal)]]&lt;&gt;"","Sudah","Belum")</f>
        <v>Belum</v>
      </c>
      <c r="GZ100" s="330" t="s">
        <v>261</v>
      </c>
      <c r="HA100" s="421" t="s">
        <v>261</v>
      </c>
      <c r="HB100" s="424">
        <v>45554</v>
      </c>
      <c r="HC100" s="344" t="str">
        <f>IF(Table1[[#This Row],[Flushing Actual
(tanggal)]]&lt;&gt;"","Sudah","Belum")</f>
        <v>Sudah</v>
      </c>
      <c r="HD100" s="330">
        <v>45537</v>
      </c>
      <c r="HE100" s="330" t="e">
        <v>#N/A</v>
      </c>
      <c r="HF100" s="330">
        <v>45543</v>
      </c>
      <c r="HG100" s="352">
        <v>45566</v>
      </c>
      <c r="HH10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0" s="330" t="s">
        <v>261</v>
      </c>
      <c r="HJ100" s="330" t="s">
        <v>261</v>
      </c>
      <c r="HK100" s="331"/>
      <c r="HL100" s="316"/>
      <c r="HM100" s="330">
        <v>45555</v>
      </c>
      <c r="HN100" s="330">
        <v>45555</v>
      </c>
      <c r="HO100" s="330" t="e">
        <v>#N/A</v>
      </c>
      <c r="HP100" s="331">
        <v>45734</v>
      </c>
      <c r="HQ10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0" s="330">
        <v>45562</v>
      </c>
      <c r="HS100" s="330"/>
      <c r="HT100" s="330">
        <v>45562</v>
      </c>
      <c r="HU100" s="527"/>
      <c r="HV100" s="330">
        <f>IF(Table1[[#This Row],[MC-100 Aktual
(tanggal)]]&lt;&gt;"",Table1[[#This Row],[MC-100 Aktual
(tanggal)]]+5,"")</f>
        <v>45739</v>
      </c>
      <c r="HW10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0" s="47"/>
      <c r="HY100" s="352"/>
      <c r="HZ100" s="352"/>
      <c r="IB100" s="618">
        <f>IFERROR(ROUND((Table1[[#This Row],[PLAN TC
finish]]-Table1[[#This Row],[PLAN MC-0
start]])/30,2),"")</f>
        <v>0.9</v>
      </c>
      <c r="IC100">
        <f>DATEDIF(Table1[[#This Row],[PLAN MC-0
start]],Table1[[#This Row],[PLAN TC
finish]],"m")</f>
        <v>0</v>
      </c>
    </row>
    <row r="101" spans="2:237" s="4" customFormat="1" ht="15" customHeight="1" x14ac:dyDescent="0.2">
      <c r="B101" s="311">
        <f>SUBTOTAL(3,$D$5:D101)</f>
        <v>60</v>
      </c>
      <c r="C101" s="348">
        <v>97</v>
      </c>
      <c r="D101" s="315" t="s">
        <v>673</v>
      </c>
      <c r="E101" s="315" t="s">
        <v>734</v>
      </c>
      <c r="F101" s="315" t="s">
        <v>735</v>
      </c>
      <c r="G101" s="349">
        <v>45752</v>
      </c>
      <c r="H101" s="314" t="s">
        <v>247</v>
      </c>
      <c r="I101" s="315" t="s">
        <v>278</v>
      </c>
      <c r="J101" s="315"/>
      <c r="K101" s="338" t="s">
        <v>676</v>
      </c>
      <c r="L101" s="316" t="s">
        <v>250</v>
      </c>
      <c r="M101" s="316" t="s">
        <v>269</v>
      </c>
      <c r="N101" s="107">
        <v>50</v>
      </c>
      <c r="O101" s="31" t="s">
        <v>252</v>
      </c>
      <c r="P10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1" s="87" t="e">
        <v>#N/A</v>
      </c>
      <c r="S101" s="87">
        <v>1</v>
      </c>
      <c r="T101" s="35">
        <f>Table1[[#This Row],[Progres Total Aktual
(%)]]</f>
        <v>1</v>
      </c>
      <c r="U101" s="124">
        <f>Table1[[#This Row],[Progres Aktual
(%)]]-Table1[[#This Row],[Target Progres
(%)]]</f>
        <v>0</v>
      </c>
      <c r="V101" s="350">
        <f>Table1[[#This Row],["Volume
BA MC-0"]]</f>
        <v>279</v>
      </c>
      <c r="W101" s="351">
        <f>Table1[[#This Row],[Total Panjang Pipa Aktual
(Sum-&gt;)3]]</f>
        <v>316</v>
      </c>
      <c r="X101" s="47"/>
      <c r="Y101" s="67" t="s">
        <v>736</v>
      </c>
      <c r="Z101" s="67">
        <v>554419375</v>
      </c>
      <c r="AA101" s="67">
        <f>ROUND((Table1[[#This Row],[Nilai RAB Jaringan
(Exclude Ppn)]]-Table1[[#This Row],[RAB Perizinan]])*1.11+Table1[[#This Row],[RAB Perizinan]],0)</f>
        <v>0</v>
      </c>
      <c r="AB101" s="320">
        <f>SUM(Table1[[#This Row],[RAB Kegiatan Umum]:[RAB Perizinan]])</f>
        <v>0</v>
      </c>
      <c r="AC101" s="320"/>
      <c r="AD101" s="320"/>
      <c r="AE101" s="320"/>
      <c r="AF101" s="320"/>
      <c r="AG101" s="320">
        <v>8198594</v>
      </c>
      <c r="AH101" s="35" t="e">
        <f>SUM(Table1[[#This Row],[Bobot Keg Umum]:[Bobot Perizinan]])</f>
        <v>#DIV/0!</v>
      </c>
      <c r="AI101" s="35" t="e">
        <f>Table1[[#This Row],[RAB Kegiatan Umum]]/Table1[[#This Row],[Nilai RAB Jaringan
(Exclude Ppn)]]</f>
        <v>#DIV/0!</v>
      </c>
      <c r="AJ101" s="35" t="e">
        <f>Table1[[#This Row],[RAB Pemasangan]]/Table1[[#This Row],[Nilai RAB Jaringan
(Exclude Ppn)]]</f>
        <v>#DIV/0!</v>
      </c>
      <c r="AK101" s="35" t="e">
        <f>Table1[[#This Row],[RAB Pengadaan]]/Table1[[#This Row],[Nilai RAB Jaringan
(Exclude Ppn)]]</f>
        <v>#DIV/0!</v>
      </c>
      <c r="AL101" s="35" t="e">
        <f>Table1[[#This Row],[RAB Perizinan]]/Table1[[#This Row],[Nilai RAB Jaringan
(Exclude Ppn)]]</f>
        <v>#DIV/0!</v>
      </c>
      <c r="AM101" s="47"/>
      <c r="AN101" s="285">
        <v>279</v>
      </c>
      <c r="AO101" s="285">
        <f>SUM(Table1[[#This Row],[Pipa 63 mm]:[Pipa 1,800 mm]])</f>
        <v>0</v>
      </c>
      <c r="AP101" s="285"/>
      <c r="AQ101" s="285"/>
      <c r="AR101" s="285"/>
      <c r="AS101" s="285"/>
      <c r="AT101" s="285"/>
      <c r="AU101" s="285"/>
      <c r="AV101" s="285"/>
      <c r="AW101" s="285"/>
      <c r="AX101" s="285"/>
      <c r="AY101" s="285"/>
      <c r="AZ101" s="285"/>
      <c r="BA101" s="285"/>
      <c r="BB101" s="285"/>
      <c r="BC101" s="285"/>
      <c r="BD101" s="285"/>
      <c r="BE101" s="285"/>
      <c r="BF101" s="285"/>
      <c r="BG101" s="285"/>
      <c r="BH101" s="285"/>
      <c r="BI101" s="285"/>
      <c r="BJ101" s="36">
        <f>SUM(Table1[[#This Row],[Pipa 63 mm2]:[Pipa 1,800 mm21]])</f>
        <v>316</v>
      </c>
      <c r="BK101" s="32">
        <v>49</v>
      </c>
      <c r="BL101" s="32">
        <v>267</v>
      </c>
      <c r="BM101" s="32"/>
      <c r="BN101" s="32"/>
      <c r="BO101" s="32"/>
      <c r="BP101" s="32"/>
      <c r="BQ101" s="32"/>
      <c r="BR101" s="32"/>
      <c r="BS101" s="32"/>
      <c r="BT101" s="32"/>
      <c r="BU101" s="32"/>
      <c r="BV101" s="32"/>
      <c r="BW101" s="32"/>
      <c r="BX101" s="32"/>
      <c r="BY101" s="32"/>
      <c r="BZ101" s="32"/>
      <c r="CA101" s="32"/>
      <c r="CB101" s="32"/>
      <c r="CC101" s="32"/>
      <c r="CD101" s="32"/>
      <c r="CE101" s="32">
        <v>0</v>
      </c>
      <c r="CF101" s="32"/>
      <c r="CG101" s="32"/>
      <c r="CH101" s="32"/>
      <c r="CI101" s="32">
        <f t="shared" si="6"/>
        <v>0</v>
      </c>
      <c r="CJ101" s="65">
        <f>IF((Table1[[#This Row],["Volume
BA MC-0"]]-Table1[[#This Row],[Total Panjang Pipa Aktual
(Sum-&gt;)3]]-Table1[[#This Row],[Total Volume
tidak dapat dipasang]])&gt;=0,Table1[[#This Row],["Volume
BA MC-0"]]-Table1[[#This Row],[Total Panjang Pipa Aktual
(Sum-&gt;)3]]-Table1[[#This Row],[Total Volume
tidak dapat dipasang]],0)</f>
        <v>0</v>
      </c>
      <c r="CK101" s="47"/>
      <c r="CL101" s="131"/>
      <c r="CM101" s="35"/>
      <c r="CN101" s="131"/>
      <c r="CO101" s="131"/>
      <c r="CP10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1" s="66">
        <f>IFERROR(Table1[[#This Row],[Progres Keg. Umum
(%)]]*Table1[[#This Row],[Nilai RAB Jaringan
(file pa aji)]],0)</f>
        <v>0</v>
      </c>
      <c r="CR101" s="66">
        <f>IFERROR(Table1[[#This Row],[Progres MOS
(%)]]*Table1[[#This Row],[Nilai RAB Jaringan
(file pa aji)]],0)</f>
        <v>0</v>
      </c>
      <c r="CS101" s="66">
        <f>IFERROR(Table1[[#This Row],[Progres Pemasangan
(%)]]*Table1[[#This Row],[Nilai RAB Jaringan
(file pa aji)]],0)</f>
        <v>0</v>
      </c>
      <c r="CT101" s="66">
        <f>IFERROR(Table1[[#This Row],[Progres Perizinan
(%)]]*Table1[[#This Row],[Nilai RAB Jaringan
(file pa aji)]],0)</f>
        <v>0</v>
      </c>
      <c r="CU101" s="329">
        <v>542536517</v>
      </c>
      <c r="CV101" s="329">
        <v>542536517</v>
      </c>
      <c r="CW101" s="583">
        <v>542536517</v>
      </c>
      <c r="CX101" s="329">
        <v>542536517</v>
      </c>
      <c r="CY101" s="47"/>
      <c r="CZ101" s="330">
        <v>45411</v>
      </c>
      <c r="DA101" s="330">
        <v>45438</v>
      </c>
      <c r="DB101" s="331"/>
      <c r="DC101" s="316"/>
      <c r="DD101" s="67"/>
      <c r="DE10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1" s="331"/>
      <c r="DG101" s="316"/>
      <c r="DH101" s="67"/>
      <c r="DI10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1" s="330">
        <v>45439</v>
      </c>
      <c r="DK101" s="330">
        <v>45480</v>
      </c>
      <c r="DL101" s="331">
        <v>45448</v>
      </c>
      <c r="DM101" s="425" t="s">
        <v>737</v>
      </c>
      <c r="DN10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1" s="331">
        <v>45673</v>
      </c>
      <c r="DP101" s="426" t="s">
        <v>738</v>
      </c>
      <c r="DQ101" s="338" t="s">
        <v>297</v>
      </c>
      <c r="DR10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1" s="330">
        <v>45439</v>
      </c>
      <c r="DT101" s="330" t="e">
        <v>#N/A</v>
      </c>
      <c r="DU101" s="330">
        <v>45480</v>
      </c>
      <c r="DV101" s="330" t="e">
        <v>#N/A</v>
      </c>
      <c r="DW101" s="331"/>
      <c r="DX101" s="316"/>
      <c r="DY101" s="334"/>
      <c r="DZ101" s="334"/>
      <c r="EA10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1" s="331"/>
      <c r="EC101" s="332"/>
      <c r="ED101" s="332"/>
      <c r="EE101" s="330"/>
      <c r="EF101" s="35">
        <v>1</v>
      </c>
      <c r="EG101" s="337">
        <v>1</v>
      </c>
      <c r="EH101" s="316" t="str">
        <f>IF(Table1[[#This Row],[PO Material Aktual 
(%)]]&gt;=100%,"Selesai PO = 100%",IF(Table1[[#This Row],[PO Material Aktual 
(%)]]&gt;=50%,"Proses PO &gt; 100%",IF(Table1[[#This Row],[PO Material Aktual 
(%)]]&gt;0%,"Proses PO &gt; 50%",IF(Table1[[#This Row],[PO Material Aktual 
(%)]]=0,"Belum PO = 0%"))))</f>
        <v>Selesai PO = 100%</v>
      </c>
      <c r="EI10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1" s="330">
        <v>45481</v>
      </c>
      <c r="EK101" s="330" t="e">
        <v>#N/A</v>
      </c>
      <c r="EL101" s="330">
        <v>45529</v>
      </c>
      <c r="EM101" s="330" t="e">
        <v>#N/A</v>
      </c>
      <c r="EN101" s="331"/>
      <c r="EO101" s="332"/>
      <c r="EP101" s="332"/>
      <c r="EQ101" s="87">
        <v>1</v>
      </c>
      <c r="ER101" s="87">
        <v>1</v>
      </c>
      <c r="ES101" s="316" t="str">
        <f>IF(Table1[[#This Row],[Progres MOS]]&gt;=100%,"Selesai MOS = 100%",IF(Table1[[#This Row],[Progres MOS]]&gt;=50%,"Proses MOS &gt; 100%",IF(Table1[[#This Row],[Progres MOS]]&gt;0%,"Proses MOS &gt; 50%",IF(Table1[[#This Row],[Progres MOS]]=0,"Belum MOS = 0%"))))</f>
        <v>Selesai MOS = 100%</v>
      </c>
      <c r="ET10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01" s="47"/>
      <c r="EV101" s="330">
        <v>45439</v>
      </c>
      <c r="EW101" s="330" t="e">
        <v>#N/A</v>
      </c>
      <c r="EX101" s="330">
        <v>45529</v>
      </c>
      <c r="EY101" s="330" t="e">
        <v>#N/A</v>
      </c>
      <c r="EZ101" s="352" t="s">
        <v>298</v>
      </c>
      <c r="FA101" s="336" t="s">
        <v>259</v>
      </c>
      <c r="FB101" s="330" t="s">
        <v>260</v>
      </c>
      <c r="FC101" s="330">
        <v>45799</v>
      </c>
      <c r="FD101" s="330" t="s">
        <v>260</v>
      </c>
      <c r="FE101" s="330">
        <v>45875</v>
      </c>
      <c r="FF101" s="330">
        <v>45929</v>
      </c>
      <c r="FG101" s="330" t="s">
        <v>260</v>
      </c>
      <c r="FH101" s="330" t="s">
        <v>260</v>
      </c>
      <c r="FI101" s="330">
        <v>46021</v>
      </c>
      <c r="FJ101" s="330" t="s">
        <v>260</v>
      </c>
      <c r="FK101" s="330">
        <v>46087</v>
      </c>
      <c r="FL101" s="336" t="s">
        <v>298</v>
      </c>
      <c r="FM101" s="336">
        <v>45799</v>
      </c>
      <c r="FN101" s="314">
        <f>IF(Table1[[#This Row],[Tanggal Pengajuan Dokumen]]="","",Table1[[#This Row],[PLAN PERMIT
start]]-Table1[[#This Row],[Tanggal Pengajuan Dokumen]])</f>
        <v>-360</v>
      </c>
      <c r="FO101" s="336"/>
      <c r="FP101" s="316"/>
      <c r="FQ101" s="338"/>
      <c r="FR101" s="352"/>
      <c r="FS101" s="338" t="str">
        <f t="shared" ref="FS101:FS128" si="8">IF(COUNTIF(EZ101:FR101,"*terbit*")&gt;=1,"Sudah Terbit","On Going")</f>
        <v>Sudah Terbit</v>
      </c>
      <c r="FT10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1" s="344">
        <f ca="1">IF(Table1[[#This Row],[Status Izin]]="Selesai",Table1[[#This Row],[PLAN PERMIT
finish]]-Table1[[#This Row],[Tanggal Terbit/ Target Izin Terbit]],ROUNDUP(Table1[[#This Row],[PLAN PERMIT
finish]]-NOW(),0))</f>
        <v>45529</v>
      </c>
      <c r="FV10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1" s="344"/>
      <c r="FX101" s="47"/>
      <c r="FY101" s="340"/>
      <c r="FZ101" s="341"/>
      <c r="GA10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1" s="330">
        <v>45503</v>
      </c>
      <c r="GC101" s="352">
        <v>45410</v>
      </c>
      <c r="GD10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1" s="330">
        <v>45510</v>
      </c>
      <c r="GF101" s="352">
        <v>45410</v>
      </c>
      <c r="GG10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1" s="330">
        <v>45516</v>
      </c>
      <c r="GI101" s="330">
        <v>45522</v>
      </c>
      <c r="GJ101" s="352">
        <v>45386</v>
      </c>
      <c r="GK10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1" s="330">
        <v>45530</v>
      </c>
      <c r="GM101" s="330" t="e">
        <v>#N/A</v>
      </c>
      <c r="GN101" s="330">
        <v>45550</v>
      </c>
      <c r="GO101" s="330" t="e">
        <v>#N/A</v>
      </c>
      <c r="GP101" s="316"/>
      <c r="GQ10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1" s="330" t="s">
        <v>261</v>
      </c>
      <c r="GS101" s="421" t="s">
        <v>261</v>
      </c>
      <c r="GT101" s="427">
        <v>45552</v>
      </c>
      <c r="GU101" s="423" t="str">
        <f>IF(Table1[[#This Row],[Hydro Tes Actual
(tanggal)]]&lt;&gt;"","Sudah","Belum")</f>
        <v>Sudah</v>
      </c>
      <c r="GV101" s="330" t="s">
        <v>261</v>
      </c>
      <c r="GW101" s="330" t="s">
        <v>261</v>
      </c>
      <c r="GX101" s="331"/>
      <c r="GY101" s="344" t="str">
        <f>IF(Table1[[#This Row],[Interkoneksi Actual
(tanggal)]]&lt;&gt;"","Sudah","Belum")</f>
        <v>Belum</v>
      </c>
      <c r="GZ101" s="330" t="s">
        <v>261</v>
      </c>
      <c r="HA101" s="421" t="s">
        <v>261</v>
      </c>
      <c r="HB101" s="424">
        <v>45553</v>
      </c>
      <c r="HC101" s="344" t="str">
        <f>IF(Table1[[#This Row],[Flushing Actual
(tanggal)]]&lt;&gt;"","Sudah","Belum")</f>
        <v>Sudah</v>
      </c>
      <c r="HD101" s="330">
        <v>45537</v>
      </c>
      <c r="HE101" s="330" t="e">
        <v>#N/A</v>
      </c>
      <c r="HF101" s="330">
        <v>45543</v>
      </c>
      <c r="HG101" s="352">
        <v>45566</v>
      </c>
      <c r="HH10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1" s="330" t="s">
        <v>261</v>
      </c>
      <c r="HJ101" s="330" t="s">
        <v>261</v>
      </c>
      <c r="HK101" s="331"/>
      <c r="HL101" s="316"/>
      <c r="HM101" s="330">
        <v>45555</v>
      </c>
      <c r="HN101" s="330">
        <v>45555</v>
      </c>
      <c r="HO101" s="330" t="e">
        <v>#N/A</v>
      </c>
      <c r="HP101" s="331">
        <v>45733</v>
      </c>
      <c r="HQ10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1" s="330">
        <v>45562</v>
      </c>
      <c r="HS101" s="330"/>
      <c r="HT101" s="330">
        <v>45562</v>
      </c>
      <c r="HU101" s="527"/>
      <c r="HV101" s="330">
        <f>IF(Table1[[#This Row],[MC-100 Aktual
(tanggal)]]&lt;&gt;"",Table1[[#This Row],[MC-100 Aktual
(tanggal)]]+5,"")</f>
        <v>45738</v>
      </c>
      <c r="HW10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1" s="47"/>
      <c r="HY101" s="352"/>
      <c r="HZ101" s="352"/>
      <c r="IB101" s="618">
        <f>IFERROR(ROUND((Table1[[#This Row],[PLAN TC
finish]]-Table1[[#This Row],[PLAN MC-0
start]])/30,2),"")</f>
        <v>0.9</v>
      </c>
      <c r="IC101">
        <f>DATEDIF(Table1[[#This Row],[PLAN MC-0
start]],Table1[[#This Row],[PLAN TC
finish]],"m")</f>
        <v>0</v>
      </c>
    </row>
    <row r="102" spans="2:237" s="4" customFormat="1" ht="15" customHeight="1" x14ac:dyDescent="0.2">
      <c r="B102" s="311">
        <f>SUBTOTAL(3,$D$5:D102)</f>
        <v>61</v>
      </c>
      <c r="C102" s="348">
        <v>98</v>
      </c>
      <c r="D102" s="315" t="s">
        <v>673</v>
      </c>
      <c r="E102" s="315" t="s">
        <v>739</v>
      </c>
      <c r="F102" s="315" t="s">
        <v>740</v>
      </c>
      <c r="G102" s="349">
        <v>45752</v>
      </c>
      <c r="H102" s="314" t="s">
        <v>247</v>
      </c>
      <c r="I102" s="315" t="s">
        <v>278</v>
      </c>
      <c r="J102" s="315"/>
      <c r="K102" s="338" t="s">
        <v>676</v>
      </c>
      <c r="L102" s="316" t="s">
        <v>250</v>
      </c>
      <c r="M102" s="316" t="s">
        <v>269</v>
      </c>
      <c r="N102" s="107">
        <v>85</v>
      </c>
      <c r="O102" s="31" t="s">
        <v>252</v>
      </c>
      <c r="P10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2" s="87" t="e">
        <v>#N/A</v>
      </c>
      <c r="S102" s="87">
        <v>1</v>
      </c>
      <c r="T102" s="35">
        <f>Table1[[#This Row],[Progres Total Aktual
(%)]]</f>
        <v>1</v>
      </c>
      <c r="U102" s="124">
        <f>Table1[[#This Row],[Progres Aktual
(%)]]-Table1[[#This Row],[Target Progres
(%)]]</f>
        <v>0</v>
      </c>
      <c r="V102" s="350">
        <f>Table1[[#This Row],["Volume
BA MC-0"]]</f>
        <v>134</v>
      </c>
      <c r="W102" s="351">
        <f>Table1[[#This Row],[Total Panjang Pipa Aktual
(Sum-&gt;)3]]</f>
        <v>122</v>
      </c>
      <c r="X102" s="47"/>
      <c r="Y102" s="67" t="s">
        <v>741</v>
      </c>
      <c r="Z102" s="67">
        <v>188193531</v>
      </c>
      <c r="AA102" s="67">
        <f>ROUND((Table1[[#This Row],[Nilai RAB Jaringan
(Exclude Ppn)]]-Table1[[#This Row],[RAB Perizinan]])*1.11+Table1[[#This Row],[RAB Perizinan]],0)</f>
        <v>0</v>
      </c>
      <c r="AB102" s="320">
        <f>SUM(Table1[[#This Row],[RAB Kegiatan Umum]:[RAB Perizinan]])</f>
        <v>0</v>
      </c>
      <c r="AC102" s="320"/>
      <c r="AD102" s="320"/>
      <c r="AE102" s="320"/>
      <c r="AF102" s="320"/>
      <c r="AG102" s="320">
        <v>20496483</v>
      </c>
      <c r="AH102" s="35" t="e">
        <f>SUM(Table1[[#This Row],[Bobot Keg Umum]:[Bobot Perizinan]])</f>
        <v>#DIV/0!</v>
      </c>
      <c r="AI102" s="35" t="e">
        <f>Table1[[#This Row],[RAB Kegiatan Umum]]/Table1[[#This Row],[Nilai RAB Jaringan
(Exclude Ppn)]]</f>
        <v>#DIV/0!</v>
      </c>
      <c r="AJ102" s="35" t="e">
        <f>Table1[[#This Row],[RAB Pemasangan]]/Table1[[#This Row],[Nilai RAB Jaringan
(Exclude Ppn)]]</f>
        <v>#DIV/0!</v>
      </c>
      <c r="AK102" s="35" t="e">
        <f>Table1[[#This Row],[RAB Pengadaan]]/Table1[[#This Row],[Nilai RAB Jaringan
(Exclude Ppn)]]</f>
        <v>#DIV/0!</v>
      </c>
      <c r="AL102" s="35" t="e">
        <f>Table1[[#This Row],[RAB Perizinan]]/Table1[[#This Row],[Nilai RAB Jaringan
(Exclude Ppn)]]</f>
        <v>#DIV/0!</v>
      </c>
      <c r="AM102" s="47"/>
      <c r="AN102" s="285">
        <v>134</v>
      </c>
      <c r="AO102" s="285">
        <f>SUM(Table1[[#This Row],[Pipa 63 mm]:[Pipa 1,800 mm]])</f>
        <v>0</v>
      </c>
      <c r="AP102" s="285"/>
      <c r="AQ102" s="285"/>
      <c r="AR102" s="285"/>
      <c r="AS102" s="285"/>
      <c r="AT102" s="285"/>
      <c r="AU102" s="285"/>
      <c r="AV102" s="285"/>
      <c r="AW102" s="285"/>
      <c r="AX102" s="285"/>
      <c r="AY102" s="285"/>
      <c r="AZ102" s="285"/>
      <c r="BA102" s="285"/>
      <c r="BB102" s="285"/>
      <c r="BC102" s="285"/>
      <c r="BD102" s="285"/>
      <c r="BE102" s="285"/>
      <c r="BF102" s="285"/>
      <c r="BG102" s="285"/>
      <c r="BH102" s="285"/>
      <c r="BI102" s="285"/>
      <c r="BJ102" s="36">
        <f>SUM(Table1[[#This Row],[Pipa 63 mm2]:[Pipa 1,800 mm21]])</f>
        <v>122</v>
      </c>
      <c r="BK102" s="32">
        <v>122</v>
      </c>
      <c r="BL102" s="32"/>
      <c r="BM102" s="32"/>
      <c r="BN102" s="32"/>
      <c r="BO102" s="32"/>
      <c r="BP102" s="32"/>
      <c r="BQ102" s="32"/>
      <c r="BR102" s="32"/>
      <c r="BS102" s="32"/>
      <c r="BT102" s="32"/>
      <c r="BU102" s="32"/>
      <c r="BV102" s="32"/>
      <c r="BW102" s="32"/>
      <c r="BX102" s="32"/>
      <c r="BY102" s="32"/>
      <c r="BZ102" s="32"/>
      <c r="CA102" s="32"/>
      <c r="CB102" s="32"/>
      <c r="CC102" s="32"/>
      <c r="CD102" s="32"/>
      <c r="CE102" s="32">
        <v>0</v>
      </c>
      <c r="CF102" s="32"/>
      <c r="CG102" s="32"/>
      <c r="CH102" s="32"/>
      <c r="CI102" s="32">
        <f t="shared" si="6"/>
        <v>0</v>
      </c>
      <c r="CJ102" s="65">
        <f>IF((Table1[[#This Row],["Volume
BA MC-0"]]-Table1[[#This Row],[Total Panjang Pipa Aktual
(Sum-&gt;)3]]-Table1[[#This Row],[Total Volume
tidak dapat dipasang]])&gt;=0,Table1[[#This Row],["Volume
BA MC-0"]]-Table1[[#This Row],[Total Panjang Pipa Aktual
(Sum-&gt;)3]]-Table1[[#This Row],[Total Volume
tidak dapat dipasang]],0)</f>
        <v>12</v>
      </c>
      <c r="CK102" s="47"/>
      <c r="CL102" s="131"/>
      <c r="CM102" s="35"/>
      <c r="CN102" s="131"/>
      <c r="CO102" s="131"/>
      <c r="CP10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2" s="66">
        <f>IFERROR(Table1[[#This Row],[Progres Keg. Umum
(%)]]*Table1[[#This Row],[Nilai RAB Jaringan
(file pa aji)]],0)</f>
        <v>0</v>
      </c>
      <c r="CR102" s="66">
        <f>IFERROR(Table1[[#This Row],[Progres MOS
(%)]]*Table1[[#This Row],[Nilai RAB Jaringan
(file pa aji)]],0)</f>
        <v>0</v>
      </c>
      <c r="CS102" s="66">
        <f>IFERROR(Table1[[#This Row],[Progres Pemasangan
(%)]]*Table1[[#This Row],[Nilai RAB Jaringan
(file pa aji)]],0)</f>
        <v>0</v>
      </c>
      <c r="CT102" s="66">
        <f>IFERROR(Table1[[#This Row],[Progres Perizinan
(%)]]*Table1[[#This Row],[Nilai RAB Jaringan
(file pa aji)]],0)</f>
        <v>0</v>
      </c>
      <c r="CU102" s="329">
        <v>429603948</v>
      </c>
      <c r="CV102" s="329">
        <v>429603948</v>
      </c>
      <c r="CW102" s="583">
        <v>429603948</v>
      </c>
      <c r="CX102" s="329">
        <v>429603948</v>
      </c>
      <c r="CY102" s="47"/>
      <c r="CZ102" s="330">
        <v>45411</v>
      </c>
      <c r="DA102" s="330">
        <v>45438</v>
      </c>
      <c r="DB102" s="331"/>
      <c r="DC102" s="316"/>
      <c r="DD102" s="67"/>
      <c r="DE10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2" s="331"/>
      <c r="DG102" s="316"/>
      <c r="DH102" s="67"/>
      <c r="DI10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2" s="330">
        <v>45439</v>
      </c>
      <c r="DK102" s="330">
        <v>45480</v>
      </c>
      <c r="DL102" s="331">
        <v>45553</v>
      </c>
      <c r="DM102" s="425" t="s">
        <v>742</v>
      </c>
      <c r="DN10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02" s="331"/>
      <c r="DP102" s="316"/>
      <c r="DQ102" s="338" t="s">
        <v>371</v>
      </c>
      <c r="DR10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02" s="330">
        <v>45439</v>
      </c>
      <c r="DT102" s="330" t="e">
        <v>#N/A</v>
      </c>
      <c r="DU102" s="330">
        <v>45480</v>
      </c>
      <c r="DV102" s="330" t="e">
        <v>#N/A</v>
      </c>
      <c r="DW102" s="331"/>
      <c r="DX102" s="316"/>
      <c r="DY102" s="334"/>
      <c r="DZ102" s="334"/>
      <c r="EA10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2" s="331"/>
      <c r="EC102" s="332"/>
      <c r="ED102" s="332"/>
      <c r="EE102" s="330"/>
      <c r="EF102" s="35">
        <v>1</v>
      </c>
      <c r="EG102" s="337">
        <v>1</v>
      </c>
      <c r="EH102" s="316" t="str">
        <f>IF(Table1[[#This Row],[PO Material Aktual 
(%)]]&gt;=100%,"Selesai PO = 100%",IF(Table1[[#This Row],[PO Material Aktual 
(%)]]&gt;=50%,"Proses PO &gt; 100%",IF(Table1[[#This Row],[PO Material Aktual 
(%)]]&gt;0%,"Proses PO &gt; 50%",IF(Table1[[#This Row],[PO Material Aktual 
(%)]]=0,"Belum PO = 0%"))))</f>
        <v>Selesai PO = 100%</v>
      </c>
      <c r="EI10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2" s="330">
        <v>45481</v>
      </c>
      <c r="EK102" s="330" t="e">
        <v>#N/A</v>
      </c>
      <c r="EL102" s="330">
        <v>45529</v>
      </c>
      <c r="EM102" s="330" t="e">
        <v>#N/A</v>
      </c>
      <c r="EN102" s="331">
        <v>45707</v>
      </c>
      <c r="EO102" s="332"/>
      <c r="EP102" s="332"/>
      <c r="EQ102" s="87">
        <v>1</v>
      </c>
      <c r="ER102" s="87">
        <v>1</v>
      </c>
      <c r="ES102" s="316" t="str">
        <f>IF(Table1[[#This Row],[Progres MOS]]&gt;=100%,"Selesai MOS = 100%",IF(Table1[[#This Row],[Progres MOS]]&gt;=50%,"Proses MOS &gt; 100%",IF(Table1[[#This Row],[Progres MOS]]&gt;0%,"Proses MOS &gt; 50%",IF(Table1[[#This Row],[Progres MOS]]=0,"Belum MOS = 0%"))))</f>
        <v>Selesai MOS = 100%</v>
      </c>
      <c r="ET10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2" s="47"/>
      <c r="EV102" s="330">
        <v>45439</v>
      </c>
      <c r="EW102" s="330" t="e">
        <v>#N/A</v>
      </c>
      <c r="EX102" s="330">
        <v>45529</v>
      </c>
      <c r="EY102" s="330" t="e">
        <v>#N/A</v>
      </c>
      <c r="EZ102" s="352" t="s">
        <v>298</v>
      </c>
      <c r="FA102" s="336" t="s">
        <v>259</v>
      </c>
      <c r="FB102" s="330" t="s">
        <v>260</v>
      </c>
      <c r="FC102" s="330">
        <v>45799</v>
      </c>
      <c r="FD102" s="330" t="s">
        <v>260</v>
      </c>
      <c r="FE102" s="330">
        <v>45875</v>
      </c>
      <c r="FF102" s="330">
        <v>45929</v>
      </c>
      <c r="FG102" s="330" t="s">
        <v>260</v>
      </c>
      <c r="FH102" s="330" t="s">
        <v>260</v>
      </c>
      <c r="FI102" s="330">
        <v>46021</v>
      </c>
      <c r="FJ102" s="330" t="s">
        <v>260</v>
      </c>
      <c r="FK102" s="330">
        <v>46087</v>
      </c>
      <c r="FL102" s="336" t="s">
        <v>298</v>
      </c>
      <c r="FM102" s="336">
        <v>45799</v>
      </c>
      <c r="FN102" s="314">
        <f>IF(Table1[[#This Row],[Tanggal Pengajuan Dokumen]]="","",Table1[[#This Row],[PLAN PERMIT
start]]-Table1[[#This Row],[Tanggal Pengajuan Dokumen]])</f>
        <v>-360</v>
      </c>
      <c r="FO102" s="336"/>
      <c r="FP102" s="316"/>
      <c r="FQ102" s="338"/>
      <c r="FR102" s="352"/>
      <c r="FS102" s="338" t="str">
        <f t="shared" si="8"/>
        <v>Sudah Terbit</v>
      </c>
      <c r="FT10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2" s="344">
        <f ca="1">IF(Table1[[#This Row],[Status Izin]]="Selesai",Table1[[#This Row],[PLAN PERMIT
finish]]-Table1[[#This Row],[Tanggal Terbit/ Target Izin Terbit]],ROUNDUP(Table1[[#This Row],[PLAN PERMIT
finish]]-NOW(),0))</f>
        <v>45529</v>
      </c>
      <c r="FV10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2" s="344"/>
      <c r="FX102" s="47"/>
      <c r="FY102" s="340"/>
      <c r="FZ102" s="341"/>
      <c r="GA10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2" s="330">
        <v>45503</v>
      </c>
      <c r="GC102" s="352">
        <v>45379</v>
      </c>
      <c r="GD10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2" s="330">
        <v>45510</v>
      </c>
      <c r="GF102" s="352">
        <v>45379</v>
      </c>
      <c r="GG10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2" s="330">
        <v>45516</v>
      </c>
      <c r="GI102" s="330">
        <v>45522</v>
      </c>
      <c r="GJ102" s="352">
        <v>45386</v>
      </c>
      <c r="GK10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2" s="330">
        <v>45530</v>
      </c>
      <c r="GM102" s="330" t="e">
        <v>#N/A</v>
      </c>
      <c r="GN102" s="330">
        <v>45550</v>
      </c>
      <c r="GO102" s="330" t="e">
        <v>#N/A</v>
      </c>
      <c r="GP102" s="316"/>
      <c r="GQ10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2" s="330" t="s">
        <v>261</v>
      </c>
      <c r="GS102" s="421" t="s">
        <v>261</v>
      </c>
      <c r="GT102" s="427">
        <v>45470</v>
      </c>
      <c r="GU102" s="423" t="str">
        <f>IF(Table1[[#This Row],[Hydro Tes Actual
(tanggal)]]&lt;&gt;"","Sudah","Belum")</f>
        <v>Sudah</v>
      </c>
      <c r="GV102" s="330" t="s">
        <v>261</v>
      </c>
      <c r="GW102" s="330" t="s">
        <v>261</v>
      </c>
      <c r="GX102" s="331"/>
      <c r="GY102" s="344" t="str">
        <f>IF(Table1[[#This Row],[Interkoneksi Actual
(tanggal)]]&lt;&gt;"","Sudah","Belum")</f>
        <v>Belum</v>
      </c>
      <c r="GZ102" s="330" t="s">
        <v>261</v>
      </c>
      <c r="HA102" s="421" t="s">
        <v>261</v>
      </c>
      <c r="HB102" s="428" t="s">
        <v>743</v>
      </c>
      <c r="HC102" s="344" t="str">
        <f>IF(Table1[[#This Row],[Flushing Actual
(tanggal)]]&lt;&gt;"","Sudah","Belum")</f>
        <v>Sudah</v>
      </c>
      <c r="HD102" s="330">
        <v>45537</v>
      </c>
      <c r="HE102" s="330" t="e">
        <v>#N/A</v>
      </c>
      <c r="HF102" s="330">
        <v>45543</v>
      </c>
      <c r="HG102" s="352">
        <v>45561</v>
      </c>
      <c r="HH10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2" s="330" t="s">
        <v>261</v>
      </c>
      <c r="HJ102" s="330" t="s">
        <v>261</v>
      </c>
      <c r="HK102" s="331"/>
      <c r="HL102" s="316"/>
      <c r="HM102" s="330">
        <v>45555</v>
      </c>
      <c r="HN102" s="330">
        <v>45555</v>
      </c>
      <c r="HO102" s="330" t="e">
        <v>#N/A</v>
      </c>
      <c r="HP102" s="331">
        <v>45734</v>
      </c>
      <c r="HQ10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2" s="330">
        <v>45562</v>
      </c>
      <c r="HS102" s="330"/>
      <c r="HT102" s="330">
        <v>45562</v>
      </c>
      <c r="HU102" s="527"/>
      <c r="HV102" s="330">
        <f>IF(Table1[[#This Row],[MC-100 Aktual
(tanggal)]]&lt;&gt;"",Table1[[#This Row],[MC-100 Aktual
(tanggal)]]+5,"")</f>
        <v>45739</v>
      </c>
      <c r="HW10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2" s="47"/>
      <c r="HY102" s="352"/>
      <c r="HZ102" s="352"/>
      <c r="IB102" s="618">
        <f>IFERROR(ROUND((Table1[[#This Row],[PLAN TC
finish]]-Table1[[#This Row],[PLAN MC-0
start]])/30,2),"")</f>
        <v>0.9</v>
      </c>
      <c r="IC102">
        <f>DATEDIF(Table1[[#This Row],[PLAN MC-0
start]],Table1[[#This Row],[PLAN TC
finish]],"m")</f>
        <v>0</v>
      </c>
    </row>
    <row r="103" spans="2:237" s="4" customFormat="1" ht="15" customHeight="1" x14ac:dyDescent="0.2">
      <c r="B103" s="311">
        <f>SUBTOTAL(3,$D$5:D103)</f>
        <v>62</v>
      </c>
      <c r="C103" s="348">
        <v>99</v>
      </c>
      <c r="D103" s="315" t="s">
        <v>673</v>
      </c>
      <c r="E103" s="315" t="s">
        <v>744</v>
      </c>
      <c r="F103" s="315" t="s">
        <v>745</v>
      </c>
      <c r="G103" s="349">
        <v>45752</v>
      </c>
      <c r="H103" s="314" t="s">
        <v>247</v>
      </c>
      <c r="I103" s="315" t="s">
        <v>278</v>
      </c>
      <c r="J103" s="315"/>
      <c r="K103" s="338" t="s">
        <v>676</v>
      </c>
      <c r="L103" s="316" t="s">
        <v>250</v>
      </c>
      <c r="M103" s="316" t="s">
        <v>269</v>
      </c>
      <c r="N103" s="107">
        <v>14689</v>
      </c>
      <c r="O103" s="31" t="s">
        <v>252</v>
      </c>
      <c r="P10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3" s="87" t="e">
        <v>#N/A</v>
      </c>
      <c r="S103" s="87">
        <v>1</v>
      </c>
      <c r="T103" s="35">
        <f>Table1[[#This Row],[Progres Total Aktual
(%)]]</f>
        <v>1</v>
      </c>
      <c r="U103" s="124">
        <f>Table1[[#This Row],[Progres Aktual
(%)]]-Table1[[#This Row],[Target Progres
(%)]]</f>
        <v>0</v>
      </c>
      <c r="V103" s="350">
        <f>Table1[[#This Row],["Volume
BA MC-0"]]</f>
        <v>15368</v>
      </c>
      <c r="W103" s="351">
        <f>Table1[[#This Row],[Total Panjang Pipa Aktual
(Sum-&gt;)3]]</f>
        <v>15669</v>
      </c>
      <c r="X103" s="47"/>
      <c r="Y103" s="67" t="s">
        <v>746</v>
      </c>
      <c r="Z103" s="67">
        <v>11318856344</v>
      </c>
      <c r="AA103" s="67">
        <f>ROUND((Table1[[#This Row],[Nilai RAB Jaringan
(Exclude Ppn)]]-Table1[[#This Row],[RAB Perizinan]])*1.11+Table1[[#This Row],[RAB Perizinan]],0)</f>
        <v>0</v>
      </c>
      <c r="AB103" s="320">
        <f>SUM(Table1[[#This Row],[RAB Kegiatan Umum]:[RAB Perizinan]])</f>
        <v>0</v>
      </c>
      <c r="AC103" s="320"/>
      <c r="AD103" s="320"/>
      <c r="AE103" s="320"/>
      <c r="AF103" s="320"/>
      <c r="AG103" s="320">
        <v>2648145604</v>
      </c>
      <c r="AH103" s="35" t="e">
        <f>SUM(Table1[[#This Row],[Bobot Keg Umum]:[Bobot Perizinan]])</f>
        <v>#DIV/0!</v>
      </c>
      <c r="AI103" s="35" t="e">
        <f>Table1[[#This Row],[RAB Kegiatan Umum]]/Table1[[#This Row],[Nilai RAB Jaringan
(Exclude Ppn)]]</f>
        <v>#DIV/0!</v>
      </c>
      <c r="AJ103" s="35" t="e">
        <f>Table1[[#This Row],[RAB Pemasangan]]/Table1[[#This Row],[Nilai RAB Jaringan
(Exclude Ppn)]]</f>
        <v>#DIV/0!</v>
      </c>
      <c r="AK103" s="35" t="e">
        <f>Table1[[#This Row],[RAB Pengadaan]]/Table1[[#This Row],[Nilai RAB Jaringan
(Exclude Ppn)]]</f>
        <v>#DIV/0!</v>
      </c>
      <c r="AL103" s="35" t="e">
        <f>Table1[[#This Row],[RAB Perizinan]]/Table1[[#This Row],[Nilai RAB Jaringan
(Exclude Ppn)]]</f>
        <v>#DIV/0!</v>
      </c>
      <c r="AM103" s="47"/>
      <c r="AN103" s="285">
        <v>15368</v>
      </c>
      <c r="AO103" s="285">
        <f>SUM(Table1[[#This Row],[Pipa 63 mm]:[Pipa 1,800 mm]])</f>
        <v>0</v>
      </c>
      <c r="AP103" s="285"/>
      <c r="AQ103" s="285"/>
      <c r="AR103" s="285"/>
      <c r="AS103" s="285"/>
      <c r="AT103" s="285"/>
      <c r="AU103" s="285"/>
      <c r="AV103" s="285"/>
      <c r="AW103" s="285"/>
      <c r="AX103" s="285"/>
      <c r="AY103" s="285"/>
      <c r="AZ103" s="285"/>
      <c r="BA103" s="285"/>
      <c r="BB103" s="285"/>
      <c r="BC103" s="285"/>
      <c r="BD103" s="285"/>
      <c r="BE103" s="285"/>
      <c r="BF103" s="285"/>
      <c r="BG103" s="285"/>
      <c r="BH103" s="285"/>
      <c r="BI103" s="285"/>
      <c r="BJ103" s="36">
        <f>SUM(Table1[[#This Row],[Pipa 63 mm2]:[Pipa 1,800 mm21]])</f>
        <v>15669</v>
      </c>
      <c r="BK103" s="32">
        <v>38</v>
      </c>
      <c r="BL103" s="32">
        <f>13411+182</f>
        <v>13593</v>
      </c>
      <c r="BM103" s="32">
        <v>1465</v>
      </c>
      <c r="BN103" s="32">
        <f>257+12</f>
        <v>269</v>
      </c>
      <c r="BO103" s="32">
        <f>160+40</f>
        <v>200</v>
      </c>
      <c r="BP103" s="32">
        <v>8</v>
      </c>
      <c r="BQ103" s="32">
        <v>96</v>
      </c>
      <c r="BR103" s="32"/>
      <c r="BS103" s="32"/>
      <c r="BT103" s="32"/>
      <c r="BU103" s="32"/>
      <c r="BV103" s="32"/>
      <c r="BW103" s="32"/>
      <c r="BX103" s="32"/>
      <c r="BY103" s="32"/>
      <c r="BZ103" s="32"/>
      <c r="CA103" s="32"/>
      <c r="CB103" s="32"/>
      <c r="CC103" s="32"/>
      <c r="CD103" s="32"/>
      <c r="CE103" s="32">
        <v>0</v>
      </c>
      <c r="CF103" s="32"/>
      <c r="CG103" s="32"/>
      <c r="CH103" s="32"/>
      <c r="CI103" s="32">
        <f t="shared" si="6"/>
        <v>0</v>
      </c>
      <c r="CJ103" s="65">
        <f>IF((Table1[[#This Row],["Volume
BA MC-0"]]-Table1[[#This Row],[Total Panjang Pipa Aktual
(Sum-&gt;)3]]-Table1[[#This Row],[Total Volume
tidak dapat dipasang]])&gt;=0,Table1[[#This Row],["Volume
BA MC-0"]]-Table1[[#This Row],[Total Panjang Pipa Aktual
(Sum-&gt;)3]]-Table1[[#This Row],[Total Volume
tidak dapat dipasang]],0)</f>
        <v>0</v>
      </c>
      <c r="CK103" s="47"/>
      <c r="CL103" s="131"/>
      <c r="CM103" s="35"/>
      <c r="CN103" s="131"/>
      <c r="CO103" s="131"/>
      <c r="CP10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3" s="66">
        <f>IFERROR(Table1[[#This Row],[Progres Keg. Umum
(%)]]*Table1[[#This Row],[Nilai RAB Jaringan
(file pa aji)]],0)</f>
        <v>0</v>
      </c>
      <c r="CR103" s="66">
        <f>IFERROR(Table1[[#This Row],[Progres MOS
(%)]]*Table1[[#This Row],[Nilai RAB Jaringan
(file pa aji)]],0)</f>
        <v>0</v>
      </c>
      <c r="CS103" s="66">
        <f>IFERROR(Table1[[#This Row],[Progres Pemasangan
(%)]]*Table1[[#This Row],[Nilai RAB Jaringan
(file pa aji)]],0)</f>
        <v>0</v>
      </c>
      <c r="CT103" s="66">
        <f>IFERROR(Table1[[#This Row],[Progres Perizinan
(%)]]*Table1[[#This Row],[Nilai RAB Jaringan
(file pa aji)]],0)</f>
        <v>0</v>
      </c>
      <c r="CU103" s="329">
        <v>11391069631</v>
      </c>
      <c r="CV103" s="329">
        <v>11391069631</v>
      </c>
      <c r="CW103" s="583">
        <v>11391069631</v>
      </c>
      <c r="CX103" s="329">
        <v>11391069631</v>
      </c>
      <c r="CY103" s="47"/>
      <c r="CZ103" s="330">
        <v>45292</v>
      </c>
      <c r="DA103" s="330">
        <v>45326</v>
      </c>
      <c r="DB103" s="331"/>
      <c r="DC103" s="316"/>
      <c r="DD103" s="67"/>
      <c r="DE10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3" s="331"/>
      <c r="DG103" s="316"/>
      <c r="DH103" s="67"/>
      <c r="DI10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3" s="330">
        <v>45327</v>
      </c>
      <c r="DK103" s="330">
        <v>45445</v>
      </c>
      <c r="DL103" s="331">
        <v>45210</v>
      </c>
      <c r="DM103" s="425" t="s">
        <v>747</v>
      </c>
      <c r="DN10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3" s="331">
        <v>45240</v>
      </c>
      <c r="DP103" s="426" t="s">
        <v>748</v>
      </c>
      <c r="DQ103" s="338" t="s">
        <v>560</v>
      </c>
      <c r="DR10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3" s="330">
        <v>45327</v>
      </c>
      <c r="DT103" s="330" t="e">
        <v>#N/A</v>
      </c>
      <c r="DU103" s="330">
        <v>45375</v>
      </c>
      <c r="DV103" s="330" t="e">
        <v>#N/A</v>
      </c>
      <c r="DW103" s="331"/>
      <c r="DX103" s="316"/>
      <c r="DY103" s="334"/>
      <c r="DZ103" s="334"/>
      <c r="EA10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3" s="331"/>
      <c r="EC103" s="332"/>
      <c r="ED103" s="332"/>
      <c r="EE103" s="330"/>
      <c r="EF103" s="35">
        <v>1</v>
      </c>
      <c r="EG103" s="337">
        <v>1</v>
      </c>
      <c r="EH103" s="316" t="str">
        <f>IF(Table1[[#This Row],[PO Material Aktual 
(%)]]&gt;=100%,"Selesai PO = 100%",IF(Table1[[#This Row],[PO Material Aktual 
(%)]]&gt;=50%,"Proses PO &gt; 100%",IF(Table1[[#This Row],[PO Material Aktual 
(%)]]&gt;0%,"Proses PO &gt; 50%",IF(Table1[[#This Row],[PO Material Aktual 
(%)]]=0,"Belum PO = 0%"))))</f>
        <v>Selesai PO = 100%</v>
      </c>
      <c r="EI10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3" s="330">
        <v>45376</v>
      </c>
      <c r="EK103" s="330" t="e">
        <v>#N/A</v>
      </c>
      <c r="EL103" s="330">
        <v>45564</v>
      </c>
      <c r="EM103" s="330" t="e">
        <v>#N/A</v>
      </c>
      <c r="EN103" s="331">
        <v>46160</v>
      </c>
      <c r="EO103" s="332"/>
      <c r="EP103" s="332"/>
      <c r="EQ103" s="87">
        <v>1</v>
      </c>
      <c r="ER103" s="87">
        <v>1</v>
      </c>
      <c r="ES103" s="316" t="str">
        <f>IF(Table1[[#This Row],[Progres MOS]]&gt;=100%,"Selesai MOS = 100%",IF(Table1[[#This Row],[Progres MOS]]&gt;=50%,"Proses MOS &gt; 100%",IF(Table1[[#This Row],[Progres MOS]]&gt;0%,"Proses MOS &gt; 50%",IF(Table1[[#This Row],[Progres MOS]]=0,"Belum MOS = 0%"))))</f>
        <v>Selesai MOS = 100%</v>
      </c>
      <c r="ET10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3" s="47"/>
      <c r="EV103" s="330">
        <v>45327</v>
      </c>
      <c r="EW103" s="330" t="e">
        <v>#N/A</v>
      </c>
      <c r="EX103" s="330">
        <v>45473</v>
      </c>
      <c r="EY103" s="330" t="e">
        <v>#N/A</v>
      </c>
      <c r="EZ103" s="352" t="s">
        <v>259</v>
      </c>
      <c r="FA103" s="336" t="s">
        <v>259</v>
      </c>
      <c r="FB103" s="330" t="s">
        <v>260</v>
      </c>
      <c r="FC103" s="330">
        <v>45230</v>
      </c>
      <c r="FD103" s="330" t="s">
        <v>260</v>
      </c>
      <c r="FE103" s="330"/>
      <c r="FF103" s="330">
        <v>45344</v>
      </c>
      <c r="FG103" s="330" t="s">
        <v>260</v>
      </c>
      <c r="FH103" s="330" t="s">
        <v>260</v>
      </c>
      <c r="FI103" s="330">
        <v>45473</v>
      </c>
      <c r="FJ103" s="330" t="s">
        <v>260</v>
      </c>
      <c r="FK103" s="330">
        <v>45531</v>
      </c>
      <c r="FL103" s="336" t="s">
        <v>259</v>
      </c>
      <c r="FM103" s="336"/>
      <c r="FN103" s="314" t="str">
        <f>IF(Table1[[#This Row],[Tanggal Pengajuan Dokumen]]="","",Table1[[#This Row],[PLAN PERMIT
start]]-Table1[[#This Row],[Tanggal Pengajuan Dokumen]])</f>
        <v/>
      </c>
      <c r="FO103" s="336"/>
      <c r="FP103" s="316"/>
      <c r="FQ103" s="338"/>
      <c r="FR103" s="352"/>
      <c r="FS103" s="338" t="str">
        <f t="shared" si="8"/>
        <v>Sudah Terbit</v>
      </c>
      <c r="FT10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3" s="344">
        <f ca="1">IF(Table1[[#This Row],[Status Izin]]="Selesai",Table1[[#This Row],[PLAN PERMIT
finish]]-Table1[[#This Row],[Tanggal Terbit/ Target Izin Terbit]],ROUNDUP(Table1[[#This Row],[PLAN PERMIT
finish]]-NOW(),0))</f>
        <v>45473</v>
      </c>
      <c r="FV10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3" s="344"/>
      <c r="FX103" s="47"/>
      <c r="FY103" s="340"/>
      <c r="FZ103" s="341"/>
      <c r="GA10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3" s="330">
        <v>45447</v>
      </c>
      <c r="GC103" s="352">
        <v>45245</v>
      </c>
      <c r="GD10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3" s="330">
        <v>45454</v>
      </c>
      <c r="GF103" s="352">
        <v>45245</v>
      </c>
      <c r="GG10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3" s="330">
        <v>45460</v>
      </c>
      <c r="GI103" s="330">
        <v>45466</v>
      </c>
      <c r="GJ103" s="352">
        <v>45349</v>
      </c>
      <c r="GK10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3" s="330">
        <v>45474</v>
      </c>
      <c r="GM103" s="330" t="e">
        <v>#N/A</v>
      </c>
      <c r="GN103" s="330">
        <v>45641</v>
      </c>
      <c r="GO103" s="330" t="e">
        <v>#N/A</v>
      </c>
      <c r="GP103" s="316"/>
      <c r="GQ10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3" s="330" t="s">
        <v>261</v>
      </c>
      <c r="GS103" s="421" t="s">
        <v>261</v>
      </c>
      <c r="GT103" s="429" t="s">
        <v>749</v>
      </c>
      <c r="GU103" s="423" t="str">
        <f>IF(Table1[[#This Row],[Hydro Tes Actual
(tanggal)]]&lt;&gt;"","Sudah","Belum")</f>
        <v>Sudah</v>
      </c>
      <c r="GV103" s="330" t="s">
        <v>261</v>
      </c>
      <c r="GW103" s="330" t="s">
        <v>261</v>
      </c>
      <c r="GX103" s="331"/>
      <c r="GY103" s="344" t="str">
        <f>IF(Table1[[#This Row],[Interkoneksi Actual
(tanggal)]]&lt;&gt;"","Sudah","Belum")</f>
        <v>Belum</v>
      </c>
      <c r="GZ103" s="330" t="s">
        <v>261</v>
      </c>
      <c r="HA103" s="421" t="s">
        <v>261</v>
      </c>
      <c r="HB103" s="428" t="s">
        <v>750</v>
      </c>
      <c r="HC103" s="344" t="str">
        <f>IF(Table1[[#This Row],[Flushing Actual
(tanggal)]]&lt;&gt;"","Sudah","Belum")</f>
        <v>Sudah</v>
      </c>
      <c r="HD103" s="330">
        <v>45621</v>
      </c>
      <c r="HE103" s="330" t="e">
        <v>#N/A</v>
      </c>
      <c r="HF103" s="330">
        <v>45627</v>
      </c>
      <c r="HG103" s="352">
        <v>45679</v>
      </c>
      <c r="HH10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3" s="330" t="s">
        <v>261</v>
      </c>
      <c r="HJ103" s="330" t="s">
        <v>261</v>
      </c>
      <c r="HK103" s="331"/>
      <c r="HL103" s="316"/>
      <c r="HM103" s="330">
        <v>45646</v>
      </c>
      <c r="HN103" s="330">
        <v>45646</v>
      </c>
      <c r="HO103" s="330" t="e">
        <v>#N/A</v>
      </c>
      <c r="HP103" s="331">
        <v>45735</v>
      </c>
      <c r="HQ10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3" s="330">
        <v>45653</v>
      </c>
      <c r="HS103" s="330"/>
      <c r="HT103" s="330">
        <v>45653</v>
      </c>
      <c r="HU103" s="527"/>
      <c r="HV103" s="330">
        <f>IF(Table1[[#This Row],[MC-100 Aktual
(tanggal)]]&lt;&gt;"",Table1[[#This Row],[MC-100 Aktual
(tanggal)]]+5,"")</f>
        <v>45740</v>
      </c>
      <c r="HW10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3" s="47"/>
      <c r="HY103" s="352"/>
      <c r="HZ103" s="352"/>
      <c r="IB103" s="618">
        <f>IFERROR(ROUND((Table1[[#This Row],[PLAN TC
finish]]-Table1[[#This Row],[PLAN MC-0
start]])/30,2),"")</f>
        <v>5.57</v>
      </c>
      <c r="IC103">
        <f>DATEDIF(Table1[[#This Row],[PLAN MC-0
start]],Table1[[#This Row],[PLAN TC
finish]],"m")</f>
        <v>5</v>
      </c>
    </row>
    <row r="104" spans="2:237" s="4" customFormat="1" ht="15" customHeight="1" x14ac:dyDescent="0.2">
      <c r="B104" s="311">
        <f>SUBTOTAL(3,$D$5:D104)</f>
        <v>63</v>
      </c>
      <c r="C104" s="348">
        <v>100</v>
      </c>
      <c r="D104" s="315" t="s">
        <v>673</v>
      </c>
      <c r="E104" s="315" t="s">
        <v>751</v>
      </c>
      <c r="F104" s="315" t="s">
        <v>752</v>
      </c>
      <c r="G104" s="349">
        <v>45752</v>
      </c>
      <c r="H104" s="314" t="s">
        <v>247</v>
      </c>
      <c r="I104" s="315" t="s">
        <v>278</v>
      </c>
      <c r="J104" s="315"/>
      <c r="K104" s="338" t="s">
        <v>676</v>
      </c>
      <c r="L104" s="316" t="s">
        <v>250</v>
      </c>
      <c r="M104" s="316" t="s">
        <v>269</v>
      </c>
      <c r="N104" s="107">
        <v>4951</v>
      </c>
      <c r="O104" s="31" t="s">
        <v>252</v>
      </c>
      <c r="P104"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4" s="87" t="e">
        <v>#N/A</v>
      </c>
      <c r="S104" s="87">
        <v>1</v>
      </c>
      <c r="T104" s="35">
        <f>Table1[[#This Row],[Progres Total Aktual
(%)]]</f>
        <v>1</v>
      </c>
      <c r="U104" s="124">
        <f>Table1[[#This Row],[Progres Aktual
(%)]]-Table1[[#This Row],[Target Progres
(%)]]</f>
        <v>0</v>
      </c>
      <c r="V104" s="350">
        <f>Table1[[#This Row],["Volume
BA MC-0"]]</f>
        <v>5152</v>
      </c>
      <c r="W104" s="351">
        <f>Table1[[#This Row],[Total Panjang Pipa Aktual
(Sum-&gt;)3]]</f>
        <v>4865</v>
      </c>
      <c r="X104" s="47"/>
      <c r="Y104" s="67" t="s">
        <v>753</v>
      </c>
      <c r="Z104" s="67">
        <v>5569263556</v>
      </c>
      <c r="AA104" s="67">
        <f>ROUND((Table1[[#This Row],[Nilai RAB Jaringan
(Exclude Ppn)]]-Table1[[#This Row],[RAB Perizinan]])*1.11+Table1[[#This Row],[RAB Perizinan]],0)</f>
        <v>0</v>
      </c>
      <c r="AB104" s="320">
        <f>SUM(Table1[[#This Row],[RAB Kegiatan Umum]:[RAB Perizinan]])</f>
        <v>0</v>
      </c>
      <c r="AC104" s="320"/>
      <c r="AD104" s="320"/>
      <c r="AE104" s="320"/>
      <c r="AF104" s="320"/>
      <c r="AG104" s="320">
        <v>3207699590</v>
      </c>
      <c r="AH104" s="35" t="e">
        <f>SUM(Table1[[#This Row],[Bobot Keg Umum]:[Bobot Perizinan]])</f>
        <v>#DIV/0!</v>
      </c>
      <c r="AI104" s="35" t="e">
        <f>Table1[[#This Row],[RAB Kegiatan Umum]]/Table1[[#This Row],[Nilai RAB Jaringan
(Exclude Ppn)]]</f>
        <v>#DIV/0!</v>
      </c>
      <c r="AJ104" s="35" t="e">
        <f>Table1[[#This Row],[RAB Pemasangan]]/Table1[[#This Row],[Nilai RAB Jaringan
(Exclude Ppn)]]</f>
        <v>#DIV/0!</v>
      </c>
      <c r="AK104" s="35" t="e">
        <f>Table1[[#This Row],[RAB Pengadaan]]/Table1[[#This Row],[Nilai RAB Jaringan
(Exclude Ppn)]]</f>
        <v>#DIV/0!</v>
      </c>
      <c r="AL104" s="35" t="e">
        <f>Table1[[#This Row],[RAB Perizinan]]/Table1[[#This Row],[Nilai RAB Jaringan
(Exclude Ppn)]]</f>
        <v>#DIV/0!</v>
      </c>
      <c r="AM104" s="47"/>
      <c r="AN104" s="285">
        <v>5152</v>
      </c>
      <c r="AO104" s="285">
        <f>SUM(Table1[[#This Row],[Pipa 63 mm]:[Pipa 1,800 mm]])</f>
        <v>0</v>
      </c>
      <c r="AP104" s="285"/>
      <c r="AQ104" s="285"/>
      <c r="AR104" s="285"/>
      <c r="AS104" s="285"/>
      <c r="AT104" s="285"/>
      <c r="AU104" s="285"/>
      <c r="AV104" s="285"/>
      <c r="AW104" s="285"/>
      <c r="AX104" s="285"/>
      <c r="AY104" s="285"/>
      <c r="AZ104" s="285"/>
      <c r="BA104" s="285"/>
      <c r="BB104" s="285"/>
      <c r="BC104" s="285"/>
      <c r="BD104" s="285"/>
      <c r="BE104" s="285"/>
      <c r="BF104" s="285"/>
      <c r="BG104" s="285"/>
      <c r="BH104" s="285"/>
      <c r="BI104" s="285"/>
      <c r="BJ104" s="36">
        <f>SUM(Table1[[#This Row],[Pipa 63 mm2]:[Pipa 1,800 mm21]])</f>
        <v>4865</v>
      </c>
      <c r="BK104" s="32"/>
      <c r="BL104" s="32">
        <v>2805</v>
      </c>
      <c r="BM104" s="32">
        <v>1800</v>
      </c>
      <c r="BN104" s="32">
        <v>152</v>
      </c>
      <c r="BO104" s="32"/>
      <c r="BP104" s="32"/>
      <c r="BQ104" s="32">
        <v>108</v>
      </c>
      <c r="BR104" s="32"/>
      <c r="BS104" s="32"/>
      <c r="BT104" s="32"/>
      <c r="BU104" s="32"/>
      <c r="BV104" s="32"/>
      <c r="BW104" s="32"/>
      <c r="BX104" s="32"/>
      <c r="BY104" s="32"/>
      <c r="BZ104" s="32"/>
      <c r="CA104" s="32"/>
      <c r="CB104" s="32"/>
      <c r="CC104" s="32"/>
      <c r="CD104" s="32"/>
      <c r="CE104" s="32">
        <v>0</v>
      </c>
      <c r="CF104" s="32"/>
      <c r="CG104" s="32"/>
      <c r="CH104" s="32"/>
      <c r="CI104" s="32">
        <f t="shared" si="6"/>
        <v>0</v>
      </c>
      <c r="CJ104" s="65">
        <f>IF((Table1[[#This Row],["Volume
BA MC-0"]]-Table1[[#This Row],[Total Panjang Pipa Aktual
(Sum-&gt;)3]]-Table1[[#This Row],[Total Volume
tidak dapat dipasang]])&gt;=0,Table1[[#This Row],["Volume
BA MC-0"]]-Table1[[#This Row],[Total Panjang Pipa Aktual
(Sum-&gt;)3]]-Table1[[#This Row],[Total Volume
tidak dapat dipasang]],0)</f>
        <v>287</v>
      </c>
      <c r="CK104" s="47"/>
      <c r="CL104" s="131"/>
      <c r="CM104" s="35"/>
      <c r="CN104" s="131"/>
      <c r="CO104" s="131"/>
      <c r="CP10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4" s="66">
        <f>IFERROR(Table1[[#This Row],[Progres Keg. Umum
(%)]]*Table1[[#This Row],[Nilai RAB Jaringan
(file pa aji)]],0)</f>
        <v>0</v>
      </c>
      <c r="CR104" s="66">
        <f>IFERROR(Table1[[#This Row],[Progres MOS
(%)]]*Table1[[#This Row],[Nilai RAB Jaringan
(file pa aji)]],0)</f>
        <v>0</v>
      </c>
      <c r="CS104" s="66">
        <f>IFERROR(Table1[[#This Row],[Progres Pemasangan
(%)]]*Table1[[#This Row],[Nilai RAB Jaringan
(file pa aji)]],0)</f>
        <v>0</v>
      </c>
      <c r="CT104" s="66">
        <f>IFERROR(Table1[[#This Row],[Progres Perizinan
(%)]]*Table1[[#This Row],[Nilai RAB Jaringan
(file pa aji)]],0)</f>
        <v>0</v>
      </c>
      <c r="CU104" s="329">
        <v>4479280948</v>
      </c>
      <c r="CV104" s="329">
        <v>4479280948</v>
      </c>
      <c r="CW104" s="583">
        <v>4479280948</v>
      </c>
      <c r="CX104" s="329">
        <v>4479280948</v>
      </c>
      <c r="CY104" s="47"/>
      <c r="CZ104" s="330">
        <v>45292</v>
      </c>
      <c r="DA104" s="330">
        <v>45326</v>
      </c>
      <c r="DB104" s="331"/>
      <c r="DC104" s="316"/>
      <c r="DD104" s="67"/>
      <c r="DE10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4" s="331"/>
      <c r="DG104" s="316"/>
      <c r="DH104" s="67"/>
      <c r="DI10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4" s="330">
        <v>45327</v>
      </c>
      <c r="DK104" s="330">
        <v>45445</v>
      </c>
      <c r="DL104" s="331">
        <v>45248</v>
      </c>
      <c r="DM104" s="425" t="s">
        <v>754</v>
      </c>
      <c r="DN10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4" s="331">
        <v>45364</v>
      </c>
      <c r="DP104" s="426" t="s">
        <v>755</v>
      </c>
      <c r="DQ104" s="338" t="s">
        <v>297</v>
      </c>
      <c r="DR10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4" s="330">
        <v>45327</v>
      </c>
      <c r="DT104" s="330" t="e">
        <v>#N/A</v>
      </c>
      <c r="DU104" s="330">
        <v>45375</v>
      </c>
      <c r="DV104" s="330" t="e">
        <v>#N/A</v>
      </c>
      <c r="DW104" s="331"/>
      <c r="DX104" s="316"/>
      <c r="DY104" s="334"/>
      <c r="DZ104" s="334"/>
      <c r="EA10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4" s="331"/>
      <c r="EC104" s="332"/>
      <c r="ED104" s="332"/>
      <c r="EE104" s="330"/>
      <c r="EF104" s="35">
        <v>1</v>
      </c>
      <c r="EG104" s="337">
        <v>1</v>
      </c>
      <c r="EH104" s="316" t="str">
        <f>IF(Table1[[#This Row],[PO Material Aktual 
(%)]]&gt;=100%,"Selesai PO = 100%",IF(Table1[[#This Row],[PO Material Aktual 
(%)]]&gt;=50%,"Proses PO &gt; 100%",IF(Table1[[#This Row],[PO Material Aktual 
(%)]]&gt;0%,"Proses PO &gt; 50%",IF(Table1[[#This Row],[PO Material Aktual 
(%)]]=0,"Belum PO = 0%"))))</f>
        <v>Selesai PO = 100%</v>
      </c>
      <c r="EI10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4" s="330">
        <v>45376</v>
      </c>
      <c r="EK104" s="330" t="e">
        <v>#N/A</v>
      </c>
      <c r="EL104" s="330">
        <v>45564</v>
      </c>
      <c r="EM104" s="330" t="e">
        <v>#N/A</v>
      </c>
      <c r="EN104" s="331">
        <v>45867</v>
      </c>
      <c r="EO104" s="332"/>
      <c r="EP104" s="332"/>
      <c r="EQ104" s="87">
        <v>1</v>
      </c>
      <c r="ER104" s="87">
        <v>1</v>
      </c>
      <c r="ES104" s="316" t="str">
        <f>IF(Table1[[#This Row],[Progres MOS]]&gt;=100%,"Selesai MOS = 100%",IF(Table1[[#This Row],[Progres MOS]]&gt;=50%,"Proses MOS &gt; 100%",IF(Table1[[#This Row],[Progres MOS]]&gt;0%,"Proses MOS &gt; 50%",IF(Table1[[#This Row],[Progres MOS]]=0,"Belum MOS = 0%"))))</f>
        <v>Selesai MOS = 100%</v>
      </c>
      <c r="ET10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4" s="47"/>
      <c r="EV104" s="330">
        <v>45327</v>
      </c>
      <c r="EW104" s="330" t="e">
        <v>#N/A</v>
      </c>
      <c r="EX104" s="330">
        <v>45473</v>
      </c>
      <c r="EY104" s="330" t="e">
        <v>#N/A</v>
      </c>
      <c r="EZ104" s="352" t="s">
        <v>259</v>
      </c>
      <c r="FA104" s="336" t="s">
        <v>259</v>
      </c>
      <c r="FB104" s="330" t="s">
        <v>260</v>
      </c>
      <c r="FC104" s="330">
        <v>45245</v>
      </c>
      <c r="FD104" s="330" t="s">
        <v>260</v>
      </c>
      <c r="FE104" s="330"/>
      <c r="FF104" s="330">
        <v>45344</v>
      </c>
      <c r="FG104" s="330" t="s">
        <v>260</v>
      </c>
      <c r="FH104" s="330" t="s">
        <v>260</v>
      </c>
      <c r="FI104" s="330">
        <v>45443</v>
      </c>
      <c r="FJ104" s="330" t="s">
        <v>260</v>
      </c>
      <c r="FK104" s="330">
        <v>45537</v>
      </c>
      <c r="FL104" s="336" t="s">
        <v>259</v>
      </c>
      <c r="FM104" s="336">
        <v>45245</v>
      </c>
      <c r="FN104" s="314">
        <f>IF(Table1[[#This Row],[Tanggal Pengajuan Dokumen]]="","",Table1[[#This Row],[PLAN PERMIT
start]]-Table1[[#This Row],[Tanggal Pengajuan Dokumen]])</f>
        <v>82</v>
      </c>
      <c r="FO104" s="336">
        <v>45537</v>
      </c>
      <c r="FP104" s="316"/>
      <c r="FQ104" s="338"/>
      <c r="FR104" s="352"/>
      <c r="FS104" s="338" t="str">
        <f t="shared" si="8"/>
        <v>Sudah Terbit</v>
      </c>
      <c r="FT10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4" s="344">
        <f ca="1">IF(Table1[[#This Row],[Status Izin]]="Selesai",Table1[[#This Row],[PLAN PERMIT
finish]]-Table1[[#This Row],[Tanggal Terbit/ Target Izin Terbit]],ROUNDUP(Table1[[#This Row],[PLAN PERMIT
finish]]-NOW(),0))</f>
        <v>-64</v>
      </c>
      <c r="FV10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4" s="344"/>
      <c r="FX104" s="47"/>
      <c r="FY104" s="340"/>
      <c r="FZ104" s="341"/>
      <c r="GA10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4" s="330">
        <v>45447</v>
      </c>
      <c r="GC104" s="352">
        <v>45245</v>
      </c>
      <c r="GD10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4" s="330">
        <v>45454</v>
      </c>
      <c r="GF104" s="352">
        <v>45245</v>
      </c>
      <c r="GG10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4" s="330">
        <v>45460</v>
      </c>
      <c r="GI104" s="330">
        <v>45466</v>
      </c>
      <c r="GJ104" s="352">
        <v>45257</v>
      </c>
      <c r="GK10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4" s="330">
        <v>45474</v>
      </c>
      <c r="GM104" s="330" t="e">
        <v>#N/A</v>
      </c>
      <c r="GN104" s="330">
        <v>45641</v>
      </c>
      <c r="GO104" s="330" t="e">
        <v>#N/A</v>
      </c>
      <c r="GP104" s="316"/>
      <c r="GQ10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4" s="330" t="s">
        <v>261</v>
      </c>
      <c r="GS104" s="421" t="s">
        <v>261</v>
      </c>
      <c r="GT104" s="427" t="s">
        <v>756</v>
      </c>
      <c r="GU104" s="423" t="str">
        <f>IF(Table1[[#This Row],[Hydro Tes Actual
(tanggal)]]&lt;&gt;"","Sudah","Belum")</f>
        <v>Sudah</v>
      </c>
      <c r="GV104" s="330" t="s">
        <v>261</v>
      </c>
      <c r="GW104" s="330" t="s">
        <v>261</v>
      </c>
      <c r="GX104" s="331"/>
      <c r="GY104" s="344" t="str">
        <f>IF(Table1[[#This Row],[Interkoneksi Actual
(tanggal)]]&lt;&gt;"","Sudah","Belum")</f>
        <v>Belum</v>
      </c>
      <c r="GZ104" s="330" t="s">
        <v>261</v>
      </c>
      <c r="HA104" s="421" t="s">
        <v>261</v>
      </c>
      <c r="HB104" s="424">
        <v>45677</v>
      </c>
      <c r="HC104" s="344" t="str">
        <f>IF(Table1[[#This Row],[Flushing Actual
(tanggal)]]&lt;&gt;"","Sudah","Belum")</f>
        <v>Sudah</v>
      </c>
      <c r="HD104" s="330">
        <v>45621</v>
      </c>
      <c r="HE104" s="330" t="e">
        <v>#N/A</v>
      </c>
      <c r="HF104" s="330">
        <v>45627</v>
      </c>
      <c r="HG104" s="430">
        <v>45726</v>
      </c>
      <c r="HH10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4" s="330" t="s">
        <v>261</v>
      </c>
      <c r="HJ104" s="330" t="s">
        <v>261</v>
      </c>
      <c r="HK104" s="331"/>
      <c r="HL104" s="316"/>
      <c r="HM104" s="330">
        <v>45646</v>
      </c>
      <c r="HN104" s="330">
        <v>45646</v>
      </c>
      <c r="HO104" s="330" t="e">
        <v>#N/A</v>
      </c>
      <c r="HP104" s="331">
        <v>45735</v>
      </c>
      <c r="HQ10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4" s="330">
        <v>45653</v>
      </c>
      <c r="HS104" s="330"/>
      <c r="HT104" s="330">
        <v>45653</v>
      </c>
      <c r="HU104" s="527"/>
      <c r="HV104" s="330">
        <f>IF(Table1[[#This Row],[MC-100 Aktual
(tanggal)]]&lt;&gt;"",Table1[[#This Row],[MC-100 Aktual
(tanggal)]]+5,"")</f>
        <v>45740</v>
      </c>
      <c r="HW10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4" s="47"/>
      <c r="HY104" s="352"/>
      <c r="HZ104" s="352"/>
      <c r="IB104" s="618">
        <f>IFERROR(ROUND((Table1[[#This Row],[PLAN TC
finish]]-Table1[[#This Row],[PLAN MC-0
start]])/30,2),"")</f>
        <v>5.57</v>
      </c>
      <c r="IC104">
        <f>DATEDIF(Table1[[#This Row],[PLAN MC-0
start]],Table1[[#This Row],[PLAN TC
finish]],"m")</f>
        <v>5</v>
      </c>
    </row>
    <row r="105" spans="2:237" s="4" customFormat="1" ht="15" customHeight="1" x14ac:dyDescent="0.2">
      <c r="B105" s="311">
        <f>SUBTOTAL(3,$D$5:D105)</f>
        <v>64</v>
      </c>
      <c r="C105" s="348">
        <v>101</v>
      </c>
      <c r="D105" s="315" t="s">
        <v>673</v>
      </c>
      <c r="E105" s="315" t="s">
        <v>757</v>
      </c>
      <c r="F105" s="315" t="s">
        <v>758</v>
      </c>
      <c r="G105" s="349">
        <v>45752</v>
      </c>
      <c r="H105" s="314" t="s">
        <v>247</v>
      </c>
      <c r="I105" s="315" t="s">
        <v>278</v>
      </c>
      <c r="J105" s="315"/>
      <c r="K105" s="338" t="s">
        <v>676</v>
      </c>
      <c r="L105" s="316" t="s">
        <v>250</v>
      </c>
      <c r="M105" s="316" t="s">
        <v>269</v>
      </c>
      <c r="N105" s="107">
        <v>68</v>
      </c>
      <c r="O105" s="31" t="s">
        <v>252</v>
      </c>
      <c r="P10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5" s="87" t="e">
        <v>#N/A</v>
      </c>
      <c r="S105" s="87">
        <v>1</v>
      </c>
      <c r="T105" s="35">
        <f>Table1[[#This Row],[Progres Total Aktual
(%)]]</f>
        <v>1</v>
      </c>
      <c r="U105" s="124">
        <f>Table1[[#This Row],[Progres Aktual
(%)]]-Table1[[#This Row],[Target Progres
(%)]]</f>
        <v>0</v>
      </c>
      <c r="V105" s="350">
        <f>Table1[[#This Row],["Volume
BA MC-0"]]</f>
        <v>70</v>
      </c>
      <c r="W105" s="351">
        <f>Table1[[#This Row],[Total Panjang Pipa Aktual
(Sum-&gt;)3]]</f>
        <v>70</v>
      </c>
      <c r="X105" s="47"/>
      <c r="Y105" s="67" t="s">
        <v>759</v>
      </c>
      <c r="Z105" s="67">
        <v>217404757</v>
      </c>
      <c r="AA105" s="67">
        <f>ROUND((Table1[[#This Row],[Nilai RAB Jaringan
(Exclude Ppn)]]-Table1[[#This Row],[RAB Perizinan]])*1.11+Table1[[#This Row],[RAB Perizinan]],0)</f>
        <v>0</v>
      </c>
      <c r="AB105" s="320">
        <f>SUM(Table1[[#This Row],[RAB Kegiatan Umum]:[RAB Perizinan]])</f>
        <v>0</v>
      </c>
      <c r="AC105" s="320"/>
      <c r="AD105" s="320"/>
      <c r="AE105" s="320"/>
      <c r="AF105" s="320"/>
      <c r="AG105" s="320">
        <v>51241208</v>
      </c>
      <c r="AH105" s="35" t="e">
        <f>SUM(Table1[[#This Row],[Bobot Keg Umum]:[Bobot Perizinan]])</f>
        <v>#DIV/0!</v>
      </c>
      <c r="AI105" s="35" t="e">
        <f>Table1[[#This Row],[RAB Kegiatan Umum]]/Table1[[#This Row],[Nilai RAB Jaringan
(Exclude Ppn)]]</f>
        <v>#DIV/0!</v>
      </c>
      <c r="AJ105" s="35" t="e">
        <f>Table1[[#This Row],[RAB Pemasangan]]/Table1[[#This Row],[Nilai RAB Jaringan
(Exclude Ppn)]]</f>
        <v>#DIV/0!</v>
      </c>
      <c r="AK105" s="35" t="e">
        <f>Table1[[#This Row],[RAB Pengadaan]]/Table1[[#This Row],[Nilai RAB Jaringan
(Exclude Ppn)]]</f>
        <v>#DIV/0!</v>
      </c>
      <c r="AL105" s="35" t="e">
        <f>Table1[[#This Row],[RAB Perizinan]]/Table1[[#This Row],[Nilai RAB Jaringan
(Exclude Ppn)]]</f>
        <v>#DIV/0!</v>
      </c>
      <c r="AM105" s="47"/>
      <c r="AN105" s="285">
        <v>70</v>
      </c>
      <c r="AO105" s="285">
        <f>SUM(Table1[[#This Row],[Pipa 63 mm]:[Pipa 1,800 mm]])</f>
        <v>0</v>
      </c>
      <c r="AP105" s="285"/>
      <c r="AQ105" s="285"/>
      <c r="AR105" s="285"/>
      <c r="AS105" s="285"/>
      <c r="AT105" s="285"/>
      <c r="AU105" s="285"/>
      <c r="AV105" s="285"/>
      <c r="AW105" s="285"/>
      <c r="AX105" s="285"/>
      <c r="AY105" s="285"/>
      <c r="AZ105" s="285"/>
      <c r="BA105" s="285"/>
      <c r="BB105" s="285"/>
      <c r="BC105" s="285"/>
      <c r="BD105" s="285"/>
      <c r="BE105" s="285"/>
      <c r="BF105" s="285"/>
      <c r="BG105" s="285"/>
      <c r="BH105" s="285"/>
      <c r="BI105" s="285"/>
      <c r="BJ105" s="36">
        <f>SUM(Table1[[#This Row],[Pipa 63 mm2]:[Pipa 1,800 mm21]])</f>
        <v>70</v>
      </c>
      <c r="BK105" s="32">
        <v>70</v>
      </c>
      <c r="BL105" s="32"/>
      <c r="BM105" s="32"/>
      <c r="BN105" s="32"/>
      <c r="BO105" s="32"/>
      <c r="BP105" s="32"/>
      <c r="BQ105" s="32"/>
      <c r="BR105" s="32"/>
      <c r="BS105" s="32"/>
      <c r="BT105" s="32"/>
      <c r="BU105" s="32"/>
      <c r="BV105" s="32"/>
      <c r="BW105" s="32"/>
      <c r="BX105" s="32"/>
      <c r="BY105" s="32"/>
      <c r="BZ105" s="32"/>
      <c r="CA105" s="32"/>
      <c r="CB105" s="32"/>
      <c r="CC105" s="32"/>
      <c r="CD105" s="32"/>
      <c r="CE105" s="32">
        <v>0</v>
      </c>
      <c r="CF105" s="32"/>
      <c r="CG105" s="32"/>
      <c r="CH105" s="32"/>
      <c r="CI105" s="32">
        <f t="shared" si="6"/>
        <v>0</v>
      </c>
      <c r="CJ105" s="65">
        <f>IF((Table1[[#This Row],["Volume
BA MC-0"]]-Table1[[#This Row],[Total Panjang Pipa Aktual
(Sum-&gt;)3]]-Table1[[#This Row],[Total Volume
tidak dapat dipasang]])&gt;=0,Table1[[#This Row],["Volume
BA MC-0"]]-Table1[[#This Row],[Total Panjang Pipa Aktual
(Sum-&gt;)3]]-Table1[[#This Row],[Total Volume
tidak dapat dipasang]],0)</f>
        <v>0</v>
      </c>
      <c r="CK105" s="47"/>
      <c r="CL105" s="131"/>
      <c r="CM105" s="35"/>
      <c r="CN105" s="131"/>
      <c r="CO105" s="131"/>
      <c r="CP10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5" s="66">
        <f>IFERROR(Table1[[#This Row],[Progres Keg. Umum
(%)]]*Table1[[#This Row],[Nilai RAB Jaringan
(file pa aji)]],0)</f>
        <v>0</v>
      </c>
      <c r="CR105" s="66">
        <f>IFERROR(Table1[[#This Row],[Progres MOS
(%)]]*Table1[[#This Row],[Nilai RAB Jaringan
(file pa aji)]],0)</f>
        <v>0</v>
      </c>
      <c r="CS105" s="66">
        <f>IFERROR(Table1[[#This Row],[Progres Pemasangan
(%)]]*Table1[[#This Row],[Nilai RAB Jaringan
(file pa aji)]],0)</f>
        <v>0</v>
      </c>
      <c r="CT105" s="66">
        <f>IFERROR(Table1[[#This Row],[Progres Perizinan
(%)]]*Table1[[#This Row],[Nilai RAB Jaringan
(file pa aji)]],0)</f>
        <v>0</v>
      </c>
      <c r="CU105" s="329">
        <v>213544137</v>
      </c>
      <c r="CV105" s="329">
        <v>213544137</v>
      </c>
      <c r="CW105" s="583">
        <v>213544137</v>
      </c>
      <c r="CX105" s="329">
        <v>213544137</v>
      </c>
      <c r="CY105" s="47"/>
      <c r="CZ105" s="330">
        <v>45530</v>
      </c>
      <c r="DA105" s="330">
        <v>45543</v>
      </c>
      <c r="DB105" s="331"/>
      <c r="DC105" s="316"/>
      <c r="DD105" s="67"/>
      <c r="DE10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5" s="331"/>
      <c r="DG105" s="316"/>
      <c r="DH105" s="67"/>
      <c r="DI10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5" s="330">
        <v>45544</v>
      </c>
      <c r="DK105" s="330">
        <v>45592</v>
      </c>
      <c r="DL105" s="331">
        <v>45542</v>
      </c>
      <c r="DM105" s="425" t="s">
        <v>760</v>
      </c>
      <c r="DN10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5" s="331">
        <v>45593</v>
      </c>
      <c r="DP105" s="426" t="s">
        <v>761</v>
      </c>
      <c r="DQ105" s="338" t="s">
        <v>762</v>
      </c>
      <c r="DR10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5" s="330">
        <v>45544</v>
      </c>
      <c r="DT105" s="330" t="e">
        <v>#N/A</v>
      </c>
      <c r="DU105" s="330">
        <v>45571</v>
      </c>
      <c r="DV105" s="330" t="e">
        <v>#N/A</v>
      </c>
      <c r="DW105" s="331"/>
      <c r="DX105" s="316"/>
      <c r="DY105" s="334"/>
      <c r="DZ105" s="334"/>
      <c r="EA10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5" s="331"/>
      <c r="EC105" s="332"/>
      <c r="ED105" s="332"/>
      <c r="EE105" s="330"/>
      <c r="EF105" s="35">
        <v>1</v>
      </c>
      <c r="EG105" s="337">
        <v>1</v>
      </c>
      <c r="EH105" s="316" t="str">
        <f>IF(Table1[[#This Row],[PO Material Aktual 
(%)]]&gt;=100%,"Selesai PO = 100%",IF(Table1[[#This Row],[PO Material Aktual 
(%)]]&gt;=50%,"Proses PO &gt; 100%",IF(Table1[[#This Row],[PO Material Aktual 
(%)]]&gt;0%,"Proses PO &gt; 50%",IF(Table1[[#This Row],[PO Material Aktual 
(%)]]=0,"Belum PO = 0%"))))</f>
        <v>Selesai PO = 100%</v>
      </c>
      <c r="EI10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5" s="330">
        <v>45572</v>
      </c>
      <c r="EK105" s="330" t="e">
        <v>#N/A</v>
      </c>
      <c r="EL105" s="330">
        <v>45620</v>
      </c>
      <c r="EM105" s="330" t="e">
        <v>#N/A</v>
      </c>
      <c r="EN105" s="331">
        <v>45645</v>
      </c>
      <c r="EO105" s="332"/>
      <c r="EP105" s="332"/>
      <c r="EQ105" s="87">
        <v>1</v>
      </c>
      <c r="ER105" s="87">
        <v>1</v>
      </c>
      <c r="ES105" s="316" t="str">
        <f>IF(Table1[[#This Row],[Progres MOS]]&gt;=100%,"Selesai MOS = 100%",IF(Table1[[#This Row],[Progres MOS]]&gt;=50%,"Proses MOS &gt; 100%",IF(Table1[[#This Row],[Progres MOS]]&gt;0%,"Proses MOS &gt; 50%",IF(Table1[[#This Row],[Progres MOS]]=0,"Belum MOS = 0%"))))</f>
        <v>Selesai MOS = 100%</v>
      </c>
      <c r="ET10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5" s="47"/>
      <c r="EV105" s="330">
        <v>45544</v>
      </c>
      <c r="EW105" s="330" t="e">
        <v>#N/A</v>
      </c>
      <c r="EX105" s="330">
        <v>45620</v>
      </c>
      <c r="EY105" s="330" t="e">
        <v>#N/A</v>
      </c>
      <c r="EZ105" s="352" t="s">
        <v>298</v>
      </c>
      <c r="FA105" s="336" t="s">
        <v>259</v>
      </c>
      <c r="FB105" s="330" t="s">
        <v>260</v>
      </c>
      <c r="FC105" s="330">
        <v>45799</v>
      </c>
      <c r="FD105" s="330" t="s">
        <v>260</v>
      </c>
      <c r="FE105" s="330">
        <v>45875</v>
      </c>
      <c r="FF105" s="330">
        <v>45929</v>
      </c>
      <c r="FG105" s="330" t="s">
        <v>260</v>
      </c>
      <c r="FH105" s="330" t="s">
        <v>260</v>
      </c>
      <c r="FI105" s="330">
        <v>46021</v>
      </c>
      <c r="FJ105" s="330" t="s">
        <v>260</v>
      </c>
      <c r="FK105" s="330">
        <v>46087</v>
      </c>
      <c r="FL105" s="336" t="s">
        <v>298</v>
      </c>
      <c r="FM105" s="336">
        <v>45799</v>
      </c>
      <c r="FN105" s="314">
        <f>IF(Table1[[#This Row],[Tanggal Pengajuan Dokumen]]="","",Table1[[#This Row],[PLAN PERMIT
start]]-Table1[[#This Row],[Tanggal Pengajuan Dokumen]])</f>
        <v>-255</v>
      </c>
      <c r="FO105" s="336"/>
      <c r="FP105" s="316"/>
      <c r="FQ105" s="338"/>
      <c r="FR105" s="352"/>
      <c r="FS105" s="338" t="str">
        <f t="shared" si="8"/>
        <v>Sudah Terbit</v>
      </c>
      <c r="FT10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5" s="344">
        <f ca="1">IF(Table1[[#This Row],[Status Izin]]="Selesai",Table1[[#This Row],[PLAN PERMIT
finish]]-Table1[[#This Row],[Tanggal Terbit/ Target Izin Terbit]],ROUNDUP(Table1[[#This Row],[PLAN PERMIT
finish]]-NOW(),0))</f>
        <v>45620</v>
      </c>
      <c r="FV10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5" s="344"/>
      <c r="FX105" s="47"/>
      <c r="FY105" s="340"/>
      <c r="FZ105" s="341"/>
      <c r="GA10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5" s="330">
        <v>45594</v>
      </c>
      <c r="GC105" s="352">
        <v>45610</v>
      </c>
      <c r="GD10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05" s="330">
        <v>45601</v>
      </c>
      <c r="GF105" s="352">
        <v>45610</v>
      </c>
      <c r="GG10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05" s="330">
        <v>45607</v>
      </c>
      <c r="GI105" s="330">
        <v>45613</v>
      </c>
      <c r="GJ105" s="352">
        <v>45552</v>
      </c>
      <c r="GK10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5" s="330">
        <v>45621</v>
      </c>
      <c r="GM105" s="330" t="e">
        <v>#N/A</v>
      </c>
      <c r="GN105" s="330">
        <v>45641</v>
      </c>
      <c r="GO105" s="330" t="e">
        <v>#N/A</v>
      </c>
      <c r="GP105" s="316"/>
      <c r="GQ10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5" s="330" t="s">
        <v>261</v>
      </c>
      <c r="GS105" s="421" t="s">
        <v>261</v>
      </c>
      <c r="GT105" s="427">
        <v>45635</v>
      </c>
      <c r="GU105" s="423" t="str">
        <f>IF(Table1[[#This Row],[Hydro Tes Actual
(tanggal)]]&lt;&gt;"","Sudah","Belum")</f>
        <v>Sudah</v>
      </c>
      <c r="GV105" s="330" t="s">
        <v>261</v>
      </c>
      <c r="GW105" s="330" t="s">
        <v>261</v>
      </c>
      <c r="GX105" s="331"/>
      <c r="GY105" s="344" t="str">
        <f>IF(Table1[[#This Row],[Interkoneksi Actual
(tanggal)]]&lt;&gt;"","Sudah","Belum")</f>
        <v>Belum</v>
      </c>
      <c r="GZ105" s="330" t="s">
        <v>261</v>
      </c>
      <c r="HA105" s="421" t="s">
        <v>261</v>
      </c>
      <c r="HB105" s="424">
        <v>45643</v>
      </c>
      <c r="HC105" s="344" t="str">
        <f>IF(Table1[[#This Row],[Flushing Actual
(tanggal)]]&lt;&gt;"","Sudah","Belum")</f>
        <v>Sudah</v>
      </c>
      <c r="HD105" s="330">
        <v>45628</v>
      </c>
      <c r="HE105" s="330" t="e">
        <v>#N/A</v>
      </c>
      <c r="HF105" s="330">
        <v>45634</v>
      </c>
      <c r="HG105" s="352">
        <v>45670</v>
      </c>
      <c r="HH10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5" s="330" t="s">
        <v>261</v>
      </c>
      <c r="HJ105" s="330" t="s">
        <v>261</v>
      </c>
      <c r="HK105" s="331"/>
      <c r="HL105" s="316"/>
      <c r="HM105" s="330">
        <v>45646</v>
      </c>
      <c r="HN105" s="330">
        <v>45646</v>
      </c>
      <c r="HO105" s="330" t="e">
        <v>#N/A</v>
      </c>
      <c r="HP105" s="331">
        <v>45734</v>
      </c>
      <c r="HQ10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5" s="330">
        <v>45653</v>
      </c>
      <c r="HS105" s="330"/>
      <c r="HT105" s="330">
        <v>45653</v>
      </c>
      <c r="HU105" s="527"/>
      <c r="HV105" s="330">
        <f>IF(Table1[[#This Row],[MC-100 Aktual
(tanggal)]]&lt;&gt;"",Table1[[#This Row],[MC-100 Aktual
(tanggal)]]+5,"")</f>
        <v>45739</v>
      </c>
      <c r="HW10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5" s="47"/>
      <c r="HY105" s="352"/>
      <c r="HZ105" s="352"/>
      <c r="IB105" s="618">
        <f>IFERROR(ROUND((Table1[[#This Row],[PLAN TC
finish]]-Table1[[#This Row],[PLAN MC-0
start]])/30,2),"")</f>
        <v>0.9</v>
      </c>
      <c r="IC105">
        <f>DATEDIF(Table1[[#This Row],[PLAN MC-0
start]],Table1[[#This Row],[PLAN TC
finish]],"m")</f>
        <v>0</v>
      </c>
    </row>
    <row r="106" spans="2:237" s="4" customFormat="1" ht="15" customHeight="1" x14ac:dyDescent="0.2">
      <c r="B106" s="311">
        <f>SUBTOTAL(3,$D$5:D106)</f>
        <v>65</v>
      </c>
      <c r="C106" s="348">
        <v>102</v>
      </c>
      <c r="D106" s="315" t="s">
        <v>673</v>
      </c>
      <c r="E106" s="315" t="s">
        <v>763</v>
      </c>
      <c r="F106" s="315" t="s">
        <v>764</v>
      </c>
      <c r="G106" s="349">
        <v>45752</v>
      </c>
      <c r="H106" s="314" t="s">
        <v>247</v>
      </c>
      <c r="I106" s="315" t="s">
        <v>278</v>
      </c>
      <c r="J106" s="315"/>
      <c r="K106" s="338" t="s">
        <v>676</v>
      </c>
      <c r="L106" s="316" t="s">
        <v>250</v>
      </c>
      <c r="M106" s="316" t="s">
        <v>269</v>
      </c>
      <c r="N106" s="107">
        <v>1176</v>
      </c>
      <c r="O106" s="31" t="s">
        <v>252</v>
      </c>
      <c r="P10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6" s="87" t="e">
        <v>#N/A</v>
      </c>
      <c r="S106" s="87">
        <v>1</v>
      </c>
      <c r="T106" s="35">
        <f>Table1[[#This Row],[Progres Total Aktual
(%)]]</f>
        <v>1</v>
      </c>
      <c r="U106" s="124">
        <f>Table1[[#This Row],[Progres Aktual
(%)]]-Table1[[#This Row],[Target Progres
(%)]]</f>
        <v>0</v>
      </c>
      <c r="V106" s="350">
        <f>Table1[[#This Row],["Volume
BA MC-0"]]</f>
        <v>1222</v>
      </c>
      <c r="W106" s="351">
        <f>Table1[[#This Row],[Total Panjang Pipa Aktual
(Sum-&gt;)3]]</f>
        <v>1157</v>
      </c>
      <c r="X106" s="47"/>
      <c r="Y106" s="67" t="s">
        <v>765</v>
      </c>
      <c r="Z106" s="67">
        <v>2771683831</v>
      </c>
      <c r="AA106" s="67">
        <f>ROUND((Table1[[#This Row],[Nilai RAB Jaringan
(Exclude Ppn)]]-Table1[[#This Row],[RAB Perizinan]])*1.11+Table1[[#This Row],[RAB Perizinan]],0)</f>
        <v>0</v>
      </c>
      <c r="AB106" s="320">
        <f>SUM(Table1[[#This Row],[RAB Kegiatan Umum]:[RAB Perizinan]])</f>
        <v>0</v>
      </c>
      <c r="AC106" s="320"/>
      <c r="AD106" s="320"/>
      <c r="AE106" s="320"/>
      <c r="AF106" s="320"/>
      <c r="AG106" s="320">
        <v>61489449</v>
      </c>
      <c r="AH106" s="35" t="e">
        <f>SUM(Table1[[#This Row],[Bobot Keg Umum]:[Bobot Perizinan]])</f>
        <v>#DIV/0!</v>
      </c>
      <c r="AI106" s="35" t="e">
        <f>Table1[[#This Row],[RAB Kegiatan Umum]]/Table1[[#This Row],[Nilai RAB Jaringan
(Exclude Ppn)]]</f>
        <v>#DIV/0!</v>
      </c>
      <c r="AJ106" s="35" t="e">
        <f>Table1[[#This Row],[RAB Pemasangan]]/Table1[[#This Row],[Nilai RAB Jaringan
(Exclude Ppn)]]</f>
        <v>#DIV/0!</v>
      </c>
      <c r="AK106" s="35" t="e">
        <f>Table1[[#This Row],[RAB Pengadaan]]/Table1[[#This Row],[Nilai RAB Jaringan
(Exclude Ppn)]]</f>
        <v>#DIV/0!</v>
      </c>
      <c r="AL106" s="35" t="e">
        <f>Table1[[#This Row],[RAB Perizinan]]/Table1[[#This Row],[Nilai RAB Jaringan
(Exclude Ppn)]]</f>
        <v>#DIV/0!</v>
      </c>
      <c r="AM106" s="47"/>
      <c r="AN106" s="285">
        <v>1222</v>
      </c>
      <c r="AO106" s="285">
        <f>SUM(Table1[[#This Row],[Pipa 63 mm]:[Pipa 1,800 mm]])</f>
        <v>0</v>
      </c>
      <c r="AP106" s="285"/>
      <c r="AQ106" s="285"/>
      <c r="AR106" s="285"/>
      <c r="AS106" s="285"/>
      <c r="AT106" s="285"/>
      <c r="AU106" s="285"/>
      <c r="AV106" s="285"/>
      <c r="AW106" s="285"/>
      <c r="AX106" s="285"/>
      <c r="AY106" s="285"/>
      <c r="AZ106" s="285"/>
      <c r="BA106" s="285"/>
      <c r="BB106" s="285"/>
      <c r="BC106" s="285"/>
      <c r="BD106" s="285"/>
      <c r="BE106" s="285"/>
      <c r="BF106" s="285"/>
      <c r="BG106" s="285"/>
      <c r="BH106" s="285"/>
      <c r="BI106" s="285"/>
      <c r="BJ106" s="36">
        <f>SUM(Table1[[#This Row],[Pipa 63 mm2]:[Pipa 1,800 mm21]])</f>
        <v>1157</v>
      </c>
      <c r="BK106" s="32"/>
      <c r="BL106" s="32">
        <v>756</v>
      </c>
      <c r="BM106" s="32">
        <v>401</v>
      </c>
      <c r="BN106" s="32"/>
      <c r="BO106" s="32"/>
      <c r="BP106" s="32"/>
      <c r="BQ106" s="32"/>
      <c r="BR106" s="32"/>
      <c r="BS106" s="32"/>
      <c r="BT106" s="32"/>
      <c r="BU106" s="32"/>
      <c r="BV106" s="32"/>
      <c r="BW106" s="32"/>
      <c r="BX106" s="32"/>
      <c r="BY106" s="32"/>
      <c r="BZ106" s="32"/>
      <c r="CA106" s="32"/>
      <c r="CB106" s="32"/>
      <c r="CC106" s="32"/>
      <c r="CD106" s="32"/>
      <c r="CE106" s="32">
        <v>0</v>
      </c>
      <c r="CF106" s="32"/>
      <c r="CG106" s="32"/>
      <c r="CH106" s="32"/>
      <c r="CI106" s="32">
        <f t="shared" si="6"/>
        <v>0</v>
      </c>
      <c r="CJ106" s="65">
        <f>IF((Table1[[#This Row],["Volume
BA MC-0"]]-Table1[[#This Row],[Total Panjang Pipa Aktual
(Sum-&gt;)3]]-Table1[[#This Row],[Total Volume
tidak dapat dipasang]])&gt;=0,Table1[[#This Row],["Volume
BA MC-0"]]-Table1[[#This Row],[Total Panjang Pipa Aktual
(Sum-&gt;)3]]-Table1[[#This Row],[Total Volume
tidak dapat dipasang]],0)</f>
        <v>65</v>
      </c>
      <c r="CK106" s="47"/>
      <c r="CL106" s="131"/>
      <c r="CM106" s="35"/>
      <c r="CN106" s="131"/>
      <c r="CO106" s="131"/>
      <c r="CP10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6" s="66">
        <f>IFERROR(Table1[[#This Row],[Progres Keg. Umum
(%)]]*Table1[[#This Row],[Nilai RAB Jaringan
(file pa aji)]],0)</f>
        <v>0</v>
      </c>
      <c r="CR106" s="66">
        <f>IFERROR(Table1[[#This Row],[Progres MOS
(%)]]*Table1[[#This Row],[Nilai RAB Jaringan
(file pa aji)]],0)</f>
        <v>0</v>
      </c>
      <c r="CS106" s="66">
        <f>IFERROR(Table1[[#This Row],[Progres Pemasangan
(%)]]*Table1[[#This Row],[Nilai RAB Jaringan
(file pa aji)]],0)</f>
        <v>0</v>
      </c>
      <c r="CT106" s="66">
        <f>IFERROR(Table1[[#This Row],[Progres Perizinan
(%)]]*Table1[[#This Row],[Nilai RAB Jaringan
(file pa aji)]],0)</f>
        <v>0</v>
      </c>
      <c r="CU106" s="329">
        <v>2229658504</v>
      </c>
      <c r="CV106" s="329">
        <v>2229658504</v>
      </c>
      <c r="CW106" s="583">
        <v>2229658504</v>
      </c>
      <c r="CX106" s="329">
        <v>2229658504</v>
      </c>
      <c r="CY106" s="47"/>
      <c r="CZ106" s="330">
        <v>45439</v>
      </c>
      <c r="DA106" s="330">
        <v>45466</v>
      </c>
      <c r="DB106" s="331"/>
      <c r="DC106" s="316"/>
      <c r="DD106" s="67"/>
      <c r="DE10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6" s="331"/>
      <c r="DG106" s="316"/>
      <c r="DH106" s="67"/>
      <c r="DI10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6" s="330">
        <v>45467</v>
      </c>
      <c r="DK106" s="330">
        <v>45508</v>
      </c>
      <c r="DL106" s="331">
        <v>45439</v>
      </c>
      <c r="DM106" s="425" t="s">
        <v>766</v>
      </c>
      <c r="DN10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6" s="331">
        <v>45447</v>
      </c>
      <c r="DP106" s="426" t="s">
        <v>695</v>
      </c>
      <c r="DQ106" s="338" t="s">
        <v>297</v>
      </c>
      <c r="DR10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6" s="330">
        <v>45467</v>
      </c>
      <c r="DT106" s="330" t="e">
        <v>#N/A</v>
      </c>
      <c r="DU106" s="330">
        <v>45508</v>
      </c>
      <c r="DV106" s="330" t="e">
        <v>#N/A</v>
      </c>
      <c r="DW106" s="331"/>
      <c r="DX106" s="316"/>
      <c r="DY106" s="334"/>
      <c r="DZ106" s="334"/>
      <c r="EA10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6" s="331"/>
      <c r="EC106" s="332"/>
      <c r="ED106" s="332"/>
      <c r="EE106" s="330"/>
      <c r="EF106" s="35">
        <v>1</v>
      </c>
      <c r="EG106" s="337">
        <v>1</v>
      </c>
      <c r="EH106" s="316" t="str">
        <f>IF(Table1[[#This Row],[PO Material Aktual 
(%)]]&gt;=100%,"Selesai PO = 100%",IF(Table1[[#This Row],[PO Material Aktual 
(%)]]&gt;=50%,"Proses PO &gt; 100%",IF(Table1[[#This Row],[PO Material Aktual 
(%)]]&gt;0%,"Proses PO &gt; 50%",IF(Table1[[#This Row],[PO Material Aktual 
(%)]]=0,"Belum PO = 0%"))))</f>
        <v>Selesai PO = 100%</v>
      </c>
      <c r="EI10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6" s="330">
        <v>45509</v>
      </c>
      <c r="EK106" s="330" t="e">
        <v>#N/A</v>
      </c>
      <c r="EL106" s="330">
        <v>45599</v>
      </c>
      <c r="EM106" s="330" t="e">
        <v>#N/A</v>
      </c>
      <c r="EN106" s="331">
        <v>45595</v>
      </c>
      <c r="EO106" s="332"/>
      <c r="EP106" s="332"/>
      <c r="EQ106" s="87">
        <v>1</v>
      </c>
      <c r="ER106" s="87">
        <v>1</v>
      </c>
      <c r="ES106" s="316" t="str">
        <f>IF(Table1[[#This Row],[Progres MOS]]&gt;=100%,"Selesai MOS = 100%",IF(Table1[[#This Row],[Progres MOS]]&gt;=50%,"Proses MOS &gt; 100%",IF(Table1[[#This Row],[Progres MOS]]&gt;0%,"Proses MOS &gt; 50%",IF(Table1[[#This Row],[Progres MOS]]=0,"Belum MOS = 0%"))))</f>
        <v>Selesai MOS = 100%</v>
      </c>
      <c r="ET10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106" s="47"/>
      <c r="EV106" s="330">
        <v>45467</v>
      </c>
      <c r="EW106" s="330" t="e">
        <v>#N/A</v>
      </c>
      <c r="EX106" s="330">
        <v>45564</v>
      </c>
      <c r="EY106" s="330" t="e">
        <v>#N/A</v>
      </c>
      <c r="EZ106" s="352" t="s">
        <v>298</v>
      </c>
      <c r="FA106" s="336" t="s">
        <v>259</v>
      </c>
      <c r="FB106" s="330" t="s">
        <v>260</v>
      </c>
      <c r="FC106" s="330">
        <v>45799</v>
      </c>
      <c r="FD106" s="330" t="s">
        <v>260</v>
      </c>
      <c r="FE106" s="330">
        <v>45875</v>
      </c>
      <c r="FF106" s="330">
        <v>45929</v>
      </c>
      <c r="FG106" s="330" t="s">
        <v>260</v>
      </c>
      <c r="FH106" s="330" t="s">
        <v>260</v>
      </c>
      <c r="FI106" s="330">
        <v>46021</v>
      </c>
      <c r="FJ106" s="330" t="s">
        <v>260</v>
      </c>
      <c r="FK106" s="330">
        <v>46087</v>
      </c>
      <c r="FL106" s="336" t="s">
        <v>298</v>
      </c>
      <c r="FM106" s="336">
        <v>45799</v>
      </c>
      <c r="FN106" s="314">
        <f>IF(Table1[[#This Row],[Tanggal Pengajuan Dokumen]]="","",Table1[[#This Row],[PLAN PERMIT
start]]-Table1[[#This Row],[Tanggal Pengajuan Dokumen]])</f>
        <v>-332</v>
      </c>
      <c r="FO106" s="336"/>
      <c r="FP106" s="316"/>
      <c r="FQ106" s="338"/>
      <c r="FR106" s="352"/>
      <c r="FS106" s="338" t="str">
        <f t="shared" si="8"/>
        <v>Sudah Terbit</v>
      </c>
      <c r="FT10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6" s="344">
        <f ca="1">IF(Table1[[#This Row],[Status Izin]]="Selesai",Table1[[#This Row],[PLAN PERMIT
finish]]-Table1[[#This Row],[Tanggal Terbit/ Target Izin Terbit]],ROUNDUP(Table1[[#This Row],[PLAN PERMIT
finish]]-NOW(),0))</f>
        <v>45564</v>
      </c>
      <c r="FV10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6" s="344"/>
      <c r="FX106" s="47"/>
      <c r="FY106" s="340"/>
      <c r="FZ106" s="341"/>
      <c r="GA10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6" s="330">
        <v>45538</v>
      </c>
      <c r="GC106" s="352">
        <v>45443</v>
      </c>
      <c r="GD10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6" s="330">
        <v>45545</v>
      </c>
      <c r="GF106" s="352">
        <v>45443</v>
      </c>
      <c r="GG10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6" s="330">
        <v>45551</v>
      </c>
      <c r="GI106" s="330">
        <v>45557</v>
      </c>
      <c r="GJ106" s="352">
        <v>45450</v>
      </c>
      <c r="GK10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6" s="330">
        <v>45565</v>
      </c>
      <c r="GM106" s="330" t="e">
        <v>#N/A</v>
      </c>
      <c r="GN106" s="330">
        <v>45641</v>
      </c>
      <c r="GO106" s="330" t="e">
        <v>#N/A</v>
      </c>
      <c r="GP106" s="316"/>
      <c r="GQ10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6" s="330" t="s">
        <v>261</v>
      </c>
      <c r="GS106" s="421" t="s">
        <v>261</v>
      </c>
      <c r="GT106" s="427" t="s">
        <v>767</v>
      </c>
      <c r="GU106" s="423" t="str">
        <f>IF(Table1[[#This Row],[Hydro Tes Actual
(tanggal)]]&lt;&gt;"","Sudah","Belum")</f>
        <v>Sudah</v>
      </c>
      <c r="GV106" s="330" t="s">
        <v>261</v>
      </c>
      <c r="GW106" s="330" t="s">
        <v>261</v>
      </c>
      <c r="GX106" s="331"/>
      <c r="GY106" s="344" t="str">
        <f>IF(Table1[[#This Row],[Interkoneksi Actual
(tanggal)]]&lt;&gt;"","Sudah","Belum")</f>
        <v>Belum</v>
      </c>
      <c r="GZ106" s="330" t="s">
        <v>261</v>
      </c>
      <c r="HA106" s="421" t="s">
        <v>261</v>
      </c>
      <c r="HB106" s="424">
        <v>45656</v>
      </c>
      <c r="HC106" s="344" t="str">
        <f>IF(Table1[[#This Row],[Flushing Actual
(tanggal)]]&lt;&gt;"","Sudah","Belum")</f>
        <v>Sudah</v>
      </c>
      <c r="HD106" s="330">
        <v>45621</v>
      </c>
      <c r="HE106" s="330" t="e">
        <v>#N/A</v>
      </c>
      <c r="HF106" s="330">
        <v>45623</v>
      </c>
      <c r="HG106" s="352">
        <v>45824</v>
      </c>
      <c r="HH10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6" s="330" t="s">
        <v>261</v>
      </c>
      <c r="HJ106" s="330" t="s">
        <v>261</v>
      </c>
      <c r="HK106" s="331"/>
      <c r="HL106" s="316"/>
      <c r="HM106" s="330">
        <v>45646</v>
      </c>
      <c r="HN106" s="330">
        <v>45646</v>
      </c>
      <c r="HO106" s="330" t="e">
        <v>#N/A</v>
      </c>
      <c r="HP106" s="331">
        <v>45735</v>
      </c>
      <c r="HQ10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6" s="330">
        <v>45653</v>
      </c>
      <c r="HS106" s="330"/>
      <c r="HT106" s="330">
        <v>45653</v>
      </c>
      <c r="HU106" s="527"/>
      <c r="HV106" s="330">
        <f>IF(Table1[[#This Row],[MC-100 Aktual
(tanggal)]]&lt;&gt;"",Table1[[#This Row],[MC-100 Aktual
(tanggal)]]+5,"")</f>
        <v>45740</v>
      </c>
      <c r="HW10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6" s="47"/>
      <c r="HY106" s="352"/>
      <c r="HZ106" s="352"/>
      <c r="IB106" s="618">
        <f>IFERROR(ROUND((Table1[[#This Row],[PLAN TC
finish]]-Table1[[#This Row],[PLAN MC-0
start]])/30,2),"")</f>
        <v>2.4</v>
      </c>
      <c r="IC106">
        <f>DATEDIF(Table1[[#This Row],[PLAN MC-0
start]],Table1[[#This Row],[PLAN TC
finish]],"m")</f>
        <v>2</v>
      </c>
    </row>
    <row r="107" spans="2:237" s="4" customFormat="1" ht="15" customHeight="1" x14ac:dyDescent="0.2">
      <c r="B107" s="311">
        <f>SUBTOTAL(3,$D$5:D107)</f>
        <v>66</v>
      </c>
      <c r="C107" s="348">
        <v>103</v>
      </c>
      <c r="D107" s="315" t="s">
        <v>673</v>
      </c>
      <c r="E107" s="315" t="s">
        <v>768</v>
      </c>
      <c r="F107" s="315" t="s">
        <v>769</v>
      </c>
      <c r="G107" s="349">
        <v>45752</v>
      </c>
      <c r="H107" s="314" t="s">
        <v>247</v>
      </c>
      <c r="I107" s="315" t="s">
        <v>278</v>
      </c>
      <c r="J107" s="315"/>
      <c r="K107" s="338" t="s">
        <v>676</v>
      </c>
      <c r="L107" s="316" t="s">
        <v>250</v>
      </c>
      <c r="M107" s="316" t="s">
        <v>269</v>
      </c>
      <c r="N107" s="107">
        <v>160</v>
      </c>
      <c r="O107" s="31" t="s">
        <v>252</v>
      </c>
      <c r="P107"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7" s="87" t="e">
        <v>#N/A</v>
      </c>
      <c r="S107" s="87">
        <v>1</v>
      </c>
      <c r="T107" s="35">
        <f>Table1[[#This Row],[Progres Total Aktual
(%)]]</f>
        <v>1</v>
      </c>
      <c r="U107" s="124">
        <f>Table1[[#This Row],[Progres Aktual
(%)]]-Table1[[#This Row],[Target Progres
(%)]]</f>
        <v>0</v>
      </c>
      <c r="V107" s="350">
        <f>Table1[[#This Row],["Volume
BA MC-0"]]</f>
        <v>101</v>
      </c>
      <c r="W107" s="351">
        <f>Table1[[#This Row],[Total Panjang Pipa Aktual
(Sum-&gt;)3]]</f>
        <v>84</v>
      </c>
      <c r="X107" s="47"/>
      <c r="Y107" s="67" t="s">
        <v>770</v>
      </c>
      <c r="Z107" s="67">
        <v>251089266</v>
      </c>
      <c r="AA107" s="67">
        <f>ROUND((Table1[[#This Row],[Nilai RAB Jaringan
(Exclude Ppn)]]-Table1[[#This Row],[RAB Perizinan]])*1.11+Table1[[#This Row],[RAB Perizinan]],0)</f>
        <v>0</v>
      </c>
      <c r="AB107" s="320">
        <f>SUM(Table1[[#This Row],[RAB Kegiatan Umum]:[RAB Perizinan]])</f>
        <v>0</v>
      </c>
      <c r="AC107" s="320"/>
      <c r="AD107" s="320"/>
      <c r="AE107" s="320"/>
      <c r="AF107" s="320"/>
      <c r="AG107" s="320">
        <v>40992966</v>
      </c>
      <c r="AH107" s="35" t="e">
        <f>SUM(Table1[[#This Row],[Bobot Keg Umum]:[Bobot Perizinan]])</f>
        <v>#DIV/0!</v>
      </c>
      <c r="AI107" s="35" t="e">
        <f>Table1[[#This Row],[RAB Kegiatan Umum]]/Table1[[#This Row],[Nilai RAB Jaringan
(Exclude Ppn)]]</f>
        <v>#DIV/0!</v>
      </c>
      <c r="AJ107" s="35" t="e">
        <f>Table1[[#This Row],[RAB Pemasangan]]/Table1[[#This Row],[Nilai RAB Jaringan
(Exclude Ppn)]]</f>
        <v>#DIV/0!</v>
      </c>
      <c r="AK107" s="35" t="e">
        <f>Table1[[#This Row],[RAB Pengadaan]]/Table1[[#This Row],[Nilai RAB Jaringan
(Exclude Ppn)]]</f>
        <v>#DIV/0!</v>
      </c>
      <c r="AL107" s="35" t="e">
        <f>Table1[[#This Row],[RAB Perizinan]]/Table1[[#This Row],[Nilai RAB Jaringan
(Exclude Ppn)]]</f>
        <v>#DIV/0!</v>
      </c>
      <c r="AM107" s="47"/>
      <c r="AN107" s="285">
        <v>101</v>
      </c>
      <c r="AO107" s="285">
        <f>SUM(Table1[[#This Row],[Pipa 63 mm]:[Pipa 1,800 mm]])</f>
        <v>0</v>
      </c>
      <c r="AP107" s="285"/>
      <c r="AQ107" s="285"/>
      <c r="AR107" s="285"/>
      <c r="AS107" s="285"/>
      <c r="AT107" s="285"/>
      <c r="AU107" s="285"/>
      <c r="AV107" s="285"/>
      <c r="AW107" s="285"/>
      <c r="AX107" s="285"/>
      <c r="AY107" s="285"/>
      <c r="AZ107" s="285"/>
      <c r="BA107" s="285"/>
      <c r="BB107" s="285"/>
      <c r="BC107" s="285"/>
      <c r="BD107" s="285"/>
      <c r="BE107" s="285"/>
      <c r="BF107" s="285"/>
      <c r="BG107" s="285"/>
      <c r="BH107" s="285"/>
      <c r="BI107" s="285"/>
      <c r="BJ107" s="36">
        <f>SUM(Table1[[#This Row],[Pipa 63 mm2]:[Pipa 1,800 mm21]])</f>
        <v>84</v>
      </c>
      <c r="BK107" s="32">
        <v>84</v>
      </c>
      <c r="BL107" s="32"/>
      <c r="BM107" s="32"/>
      <c r="BN107" s="32"/>
      <c r="BO107" s="32"/>
      <c r="BP107" s="32"/>
      <c r="BQ107" s="32"/>
      <c r="BR107" s="32"/>
      <c r="BS107" s="32"/>
      <c r="BT107" s="32"/>
      <c r="BU107" s="32"/>
      <c r="BV107" s="32"/>
      <c r="BW107" s="32"/>
      <c r="BX107" s="32"/>
      <c r="BY107" s="32"/>
      <c r="BZ107" s="32"/>
      <c r="CA107" s="32"/>
      <c r="CB107" s="32"/>
      <c r="CC107" s="32"/>
      <c r="CD107" s="32"/>
      <c r="CE107" s="32">
        <v>0</v>
      </c>
      <c r="CF107" s="32"/>
      <c r="CG107" s="32"/>
      <c r="CH107" s="32"/>
      <c r="CI107" s="32">
        <f t="shared" si="6"/>
        <v>0</v>
      </c>
      <c r="CJ107" s="65">
        <f>IF((Table1[[#This Row],["Volume
BA MC-0"]]-Table1[[#This Row],[Total Panjang Pipa Aktual
(Sum-&gt;)3]]-Table1[[#This Row],[Total Volume
tidak dapat dipasang]])&gt;=0,Table1[[#This Row],["Volume
BA MC-0"]]-Table1[[#This Row],[Total Panjang Pipa Aktual
(Sum-&gt;)3]]-Table1[[#This Row],[Total Volume
tidak dapat dipasang]],0)</f>
        <v>17</v>
      </c>
      <c r="CK107" s="47"/>
      <c r="CL107" s="131"/>
      <c r="CM107" s="35"/>
      <c r="CN107" s="131"/>
      <c r="CO107" s="131"/>
      <c r="CP10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7" s="66">
        <f>IFERROR(Table1[[#This Row],[Progres Keg. Umum
(%)]]*Table1[[#This Row],[Nilai RAB Jaringan
(file pa aji)]],0)</f>
        <v>0</v>
      </c>
      <c r="CR107" s="66">
        <f>IFERROR(Table1[[#This Row],[Progres MOS
(%)]]*Table1[[#This Row],[Nilai RAB Jaringan
(file pa aji)]],0)</f>
        <v>0</v>
      </c>
      <c r="CS107" s="66">
        <f>IFERROR(Table1[[#This Row],[Progres Pemasangan
(%)]]*Table1[[#This Row],[Nilai RAB Jaringan
(file pa aji)]],0)</f>
        <v>0</v>
      </c>
      <c r="CT107" s="66">
        <f>IFERROR(Table1[[#This Row],[Progres Perizinan
(%)]]*Table1[[#This Row],[Nilai RAB Jaringan
(file pa aji)]],0)</f>
        <v>0</v>
      </c>
      <c r="CU107" s="329">
        <v>190389475</v>
      </c>
      <c r="CV107" s="329">
        <v>190389475</v>
      </c>
      <c r="CW107" s="583">
        <v>190389475</v>
      </c>
      <c r="CX107" s="329">
        <v>190389475</v>
      </c>
      <c r="CY107" s="47"/>
      <c r="CZ107" s="330">
        <v>45530</v>
      </c>
      <c r="DA107" s="330">
        <v>45543</v>
      </c>
      <c r="DB107" s="331"/>
      <c r="DC107" s="316"/>
      <c r="DD107" s="67"/>
      <c r="DE10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7" s="331"/>
      <c r="DG107" s="316"/>
      <c r="DH107" s="67"/>
      <c r="DI10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7" s="330">
        <v>45544</v>
      </c>
      <c r="DK107" s="330">
        <v>45592</v>
      </c>
      <c r="DL107" s="331">
        <v>45542</v>
      </c>
      <c r="DM107" s="425" t="s">
        <v>771</v>
      </c>
      <c r="DN10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7" s="331">
        <v>45586</v>
      </c>
      <c r="DP107" s="426" t="s">
        <v>772</v>
      </c>
      <c r="DQ107" s="426" t="s">
        <v>501</v>
      </c>
      <c r="DR10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7" s="330">
        <v>45544</v>
      </c>
      <c r="DT107" s="330" t="e">
        <v>#N/A</v>
      </c>
      <c r="DU107" s="330">
        <v>45571</v>
      </c>
      <c r="DV107" s="330" t="e">
        <v>#N/A</v>
      </c>
      <c r="DW107" s="331"/>
      <c r="DX107" s="316"/>
      <c r="DY107" s="334"/>
      <c r="DZ107" s="334"/>
      <c r="EA10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7" s="331"/>
      <c r="EC107" s="332"/>
      <c r="ED107" s="332"/>
      <c r="EE107" s="330"/>
      <c r="EF107" s="35">
        <v>1</v>
      </c>
      <c r="EG107" s="337">
        <v>1</v>
      </c>
      <c r="EH107" s="316" t="str">
        <f>IF(Table1[[#This Row],[PO Material Aktual 
(%)]]&gt;=100%,"Selesai PO = 100%",IF(Table1[[#This Row],[PO Material Aktual 
(%)]]&gt;=50%,"Proses PO &gt; 100%",IF(Table1[[#This Row],[PO Material Aktual 
(%)]]&gt;0%,"Proses PO &gt; 50%",IF(Table1[[#This Row],[PO Material Aktual 
(%)]]=0,"Belum PO = 0%"))))</f>
        <v>Selesai PO = 100%</v>
      </c>
      <c r="EI10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7" s="330">
        <v>45572</v>
      </c>
      <c r="EK107" s="330" t="e">
        <v>#N/A</v>
      </c>
      <c r="EL107" s="330">
        <v>45620</v>
      </c>
      <c r="EM107" s="330" t="e">
        <v>#N/A</v>
      </c>
      <c r="EN107" s="331">
        <v>45881</v>
      </c>
      <c r="EO107" s="332"/>
      <c r="EP107" s="332"/>
      <c r="EQ107" s="87">
        <v>1</v>
      </c>
      <c r="ER107" s="87">
        <v>1</v>
      </c>
      <c r="ES107" s="316" t="str">
        <f>IF(Table1[[#This Row],[Progres MOS]]&gt;=100%,"Selesai MOS = 100%",IF(Table1[[#This Row],[Progres MOS]]&gt;=50%,"Proses MOS &gt; 100%",IF(Table1[[#This Row],[Progres MOS]]&gt;0%,"Proses MOS &gt; 50%",IF(Table1[[#This Row],[Progres MOS]]=0,"Belum MOS = 0%"))))</f>
        <v>Selesai MOS = 100%</v>
      </c>
      <c r="ET10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7" s="47"/>
      <c r="EV107" s="330">
        <v>45544</v>
      </c>
      <c r="EW107" s="330" t="e">
        <v>#N/A</v>
      </c>
      <c r="EX107" s="330">
        <v>45620</v>
      </c>
      <c r="EY107" s="330" t="e">
        <v>#N/A</v>
      </c>
      <c r="EZ107" s="352" t="s">
        <v>298</v>
      </c>
      <c r="FA107" s="336" t="s">
        <v>259</v>
      </c>
      <c r="FB107" s="330" t="s">
        <v>260</v>
      </c>
      <c r="FC107" s="330">
        <v>45799</v>
      </c>
      <c r="FD107" s="330" t="s">
        <v>260</v>
      </c>
      <c r="FE107" s="330">
        <v>45875</v>
      </c>
      <c r="FF107" s="330">
        <v>45929</v>
      </c>
      <c r="FG107" s="330" t="s">
        <v>260</v>
      </c>
      <c r="FH107" s="330" t="s">
        <v>260</v>
      </c>
      <c r="FI107" s="330">
        <v>46021</v>
      </c>
      <c r="FJ107" s="330" t="s">
        <v>260</v>
      </c>
      <c r="FK107" s="330">
        <v>46087</v>
      </c>
      <c r="FL107" s="336" t="s">
        <v>298</v>
      </c>
      <c r="FM107" s="336">
        <v>45799</v>
      </c>
      <c r="FN107" s="314">
        <f>IF(Table1[[#This Row],[Tanggal Pengajuan Dokumen]]="","",Table1[[#This Row],[PLAN PERMIT
start]]-Table1[[#This Row],[Tanggal Pengajuan Dokumen]])</f>
        <v>-255</v>
      </c>
      <c r="FO107" s="336"/>
      <c r="FP107" s="316"/>
      <c r="FQ107" s="338"/>
      <c r="FR107" s="352"/>
      <c r="FS107" s="338" t="str">
        <f t="shared" si="8"/>
        <v>Sudah Terbit</v>
      </c>
      <c r="FT10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7" s="344">
        <f ca="1">IF(Table1[[#This Row],[Status Izin]]="Selesai",Table1[[#This Row],[PLAN PERMIT
finish]]-Table1[[#This Row],[Tanggal Terbit/ Target Izin Terbit]],ROUNDUP(Table1[[#This Row],[PLAN PERMIT
finish]]-NOW(),0))</f>
        <v>45620</v>
      </c>
      <c r="FV10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7" s="344"/>
      <c r="FX107" s="47"/>
      <c r="FY107" s="340"/>
      <c r="FZ107" s="341"/>
      <c r="GA10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7" s="330">
        <v>45594</v>
      </c>
      <c r="GC107" s="352">
        <v>45610</v>
      </c>
      <c r="GD10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07" s="330">
        <v>45601</v>
      </c>
      <c r="GF107" s="352">
        <v>45610</v>
      </c>
      <c r="GG10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07" s="330">
        <v>45607</v>
      </c>
      <c r="GI107" s="330">
        <v>45613</v>
      </c>
      <c r="GJ107" s="352">
        <v>45553</v>
      </c>
      <c r="GK10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7" s="330">
        <v>45621</v>
      </c>
      <c r="GM107" s="330" t="e">
        <v>#N/A</v>
      </c>
      <c r="GN107" s="330">
        <v>45641</v>
      </c>
      <c r="GO107" s="330" t="e">
        <v>#N/A</v>
      </c>
      <c r="GP107" s="316"/>
      <c r="GQ10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7" s="330" t="s">
        <v>261</v>
      </c>
      <c r="GS107" s="421" t="s">
        <v>261</v>
      </c>
      <c r="GT107" s="427">
        <v>45628</v>
      </c>
      <c r="GU107" s="423" t="str">
        <f>IF(Table1[[#This Row],[Hydro Tes Actual
(tanggal)]]&lt;&gt;"","Sudah","Belum")</f>
        <v>Sudah</v>
      </c>
      <c r="GV107" s="330" t="s">
        <v>261</v>
      </c>
      <c r="GW107" s="330" t="s">
        <v>261</v>
      </c>
      <c r="GX107" s="331"/>
      <c r="GY107" s="344" t="str">
        <f>IF(Table1[[#This Row],[Interkoneksi Actual
(tanggal)]]&lt;&gt;"","Sudah","Belum")</f>
        <v>Belum</v>
      </c>
      <c r="GZ107" s="330" t="s">
        <v>261</v>
      </c>
      <c r="HA107" s="421" t="s">
        <v>261</v>
      </c>
      <c r="HB107" s="424">
        <v>45684</v>
      </c>
      <c r="HC107" s="344" t="str">
        <f>IF(Table1[[#This Row],[Flushing Actual
(tanggal)]]&lt;&gt;"","Sudah","Belum")</f>
        <v>Sudah</v>
      </c>
      <c r="HD107" s="330">
        <v>45628</v>
      </c>
      <c r="HE107" s="330" t="e">
        <v>#N/A</v>
      </c>
      <c r="HF107" s="330">
        <v>45634</v>
      </c>
      <c r="HG107" s="352">
        <v>45825</v>
      </c>
      <c r="HH10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7" s="330" t="s">
        <v>261</v>
      </c>
      <c r="HJ107" s="330" t="s">
        <v>261</v>
      </c>
      <c r="HK107" s="331"/>
      <c r="HL107" s="316"/>
      <c r="HM107" s="330">
        <v>45646</v>
      </c>
      <c r="HN107" s="330">
        <v>45646</v>
      </c>
      <c r="HO107" s="330" t="e">
        <v>#N/A</v>
      </c>
      <c r="HP107" s="331">
        <v>45734</v>
      </c>
      <c r="HQ10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7" s="330">
        <v>45653</v>
      </c>
      <c r="HS107" s="330"/>
      <c r="HT107" s="330">
        <v>45653</v>
      </c>
      <c r="HU107" s="527"/>
      <c r="HV107" s="330">
        <f>IF(Table1[[#This Row],[MC-100 Aktual
(tanggal)]]&lt;&gt;"",Table1[[#This Row],[MC-100 Aktual
(tanggal)]]+5,"")</f>
        <v>45739</v>
      </c>
      <c r="HW10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7" s="47"/>
      <c r="HY107" s="352"/>
      <c r="HZ107" s="352"/>
      <c r="IB107" s="618">
        <f>IFERROR(ROUND((Table1[[#This Row],[PLAN TC
finish]]-Table1[[#This Row],[PLAN MC-0
start]])/30,2),"")</f>
        <v>0.9</v>
      </c>
      <c r="IC107">
        <f>DATEDIF(Table1[[#This Row],[PLAN MC-0
start]],Table1[[#This Row],[PLAN TC
finish]],"m")</f>
        <v>0</v>
      </c>
    </row>
    <row r="108" spans="2:237" s="4" customFormat="1" ht="15" customHeight="1" x14ac:dyDescent="0.2">
      <c r="B108" s="311">
        <f>SUBTOTAL(3,$D$5:D108)</f>
        <v>67</v>
      </c>
      <c r="C108" s="348">
        <v>104</v>
      </c>
      <c r="D108" s="315" t="s">
        <v>673</v>
      </c>
      <c r="E108" s="315" t="s">
        <v>773</v>
      </c>
      <c r="F108" s="315" t="s">
        <v>774</v>
      </c>
      <c r="G108" s="349">
        <v>45752</v>
      </c>
      <c r="H108" s="314" t="s">
        <v>247</v>
      </c>
      <c r="I108" s="315" t="s">
        <v>278</v>
      </c>
      <c r="J108" s="315"/>
      <c r="K108" s="338" t="s">
        <v>676</v>
      </c>
      <c r="L108" s="316" t="s">
        <v>250</v>
      </c>
      <c r="M108" s="316" t="s">
        <v>269</v>
      </c>
      <c r="N108" s="107">
        <v>2667</v>
      </c>
      <c r="O108" s="31" t="s">
        <v>252</v>
      </c>
      <c r="P10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8" s="87" t="e">
        <v>#N/A</v>
      </c>
      <c r="S108" s="87">
        <v>1</v>
      </c>
      <c r="T108" s="35">
        <f>Table1[[#This Row],[Progres Total Aktual
(%)]]</f>
        <v>1</v>
      </c>
      <c r="U108" s="124">
        <f>Table1[[#This Row],[Progres Aktual
(%)]]-Table1[[#This Row],[Target Progres
(%)]]</f>
        <v>0</v>
      </c>
      <c r="V108" s="350">
        <f>Table1[[#This Row],["Volume
BA MC-0"]]</f>
        <v>2825</v>
      </c>
      <c r="W108" s="351">
        <f>Table1[[#This Row],[Total Panjang Pipa Aktual
(Sum-&gt;)3]]</f>
        <v>2825</v>
      </c>
      <c r="X108" s="47"/>
      <c r="Y108" s="67" t="s">
        <v>775</v>
      </c>
      <c r="Z108" s="67">
        <v>4287062529</v>
      </c>
      <c r="AA108" s="67">
        <f>ROUND((Table1[[#This Row],[Nilai RAB Jaringan
(Exclude Ppn)]]-Table1[[#This Row],[RAB Perizinan]])*1.11+Table1[[#This Row],[RAB Perizinan]],0)</f>
        <v>0</v>
      </c>
      <c r="AB108" s="320">
        <f>SUM(Table1[[#This Row],[RAB Kegiatan Umum]:[RAB Perizinan]])</f>
        <v>0</v>
      </c>
      <c r="AC108" s="320"/>
      <c r="AD108" s="320"/>
      <c r="AE108" s="320"/>
      <c r="AF108" s="320"/>
      <c r="AG108" s="320">
        <v>159872568</v>
      </c>
      <c r="AH108" s="35" t="e">
        <f>SUM(Table1[[#This Row],[Bobot Keg Umum]:[Bobot Perizinan]])</f>
        <v>#DIV/0!</v>
      </c>
      <c r="AI108" s="35" t="e">
        <f>Table1[[#This Row],[RAB Kegiatan Umum]]/Table1[[#This Row],[Nilai RAB Jaringan
(Exclude Ppn)]]</f>
        <v>#DIV/0!</v>
      </c>
      <c r="AJ108" s="35" t="e">
        <f>Table1[[#This Row],[RAB Pemasangan]]/Table1[[#This Row],[Nilai RAB Jaringan
(Exclude Ppn)]]</f>
        <v>#DIV/0!</v>
      </c>
      <c r="AK108" s="35" t="e">
        <f>Table1[[#This Row],[RAB Pengadaan]]/Table1[[#This Row],[Nilai RAB Jaringan
(Exclude Ppn)]]</f>
        <v>#DIV/0!</v>
      </c>
      <c r="AL108" s="35" t="e">
        <f>Table1[[#This Row],[RAB Perizinan]]/Table1[[#This Row],[Nilai RAB Jaringan
(Exclude Ppn)]]</f>
        <v>#DIV/0!</v>
      </c>
      <c r="AM108" s="47"/>
      <c r="AN108" s="285">
        <v>2825</v>
      </c>
      <c r="AO108" s="285">
        <f>SUM(Table1[[#This Row],[Pipa 63 mm]:[Pipa 1,800 mm]])</f>
        <v>0</v>
      </c>
      <c r="AP108" s="285"/>
      <c r="AQ108" s="285"/>
      <c r="AR108" s="285"/>
      <c r="AS108" s="285"/>
      <c r="AT108" s="285"/>
      <c r="AU108" s="285"/>
      <c r="AV108" s="285"/>
      <c r="AW108" s="285"/>
      <c r="AX108" s="285"/>
      <c r="AY108" s="285"/>
      <c r="AZ108" s="285"/>
      <c r="BA108" s="285"/>
      <c r="BB108" s="285"/>
      <c r="BC108" s="285"/>
      <c r="BD108" s="285"/>
      <c r="BE108" s="285"/>
      <c r="BF108" s="285"/>
      <c r="BG108" s="285"/>
      <c r="BH108" s="285"/>
      <c r="BI108" s="285"/>
      <c r="BJ108" s="36">
        <f>SUM(Table1[[#This Row],[Pipa 63 mm2]:[Pipa 1,800 mm21]])</f>
        <v>2825</v>
      </c>
      <c r="BK108" s="32">
        <v>2506</v>
      </c>
      <c r="BL108" s="32">
        <v>183</v>
      </c>
      <c r="BM108" s="32"/>
      <c r="BN108" s="32">
        <v>136</v>
      </c>
      <c r="BO108" s="32"/>
      <c r="BP108" s="32"/>
      <c r="BQ108" s="32"/>
      <c r="BR108" s="32"/>
      <c r="BS108" s="32"/>
      <c r="BT108" s="32"/>
      <c r="BU108" s="32"/>
      <c r="BV108" s="32"/>
      <c r="BW108" s="32"/>
      <c r="BX108" s="32"/>
      <c r="BY108" s="32"/>
      <c r="BZ108" s="32"/>
      <c r="CA108" s="32"/>
      <c r="CB108" s="32"/>
      <c r="CC108" s="32"/>
      <c r="CD108" s="32"/>
      <c r="CE108" s="32">
        <v>0</v>
      </c>
      <c r="CF108" s="32"/>
      <c r="CG108" s="32"/>
      <c r="CH108" s="32"/>
      <c r="CI108" s="32">
        <f t="shared" si="6"/>
        <v>0</v>
      </c>
      <c r="CJ108" s="65">
        <f>IF((Table1[[#This Row],["Volume
BA MC-0"]]-Table1[[#This Row],[Total Panjang Pipa Aktual
(Sum-&gt;)3]]-Table1[[#This Row],[Total Volume
tidak dapat dipasang]])&gt;=0,Table1[[#This Row],["Volume
BA MC-0"]]-Table1[[#This Row],[Total Panjang Pipa Aktual
(Sum-&gt;)3]]-Table1[[#This Row],[Total Volume
tidak dapat dipasang]],0)</f>
        <v>0</v>
      </c>
      <c r="CK108" s="47"/>
      <c r="CL108" s="131"/>
      <c r="CM108" s="35"/>
      <c r="CN108" s="131"/>
      <c r="CO108" s="131"/>
      <c r="CP10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8" s="66">
        <f>IFERROR(Table1[[#This Row],[Progres Keg. Umum
(%)]]*Table1[[#This Row],[Nilai RAB Jaringan
(file pa aji)]],0)</f>
        <v>0</v>
      </c>
      <c r="CR108" s="66">
        <f>IFERROR(Table1[[#This Row],[Progres MOS
(%)]]*Table1[[#This Row],[Nilai RAB Jaringan
(file pa aji)]],0)</f>
        <v>0</v>
      </c>
      <c r="CS108" s="66">
        <f>IFERROR(Table1[[#This Row],[Progres Pemasangan
(%)]]*Table1[[#This Row],[Nilai RAB Jaringan
(file pa aji)]],0)</f>
        <v>0</v>
      </c>
      <c r="CT108" s="66">
        <f>IFERROR(Table1[[#This Row],[Progres Perizinan
(%)]]*Table1[[#This Row],[Nilai RAB Jaringan
(file pa aji)]],0)</f>
        <v>0</v>
      </c>
      <c r="CU108" s="329">
        <v>3919403446</v>
      </c>
      <c r="CV108" s="329">
        <v>3919403446</v>
      </c>
      <c r="CW108" s="583">
        <v>3919403446</v>
      </c>
      <c r="CX108" s="329">
        <v>3919403446</v>
      </c>
      <c r="CY108" s="47"/>
      <c r="CZ108" s="330">
        <v>45439</v>
      </c>
      <c r="DA108" s="330">
        <v>45466</v>
      </c>
      <c r="DB108" s="331"/>
      <c r="DC108" s="316"/>
      <c r="DD108" s="67"/>
      <c r="DE10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8" s="331"/>
      <c r="DG108" s="316"/>
      <c r="DH108" s="67"/>
      <c r="DI10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8" s="330">
        <v>45467</v>
      </c>
      <c r="DK108" s="330">
        <v>45508</v>
      </c>
      <c r="DL108" s="331">
        <v>45439</v>
      </c>
      <c r="DM108" s="425" t="s">
        <v>776</v>
      </c>
      <c r="DN10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8" s="331">
        <v>45673</v>
      </c>
      <c r="DP108" s="426" t="s">
        <v>738</v>
      </c>
      <c r="DQ108" s="338" t="s">
        <v>297</v>
      </c>
      <c r="DR10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8" s="330">
        <v>45467</v>
      </c>
      <c r="DT108" s="330" t="e">
        <v>#N/A</v>
      </c>
      <c r="DU108" s="330">
        <v>45508</v>
      </c>
      <c r="DV108" s="330" t="e">
        <v>#N/A</v>
      </c>
      <c r="DW108" s="331"/>
      <c r="DX108" s="316"/>
      <c r="DY108" s="334"/>
      <c r="DZ108" s="334"/>
      <c r="EA10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8" s="331"/>
      <c r="EC108" s="332"/>
      <c r="ED108" s="332"/>
      <c r="EE108" s="330"/>
      <c r="EF108" s="35">
        <v>1</v>
      </c>
      <c r="EG108" s="337">
        <v>1</v>
      </c>
      <c r="EH108" s="316" t="str">
        <f>IF(Table1[[#This Row],[PO Material Aktual 
(%)]]&gt;=100%,"Selesai PO = 100%",IF(Table1[[#This Row],[PO Material Aktual 
(%)]]&gt;=50%,"Proses PO &gt; 100%",IF(Table1[[#This Row],[PO Material Aktual 
(%)]]&gt;0%,"Proses PO &gt; 50%",IF(Table1[[#This Row],[PO Material Aktual 
(%)]]=0,"Belum PO = 0%"))))</f>
        <v>Selesai PO = 100%</v>
      </c>
      <c r="EI10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8" s="330">
        <v>45509</v>
      </c>
      <c r="EK108" s="330" t="e">
        <v>#N/A</v>
      </c>
      <c r="EL108" s="330">
        <v>45599</v>
      </c>
      <c r="EM108" s="330" t="e">
        <v>#N/A</v>
      </c>
      <c r="EN108" s="331">
        <v>45960</v>
      </c>
      <c r="EO108" s="332"/>
      <c r="EP108" s="332"/>
      <c r="EQ108" s="87">
        <v>1</v>
      </c>
      <c r="ER108" s="87">
        <v>1</v>
      </c>
      <c r="ES108" s="316" t="str">
        <f>IF(Table1[[#This Row],[Progres MOS]]&gt;=100%,"Selesai MOS = 100%",IF(Table1[[#This Row],[Progres MOS]]&gt;=50%,"Proses MOS &gt; 100%",IF(Table1[[#This Row],[Progres MOS]]&gt;0%,"Proses MOS &gt; 50%",IF(Table1[[#This Row],[Progres MOS]]=0,"Belum MOS = 0%"))))</f>
        <v>Selesai MOS = 100%</v>
      </c>
      <c r="ET10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8" s="47"/>
      <c r="EV108" s="330">
        <v>45467</v>
      </c>
      <c r="EW108" s="330" t="e">
        <v>#N/A</v>
      </c>
      <c r="EX108" s="330">
        <v>45564</v>
      </c>
      <c r="EY108" s="330" t="e">
        <v>#N/A</v>
      </c>
      <c r="EZ108" s="352" t="s">
        <v>259</v>
      </c>
      <c r="FA108" s="336" t="s">
        <v>259</v>
      </c>
      <c r="FB108" s="330" t="s">
        <v>260</v>
      </c>
      <c r="FC108" s="330">
        <v>45545</v>
      </c>
      <c r="FD108" s="330" t="s">
        <v>260</v>
      </c>
      <c r="FE108" s="330"/>
      <c r="FF108" s="330">
        <v>45543</v>
      </c>
      <c r="FG108" s="330" t="s">
        <v>260</v>
      </c>
      <c r="FH108" s="330" t="s">
        <v>260</v>
      </c>
      <c r="FI108" s="330">
        <v>45558</v>
      </c>
      <c r="FJ108" s="330" t="s">
        <v>260</v>
      </c>
      <c r="FK108" s="330">
        <v>45575</v>
      </c>
      <c r="FL108" s="336" t="s">
        <v>259</v>
      </c>
      <c r="FM108" s="336">
        <v>45545</v>
      </c>
      <c r="FN108" s="314">
        <f>IF(Table1[[#This Row],[Tanggal Pengajuan Dokumen]]="","",Table1[[#This Row],[PLAN PERMIT
start]]-Table1[[#This Row],[Tanggal Pengajuan Dokumen]])</f>
        <v>-78</v>
      </c>
      <c r="FO108" s="336">
        <v>45575</v>
      </c>
      <c r="FP108" s="316"/>
      <c r="FQ108" s="338"/>
      <c r="FR108" s="352"/>
      <c r="FS108" s="338" t="str">
        <f t="shared" si="8"/>
        <v>Sudah Terbit</v>
      </c>
      <c r="FT10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8" s="344">
        <f ca="1">IF(Table1[[#This Row],[Status Izin]]="Selesai",Table1[[#This Row],[PLAN PERMIT
finish]]-Table1[[#This Row],[Tanggal Terbit/ Target Izin Terbit]],ROUNDUP(Table1[[#This Row],[PLAN PERMIT
finish]]-NOW(),0))</f>
        <v>-11</v>
      </c>
      <c r="FV10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8" s="344"/>
      <c r="FX108" s="47"/>
      <c r="FY108" s="340"/>
      <c r="FZ108" s="341"/>
      <c r="GA10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8" s="330">
        <v>45538</v>
      </c>
      <c r="GC108" s="352">
        <v>45443</v>
      </c>
      <c r="GD10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8" s="330">
        <v>45545</v>
      </c>
      <c r="GF108" s="352">
        <v>45443</v>
      </c>
      <c r="GG10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8" s="330">
        <v>45551</v>
      </c>
      <c r="GI108" s="330">
        <v>45557</v>
      </c>
      <c r="GJ108" s="352">
        <v>45478</v>
      </c>
      <c r="GK10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8" s="330">
        <v>45565</v>
      </c>
      <c r="GM108" s="330" t="e">
        <v>#N/A</v>
      </c>
      <c r="GN108" s="330">
        <v>45641</v>
      </c>
      <c r="GO108" s="330" t="e">
        <v>#N/A</v>
      </c>
      <c r="GP108" s="316"/>
      <c r="GQ10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8" s="330" t="s">
        <v>261</v>
      </c>
      <c r="GS108" s="421" t="s">
        <v>261</v>
      </c>
      <c r="GT108" s="427" t="s">
        <v>777</v>
      </c>
      <c r="GU108" s="423" t="str">
        <f>IF(Table1[[#This Row],[Hydro Tes Actual
(tanggal)]]&lt;&gt;"","Sudah","Belum")</f>
        <v>Sudah</v>
      </c>
      <c r="GV108" s="330" t="s">
        <v>261</v>
      </c>
      <c r="GW108" s="330" t="s">
        <v>261</v>
      </c>
      <c r="GX108" s="331"/>
      <c r="GY108" s="344" t="str">
        <f>IF(Table1[[#This Row],[Interkoneksi Actual
(tanggal)]]&lt;&gt;"","Sudah","Belum")</f>
        <v>Belum</v>
      </c>
      <c r="GZ108" s="330" t="s">
        <v>261</v>
      </c>
      <c r="HA108" s="421" t="s">
        <v>261</v>
      </c>
      <c r="HB108" s="424">
        <v>45636</v>
      </c>
      <c r="HC108" s="344" t="str">
        <f>IF(Table1[[#This Row],[Flushing Actual
(tanggal)]]&lt;&gt;"","Sudah","Belum")</f>
        <v>Sudah</v>
      </c>
      <c r="HD108" s="330">
        <v>45621</v>
      </c>
      <c r="HE108" s="330" t="e">
        <v>#N/A</v>
      </c>
      <c r="HF108" s="330">
        <v>45623</v>
      </c>
      <c r="HG108" s="352">
        <v>45825</v>
      </c>
      <c r="HH10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8" s="330" t="s">
        <v>261</v>
      </c>
      <c r="HJ108" s="330" t="s">
        <v>261</v>
      </c>
      <c r="HK108" s="331"/>
      <c r="HL108" s="316"/>
      <c r="HM108" s="330">
        <v>45646</v>
      </c>
      <c r="HN108" s="330">
        <v>45646</v>
      </c>
      <c r="HO108" s="330" t="e">
        <v>#N/A</v>
      </c>
      <c r="HP108" s="331">
        <v>45733</v>
      </c>
      <c r="HQ10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8" s="330">
        <v>45653</v>
      </c>
      <c r="HS108" s="330"/>
      <c r="HT108" s="330">
        <v>45653</v>
      </c>
      <c r="HU108" s="527"/>
      <c r="HV108" s="330">
        <f>IF(Table1[[#This Row],[MC-100 Aktual
(tanggal)]]&lt;&gt;"",Table1[[#This Row],[MC-100 Aktual
(tanggal)]]+5,"")</f>
        <v>45738</v>
      </c>
      <c r="HW10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8" s="47"/>
      <c r="HY108" s="352"/>
      <c r="HZ108" s="352"/>
      <c r="IB108" s="618">
        <f>IFERROR(ROUND((Table1[[#This Row],[PLAN TC
finish]]-Table1[[#This Row],[PLAN MC-0
start]])/30,2),"")</f>
        <v>2.4</v>
      </c>
      <c r="IC108">
        <f>DATEDIF(Table1[[#This Row],[PLAN MC-0
start]],Table1[[#This Row],[PLAN TC
finish]],"m")</f>
        <v>2</v>
      </c>
    </row>
    <row r="109" spans="2:237" s="4" customFormat="1" ht="15" customHeight="1" x14ac:dyDescent="0.2">
      <c r="B109" s="311">
        <f>SUBTOTAL(3,$D$5:D109)</f>
        <v>68</v>
      </c>
      <c r="C109" s="348">
        <v>105</v>
      </c>
      <c r="D109" s="315" t="s">
        <v>673</v>
      </c>
      <c r="E109" s="315" t="s">
        <v>778</v>
      </c>
      <c r="F109" s="315" t="s">
        <v>779</v>
      </c>
      <c r="G109" s="349">
        <v>45752</v>
      </c>
      <c r="H109" s="314" t="s">
        <v>247</v>
      </c>
      <c r="I109" s="315" t="s">
        <v>278</v>
      </c>
      <c r="J109" s="315"/>
      <c r="K109" s="338" t="s">
        <v>676</v>
      </c>
      <c r="L109" s="316" t="s">
        <v>250</v>
      </c>
      <c r="M109" s="316" t="s">
        <v>269</v>
      </c>
      <c r="N109" s="107">
        <v>954</v>
      </c>
      <c r="O109" s="31" t="s">
        <v>252</v>
      </c>
      <c r="P10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9" s="87" t="e">
        <v>#N/A</v>
      </c>
      <c r="S109" s="87">
        <v>1</v>
      </c>
      <c r="T109" s="35">
        <f>Table1[[#This Row],[Progres Total Aktual
(%)]]</f>
        <v>1</v>
      </c>
      <c r="U109" s="124">
        <f>Table1[[#This Row],[Progres Aktual
(%)]]-Table1[[#This Row],[Target Progres
(%)]]</f>
        <v>0</v>
      </c>
      <c r="V109" s="350">
        <f>Table1[[#This Row],["Volume
BA MC-0"]]</f>
        <v>634</v>
      </c>
      <c r="W109" s="351">
        <f>Table1[[#This Row],[Total Panjang Pipa Aktual
(Sum-&gt;)3]]</f>
        <v>1014</v>
      </c>
      <c r="X109" s="47"/>
      <c r="Y109" s="67" t="s">
        <v>780</v>
      </c>
      <c r="Z109" s="67">
        <v>1590872320</v>
      </c>
      <c r="AA109" s="67">
        <f>ROUND((Table1[[#This Row],[Nilai RAB Jaringan
(Exclude Ppn)]]-Table1[[#This Row],[RAB Perizinan]])*1.11+Table1[[#This Row],[RAB Perizinan]],0)</f>
        <v>0</v>
      </c>
      <c r="AB109" s="320">
        <f>SUM(Table1[[#This Row],[RAB Kegiatan Umum]:[RAB Perizinan]])</f>
        <v>0</v>
      </c>
      <c r="AC109" s="320"/>
      <c r="AD109" s="320"/>
      <c r="AE109" s="320"/>
      <c r="AF109" s="320"/>
      <c r="AG109" s="320">
        <v>817809672</v>
      </c>
      <c r="AH109" s="35" t="e">
        <f>SUM(Table1[[#This Row],[Bobot Keg Umum]:[Bobot Perizinan]])</f>
        <v>#DIV/0!</v>
      </c>
      <c r="AI109" s="35" t="e">
        <f>Table1[[#This Row],[RAB Kegiatan Umum]]/Table1[[#This Row],[Nilai RAB Jaringan
(Exclude Ppn)]]</f>
        <v>#DIV/0!</v>
      </c>
      <c r="AJ109" s="35" t="e">
        <f>Table1[[#This Row],[RAB Pemasangan]]/Table1[[#This Row],[Nilai RAB Jaringan
(Exclude Ppn)]]</f>
        <v>#DIV/0!</v>
      </c>
      <c r="AK109" s="35" t="e">
        <f>Table1[[#This Row],[RAB Pengadaan]]/Table1[[#This Row],[Nilai RAB Jaringan
(Exclude Ppn)]]</f>
        <v>#DIV/0!</v>
      </c>
      <c r="AL109" s="35" t="e">
        <f>Table1[[#This Row],[RAB Perizinan]]/Table1[[#This Row],[Nilai RAB Jaringan
(Exclude Ppn)]]</f>
        <v>#DIV/0!</v>
      </c>
      <c r="AM109" s="47"/>
      <c r="AN109" s="285">
        <v>634</v>
      </c>
      <c r="AO109" s="285">
        <f>SUM(Table1[[#This Row],[Pipa 63 mm]:[Pipa 1,800 mm]])</f>
        <v>0</v>
      </c>
      <c r="AP109" s="285"/>
      <c r="AQ109" s="285"/>
      <c r="AR109" s="285"/>
      <c r="AS109" s="285"/>
      <c r="AT109" s="285"/>
      <c r="AU109" s="285"/>
      <c r="AV109" s="285"/>
      <c r="AW109" s="285"/>
      <c r="AX109" s="285"/>
      <c r="AY109" s="285"/>
      <c r="AZ109" s="285"/>
      <c r="BA109" s="285"/>
      <c r="BB109" s="285"/>
      <c r="BC109" s="285"/>
      <c r="BD109" s="285"/>
      <c r="BE109" s="285"/>
      <c r="BF109" s="285"/>
      <c r="BG109" s="285"/>
      <c r="BH109" s="285"/>
      <c r="BI109" s="285"/>
      <c r="BJ109" s="36">
        <f>SUM(Table1[[#This Row],[Pipa 63 mm2]:[Pipa 1,800 mm21]])</f>
        <v>1014</v>
      </c>
      <c r="BK109" s="32">
        <v>886</v>
      </c>
      <c r="BL109" s="32">
        <v>128</v>
      </c>
      <c r="BM109" s="32"/>
      <c r="BN109" s="32"/>
      <c r="BO109" s="32"/>
      <c r="BP109" s="32"/>
      <c r="BQ109" s="32"/>
      <c r="BR109" s="32"/>
      <c r="BS109" s="32"/>
      <c r="BT109" s="32"/>
      <c r="BU109" s="32"/>
      <c r="BV109" s="32"/>
      <c r="BW109" s="32"/>
      <c r="BX109" s="32"/>
      <c r="BY109" s="32"/>
      <c r="BZ109" s="32"/>
      <c r="CA109" s="32"/>
      <c r="CB109" s="32"/>
      <c r="CC109" s="32"/>
      <c r="CD109" s="32"/>
      <c r="CE109" s="32">
        <v>0</v>
      </c>
      <c r="CF109" s="32"/>
      <c r="CG109" s="32"/>
      <c r="CH109" s="32"/>
      <c r="CI109" s="32">
        <f t="shared" si="6"/>
        <v>0</v>
      </c>
      <c r="CJ109" s="65">
        <f>IF((Table1[[#This Row],["Volume
BA MC-0"]]-Table1[[#This Row],[Total Panjang Pipa Aktual
(Sum-&gt;)3]]-Table1[[#This Row],[Total Volume
tidak dapat dipasang]])&gt;=0,Table1[[#This Row],["Volume
BA MC-0"]]-Table1[[#This Row],[Total Panjang Pipa Aktual
(Sum-&gt;)3]]-Table1[[#This Row],[Total Volume
tidak dapat dipasang]],0)</f>
        <v>0</v>
      </c>
      <c r="CK109" s="47"/>
      <c r="CL109" s="131"/>
      <c r="CM109" s="35"/>
      <c r="CN109" s="131"/>
      <c r="CO109" s="131"/>
      <c r="CP10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9" s="66">
        <f>IFERROR(Table1[[#This Row],[Progres Keg. Umum
(%)]]*Table1[[#This Row],[Nilai RAB Jaringan
(file pa aji)]],0)</f>
        <v>0</v>
      </c>
      <c r="CR109" s="66">
        <f>IFERROR(Table1[[#This Row],[Progres MOS
(%)]]*Table1[[#This Row],[Nilai RAB Jaringan
(file pa aji)]],0)</f>
        <v>0</v>
      </c>
      <c r="CS109" s="66">
        <f>IFERROR(Table1[[#This Row],[Progres Pemasangan
(%)]]*Table1[[#This Row],[Nilai RAB Jaringan
(file pa aji)]],0)</f>
        <v>0</v>
      </c>
      <c r="CT109" s="66">
        <f>IFERROR(Table1[[#This Row],[Progres Perizinan
(%)]]*Table1[[#This Row],[Nilai RAB Jaringan
(file pa aji)]],0)</f>
        <v>0</v>
      </c>
      <c r="CU109" s="329">
        <v>1674296671</v>
      </c>
      <c r="CV109" s="329">
        <v>1674296671</v>
      </c>
      <c r="CW109" s="583">
        <v>1674296671</v>
      </c>
      <c r="CX109" s="329">
        <v>1674296671</v>
      </c>
      <c r="CY109" s="47"/>
      <c r="CZ109" s="330">
        <v>45530</v>
      </c>
      <c r="DA109" s="330">
        <v>45550</v>
      </c>
      <c r="DB109" s="331"/>
      <c r="DC109" s="316"/>
      <c r="DD109" s="67"/>
      <c r="DE10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9" s="331"/>
      <c r="DG109" s="316"/>
      <c r="DH109" s="67"/>
      <c r="DI10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9" s="330">
        <v>45551</v>
      </c>
      <c r="DK109" s="330">
        <v>45592</v>
      </c>
      <c r="DL109" s="331">
        <v>45540</v>
      </c>
      <c r="DM109" s="425" t="s">
        <v>781</v>
      </c>
      <c r="DN10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9" s="331">
        <v>45593</v>
      </c>
      <c r="DP109" s="426" t="s">
        <v>782</v>
      </c>
      <c r="DQ109" s="338" t="s">
        <v>783</v>
      </c>
      <c r="DR10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9" s="330">
        <v>45551</v>
      </c>
      <c r="DT109" s="330" t="e">
        <v>#N/A</v>
      </c>
      <c r="DU109" s="330">
        <v>45585</v>
      </c>
      <c r="DV109" s="330" t="e">
        <v>#N/A</v>
      </c>
      <c r="DW109" s="331"/>
      <c r="DX109" s="316"/>
      <c r="DY109" s="334"/>
      <c r="DZ109" s="334"/>
      <c r="EA10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9" s="331"/>
      <c r="EC109" s="332"/>
      <c r="ED109" s="332"/>
      <c r="EE109" s="330"/>
      <c r="EF109" s="35">
        <v>1</v>
      </c>
      <c r="EG109" s="337">
        <v>1</v>
      </c>
      <c r="EH109" s="316" t="str">
        <f>IF(Table1[[#This Row],[PO Material Aktual 
(%)]]&gt;=100%,"Selesai PO = 100%",IF(Table1[[#This Row],[PO Material Aktual 
(%)]]&gt;=50%,"Proses PO &gt; 100%",IF(Table1[[#This Row],[PO Material Aktual 
(%)]]&gt;0%,"Proses PO &gt; 50%",IF(Table1[[#This Row],[PO Material Aktual 
(%)]]=0,"Belum PO = 0%"))))</f>
        <v>Selesai PO = 100%</v>
      </c>
      <c r="EI10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9" s="330">
        <v>45586</v>
      </c>
      <c r="EK109" s="330" t="e">
        <v>#N/A</v>
      </c>
      <c r="EL109" s="330">
        <v>45655</v>
      </c>
      <c r="EM109" s="330" t="e">
        <v>#N/A</v>
      </c>
      <c r="EN109" s="331">
        <v>45707</v>
      </c>
      <c r="EO109" s="332"/>
      <c r="EP109" s="332"/>
      <c r="EQ109" s="87">
        <v>1</v>
      </c>
      <c r="ER109" s="87">
        <v>1</v>
      </c>
      <c r="ES109" s="316" t="str">
        <f>IF(Table1[[#This Row],[Progres MOS]]&gt;=100%,"Selesai MOS = 100%",IF(Table1[[#This Row],[Progres MOS]]&gt;=50%,"Proses MOS &gt; 100%",IF(Table1[[#This Row],[Progres MOS]]&gt;0%,"Proses MOS &gt; 50%",IF(Table1[[#This Row],[Progres MOS]]=0,"Belum MOS = 0%"))))</f>
        <v>Selesai MOS = 100%</v>
      </c>
      <c r="ET10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9" s="47"/>
      <c r="EV109" s="330">
        <v>45551</v>
      </c>
      <c r="EW109" s="330" t="e">
        <v>#N/A</v>
      </c>
      <c r="EX109" s="330">
        <v>45620</v>
      </c>
      <c r="EY109" s="330" t="e">
        <v>#N/A</v>
      </c>
      <c r="EZ109" s="352" t="s">
        <v>298</v>
      </c>
      <c r="FA109" s="336" t="s">
        <v>259</v>
      </c>
      <c r="FB109" s="330" t="s">
        <v>260</v>
      </c>
      <c r="FC109" s="330">
        <v>45799</v>
      </c>
      <c r="FD109" s="330" t="s">
        <v>260</v>
      </c>
      <c r="FE109" s="330">
        <v>45875</v>
      </c>
      <c r="FF109" s="330">
        <v>45929</v>
      </c>
      <c r="FG109" s="330" t="s">
        <v>260</v>
      </c>
      <c r="FH109" s="330" t="s">
        <v>260</v>
      </c>
      <c r="FI109" s="330">
        <v>46021</v>
      </c>
      <c r="FJ109" s="330" t="s">
        <v>260</v>
      </c>
      <c r="FK109" s="330">
        <v>46087</v>
      </c>
      <c r="FL109" s="336" t="s">
        <v>298</v>
      </c>
      <c r="FM109" s="336">
        <v>45799</v>
      </c>
      <c r="FN109" s="314">
        <f>IF(Table1[[#This Row],[Tanggal Pengajuan Dokumen]]="","",Table1[[#This Row],[PLAN PERMIT
start]]-Table1[[#This Row],[Tanggal Pengajuan Dokumen]])</f>
        <v>-248</v>
      </c>
      <c r="FO109" s="336"/>
      <c r="FP109" s="316"/>
      <c r="FQ109" s="338"/>
      <c r="FR109" s="352"/>
      <c r="FS109" s="338" t="str">
        <f t="shared" si="8"/>
        <v>Sudah Terbit</v>
      </c>
      <c r="FT10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9" s="344">
        <f ca="1">IF(Table1[[#This Row],[Status Izin]]="Selesai",Table1[[#This Row],[PLAN PERMIT
finish]]-Table1[[#This Row],[Tanggal Terbit/ Target Izin Terbit]],ROUNDUP(Table1[[#This Row],[PLAN PERMIT
finish]]-NOW(),0))</f>
        <v>45620</v>
      </c>
      <c r="FV10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9" s="344"/>
      <c r="FX109" s="47"/>
      <c r="FY109" s="340"/>
      <c r="FZ109" s="341"/>
      <c r="GA10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9" s="330">
        <v>45594</v>
      </c>
      <c r="GC109" s="352">
        <v>45610</v>
      </c>
      <c r="GD10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09" s="330">
        <v>45601</v>
      </c>
      <c r="GF109" s="352">
        <v>45610</v>
      </c>
      <c r="GG10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09" s="330">
        <v>45607</v>
      </c>
      <c r="GI109" s="330">
        <v>45613</v>
      </c>
      <c r="GJ109" s="352">
        <v>45553</v>
      </c>
      <c r="GK10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9" s="330">
        <v>45621</v>
      </c>
      <c r="GM109" s="330" t="e">
        <v>#N/A</v>
      </c>
      <c r="GN109" s="330">
        <v>45669</v>
      </c>
      <c r="GO109" s="330" t="e">
        <v>#N/A</v>
      </c>
      <c r="GP109" s="316"/>
      <c r="GQ10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9" s="330" t="s">
        <v>261</v>
      </c>
      <c r="GS109" s="421" t="s">
        <v>261</v>
      </c>
      <c r="GT109" s="427" t="s">
        <v>784</v>
      </c>
      <c r="GU109" s="423" t="str">
        <f>IF(Table1[[#This Row],[Hydro Tes Actual
(tanggal)]]&lt;&gt;"","Sudah","Belum")</f>
        <v>Sudah</v>
      </c>
      <c r="GV109" s="330" t="s">
        <v>261</v>
      </c>
      <c r="GW109" s="330" t="s">
        <v>261</v>
      </c>
      <c r="GX109" s="331"/>
      <c r="GY109" s="344" t="str">
        <f>IF(Table1[[#This Row],[Interkoneksi Actual
(tanggal)]]&lt;&gt;"","Sudah","Belum")</f>
        <v>Belum</v>
      </c>
      <c r="GZ109" s="330" t="s">
        <v>261</v>
      </c>
      <c r="HA109" s="421" t="s">
        <v>261</v>
      </c>
      <c r="HB109" s="424">
        <v>45693</v>
      </c>
      <c r="HC109" s="344" t="str">
        <f>IF(Table1[[#This Row],[Flushing Actual
(tanggal)]]&lt;&gt;"","Sudah","Belum")</f>
        <v>Sudah</v>
      </c>
      <c r="HD109" s="330">
        <v>45656</v>
      </c>
      <c r="HE109" s="330" t="e">
        <v>#N/A</v>
      </c>
      <c r="HF109" s="330">
        <v>45662</v>
      </c>
      <c r="HG109" s="352">
        <v>45825</v>
      </c>
      <c r="HH10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9" s="330" t="s">
        <v>261</v>
      </c>
      <c r="HJ109" s="330" t="s">
        <v>261</v>
      </c>
      <c r="HK109" s="331"/>
      <c r="HL109" s="316"/>
      <c r="HM109" s="330">
        <v>45681</v>
      </c>
      <c r="HN109" s="330">
        <v>45681</v>
      </c>
      <c r="HO109" s="330" t="e">
        <v>#N/A</v>
      </c>
      <c r="HP109" s="331">
        <v>45735</v>
      </c>
      <c r="HQ10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09" s="330">
        <v>45688</v>
      </c>
      <c r="HS109" s="330"/>
      <c r="HT109" s="330">
        <v>45688</v>
      </c>
      <c r="HU109" s="527"/>
      <c r="HV109" s="330">
        <f>IF(Table1[[#This Row],[MC-100 Aktual
(tanggal)]]&lt;&gt;"",Table1[[#This Row],[MC-100 Aktual
(tanggal)]]+5,"")</f>
        <v>45740</v>
      </c>
      <c r="HW10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09" s="47"/>
      <c r="HY109" s="352"/>
      <c r="HZ109" s="352"/>
      <c r="IB109" s="618">
        <f>IFERROR(ROUND((Table1[[#This Row],[PLAN TC
finish]]-Table1[[#This Row],[PLAN MC-0
start]])/30,2),"")</f>
        <v>1.83</v>
      </c>
      <c r="IC109">
        <f>DATEDIF(Table1[[#This Row],[PLAN MC-0
start]],Table1[[#This Row],[PLAN TC
finish]],"m")</f>
        <v>1</v>
      </c>
    </row>
    <row r="110" spans="2:237" s="4" customFormat="1" ht="15" hidden="1" customHeight="1" x14ac:dyDescent="0.2">
      <c r="B110" s="311">
        <f>SUBTOTAL(3,$D$5:D110)</f>
        <v>68</v>
      </c>
      <c r="C110" s="348">
        <v>106</v>
      </c>
      <c r="D110" s="315" t="s">
        <v>673</v>
      </c>
      <c r="E110" s="315" t="s">
        <v>785</v>
      </c>
      <c r="F110" s="315" t="s">
        <v>786</v>
      </c>
      <c r="G110" s="349">
        <v>45752</v>
      </c>
      <c r="H110" s="314" t="s">
        <v>247</v>
      </c>
      <c r="I110" s="315" t="s">
        <v>278</v>
      </c>
      <c r="J110" s="418"/>
      <c r="K110" s="338" t="s">
        <v>676</v>
      </c>
      <c r="L110" s="316" t="s">
        <v>250</v>
      </c>
      <c r="M110" s="316" t="s">
        <v>269</v>
      </c>
      <c r="N110" s="107">
        <v>200</v>
      </c>
      <c r="O110" s="31" t="s">
        <v>252</v>
      </c>
      <c r="P11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0" s="87" t="e">
        <v>#N/A</v>
      </c>
      <c r="S110" s="87">
        <v>1</v>
      </c>
      <c r="T110" s="35">
        <f>Table1[[#This Row],[Progres Total Aktual
(%)]]</f>
        <v>1</v>
      </c>
      <c r="U110" s="124">
        <f>Table1[[#This Row],[Progres Aktual
(%)]]-Table1[[#This Row],[Target Progres
(%)]]</f>
        <v>0</v>
      </c>
      <c r="V110" s="350">
        <f>Table1[[#This Row],["Volume
BA MC-0"]]</f>
        <v>200</v>
      </c>
      <c r="W110" s="351">
        <f>Table1[[#This Row],[Total Panjang Pipa Aktual
(Sum-&gt;)3]]</f>
        <v>285</v>
      </c>
      <c r="X110" s="47"/>
      <c r="Y110" s="67" t="s">
        <v>787</v>
      </c>
      <c r="Z110" s="67">
        <v>322468820</v>
      </c>
      <c r="AA110" s="67">
        <f>ROUND((Table1[[#This Row],[Nilai RAB Jaringan
(Exclude Ppn)]]-Table1[[#This Row],[RAB Perizinan]])*1.11+Table1[[#This Row],[RAB Perizinan]],0)</f>
        <v>0</v>
      </c>
      <c r="AB110" s="320">
        <f>SUM(Table1[[#This Row],[RAB Kegiatan Umum]:[RAB Perizinan]])</f>
        <v>0</v>
      </c>
      <c r="AC110" s="320"/>
      <c r="AD110" s="320"/>
      <c r="AE110" s="320"/>
      <c r="AF110" s="320"/>
      <c r="AG110" s="320">
        <v>10248242</v>
      </c>
      <c r="AH110" s="35" t="e">
        <f>SUM(Table1[[#This Row],[Bobot Keg Umum]:[Bobot Perizinan]])</f>
        <v>#DIV/0!</v>
      </c>
      <c r="AI110" s="35" t="e">
        <f>Table1[[#This Row],[RAB Kegiatan Umum]]/Table1[[#This Row],[Nilai RAB Jaringan
(Exclude Ppn)]]</f>
        <v>#DIV/0!</v>
      </c>
      <c r="AJ110" s="35" t="e">
        <f>Table1[[#This Row],[RAB Pemasangan]]/Table1[[#This Row],[Nilai RAB Jaringan
(Exclude Ppn)]]</f>
        <v>#DIV/0!</v>
      </c>
      <c r="AK110" s="35" t="e">
        <f>Table1[[#This Row],[RAB Pengadaan]]/Table1[[#This Row],[Nilai RAB Jaringan
(Exclude Ppn)]]</f>
        <v>#DIV/0!</v>
      </c>
      <c r="AL110" s="35" t="e">
        <f>Table1[[#This Row],[RAB Perizinan]]/Table1[[#This Row],[Nilai RAB Jaringan
(Exclude Ppn)]]</f>
        <v>#DIV/0!</v>
      </c>
      <c r="AM110" s="47"/>
      <c r="AN110" s="285">
        <v>200</v>
      </c>
      <c r="AO110" s="285">
        <f>SUM(Table1[[#This Row],[Pipa 63 mm]:[Pipa 1,800 mm]])</f>
        <v>0</v>
      </c>
      <c r="AP110" s="285"/>
      <c r="AQ110" s="285"/>
      <c r="AR110" s="285"/>
      <c r="AS110" s="285"/>
      <c r="AT110" s="285"/>
      <c r="AU110" s="285"/>
      <c r="AV110" s="285"/>
      <c r="AW110" s="285"/>
      <c r="AX110" s="285"/>
      <c r="AY110" s="285"/>
      <c r="AZ110" s="285"/>
      <c r="BA110" s="285"/>
      <c r="BB110" s="285"/>
      <c r="BC110" s="285"/>
      <c r="BD110" s="285"/>
      <c r="BE110" s="285"/>
      <c r="BF110" s="285"/>
      <c r="BG110" s="285"/>
      <c r="BH110" s="285"/>
      <c r="BI110" s="285"/>
      <c r="BJ110" s="36">
        <f>SUM(Table1[[#This Row],[Pipa 63 mm2]:[Pipa 1,800 mm21]])</f>
        <v>285</v>
      </c>
      <c r="BK110" s="32">
        <f>197+85</f>
        <v>282</v>
      </c>
      <c r="BL110" s="32"/>
      <c r="BM110" s="32"/>
      <c r="BN110" s="32">
        <v>3</v>
      </c>
      <c r="BO110" s="32"/>
      <c r="BP110" s="32"/>
      <c r="BQ110" s="32"/>
      <c r="BR110" s="32"/>
      <c r="BS110" s="32"/>
      <c r="BT110" s="32"/>
      <c r="BU110" s="32"/>
      <c r="BV110" s="32"/>
      <c r="BW110" s="32"/>
      <c r="BX110" s="32"/>
      <c r="BY110" s="32"/>
      <c r="BZ110" s="32"/>
      <c r="CA110" s="32"/>
      <c r="CB110" s="32"/>
      <c r="CC110" s="32"/>
      <c r="CD110" s="32"/>
      <c r="CE110" s="32">
        <v>200</v>
      </c>
      <c r="CF110" s="32"/>
      <c r="CG110" s="32"/>
      <c r="CH110" s="32"/>
      <c r="CI110" s="32">
        <f t="shared" si="6"/>
        <v>200</v>
      </c>
      <c r="CJ110" s="65">
        <f>IF((Table1[[#This Row],["Volume
BA MC-0"]]-Table1[[#This Row],[Total Panjang Pipa Aktual
(Sum-&gt;)3]]-Table1[[#This Row],[Total Volume
tidak dapat dipasang]])&gt;=0,Table1[[#This Row],["Volume
BA MC-0"]]-Table1[[#This Row],[Total Panjang Pipa Aktual
(Sum-&gt;)3]]-Table1[[#This Row],[Total Volume
tidak dapat dipasang]],0)</f>
        <v>0</v>
      </c>
      <c r="CK110" s="47"/>
      <c r="CL110" s="131"/>
      <c r="CM110" s="35"/>
      <c r="CN110" s="131"/>
      <c r="CO110" s="131"/>
      <c r="CP11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0" s="66">
        <f>IFERROR(Table1[[#This Row],[Progres Keg. Umum
(%)]]*Table1[[#This Row],[Nilai RAB Jaringan
(file pa aji)]],0)</f>
        <v>0</v>
      </c>
      <c r="CR110" s="66">
        <f>IFERROR(Table1[[#This Row],[Progres MOS
(%)]]*Table1[[#This Row],[Nilai RAB Jaringan
(file pa aji)]],0)</f>
        <v>0</v>
      </c>
      <c r="CS110" s="66">
        <f>IFERROR(Table1[[#This Row],[Progres Pemasangan
(%)]]*Table1[[#This Row],[Nilai RAB Jaringan
(file pa aji)]],0)</f>
        <v>0</v>
      </c>
      <c r="CT110" s="66">
        <f>IFERROR(Table1[[#This Row],[Progres Perizinan
(%)]]*Table1[[#This Row],[Nilai RAB Jaringan
(file pa aji)]],0)</f>
        <v>0</v>
      </c>
      <c r="CU110" s="329">
        <v>539602184</v>
      </c>
      <c r="CV110" s="329">
        <v>539602184</v>
      </c>
      <c r="CW110" s="583">
        <v>539602184</v>
      </c>
      <c r="CX110" s="329">
        <v>539602184</v>
      </c>
      <c r="CY110" s="47"/>
      <c r="CZ110" s="330">
        <v>45530</v>
      </c>
      <c r="DA110" s="330">
        <v>45543</v>
      </c>
      <c r="DB110" s="331"/>
      <c r="DC110" s="316"/>
      <c r="DD110" s="67"/>
      <c r="DE11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0" s="331"/>
      <c r="DG110" s="316"/>
      <c r="DH110" s="67"/>
      <c r="DI11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0" s="330">
        <v>45544</v>
      </c>
      <c r="DK110" s="330">
        <v>45592</v>
      </c>
      <c r="DL110" s="331">
        <v>45540</v>
      </c>
      <c r="DM110" s="425" t="s">
        <v>788</v>
      </c>
      <c r="DN11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0" s="331">
        <v>45593</v>
      </c>
      <c r="DP110" s="426" t="s">
        <v>789</v>
      </c>
      <c r="DQ110" s="338" t="s">
        <v>783</v>
      </c>
      <c r="DR11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0" s="330">
        <v>45544</v>
      </c>
      <c r="DT110" s="330" t="e">
        <v>#N/A</v>
      </c>
      <c r="DU110" s="330">
        <v>45571</v>
      </c>
      <c r="DV110" s="330" t="e">
        <v>#N/A</v>
      </c>
      <c r="DW110" s="331"/>
      <c r="DX110" s="316"/>
      <c r="DY110" s="334"/>
      <c r="DZ110" s="334"/>
      <c r="EA11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0" s="331"/>
      <c r="EC110" s="332"/>
      <c r="ED110" s="332"/>
      <c r="EE110" s="330"/>
      <c r="EF110" s="35">
        <v>1</v>
      </c>
      <c r="EG110" s="337">
        <v>1</v>
      </c>
      <c r="EH110" s="316" t="str">
        <f>IF(Table1[[#This Row],[PO Material Aktual 
(%)]]&gt;=100%,"Selesai PO = 100%",IF(Table1[[#This Row],[PO Material Aktual 
(%)]]&gt;=50%,"Proses PO &gt; 100%",IF(Table1[[#This Row],[PO Material Aktual 
(%)]]&gt;0%,"Proses PO &gt; 50%",IF(Table1[[#This Row],[PO Material Aktual 
(%)]]=0,"Belum PO = 0%"))))</f>
        <v>Selesai PO = 100%</v>
      </c>
      <c r="EI11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0" s="330">
        <v>45572</v>
      </c>
      <c r="EK110" s="330" t="e">
        <v>#N/A</v>
      </c>
      <c r="EL110" s="330">
        <v>45620</v>
      </c>
      <c r="EM110" s="330" t="e">
        <v>#N/A</v>
      </c>
      <c r="EN110" s="331">
        <v>45680</v>
      </c>
      <c r="EO110" s="332"/>
      <c r="EP110" s="332"/>
      <c r="EQ110" s="87">
        <v>1</v>
      </c>
      <c r="ER110" s="87">
        <v>1</v>
      </c>
      <c r="ES110" s="316" t="str">
        <f>IF(Table1[[#This Row],[Progres MOS]]&gt;=100%,"Selesai MOS = 100%",IF(Table1[[#This Row],[Progres MOS]]&gt;=50%,"Proses MOS &gt; 100%",IF(Table1[[#This Row],[Progres MOS]]&gt;0%,"Proses MOS &gt; 50%",IF(Table1[[#This Row],[Progres MOS]]=0,"Belum MOS = 0%"))))</f>
        <v>Selesai MOS = 100%</v>
      </c>
      <c r="ET11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0" s="47"/>
      <c r="EV110" s="330">
        <v>45544</v>
      </c>
      <c r="EW110" s="330" t="e">
        <v>#N/A</v>
      </c>
      <c r="EX110" s="330">
        <v>45620</v>
      </c>
      <c r="EY110" s="330" t="e">
        <v>#N/A</v>
      </c>
      <c r="EZ110" s="352" t="s">
        <v>298</v>
      </c>
      <c r="FA110" s="336" t="s">
        <v>259</v>
      </c>
      <c r="FB110" s="330" t="s">
        <v>260</v>
      </c>
      <c r="FC110" s="330">
        <v>45799</v>
      </c>
      <c r="FD110" s="330" t="s">
        <v>260</v>
      </c>
      <c r="FE110" s="330">
        <v>45875</v>
      </c>
      <c r="FF110" s="330">
        <v>45929</v>
      </c>
      <c r="FG110" s="330" t="s">
        <v>260</v>
      </c>
      <c r="FH110" s="330" t="s">
        <v>260</v>
      </c>
      <c r="FI110" s="330">
        <v>46021</v>
      </c>
      <c r="FJ110" s="330" t="s">
        <v>260</v>
      </c>
      <c r="FK110" s="330">
        <v>46087</v>
      </c>
      <c r="FL110" s="336" t="s">
        <v>298</v>
      </c>
      <c r="FM110" s="336">
        <v>45799</v>
      </c>
      <c r="FN110" s="314">
        <f>IF(Table1[[#This Row],[Tanggal Pengajuan Dokumen]]="","",Table1[[#This Row],[PLAN PERMIT
start]]-Table1[[#This Row],[Tanggal Pengajuan Dokumen]])</f>
        <v>-255</v>
      </c>
      <c r="FO110" s="336"/>
      <c r="FP110" s="316"/>
      <c r="FQ110" s="338"/>
      <c r="FR110" s="352"/>
      <c r="FS110" s="338" t="str">
        <f t="shared" si="8"/>
        <v>Sudah Terbit</v>
      </c>
      <c r="FT11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0" s="344">
        <f ca="1">IF(Table1[[#This Row],[Status Izin]]="Selesai",Table1[[#This Row],[PLAN PERMIT
finish]]-Table1[[#This Row],[Tanggal Terbit/ Target Izin Terbit]],ROUNDUP(Table1[[#This Row],[PLAN PERMIT
finish]]-NOW(),0))</f>
        <v>45620</v>
      </c>
      <c r="FV11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0" s="344"/>
      <c r="FX110" s="47"/>
      <c r="FY110" s="340"/>
      <c r="FZ110" s="341"/>
      <c r="GA11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0" s="330">
        <v>45594</v>
      </c>
      <c r="GC110" s="352">
        <v>45610</v>
      </c>
      <c r="GD11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0" s="330">
        <v>45601</v>
      </c>
      <c r="GF110" s="352">
        <v>45610</v>
      </c>
      <c r="GG11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0" s="330">
        <v>45607</v>
      </c>
      <c r="GI110" s="330">
        <v>45613</v>
      </c>
      <c r="GJ110" s="352">
        <v>45553</v>
      </c>
      <c r="GK11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0" s="330">
        <v>45621</v>
      </c>
      <c r="GM110" s="330" t="e">
        <v>#N/A</v>
      </c>
      <c r="GN110" s="330">
        <v>45641</v>
      </c>
      <c r="GO110" s="330" t="e">
        <v>#N/A</v>
      </c>
      <c r="GP110" s="316"/>
      <c r="GQ11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0" s="330" t="s">
        <v>261</v>
      </c>
      <c r="GS110" s="421" t="s">
        <v>261</v>
      </c>
      <c r="GT110" s="427">
        <v>45912</v>
      </c>
      <c r="GU110" s="423" t="str">
        <f>IF(Table1[[#This Row],[Hydro Tes Actual
(tanggal)]]&lt;&gt;"","Sudah","Belum")</f>
        <v>Sudah</v>
      </c>
      <c r="GV110" s="330" t="s">
        <v>261</v>
      </c>
      <c r="GW110" s="330" t="s">
        <v>261</v>
      </c>
      <c r="GX110" s="331"/>
      <c r="GY110" s="344" t="str">
        <f>IF(Table1[[#This Row],[Interkoneksi Actual
(tanggal)]]&lt;&gt;"","Sudah","Belum")</f>
        <v>Belum</v>
      </c>
      <c r="GZ110" s="330" t="s">
        <v>261</v>
      </c>
      <c r="HA110" s="421" t="s">
        <v>261</v>
      </c>
      <c r="HB110" s="424">
        <v>45922</v>
      </c>
      <c r="HC110" s="344" t="str">
        <f>IF(Table1[[#This Row],[Flushing Actual
(tanggal)]]&lt;&gt;"","Sudah","Belum")</f>
        <v>Sudah</v>
      </c>
      <c r="HD110" s="330">
        <v>45628</v>
      </c>
      <c r="HE110" s="330" t="e">
        <v>#N/A</v>
      </c>
      <c r="HF110" s="330">
        <v>45634</v>
      </c>
      <c r="HG110" s="352">
        <v>45924</v>
      </c>
      <c r="HH11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0" s="330" t="s">
        <v>261</v>
      </c>
      <c r="HJ110" s="330" t="s">
        <v>261</v>
      </c>
      <c r="HK110" s="331"/>
      <c r="HL110" s="316"/>
      <c r="HM110" s="330">
        <v>45646</v>
      </c>
      <c r="HN110" s="330">
        <v>45646</v>
      </c>
      <c r="HO110" s="330" t="e">
        <v>#N/A</v>
      </c>
      <c r="HP110" s="331">
        <v>45929</v>
      </c>
      <c r="HQ11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0" s="330">
        <v>45653</v>
      </c>
      <c r="HS110" s="330"/>
      <c r="HT110" s="330">
        <v>45653</v>
      </c>
      <c r="HU110" s="527"/>
      <c r="HV110" s="330">
        <f>IF(Table1[[#This Row],[MC-100 Aktual
(tanggal)]]&lt;&gt;"",Table1[[#This Row],[MC-100 Aktual
(tanggal)]]+5,"")</f>
        <v>45934</v>
      </c>
      <c r="HW11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0" s="47"/>
      <c r="HY110" s="352"/>
      <c r="HZ110" s="352"/>
      <c r="IB110" s="618">
        <f>IFERROR(ROUND((Table1[[#This Row],[PLAN TC
finish]]-Table1[[#This Row],[PLAN MC-0
start]])/30,2),"")</f>
        <v>0.9</v>
      </c>
      <c r="IC110">
        <f>DATEDIF(Table1[[#This Row],[PLAN MC-0
start]],Table1[[#This Row],[PLAN TC
finish]],"m")</f>
        <v>0</v>
      </c>
    </row>
    <row r="111" spans="2:237" s="4" customFormat="1" ht="15" customHeight="1" x14ac:dyDescent="0.2">
      <c r="B111" s="311">
        <f>SUBTOTAL(3,$D$5:D111)</f>
        <v>69</v>
      </c>
      <c r="C111" s="348">
        <v>107</v>
      </c>
      <c r="D111" s="315" t="s">
        <v>673</v>
      </c>
      <c r="E111" s="315" t="s">
        <v>790</v>
      </c>
      <c r="F111" s="315" t="s">
        <v>791</v>
      </c>
      <c r="G111" s="349">
        <v>45752</v>
      </c>
      <c r="H111" s="314" t="s">
        <v>247</v>
      </c>
      <c r="I111" s="315" t="s">
        <v>278</v>
      </c>
      <c r="J111" s="315"/>
      <c r="K111" s="338" t="s">
        <v>676</v>
      </c>
      <c r="L111" s="316" t="s">
        <v>250</v>
      </c>
      <c r="M111" s="316" t="s">
        <v>269</v>
      </c>
      <c r="N111" s="107">
        <v>69</v>
      </c>
      <c r="O111" s="31" t="s">
        <v>252</v>
      </c>
      <c r="P11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1" s="87" t="e">
        <v>#N/A</v>
      </c>
      <c r="S111" s="87">
        <v>1</v>
      </c>
      <c r="T111" s="35">
        <f>Table1[[#This Row],[Progres Total Aktual
(%)]]</f>
        <v>1</v>
      </c>
      <c r="U111" s="124">
        <f>Table1[[#This Row],[Progres Aktual
(%)]]-Table1[[#This Row],[Target Progres
(%)]]</f>
        <v>0</v>
      </c>
      <c r="V111" s="350">
        <f>Table1[[#This Row],["Volume
BA MC-0"]]</f>
        <v>72</v>
      </c>
      <c r="W111" s="351">
        <f>Table1[[#This Row],[Total Panjang Pipa Aktual
(Sum-&gt;)3]]</f>
        <v>75</v>
      </c>
      <c r="X111" s="47"/>
      <c r="Y111" s="67" t="s">
        <v>792</v>
      </c>
      <c r="Z111" s="67">
        <v>188079614</v>
      </c>
      <c r="AA111" s="67">
        <f>ROUND((Table1[[#This Row],[Nilai RAB Jaringan
(Exclude Ppn)]]-Table1[[#This Row],[RAB Perizinan]])*1.11+Table1[[#This Row],[RAB Perizinan]],0)</f>
        <v>0</v>
      </c>
      <c r="AB111" s="320">
        <f>SUM(Table1[[#This Row],[RAB Kegiatan Umum]:[RAB Perizinan]])</f>
        <v>0</v>
      </c>
      <c r="AC111" s="320"/>
      <c r="AD111" s="320"/>
      <c r="AE111" s="320"/>
      <c r="AF111" s="320"/>
      <c r="AG111" s="320">
        <v>12297890</v>
      </c>
      <c r="AH111" s="35" t="e">
        <f>SUM(Table1[[#This Row],[Bobot Keg Umum]:[Bobot Perizinan]])</f>
        <v>#DIV/0!</v>
      </c>
      <c r="AI111" s="35" t="e">
        <f>Table1[[#This Row],[RAB Kegiatan Umum]]/Table1[[#This Row],[Nilai RAB Jaringan
(Exclude Ppn)]]</f>
        <v>#DIV/0!</v>
      </c>
      <c r="AJ111" s="35" t="e">
        <f>Table1[[#This Row],[RAB Pemasangan]]/Table1[[#This Row],[Nilai RAB Jaringan
(Exclude Ppn)]]</f>
        <v>#DIV/0!</v>
      </c>
      <c r="AK111" s="35" t="e">
        <f>Table1[[#This Row],[RAB Pengadaan]]/Table1[[#This Row],[Nilai RAB Jaringan
(Exclude Ppn)]]</f>
        <v>#DIV/0!</v>
      </c>
      <c r="AL111" s="35" t="e">
        <f>Table1[[#This Row],[RAB Perizinan]]/Table1[[#This Row],[Nilai RAB Jaringan
(Exclude Ppn)]]</f>
        <v>#DIV/0!</v>
      </c>
      <c r="AM111" s="47"/>
      <c r="AN111" s="285">
        <v>72</v>
      </c>
      <c r="AO111" s="285">
        <f>SUM(Table1[[#This Row],[Pipa 63 mm]:[Pipa 1,800 mm]])</f>
        <v>0</v>
      </c>
      <c r="AP111" s="285"/>
      <c r="AQ111" s="285"/>
      <c r="AR111" s="285"/>
      <c r="AS111" s="285"/>
      <c r="AT111" s="285"/>
      <c r="AU111" s="285"/>
      <c r="AV111" s="285"/>
      <c r="AW111" s="285"/>
      <c r="AX111" s="285"/>
      <c r="AY111" s="285"/>
      <c r="AZ111" s="285"/>
      <c r="BA111" s="285"/>
      <c r="BB111" s="285"/>
      <c r="BC111" s="285"/>
      <c r="BD111" s="285"/>
      <c r="BE111" s="285"/>
      <c r="BF111" s="285"/>
      <c r="BG111" s="285"/>
      <c r="BH111" s="285"/>
      <c r="BI111" s="285"/>
      <c r="BJ111" s="36">
        <f>SUM(Table1[[#This Row],[Pipa 63 mm2]:[Pipa 1,800 mm21]])</f>
        <v>75</v>
      </c>
      <c r="BK111" s="32">
        <v>75</v>
      </c>
      <c r="BL111" s="32"/>
      <c r="BM111" s="32"/>
      <c r="BN111" s="32"/>
      <c r="BO111" s="32"/>
      <c r="BP111" s="32"/>
      <c r="BQ111" s="32"/>
      <c r="BR111" s="32"/>
      <c r="BS111" s="32"/>
      <c r="BT111" s="32"/>
      <c r="BU111" s="32"/>
      <c r="BV111" s="32"/>
      <c r="BW111" s="32"/>
      <c r="BX111" s="32"/>
      <c r="BY111" s="32"/>
      <c r="BZ111" s="32"/>
      <c r="CA111" s="32"/>
      <c r="CB111" s="32"/>
      <c r="CC111" s="32"/>
      <c r="CD111" s="32"/>
      <c r="CE111" s="32">
        <v>0</v>
      </c>
      <c r="CF111" s="32"/>
      <c r="CG111" s="32"/>
      <c r="CH111" s="32"/>
      <c r="CI111" s="32">
        <f t="shared" si="6"/>
        <v>0</v>
      </c>
      <c r="CJ111" s="65">
        <f>IF((Table1[[#This Row],["Volume
BA MC-0"]]-Table1[[#This Row],[Total Panjang Pipa Aktual
(Sum-&gt;)3]]-Table1[[#This Row],[Total Volume
tidak dapat dipasang]])&gt;=0,Table1[[#This Row],["Volume
BA MC-0"]]-Table1[[#This Row],[Total Panjang Pipa Aktual
(Sum-&gt;)3]]-Table1[[#This Row],[Total Volume
tidak dapat dipasang]],0)</f>
        <v>0</v>
      </c>
      <c r="CK111" s="47"/>
      <c r="CL111" s="131"/>
      <c r="CM111" s="35"/>
      <c r="CN111" s="131"/>
      <c r="CO111" s="131"/>
      <c r="CP11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1" s="66">
        <f>IFERROR(Table1[[#This Row],[Progres Keg. Umum
(%)]]*Table1[[#This Row],[Nilai RAB Jaringan
(file pa aji)]],0)</f>
        <v>0</v>
      </c>
      <c r="CR111" s="66">
        <f>IFERROR(Table1[[#This Row],[Progres MOS
(%)]]*Table1[[#This Row],[Nilai RAB Jaringan
(file pa aji)]],0)</f>
        <v>0</v>
      </c>
      <c r="CS111" s="66">
        <f>IFERROR(Table1[[#This Row],[Progres Pemasangan
(%)]]*Table1[[#This Row],[Nilai RAB Jaringan
(file pa aji)]],0)</f>
        <v>0</v>
      </c>
      <c r="CT111" s="66">
        <f>IFERROR(Table1[[#This Row],[Progres Perizinan
(%)]]*Table1[[#This Row],[Nilai RAB Jaringan
(file pa aji)]],0)</f>
        <v>0</v>
      </c>
      <c r="CU111" s="329">
        <v>157319977</v>
      </c>
      <c r="CV111" s="329">
        <v>157319977</v>
      </c>
      <c r="CW111" s="583">
        <v>157319977</v>
      </c>
      <c r="CX111" s="329">
        <v>157319977</v>
      </c>
      <c r="CY111" s="47"/>
      <c r="CZ111" s="330">
        <v>45530</v>
      </c>
      <c r="DA111" s="330">
        <v>45543</v>
      </c>
      <c r="DB111" s="331"/>
      <c r="DC111" s="316"/>
      <c r="DD111" s="67"/>
      <c r="DE11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1" s="331"/>
      <c r="DG111" s="316"/>
      <c r="DH111" s="67"/>
      <c r="DI11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1" s="330">
        <v>45544</v>
      </c>
      <c r="DK111" s="330">
        <v>45592</v>
      </c>
      <c r="DL111" s="331">
        <v>45540</v>
      </c>
      <c r="DM111" s="425" t="s">
        <v>793</v>
      </c>
      <c r="DN11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1" s="331">
        <v>45586</v>
      </c>
      <c r="DP111" s="426" t="s">
        <v>794</v>
      </c>
      <c r="DQ111" s="338" t="s">
        <v>501</v>
      </c>
      <c r="DR11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1" s="330">
        <v>45544</v>
      </c>
      <c r="DT111" s="330" t="e">
        <v>#N/A</v>
      </c>
      <c r="DU111" s="330">
        <v>45571</v>
      </c>
      <c r="DV111" s="330" t="e">
        <v>#N/A</v>
      </c>
      <c r="DW111" s="331"/>
      <c r="DX111" s="316"/>
      <c r="DY111" s="334"/>
      <c r="DZ111" s="334"/>
      <c r="EA11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1" s="331"/>
      <c r="EC111" s="332"/>
      <c r="ED111" s="332"/>
      <c r="EE111" s="330"/>
      <c r="EF111" s="35">
        <v>1</v>
      </c>
      <c r="EG111" s="337">
        <v>1</v>
      </c>
      <c r="EH111" s="316" t="str">
        <f>IF(Table1[[#This Row],[PO Material Aktual 
(%)]]&gt;=100%,"Selesai PO = 100%",IF(Table1[[#This Row],[PO Material Aktual 
(%)]]&gt;=50%,"Proses PO &gt; 100%",IF(Table1[[#This Row],[PO Material Aktual 
(%)]]&gt;0%,"Proses PO &gt; 50%",IF(Table1[[#This Row],[PO Material Aktual 
(%)]]=0,"Belum PO = 0%"))))</f>
        <v>Selesai PO = 100%</v>
      </c>
      <c r="EI11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1" s="330">
        <v>45572</v>
      </c>
      <c r="EK111" s="330" t="e">
        <v>#N/A</v>
      </c>
      <c r="EL111" s="330">
        <v>45620</v>
      </c>
      <c r="EM111" s="330" t="e">
        <v>#N/A</v>
      </c>
      <c r="EN111" s="331">
        <v>45679</v>
      </c>
      <c r="EO111" s="332"/>
      <c r="EP111" s="332"/>
      <c r="EQ111" s="87">
        <v>1</v>
      </c>
      <c r="ER111" s="87">
        <v>1</v>
      </c>
      <c r="ES111" s="316" t="str">
        <f>IF(Table1[[#This Row],[Progres MOS]]&gt;=100%,"Selesai MOS = 100%",IF(Table1[[#This Row],[Progres MOS]]&gt;=50%,"Proses MOS &gt; 100%",IF(Table1[[#This Row],[Progres MOS]]&gt;0%,"Proses MOS &gt; 50%",IF(Table1[[#This Row],[Progres MOS]]=0,"Belum MOS = 0%"))))</f>
        <v>Selesai MOS = 100%</v>
      </c>
      <c r="ET11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1" s="47"/>
      <c r="EV111" s="330">
        <v>45544</v>
      </c>
      <c r="EW111" s="330" t="e">
        <v>#N/A</v>
      </c>
      <c r="EX111" s="330">
        <v>45620</v>
      </c>
      <c r="EY111" s="330" t="e">
        <v>#N/A</v>
      </c>
      <c r="EZ111" s="352" t="s">
        <v>298</v>
      </c>
      <c r="FA111" s="336" t="s">
        <v>259</v>
      </c>
      <c r="FB111" s="330" t="s">
        <v>260</v>
      </c>
      <c r="FC111" s="330">
        <v>45799</v>
      </c>
      <c r="FD111" s="330" t="s">
        <v>260</v>
      </c>
      <c r="FE111" s="330">
        <v>45875</v>
      </c>
      <c r="FF111" s="330">
        <v>45929</v>
      </c>
      <c r="FG111" s="330" t="s">
        <v>260</v>
      </c>
      <c r="FH111" s="330" t="s">
        <v>260</v>
      </c>
      <c r="FI111" s="330">
        <v>46021</v>
      </c>
      <c r="FJ111" s="330" t="s">
        <v>260</v>
      </c>
      <c r="FK111" s="330">
        <v>46087</v>
      </c>
      <c r="FL111" s="336" t="s">
        <v>298</v>
      </c>
      <c r="FM111" s="336">
        <v>45799</v>
      </c>
      <c r="FN111" s="314">
        <f>IF(Table1[[#This Row],[Tanggal Pengajuan Dokumen]]="","",Table1[[#This Row],[PLAN PERMIT
start]]-Table1[[#This Row],[Tanggal Pengajuan Dokumen]])</f>
        <v>-255</v>
      </c>
      <c r="FO111" s="336"/>
      <c r="FP111" s="316"/>
      <c r="FQ111" s="338"/>
      <c r="FR111" s="352"/>
      <c r="FS111" s="338" t="str">
        <f t="shared" si="8"/>
        <v>Sudah Terbit</v>
      </c>
      <c r="FT11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1" s="344">
        <f ca="1">IF(Table1[[#This Row],[Status Izin]]="Selesai",Table1[[#This Row],[PLAN PERMIT
finish]]-Table1[[#This Row],[Tanggal Terbit/ Target Izin Terbit]],ROUNDUP(Table1[[#This Row],[PLAN PERMIT
finish]]-NOW(),0))</f>
        <v>45620</v>
      </c>
      <c r="FV11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1" s="344"/>
      <c r="FX111" s="47"/>
      <c r="FY111" s="340"/>
      <c r="FZ111" s="341"/>
      <c r="GA11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1" s="330">
        <v>45594</v>
      </c>
      <c r="GC111" s="352">
        <v>45610</v>
      </c>
      <c r="GD11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1" s="330">
        <v>45601</v>
      </c>
      <c r="GF111" s="352">
        <v>45610</v>
      </c>
      <c r="GG11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1" s="330">
        <v>45607</v>
      </c>
      <c r="GI111" s="330">
        <v>45613</v>
      </c>
      <c r="GJ111" s="352">
        <v>45554</v>
      </c>
      <c r="GK11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1" s="330">
        <v>45621</v>
      </c>
      <c r="GM111" s="330" t="e">
        <v>#N/A</v>
      </c>
      <c r="GN111" s="330">
        <v>45641</v>
      </c>
      <c r="GO111" s="330" t="e">
        <v>#N/A</v>
      </c>
      <c r="GP111" s="316"/>
      <c r="GQ11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1" s="330" t="s">
        <v>261</v>
      </c>
      <c r="GS111" s="421" t="s">
        <v>261</v>
      </c>
      <c r="GT111" s="427">
        <v>45660</v>
      </c>
      <c r="GU111" s="423" t="str">
        <f>IF(Table1[[#This Row],[Hydro Tes Actual
(tanggal)]]&lt;&gt;"","Sudah","Belum")</f>
        <v>Sudah</v>
      </c>
      <c r="GV111" s="330" t="s">
        <v>261</v>
      </c>
      <c r="GW111" s="330" t="s">
        <v>261</v>
      </c>
      <c r="GX111" s="331"/>
      <c r="GY111" s="344" t="str">
        <f>IF(Table1[[#This Row],[Interkoneksi Actual
(tanggal)]]&lt;&gt;"","Sudah","Belum")</f>
        <v>Belum</v>
      </c>
      <c r="GZ111" s="330" t="s">
        <v>261</v>
      </c>
      <c r="HA111" s="421" t="s">
        <v>261</v>
      </c>
      <c r="HB111" s="424">
        <v>45704</v>
      </c>
      <c r="HC111" s="344" t="str">
        <f>IF(Table1[[#This Row],[Flushing Actual
(tanggal)]]&lt;&gt;"","Sudah","Belum")</f>
        <v>Sudah</v>
      </c>
      <c r="HD111" s="330">
        <v>45628</v>
      </c>
      <c r="HE111" s="330" t="e">
        <v>#N/A</v>
      </c>
      <c r="HF111" s="330">
        <v>45634</v>
      </c>
      <c r="HG111" s="352">
        <v>45719</v>
      </c>
      <c r="HH11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1" s="330" t="s">
        <v>261</v>
      </c>
      <c r="HJ111" s="330" t="s">
        <v>261</v>
      </c>
      <c r="HK111" s="331"/>
      <c r="HL111" s="316"/>
      <c r="HM111" s="330">
        <v>45646</v>
      </c>
      <c r="HN111" s="330">
        <v>45646</v>
      </c>
      <c r="HO111" s="330" t="e">
        <v>#N/A</v>
      </c>
      <c r="HP111" s="331">
        <v>45734</v>
      </c>
      <c r="HQ11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1" s="330">
        <v>45653</v>
      </c>
      <c r="HS111" s="330"/>
      <c r="HT111" s="330">
        <v>45653</v>
      </c>
      <c r="HU111" s="527"/>
      <c r="HV111" s="330">
        <f>IF(Table1[[#This Row],[MC-100 Aktual
(tanggal)]]&lt;&gt;"",Table1[[#This Row],[MC-100 Aktual
(tanggal)]]+5,"")</f>
        <v>45739</v>
      </c>
      <c r="HW11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1" s="47"/>
      <c r="HY111" s="352"/>
      <c r="HZ111" s="352"/>
      <c r="IB111" s="618">
        <f>IFERROR(ROUND((Table1[[#This Row],[PLAN TC
finish]]-Table1[[#This Row],[PLAN MC-0
start]])/30,2),"")</f>
        <v>0.9</v>
      </c>
      <c r="IC111">
        <f>DATEDIF(Table1[[#This Row],[PLAN MC-0
start]],Table1[[#This Row],[PLAN TC
finish]],"m")</f>
        <v>0</v>
      </c>
    </row>
    <row r="112" spans="2:237" s="4" customFormat="1" ht="15" customHeight="1" x14ac:dyDescent="0.2">
      <c r="B112" s="311">
        <f>SUBTOTAL(3,$D$5:D112)</f>
        <v>70</v>
      </c>
      <c r="C112" s="348">
        <v>108</v>
      </c>
      <c r="D112" s="315" t="s">
        <v>673</v>
      </c>
      <c r="E112" s="315" t="s">
        <v>795</v>
      </c>
      <c r="F112" s="315" t="s">
        <v>796</v>
      </c>
      <c r="G112" s="349">
        <v>45752</v>
      </c>
      <c r="H112" s="314" t="s">
        <v>247</v>
      </c>
      <c r="I112" s="315" t="s">
        <v>278</v>
      </c>
      <c r="J112" s="315"/>
      <c r="K112" s="338" t="s">
        <v>676</v>
      </c>
      <c r="L112" s="316" t="s">
        <v>250</v>
      </c>
      <c r="M112" s="316" t="s">
        <v>269</v>
      </c>
      <c r="N112" s="107">
        <v>41</v>
      </c>
      <c r="O112" s="31" t="s">
        <v>252</v>
      </c>
      <c r="P11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2" s="87" t="e">
        <v>#N/A</v>
      </c>
      <c r="S112" s="87">
        <v>1</v>
      </c>
      <c r="T112" s="35">
        <f>Table1[[#This Row],[Progres Total Aktual
(%)]]</f>
        <v>1</v>
      </c>
      <c r="U112" s="124">
        <f>Table1[[#This Row],[Progres Aktual
(%)]]-Table1[[#This Row],[Target Progres
(%)]]</f>
        <v>0</v>
      </c>
      <c r="V112" s="350">
        <f>Table1[[#This Row],["Volume
BA MC-0"]]</f>
        <v>47</v>
      </c>
      <c r="W112" s="351">
        <f>Table1[[#This Row],[Total Panjang Pipa Aktual
(Sum-&gt;)3]]</f>
        <v>47</v>
      </c>
      <c r="X112" s="47"/>
      <c r="Y112" s="67" t="s">
        <v>797</v>
      </c>
      <c r="Z112" s="67">
        <v>100016622</v>
      </c>
      <c r="AA112" s="67">
        <f>ROUND((Table1[[#This Row],[Nilai RAB Jaringan
(Exclude Ppn)]]-Table1[[#This Row],[RAB Perizinan]])*1.11+Table1[[#This Row],[RAB Perizinan]],0)</f>
        <v>0</v>
      </c>
      <c r="AB112" s="320">
        <f>SUM(Table1[[#This Row],[RAB Kegiatan Umum]:[RAB Perizinan]])</f>
        <v>0</v>
      </c>
      <c r="AC112" s="320"/>
      <c r="AD112" s="320"/>
      <c r="AE112" s="320"/>
      <c r="AF112" s="320"/>
      <c r="AG112" s="320">
        <v>6148945</v>
      </c>
      <c r="AH112" s="35" t="e">
        <f>SUM(Table1[[#This Row],[Bobot Keg Umum]:[Bobot Perizinan]])</f>
        <v>#DIV/0!</v>
      </c>
      <c r="AI112" s="35" t="e">
        <f>Table1[[#This Row],[RAB Kegiatan Umum]]/Table1[[#This Row],[Nilai RAB Jaringan
(Exclude Ppn)]]</f>
        <v>#DIV/0!</v>
      </c>
      <c r="AJ112" s="35" t="e">
        <f>Table1[[#This Row],[RAB Pemasangan]]/Table1[[#This Row],[Nilai RAB Jaringan
(Exclude Ppn)]]</f>
        <v>#DIV/0!</v>
      </c>
      <c r="AK112" s="35" t="e">
        <f>Table1[[#This Row],[RAB Pengadaan]]/Table1[[#This Row],[Nilai RAB Jaringan
(Exclude Ppn)]]</f>
        <v>#DIV/0!</v>
      </c>
      <c r="AL112" s="35" t="e">
        <f>Table1[[#This Row],[RAB Perizinan]]/Table1[[#This Row],[Nilai RAB Jaringan
(Exclude Ppn)]]</f>
        <v>#DIV/0!</v>
      </c>
      <c r="AM112" s="47"/>
      <c r="AN112" s="285">
        <v>47</v>
      </c>
      <c r="AO112" s="285">
        <f>SUM(Table1[[#This Row],[Pipa 63 mm]:[Pipa 1,800 mm]])</f>
        <v>0</v>
      </c>
      <c r="AP112" s="285"/>
      <c r="AQ112" s="285"/>
      <c r="AR112" s="285"/>
      <c r="AS112" s="285"/>
      <c r="AT112" s="285"/>
      <c r="AU112" s="285"/>
      <c r="AV112" s="285"/>
      <c r="AW112" s="285"/>
      <c r="AX112" s="285"/>
      <c r="AY112" s="285"/>
      <c r="AZ112" s="285"/>
      <c r="BA112" s="285"/>
      <c r="BB112" s="285"/>
      <c r="BC112" s="285"/>
      <c r="BD112" s="285"/>
      <c r="BE112" s="285"/>
      <c r="BF112" s="285"/>
      <c r="BG112" s="285"/>
      <c r="BH112" s="285"/>
      <c r="BI112" s="285"/>
      <c r="BJ112" s="36">
        <f>SUM(Table1[[#This Row],[Pipa 63 mm2]:[Pipa 1,800 mm21]])</f>
        <v>47</v>
      </c>
      <c r="BK112" s="32">
        <v>47</v>
      </c>
      <c r="BL112" s="32"/>
      <c r="BM112" s="32"/>
      <c r="BN112" s="32"/>
      <c r="BO112" s="32"/>
      <c r="BP112" s="32"/>
      <c r="BQ112" s="32"/>
      <c r="BR112" s="32"/>
      <c r="BS112" s="32"/>
      <c r="BT112" s="32"/>
      <c r="BU112" s="32"/>
      <c r="BV112" s="32"/>
      <c r="BW112" s="32"/>
      <c r="BX112" s="32"/>
      <c r="BY112" s="32"/>
      <c r="BZ112" s="32"/>
      <c r="CA112" s="32"/>
      <c r="CB112" s="32"/>
      <c r="CC112" s="32"/>
      <c r="CD112" s="32"/>
      <c r="CE112" s="32">
        <v>0</v>
      </c>
      <c r="CF112" s="32"/>
      <c r="CG112" s="32"/>
      <c r="CH112" s="32"/>
      <c r="CI112" s="32">
        <f t="shared" si="6"/>
        <v>0</v>
      </c>
      <c r="CJ112" s="65">
        <f>IF((Table1[[#This Row],["Volume
BA MC-0"]]-Table1[[#This Row],[Total Panjang Pipa Aktual
(Sum-&gt;)3]]-Table1[[#This Row],[Total Volume
tidak dapat dipasang]])&gt;=0,Table1[[#This Row],["Volume
BA MC-0"]]-Table1[[#This Row],[Total Panjang Pipa Aktual
(Sum-&gt;)3]]-Table1[[#This Row],[Total Volume
tidak dapat dipasang]],0)</f>
        <v>0</v>
      </c>
      <c r="CK112" s="47"/>
      <c r="CL112" s="131"/>
      <c r="CM112" s="35"/>
      <c r="CN112" s="131"/>
      <c r="CO112" s="131"/>
      <c r="CP11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2" s="66">
        <f>IFERROR(Table1[[#This Row],[Progres Keg. Umum
(%)]]*Table1[[#This Row],[Nilai RAB Jaringan
(file pa aji)]],0)</f>
        <v>0</v>
      </c>
      <c r="CR112" s="66">
        <f>IFERROR(Table1[[#This Row],[Progres MOS
(%)]]*Table1[[#This Row],[Nilai RAB Jaringan
(file pa aji)]],0)</f>
        <v>0</v>
      </c>
      <c r="CS112" s="66">
        <f>IFERROR(Table1[[#This Row],[Progres Pemasangan
(%)]]*Table1[[#This Row],[Nilai RAB Jaringan
(file pa aji)]],0)</f>
        <v>0</v>
      </c>
      <c r="CT112" s="66">
        <f>IFERROR(Table1[[#This Row],[Progres Perizinan
(%)]]*Table1[[#This Row],[Nilai RAB Jaringan
(file pa aji)]],0)</f>
        <v>0</v>
      </c>
      <c r="CU112" s="329">
        <v>106303542</v>
      </c>
      <c r="CV112" s="329">
        <v>106303542</v>
      </c>
      <c r="CW112" s="583">
        <v>106303542</v>
      </c>
      <c r="CX112" s="329">
        <v>106303542</v>
      </c>
      <c r="CY112" s="47"/>
      <c r="CZ112" s="330">
        <v>45439</v>
      </c>
      <c r="DA112" s="330">
        <v>45466</v>
      </c>
      <c r="DB112" s="331"/>
      <c r="DC112" s="316"/>
      <c r="DD112" s="67"/>
      <c r="DE11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2" s="331"/>
      <c r="DG112" s="316"/>
      <c r="DH112" s="67"/>
      <c r="DI11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2" s="330">
        <v>45467</v>
      </c>
      <c r="DK112" s="330">
        <v>45508</v>
      </c>
      <c r="DL112" s="331">
        <v>45542</v>
      </c>
      <c r="DM112" s="425" t="s">
        <v>798</v>
      </c>
      <c r="DN11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12" s="331">
        <v>45586</v>
      </c>
      <c r="DP112" s="426" t="s">
        <v>799</v>
      </c>
      <c r="DQ112" s="338" t="s">
        <v>344</v>
      </c>
      <c r="DR11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2" s="330">
        <v>45467</v>
      </c>
      <c r="DT112" s="330" t="e">
        <v>#N/A</v>
      </c>
      <c r="DU112" s="330">
        <v>45508</v>
      </c>
      <c r="DV112" s="330" t="e">
        <v>#N/A</v>
      </c>
      <c r="DW112" s="331"/>
      <c r="DX112" s="316"/>
      <c r="DY112" s="334"/>
      <c r="DZ112" s="334"/>
      <c r="EA11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2" s="331"/>
      <c r="EC112" s="332"/>
      <c r="ED112" s="332"/>
      <c r="EE112" s="330"/>
      <c r="EF112" s="35">
        <v>1</v>
      </c>
      <c r="EG112" s="337">
        <v>1</v>
      </c>
      <c r="EH112" s="316" t="str">
        <f>IF(Table1[[#This Row],[PO Material Aktual 
(%)]]&gt;=100%,"Selesai PO = 100%",IF(Table1[[#This Row],[PO Material Aktual 
(%)]]&gt;=50%,"Proses PO &gt; 100%",IF(Table1[[#This Row],[PO Material Aktual 
(%)]]&gt;0%,"Proses PO &gt; 50%",IF(Table1[[#This Row],[PO Material Aktual 
(%)]]=0,"Belum PO = 0%"))))</f>
        <v>Selesai PO = 100%</v>
      </c>
      <c r="EI11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2" s="330">
        <v>45509</v>
      </c>
      <c r="EK112" s="330" t="e">
        <v>#N/A</v>
      </c>
      <c r="EL112" s="330">
        <v>45599</v>
      </c>
      <c r="EM112" s="330" t="e">
        <v>#N/A</v>
      </c>
      <c r="EN112" s="331">
        <v>45764</v>
      </c>
      <c r="EO112" s="332"/>
      <c r="EP112" s="332"/>
      <c r="EQ112" s="87">
        <v>1</v>
      </c>
      <c r="ER112" s="87">
        <v>1</v>
      </c>
      <c r="ES112" s="316" t="str">
        <f>IF(Table1[[#This Row],[Progres MOS]]&gt;=100%,"Selesai MOS = 100%",IF(Table1[[#This Row],[Progres MOS]]&gt;=50%,"Proses MOS &gt; 100%",IF(Table1[[#This Row],[Progres MOS]]&gt;0%,"Proses MOS &gt; 50%",IF(Table1[[#This Row],[Progres MOS]]=0,"Belum MOS = 0%"))))</f>
        <v>Selesai MOS = 100%</v>
      </c>
      <c r="ET11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2" s="47"/>
      <c r="EV112" s="330">
        <v>45467</v>
      </c>
      <c r="EW112" s="330" t="e">
        <v>#N/A</v>
      </c>
      <c r="EX112" s="330">
        <v>45564</v>
      </c>
      <c r="EY112" s="330" t="e">
        <v>#N/A</v>
      </c>
      <c r="EZ112" s="352" t="s">
        <v>298</v>
      </c>
      <c r="FA112" s="336" t="s">
        <v>259</v>
      </c>
      <c r="FB112" s="330" t="s">
        <v>260</v>
      </c>
      <c r="FC112" s="330">
        <v>45799</v>
      </c>
      <c r="FD112" s="330" t="s">
        <v>260</v>
      </c>
      <c r="FE112" s="330">
        <v>45875</v>
      </c>
      <c r="FF112" s="330">
        <v>45929</v>
      </c>
      <c r="FG112" s="330" t="s">
        <v>260</v>
      </c>
      <c r="FH112" s="330" t="s">
        <v>260</v>
      </c>
      <c r="FI112" s="330">
        <v>46021</v>
      </c>
      <c r="FJ112" s="330" t="s">
        <v>260</v>
      </c>
      <c r="FK112" s="330">
        <v>46087</v>
      </c>
      <c r="FL112" s="336" t="s">
        <v>298</v>
      </c>
      <c r="FM112" s="336">
        <v>45799</v>
      </c>
      <c r="FN112" s="314">
        <f>IF(Table1[[#This Row],[Tanggal Pengajuan Dokumen]]="","",Table1[[#This Row],[PLAN PERMIT
start]]-Table1[[#This Row],[Tanggal Pengajuan Dokumen]])</f>
        <v>-332</v>
      </c>
      <c r="FO112" s="336"/>
      <c r="FP112" s="316"/>
      <c r="FQ112" s="338"/>
      <c r="FR112" s="352"/>
      <c r="FS112" s="338" t="str">
        <f t="shared" si="8"/>
        <v>Sudah Terbit</v>
      </c>
      <c r="FT11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2" s="344">
        <f ca="1">IF(Table1[[#This Row],[Status Izin]]="Selesai",Table1[[#This Row],[PLAN PERMIT
finish]]-Table1[[#This Row],[Tanggal Terbit/ Target Izin Terbit]],ROUNDUP(Table1[[#This Row],[PLAN PERMIT
finish]]-NOW(),0))</f>
        <v>45564</v>
      </c>
      <c r="FV11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2" s="344"/>
      <c r="FX112" s="47"/>
      <c r="FY112" s="340"/>
      <c r="FZ112" s="341"/>
      <c r="GA11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2" s="330">
        <v>45538</v>
      </c>
      <c r="GC112" s="352">
        <v>45610</v>
      </c>
      <c r="GD11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2" s="330">
        <v>45545</v>
      </c>
      <c r="GF112" s="352">
        <v>45610</v>
      </c>
      <c r="GG11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2" s="330">
        <v>45551</v>
      </c>
      <c r="GI112" s="330">
        <v>45557</v>
      </c>
      <c r="GJ112" s="352">
        <v>45554</v>
      </c>
      <c r="GK11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2" s="330">
        <v>45565</v>
      </c>
      <c r="GM112" s="330" t="e">
        <v>#N/A</v>
      </c>
      <c r="GN112" s="330">
        <v>45641</v>
      </c>
      <c r="GO112" s="330" t="e">
        <v>#N/A</v>
      </c>
      <c r="GP112" s="316"/>
      <c r="GQ11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2" s="330" t="s">
        <v>261</v>
      </c>
      <c r="GS112" s="421" t="s">
        <v>261</v>
      </c>
      <c r="GT112" s="427">
        <v>45645</v>
      </c>
      <c r="GU112" s="423" t="str">
        <f>IF(Table1[[#This Row],[Hydro Tes Actual
(tanggal)]]&lt;&gt;"","Sudah","Belum")</f>
        <v>Sudah</v>
      </c>
      <c r="GV112" s="330" t="s">
        <v>261</v>
      </c>
      <c r="GW112" s="330" t="s">
        <v>261</v>
      </c>
      <c r="GX112" s="331"/>
      <c r="GY112" s="344" t="str">
        <f>IF(Table1[[#This Row],[Interkoneksi Actual
(tanggal)]]&lt;&gt;"","Sudah","Belum")</f>
        <v>Belum</v>
      </c>
      <c r="GZ112" s="330" t="s">
        <v>261</v>
      </c>
      <c r="HA112" s="421" t="s">
        <v>261</v>
      </c>
      <c r="HB112" s="424">
        <v>45719</v>
      </c>
      <c r="HC112" s="344" t="str">
        <f>IF(Table1[[#This Row],[Flushing Actual
(tanggal)]]&lt;&gt;"","Sudah","Belum")</f>
        <v>Sudah</v>
      </c>
      <c r="HD112" s="330">
        <v>45621</v>
      </c>
      <c r="HE112" s="330" t="e">
        <v>#N/A</v>
      </c>
      <c r="HF112" s="330">
        <v>45623</v>
      </c>
      <c r="HG112" s="352">
        <v>45671</v>
      </c>
      <c r="HH11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2" s="330" t="s">
        <v>261</v>
      </c>
      <c r="HJ112" s="330" t="s">
        <v>261</v>
      </c>
      <c r="HK112" s="331"/>
      <c r="HL112" s="316"/>
      <c r="HM112" s="330">
        <v>45646</v>
      </c>
      <c r="HN112" s="330">
        <v>45646</v>
      </c>
      <c r="HO112" s="330" t="e">
        <v>#N/A</v>
      </c>
      <c r="HP112" s="331">
        <v>45733</v>
      </c>
      <c r="HQ11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2" s="330">
        <v>45653</v>
      </c>
      <c r="HS112" s="330"/>
      <c r="HT112" s="330">
        <v>45653</v>
      </c>
      <c r="HU112" s="527"/>
      <c r="HV112" s="330">
        <f>IF(Table1[[#This Row],[MC-100 Aktual
(tanggal)]]&lt;&gt;"",Table1[[#This Row],[MC-100 Aktual
(tanggal)]]+5,"")</f>
        <v>45738</v>
      </c>
      <c r="HW11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2" s="47"/>
      <c r="HY112" s="352"/>
      <c r="HZ112" s="352"/>
      <c r="IB112" s="618">
        <f>IFERROR(ROUND((Table1[[#This Row],[PLAN TC
finish]]-Table1[[#This Row],[PLAN MC-0
start]])/30,2),"")</f>
        <v>2.4</v>
      </c>
      <c r="IC112">
        <f>DATEDIF(Table1[[#This Row],[PLAN MC-0
start]],Table1[[#This Row],[PLAN TC
finish]],"m")</f>
        <v>2</v>
      </c>
    </row>
    <row r="113" spans="1:237" s="4" customFormat="1" ht="15" customHeight="1" x14ac:dyDescent="0.2">
      <c r="B113" s="311">
        <f>SUBTOTAL(3,$D$5:D113)</f>
        <v>71</v>
      </c>
      <c r="C113" s="348">
        <v>109</v>
      </c>
      <c r="D113" s="315" t="s">
        <v>673</v>
      </c>
      <c r="E113" s="315" t="s">
        <v>800</v>
      </c>
      <c r="F113" s="315" t="s">
        <v>801</v>
      </c>
      <c r="G113" s="349">
        <v>45752</v>
      </c>
      <c r="H113" s="314" t="s">
        <v>247</v>
      </c>
      <c r="I113" s="315" t="s">
        <v>278</v>
      </c>
      <c r="J113" s="315"/>
      <c r="K113" s="338" t="s">
        <v>676</v>
      </c>
      <c r="L113" s="316" t="s">
        <v>250</v>
      </c>
      <c r="M113" s="316" t="s">
        <v>269</v>
      </c>
      <c r="N113" s="107">
        <v>302</v>
      </c>
      <c r="O113" s="31" t="s">
        <v>252</v>
      </c>
      <c r="P11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3" s="87" t="e">
        <v>#N/A</v>
      </c>
      <c r="S113" s="87">
        <v>1</v>
      </c>
      <c r="T113" s="35">
        <f>Table1[[#This Row],[Progres Total Aktual
(%)]]</f>
        <v>1</v>
      </c>
      <c r="U113" s="124">
        <f>Table1[[#This Row],[Progres Aktual
(%)]]-Table1[[#This Row],[Target Progres
(%)]]</f>
        <v>0</v>
      </c>
      <c r="V113" s="350">
        <f>Table1[[#This Row],["Volume
BA MC-0"]]</f>
        <v>327</v>
      </c>
      <c r="W113" s="351">
        <f>Table1[[#This Row],[Total Panjang Pipa Aktual
(Sum-&gt;)3]]</f>
        <v>302</v>
      </c>
      <c r="X113" s="47"/>
      <c r="Y113" s="67" t="s">
        <v>802</v>
      </c>
      <c r="Z113" s="67">
        <v>453940186</v>
      </c>
      <c r="AA113" s="67">
        <f>ROUND((Table1[[#This Row],[Nilai RAB Jaringan
(Exclude Ppn)]]-Table1[[#This Row],[RAB Perizinan]])*1.11+Table1[[#This Row],[RAB Perizinan]],0)</f>
        <v>0</v>
      </c>
      <c r="AB113" s="320">
        <f>SUM(Table1[[#This Row],[RAB Kegiatan Umum]:[RAB Perizinan]])</f>
        <v>0</v>
      </c>
      <c r="AC113" s="320"/>
      <c r="AD113" s="320"/>
      <c r="AE113" s="320"/>
      <c r="AF113" s="320"/>
      <c r="AG113" s="320">
        <v>73787339</v>
      </c>
      <c r="AH113" s="35" t="e">
        <f>SUM(Table1[[#This Row],[Bobot Keg Umum]:[Bobot Perizinan]])</f>
        <v>#DIV/0!</v>
      </c>
      <c r="AI113" s="35" t="e">
        <f>Table1[[#This Row],[RAB Kegiatan Umum]]/Table1[[#This Row],[Nilai RAB Jaringan
(Exclude Ppn)]]</f>
        <v>#DIV/0!</v>
      </c>
      <c r="AJ113" s="35" t="e">
        <f>Table1[[#This Row],[RAB Pemasangan]]/Table1[[#This Row],[Nilai RAB Jaringan
(Exclude Ppn)]]</f>
        <v>#DIV/0!</v>
      </c>
      <c r="AK113" s="35" t="e">
        <f>Table1[[#This Row],[RAB Pengadaan]]/Table1[[#This Row],[Nilai RAB Jaringan
(Exclude Ppn)]]</f>
        <v>#DIV/0!</v>
      </c>
      <c r="AL113" s="35" t="e">
        <f>Table1[[#This Row],[RAB Perizinan]]/Table1[[#This Row],[Nilai RAB Jaringan
(Exclude Ppn)]]</f>
        <v>#DIV/0!</v>
      </c>
      <c r="AM113" s="47"/>
      <c r="AN113" s="285">
        <v>327</v>
      </c>
      <c r="AO113" s="285">
        <f>SUM(Table1[[#This Row],[Pipa 63 mm]:[Pipa 1,800 mm]])</f>
        <v>0</v>
      </c>
      <c r="AP113" s="285"/>
      <c r="AQ113" s="285"/>
      <c r="AR113" s="285"/>
      <c r="AS113" s="285"/>
      <c r="AT113" s="285"/>
      <c r="AU113" s="285"/>
      <c r="AV113" s="285"/>
      <c r="AW113" s="285"/>
      <c r="AX113" s="285"/>
      <c r="AY113" s="285"/>
      <c r="AZ113" s="285"/>
      <c r="BA113" s="285"/>
      <c r="BB113" s="285"/>
      <c r="BC113" s="285"/>
      <c r="BD113" s="285"/>
      <c r="BE113" s="285"/>
      <c r="BF113" s="285"/>
      <c r="BG113" s="285"/>
      <c r="BH113" s="285"/>
      <c r="BI113" s="285"/>
      <c r="BJ113" s="36">
        <f>SUM(Table1[[#This Row],[Pipa 63 mm2]:[Pipa 1,800 mm21]])</f>
        <v>302</v>
      </c>
      <c r="BK113" s="32">
        <v>302</v>
      </c>
      <c r="BL113" s="32"/>
      <c r="BM113" s="32"/>
      <c r="BN113" s="32"/>
      <c r="BO113" s="32"/>
      <c r="BP113" s="32"/>
      <c r="BQ113" s="32"/>
      <c r="BR113" s="32"/>
      <c r="BS113" s="32"/>
      <c r="BT113" s="32"/>
      <c r="BU113" s="32"/>
      <c r="BV113" s="32"/>
      <c r="BW113" s="32"/>
      <c r="BX113" s="32"/>
      <c r="BY113" s="32"/>
      <c r="BZ113" s="32"/>
      <c r="CA113" s="32"/>
      <c r="CB113" s="32"/>
      <c r="CC113" s="32"/>
      <c r="CD113" s="32"/>
      <c r="CE113" s="32">
        <v>0</v>
      </c>
      <c r="CF113" s="32"/>
      <c r="CG113" s="32"/>
      <c r="CH113" s="32"/>
      <c r="CI113" s="32">
        <f t="shared" si="6"/>
        <v>0</v>
      </c>
      <c r="CJ113" s="65">
        <f>IF((Table1[[#This Row],["Volume
BA MC-0"]]-Table1[[#This Row],[Total Panjang Pipa Aktual
(Sum-&gt;)3]]-Table1[[#This Row],[Total Volume
tidak dapat dipasang]])&gt;=0,Table1[[#This Row],["Volume
BA MC-0"]]-Table1[[#This Row],[Total Panjang Pipa Aktual
(Sum-&gt;)3]]-Table1[[#This Row],[Total Volume
tidak dapat dipasang]],0)</f>
        <v>25</v>
      </c>
      <c r="CK113" s="47"/>
      <c r="CL113" s="131"/>
      <c r="CM113" s="35"/>
      <c r="CN113" s="131"/>
      <c r="CO113" s="131"/>
      <c r="CP11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3" s="66">
        <f>IFERROR(Table1[[#This Row],[Progres Keg. Umum
(%)]]*Table1[[#This Row],[Nilai RAB Jaringan
(file pa aji)]],0)</f>
        <v>0</v>
      </c>
      <c r="CR113" s="66">
        <f>IFERROR(Table1[[#This Row],[Progres MOS
(%)]]*Table1[[#This Row],[Nilai RAB Jaringan
(file pa aji)]],0)</f>
        <v>0</v>
      </c>
      <c r="CS113" s="66">
        <f>IFERROR(Table1[[#This Row],[Progres Pemasangan
(%)]]*Table1[[#This Row],[Nilai RAB Jaringan
(file pa aji)]],0)</f>
        <v>0</v>
      </c>
      <c r="CT113" s="66">
        <f>IFERROR(Table1[[#This Row],[Progres Perizinan
(%)]]*Table1[[#This Row],[Nilai RAB Jaringan
(file pa aji)]],0)</f>
        <v>0</v>
      </c>
      <c r="CU113" s="329">
        <v>421364902</v>
      </c>
      <c r="CV113" s="329">
        <v>421364902</v>
      </c>
      <c r="CW113" s="583">
        <v>421364902</v>
      </c>
      <c r="CX113" s="329">
        <v>421364902</v>
      </c>
      <c r="CY113" s="47"/>
      <c r="CZ113" s="330">
        <v>45530</v>
      </c>
      <c r="DA113" s="330">
        <v>45543</v>
      </c>
      <c r="DB113" s="331"/>
      <c r="DC113" s="316"/>
      <c r="DD113" s="67"/>
      <c r="DE11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3" s="331"/>
      <c r="DG113" s="316"/>
      <c r="DH113" s="67"/>
      <c r="DI11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3" s="330">
        <v>45544</v>
      </c>
      <c r="DK113" s="330">
        <v>45592</v>
      </c>
      <c r="DL113" s="331">
        <v>45549</v>
      </c>
      <c r="DM113" s="425" t="s">
        <v>803</v>
      </c>
      <c r="DN11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3" s="331">
        <v>45586</v>
      </c>
      <c r="DP113" s="426" t="s">
        <v>804</v>
      </c>
      <c r="DQ113" s="338" t="s">
        <v>344</v>
      </c>
      <c r="DR11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3" s="330">
        <v>45544</v>
      </c>
      <c r="DT113" s="330" t="e">
        <v>#N/A</v>
      </c>
      <c r="DU113" s="330">
        <v>45571</v>
      </c>
      <c r="DV113" s="330" t="e">
        <v>#N/A</v>
      </c>
      <c r="DW113" s="331"/>
      <c r="DX113" s="316"/>
      <c r="DY113" s="334"/>
      <c r="DZ113" s="334"/>
      <c r="EA11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3" s="331"/>
      <c r="EC113" s="332"/>
      <c r="ED113" s="332"/>
      <c r="EE113" s="330"/>
      <c r="EF113" s="35">
        <v>1</v>
      </c>
      <c r="EG113" s="337">
        <v>1</v>
      </c>
      <c r="EH113" s="316" t="str">
        <f>IF(Table1[[#This Row],[PO Material Aktual 
(%)]]&gt;=100%,"Selesai PO = 100%",IF(Table1[[#This Row],[PO Material Aktual 
(%)]]&gt;=50%,"Proses PO &gt; 100%",IF(Table1[[#This Row],[PO Material Aktual 
(%)]]&gt;0%,"Proses PO &gt; 50%",IF(Table1[[#This Row],[PO Material Aktual 
(%)]]=0,"Belum PO = 0%"))))</f>
        <v>Selesai PO = 100%</v>
      </c>
      <c r="EI11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3" s="330">
        <v>45572</v>
      </c>
      <c r="EK113" s="330" t="e">
        <v>#N/A</v>
      </c>
      <c r="EL113" s="330">
        <v>45620</v>
      </c>
      <c r="EM113" s="330" t="e">
        <v>#N/A</v>
      </c>
      <c r="EN113" s="331">
        <v>45680</v>
      </c>
      <c r="EO113" s="332"/>
      <c r="EP113" s="332"/>
      <c r="EQ113" s="87">
        <v>1</v>
      </c>
      <c r="ER113" s="87">
        <v>1</v>
      </c>
      <c r="ES113" s="316" t="str">
        <f>IF(Table1[[#This Row],[Progres MOS]]&gt;=100%,"Selesai MOS = 100%",IF(Table1[[#This Row],[Progres MOS]]&gt;=50%,"Proses MOS &gt; 100%",IF(Table1[[#This Row],[Progres MOS]]&gt;0%,"Proses MOS &gt; 50%",IF(Table1[[#This Row],[Progres MOS]]=0,"Belum MOS = 0%"))))</f>
        <v>Selesai MOS = 100%</v>
      </c>
      <c r="ET11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3" s="47"/>
      <c r="EV113" s="330">
        <v>45544</v>
      </c>
      <c r="EW113" s="330" t="e">
        <v>#N/A</v>
      </c>
      <c r="EX113" s="330">
        <v>45620</v>
      </c>
      <c r="EY113" s="330" t="e">
        <v>#N/A</v>
      </c>
      <c r="EZ113" s="352" t="s">
        <v>298</v>
      </c>
      <c r="FA113" s="336" t="s">
        <v>259</v>
      </c>
      <c r="FB113" s="330" t="s">
        <v>260</v>
      </c>
      <c r="FC113" s="330">
        <v>45799</v>
      </c>
      <c r="FD113" s="330" t="s">
        <v>260</v>
      </c>
      <c r="FE113" s="330">
        <v>45875</v>
      </c>
      <c r="FF113" s="330">
        <v>45929</v>
      </c>
      <c r="FG113" s="330" t="s">
        <v>260</v>
      </c>
      <c r="FH113" s="330" t="s">
        <v>260</v>
      </c>
      <c r="FI113" s="330">
        <v>46021</v>
      </c>
      <c r="FJ113" s="330" t="s">
        <v>260</v>
      </c>
      <c r="FK113" s="330">
        <v>46087</v>
      </c>
      <c r="FL113" s="336" t="s">
        <v>298</v>
      </c>
      <c r="FM113" s="336">
        <v>45799</v>
      </c>
      <c r="FN113" s="314">
        <f>IF(Table1[[#This Row],[Tanggal Pengajuan Dokumen]]="","",Table1[[#This Row],[PLAN PERMIT
start]]-Table1[[#This Row],[Tanggal Pengajuan Dokumen]])</f>
        <v>-255</v>
      </c>
      <c r="FO113" s="336"/>
      <c r="FP113" s="316"/>
      <c r="FQ113" s="338"/>
      <c r="FR113" s="352"/>
      <c r="FS113" s="338" t="str">
        <f t="shared" si="8"/>
        <v>Sudah Terbit</v>
      </c>
      <c r="FT11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3" s="344">
        <f ca="1">IF(Table1[[#This Row],[Status Izin]]="Selesai",Table1[[#This Row],[PLAN PERMIT
finish]]-Table1[[#This Row],[Tanggal Terbit/ Target Izin Terbit]],ROUNDUP(Table1[[#This Row],[PLAN PERMIT
finish]]-NOW(),0))</f>
        <v>45620</v>
      </c>
      <c r="FV11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3" s="344"/>
      <c r="FX113" s="47"/>
      <c r="FY113" s="340"/>
      <c r="FZ113" s="341"/>
      <c r="GA11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3" s="330">
        <v>45594</v>
      </c>
      <c r="GC113" s="352">
        <v>45610</v>
      </c>
      <c r="GD11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3" s="330">
        <v>45601</v>
      </c>
      <c r="GF113" s="352">
        <v>45610</v>
      </c>
      <c r="GG11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3" s="330">
        <v>45607</v>
      </c>
      <c r="GI113" s="330">
        <v>45613</v>
      </c>
      <c r="GJ113" s="352">
        <v>45552</v>
      </c>
      <c r="GK11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3" s="330">
        <v>45621</v>
      </c>
      <c r="GM113" s="330" t="e">
        <v>#N/A</v>
      </c>
      <c r="GN113" s="330">
        <v>45641</v>
      </c>
      <c r="GO113" s="330" t="e">
        <v>#N/A</v>
      </c>
      <c r="GP113" s="316"/>
      <c r="GQ11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3" s="330" t="s">
        <v>261</v>
      </c>
      <c r="GS113" s="421" t="s">
        <v>261</v>
      </c>
      <c r="GT113" s="427">
        <v>45638</v>
      </c>
      <c r="GU113" s="423" t="str">
        <f>IF(Table1[[#This Row],[Hydro Tes Actual
(tanggal)]]&lt;&gt;"","Sudah","Belum")</f>
        <v>Sudah</v>
      </c>
      <c r="GV113" s="330" t="s">
        <v>261</v>
      </c>
      <c r="GW113" s="330" t="s">
        <v>261</v>
      </c>
      <c r="GX113" s="331"/>
      <c r="GY113" s="344" t="str">
        <f>IF(Table1[[#This Row],[Interkoneksi Actual
(tanggal)]]&lt;&gt;"","Sudah","Belum")</f>
        <v>Belum</v>
      </c>
      <c r="GZ113" s="330" t="s">
        <v>261</v>
      </c>
      <c r="HA113" s="421" t="s">
        <v>261</v>
      </c>
      <c r="HB113" s="424">
        <v>45670</v>
      </c>
      <c r="HC113" s="344" t="str">
        <f>IF(Table1[[#This Row],[Flushing Actual
(tanggal)]]&lt;&gt;"","Sudah","Belum")</f>
        <v>Sudah</v>
      </c>
      <c r="HD113" s="330">
        <v>45628</v>
      </c>
      <c r="HE113" s="330" t="e">
        <v>#N/A</v>
      </c>
      <c r="HF113" s="330">
        <v>45634</v>
      </c>
      <c r="HG113" s="352">
        <v>45671</v>
      </c>
      <c r="HH11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3" s="330" t="s">
        <v>261</v>
      </c>
      <c r="HJ113" s="330" t="s">
        <v>261</v>
      </c>
      <c r="HK113" s="331"/>
      <c r="HL113" s="316"/>
      <c r="HM113" s="330">
        <v>45646</v>
      </c>
      <c r="HN113" s="330">
        <v>45646</v>
      </c>
      <c r="HO113" s="330" t="e">
        <v>#N/A</v>
      </c>
      <c r="HP113" s="331">
        <v>45734</v>
      </c>
      <c r="HQ11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3" s="330">
        <v>45653</v>
      </c>
      <c r="HS113" s="330"/>
      <c r="HT113" s="330">
        <v>45653</v>
      </c>
      <c r="HU113" s="527"/>
      <c r="HV113" s="330">
        <f>IF(Table1[[#This Row],[MC-100 Aktual
(tanggal)]]&lt;&gt;"",Table1[[#This Row],[MC-100 Aktual
(tanggal)]]+5,"")</f>
        <v>45739</v>
      </c>
      <c r="HW11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3" s="47"/>
      <c r="HY113" s="352"/>
      <c r="HZ113" s="352"/>
      <c r="IB113" s="618">
        <f>IFERROR(ROUND((Table1[[#This Row],[PLAN TC
finish]]-Table1[[#This Row],[PLAN MC-0
start]])/30,2),"")</f>
        <v>0.9</v>
      </c>
      <c r="IC113">
        <f>DATEDIF(Table1[[#This Row],[PLAN MC-0
start]],Table1[[#This Row],[PLAN TC
finish]],"m")</f>
        <v>0</v>
      </c>
    </row>
    <row r="114" spans="1:237" s="4" customFormat="1" ht="15" customHeight="1" x14ac:dyDescent="0.2">
      <c r="B114" s="311">
        <f>SUBTOTAL(3,$D$5:D114)</f>
        <v>72</v>
      </c>
      <c r="C114" s="348">
        <v>110</v>
      </c>
      <c r="D114" s="315" t="s">
        <v>673</v>
      </c>
      <c r="E114" s="315" t="s">
        <v>805</v>
      </c>
      <c r="F114" s="315" t="s">
        <v>806</v>
      </c>
      <c r="G114" s="349">
        <v>45752</v>
      </c>
      <c r="H114" s="314" t="s">
        <v>247</v>
      </c>
      <c r="I114" s="315" t="s">
        <v>278</v>
      </c>
      <c r="J114" s="315"/>
      <c r="K114" s="338" t="s">
        <v>676</v>
      </c>
      <c r="L114" s="316" t="s">
        <v>250</v>
      </c>
      <c r="M114" s="316" t="s">
        <v>269</v>
      </c>
      <c r="N114" s="107">
        <v>117</v>
      </c>
      <c r="O114" s="31" t="s">
        <v>252</v>
      </c>
      <c r="P114"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4" s="87" t="e">
        <v>#N/A</v>
      </c>
      <c r="S114" s="87">
        <v>1</v>
      </c>
      <c r="T114" s="35">
        <f>Table1[[#This Row],[Progres Total Aktual
(%)]]</f>
        <v>1</v>
      </c>
      <c r="U114" s="124">
        <f>Table1[[#This Row],[Progres Aktual
(%)]]-Table1[[#This Row],[Target Progres
(%)]]</f>
        <v>0</v>
      </c>
      <c r="V114" s="350">
        <f>Table1[[#This Row],["Volume
BA MC-0"]]</f>
        <v>123</v>
      </c>
      <c r="W114" s="351">
        <f>Table1[[#This Row],[Total Panjang Pipa Aktual
(Sum-&gt;)3]]</f>
        <v>123</v>
      </c>
      <c r="X114" s="47"/>
      <c r="Y114" s="67" t="s">
        <v>807</v>
      </c>
      <c r="Z114" s="67">
        <v>188539553</v>
      </c>
      <c r="AA114" s="67">
        <f>ROUND((Table1[[#This Row],[Nilai RAB Jaringan
(Exclude Ppn)]]-Table1[[#This Row],[RAB Perizinan]])*1.11+Table1[[#This Row],[RAB Perizinan]],0)</f>
        <v>0</v>
      </c>
      <c r="AB114" s="320">
        <f>SUM(Table1[[#This Row],[RAB Kegiatan Umum]:[RAB Perizinan]])</f>
        <v>0</v>
      </c>
      <c r="AC114" s="320"/>
      <c r="AD114" s="320"/>
      <c r="AE114" s="320"/>
      <c r="AF114" s="320"/>
      <c r="AG114" s="320">
        <v>8198594</v>
      </c>
      <c r="AH114" s="35" t="e">
        <f>SUM(Table1[[#This Row],[Bobot Keg Umum]:[Bobot Perizinan]])</f>
        <v>#DIV/0!</v>
      </c>
      <c r="AI114" s="35" t="e">
        <f>Table1[[#This Row],[RAB Kegiatan Umum]]/Table1[[#This Row],[Nilai RAB Jaringan
(Exclude Ppn)]]</f>
        <v>#DIV/0!</v>
      </c>
      <c r="AJ114" s="35" t="e">
        <f>Table1[[#This Row],[RAB Pemasangan]]/Table1[[#This Row],[Nilai RAB Jaringan
(Exclude Ppn)]]</f>
        <v>#DIV/0!</v>
      </c>
      <c r="AK114" s="35" t="e">
        <f>Table1[[#This Row],[RAB Pengadaan]]/Table1[[#This Row],[Nilai RAB Jaringan
(Exclude Ppn)]]</f>
        <v>#DIV/0!</v>
      </c>
      <c r="AL114" s="35" t="e">
        <f>Table1[[#This Row],[RAB Perizinan]]/Table1[[#This Row],[Nilai RAB Jaringan
(Exclude Ppn)]]</f>
        <v>#DIV/0!</v>
      </c>
      <c r="AM114" s="47"/>
      <c r="AN114" s="285">
        <v>123</v>
      </c>
      <c r="AO114" s="285">
        <f>SUM(Table1[[#This Row],[Pipa 63 mm]:[Pipa 1,800 mm]])</f>
        <v>0</v>
      </c>
      <c r="AP114" s="285"/>
      <c r="AQ114" s="285"/>
      <c r="AR114" s="285"/>
      <c r="AS114" s="285"/>
      <c r="AT114" s="285"/>
      <c r="AU114" s="285"/>
      <c r="AV114" s="285"/>
      <c r="AW114" s="285"/>
      <c r="AX114" s="285"/>
      <c r="AY114" s="285"/>
      <c r="AZ114" s="285"/>
      <c r="BA114" s="285"/>
      <c r="BB114" s="285"/>
      <c r="BC114" s="285"/>
      <c r="BD114" s="285"/>
      <c r="BE114" s="285"/>
      <c r="BF114" s="285"/>
      <c r="BG114" s="285"/>
      <c r="BH114" s="285"/>
      <c r="BI114" s="285"/>
      <c r="BJ114" s="36">
        <f>SUM(Table1[[#This Row],[Pipa 63 mm2]:[Pipa 1,800 mm21]])</f>
        <v>123</v>
      </c>
      <c r="BK114" s="32">
        <v>123</v>
      </c>
      <c r="BL114" s="32"/>
      <c r="BM114" s="32"/>
      <c r="BN114" s="32"/>
      <c r="BO114" s="32"/>
      <c r="BP114" s="32"/>
      <c r="BQ114" s="32"/>
      <c r="BR114" s="32"/>
      <c r="BS114" s="32"/>
      <c r="BT114" s="32"/>
      <c r="BU114" s="32"/>
      <c r="BV114" s="32"/>
      <c r="BW114" s="32"/>
      <c r="BX114" s="32"/>
      <c r="BY114" s="32"/>
      <c r="BZ114" s="32"/>
      <c r="CA114" s="32"/>
      <c r="CB114" s="32"/>
      <c r="CC114" s="32"/>
      <c r="CD114" s="32"/>
      <c r="CE114" s="32">
        <v>0</v>
      </c>
      <c r="CF114" s="32"/>
      <c r="CG114" s="32"/>
      <c r="CH114" s="32"/>
      <c r="CI114" s="32">
        <f t="shared" si="6"/>
        <v>0</v>
      </c>
      <c r="CJ114" s="65">
        <f>IF((Table1[[#This Row],["Volume
BA MC-0"]]-Table1[[#This Row],[Total Panjang Pipa Aktual
(Sum-&gt;)3]]-Table1[[#This Row],[Total Volume
tidak dapat dipasang]])&gt;=0,Table1[[#This Row],["Volume
BA MC-0"]]-Table1[[#This Row],[Total Panjang Pipa Aktual
(Sum-&gt;)3]]-Table1[[#This Row],[Total Volume
tidak dapat dipasang]],0)</f>
        <v>0</v>
      </c>
      <c r="CK114" s="47"/>
      <c r="CL114" s="131"/>
      <c r="CM114" s="35"/>
      <c r="CN114" s="131"/>
      <c r="CO114" s="131"/>
      <c r="CP11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4" s="66">
        <f>IFERROR(Table1[[#This Row],[Progres Keg. Umum
(%)]]*Table1[[#This Row],[Nilai RAB Jaringan
(file pa aji)]],0)</f>
        <v>0</v>
      </c>
      <c r="CR114" s="66">
        <f>IFERROR(Table1[[#This Row],[Progres MOS
(%)]]*Table1[[#This Row],[Nilai RAB Jaringan
(file pa aji)]],0)</f>
        <v>0</v>
      </c>
      <c r="CS114" s="66">
        <f>IFERROR(Table1[[#This Row],[Progres Pemasangan
(%)]]*Table1[[#This Row],[Nilai RAB Jaringan
(file pa aji)]],0)</f>
        <v>0</v>
      </c>
      <c r="CT114" s="66">
        <f>IFERROR(Table1[[#This Row],[Progres Perizinan
(%)]]*Table1[[#This Row],[Nilai RAB Jaringan
(file pa aji)]],0)</f>
        <v>0</v>
      </c>
      <c r="CU114" s="329">
        <v>194651224</v>
      </c>
      <c r="CV114" s="329">
        <v>194651224</v>
      </c>
      <c r="CW114" s="583">
        <v>194651224</v>
      </c>
      <c r="CX114" s="329">
        <v>194651224</v>
      </c>
      <c r="CY114" s="47"/>
      <c r="CZ114" s="330">
        <v>45530</v>
      </c>
      <c r="DA114" s="330">
        <v>45543</v>
      </c>
      <c r="DB114" s="331"/>
      <c r="DC114" s="316"/>
      <c r="DD114" s="67"/>
      <c r="DE11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4" s="331"/>
      <c r="DG114" s="316"/>
      <c r="DH114" s="67"/>
      <c r="DI11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4" s="330">
        <v>45544</v>
      </c>
      <c r="DK114" s="330">
        <v>45592</v>
      </c>
      <c r="DL114" s="331">
        <v>45540</v>
      </c>
      <c r="DM114" s="425" t="s">
        <v>808</v>
      </c>
      <c r="DN11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4" s="331">
        <v>45586</v>
      </c>
      <c r="DP114" s="426" t="s">
        <v>809</v>
      </c>
      <c r="DQ114" s="338" t="s">
        <v>344</v>
      </c>
      <c r="DR11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4" s="330">
        <v>45544</v>
      </c>
      <c r="DT114" s="330" t="e">
        <v>#N/A</v>
      </c>
      <c r="DU114" s="330">
        <v>45571</v>
      </c>
      <c r="DV114" s="330" t="e">
        <v>#N/A</v>
      </c>
      <c r="DW114" s="331"/>
      <c r="DX114" s="316"/>
      <c r="DY114" s="334"/>
      <c r="DZ114" s="334"/>
      <c r="EA11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4" s="331"/>
      <c r="EC114" s="332"/>
      <c r="ED114" s="332"/>
      <c r="EE114" s="330"/>
      <c r="EF114" s="35">
        <v>1</v>
      </c>
      <c r="EG114" s="337">
        <v>1</v>
      </c>
      <c r="EH114" s="316" t="str">
        <f>IF(Table1[[#This Row],[PO Material Aktual 
(%)]]&gt;=100%,"Selesai PO = 100%",IF(Table1[[#This Row],[PO Material Aktual 
(%)]]&gt;=50%,"Proses PO &gt; 100%",IF(Table1[[#This Row],[PO Material Aktual 
(%)]]&gt;0%,"Proses PO &gt; 50%",IF(Table1[[#This Row],[PO Material Aktual 
(%)]]=0,"Belum PO = 0%"))))</f>
        <v>Selesai PO = 100%</v>
      </c>
      <c r="EI11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4" s="330">
        <v>45572</v>
      </c>
      <c r="EK114" s="330" t="e">
        <v>#N/A</v>
      </c>
      <c r="EL114" s="330">
        <v>45620</v>
      </c>
      <c r="EM114" s="330" t="e">
        <v>#N/A</v>
      </c>
      <c r="EN114" s="331">
        <v>45786</v>
      </c>
      <c r="EO114" s="332"/>
      <c r="EP114" s="332"/>
      <c r="EQ114" s="87">
        <v>1</v>
      </c>
      <c r="ER114" s="87">
        <v>1</v>
      </c>
      <c r="ES114" s="316" t="str">
        <f>IF(Table1[[#This Row],[Progres MOS]]&gt;=100%,"Selesai MOS = 100%",IF(Table1[[#This Row],[Progres MOS]]&gt;=50%,"Proses MOS &gt; 100%",IF(Table1[[#This Row],[Progres MOS]]&gt;0%,"Proses MOS &gt; 50%",IF(Table1[[#This Row],[Progres MOS]]=0,"Belum MOS = 0%"))))</f>
        <v>Selesai MOS = 100%</v>
      </c>
      <c r="ET11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4" s="47"/>
      <c r="EV114" s="330">
        <v>45544</v>
      </c>
      <c r="EW114" s="330" t="e">
        <v>#N/A</v>
      </c>
      <c r="EX114" s="330">
        <v>45620</v>
      </c>
      <c r="EY114" s="330" t="e">
        <v>#N/A</v>
      </c>
      <c r="EZ114" s="352" t="s">
        <v>298</v>
      </c>
      <c r="FA114" s="336" t="s">
        <v>259</v>
      </c>
      <c r="FB114" s="330" t="s">
        <v>260</v>
      </c>
      <c r="FC114" s="330">
        <v>45799</v>
      </c>
      <c r="FD114" s="330" t="s">
        <v>260</v>
      </c>
      <c r="FE114" s="330">
        <v>45875</v>
      </c>
      <c r="FF114" s="330">
        <v>45929</v>
      </c>
      <c r="FG114" s="330" t="s">
        <v>260</v>
      </c>
      <c r="FH114" s="330" t="s">
        <v>260</v>
      </c>
      <c r="FI114" s="330">
        <v>46021</v>
      </c>
      <c r="FJ114" s="330" t="s">
        <v>260</v>
      </c>
      <c r="FK114" s="330">
        <v>46087</v>
      </c>
      <c r="FL114" s="336" t="s">
        <v>298</v>
      </c>
      <c r="FM114" s="336">
        <v>45799</v>
      </c>
      <c r="FN114" s="314">
        <f>IF(Table1[[#This Row],[Tanggal Pengajuan Dokumen]]="","",Table1[[#This Row],[PLAN PERMIT
start]]-Table1[[#This Row],[Tanggal Pengajuan Dokumen]])</f>
        <v>-255</v>
      </c>
      <c r="FO114" s="336"/>
      <c r="FP114" s="316"/>
      <c r="FQ114" s="338"/>
      <c r="FR114" s="352"/>
      <c r="FS114" s="338" t="str">
        <f t="shared" si="8"/>
        <v>Sudah Terbit</v>
      </c>
      <c r="FT11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4" s="344">
        <f ca="1">IF(Table1[[#This Row],[Status Izin]]="Selesai",Table1[[#This Row],[PLAN PERMIT
finish]]-Table1[[#This Row],[Tanggal Terbit/ Target Izin Terbit]],ROUNDUP(Table1[[#This Row],[PLAN PERMIT
finish]]-NOW(),0))</f>
        <v>45620</v>
      </c>
      <c r="FV11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4" s="344"/>
      <c r="FX114" s="47"/>
      <c r="FY114" s="340"/>
      <c r="FZ114" s="341"/>
      <c r="GA11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4" s="330">
        <v>45594</v>
      </c>
      <c r="GC114" s="352">
        <v>45610</v>
      </c>
      <c r="GD11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4" s="330">
        <v>45601</v>
      </c>
      <c r="GF114" s="352">
        <v>45610</v>
      </c>
      <c r="GG11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4" s="330">
        <v>45607</v>
      </c>
      <c r="GI114" s="330">
        <v>45613</v>
      </c>
      <c r="GJ114" s="352">
        <v>45554</v>
      </c>
      <c r="GK11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4" s="330">
        <v>45621</v>
      </c>
      <c r="GM114" s="330" t="e">
        <v>#N/A</v>
      </c>
      <c r="GN114" s="330">
        <v>45641</v>
      </c>
      <c r="GO114" s="330" t="e">
        <v>#N/A</v>
      </c>
      <c r="GP114" s="316"/>
      <c r="GQ11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4" s="330" t="s">
        <v>261</v>
      </c>
      <c r="GS114" s="421" t="s">
        <v>261</v>
      </c>
      <c r="GT114" s="427">
        <v>46003</v>
      </c>
      <c r="GU114" s="423" t="str">
        <f>IF(Table1[[#This Row],[Hydro Tes Actual
(tanggal)]]&lt;&gt;"","Sudah","Belum")</f>
        <v>Sudah</v>
      </c>
      <c r="GV114" s="330" t="s">
        <v>261</v>
      </c>
      <c r="GW114" s="330" t="s">
        <v>261</v>
      </c>
      <c r="GX114" s="331"/>
      <c r="GY114" s="344" t="str">
        <f>IF(Table1[[#This Row],[Interkoneksi Actual
(tanggal)]]&lt;&gt;"","Sudah","Belum")</f>
        <v>Belum</v>
      </c>
      <c r="GZ114" s="330" t="s">
        <v>261</v>
      </c>
      <c r="HA114" s="421" t="s">
        <v>261</v>
      </c>
      <c r="HB114" s="424">
        <v>45687</v>
      </c>
      <c r="HC114" s="344" t="str">
        <f>IF(Table1[[#This Row],[Flushing Actual
(tanggal)]]&lt;&gt;"","Sudah","Belum")</f>
        <v>Sudah</v>
      </c>
      <c r="HD114" s="330">
        <v>45628</v>
      </c>
      <c r="HE114" s="330" t="e">
        <v>#N/A</v>
      </c>
      <c r="HF114" s="330">
        <v>45634</v>
      </c>
      <c r="HG114" s="352">
        <v>45671</v>
      </c>
      <c r="HH11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4" s="330" t="s">
        <v>261</v>
      </c>
      <c r="HJ114" s="330" t="s">
        <v>261</v>
      </c>
      <c r="HK114" s="331"/>
      <c r="HL114" s="316"/>
      <c r="HM114" s="330">
        <v>45646</v>
      </c>
      <c r="HN114" s="330">
        <v>45646</v>
      </c>
      <c r="HO114" s="330" t="e">
        <v>#N/A</v>
      </c>
      <c r="HP114" s="331">
        <v>45733</v>
      </c>
      <c r="HQ11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4" s="330">
        <v>45653</v>
      </c>
      <c r="HS114" s="330"/>
      <c r="HT114" s="330">
        <v>45653</v>
      </c>
      <c r="HU114" s="527"/>
      <c r="HV114" s="330">
        <f>IF(Table1[[#This Row],[MC-100 Aktual
(tanggal)]]&lt;&gt;"",Table1[[#This Row],[MC-100 Aktual
(tanggal)]]+5,"")</f>
        <v>45738</v>
      </c>
      <c r="HW11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4" s="47"/>
      <c r="HY114" s="352"/>
      <c r="HZ114" s="352"/>
      <c r="IB114" s="618">
        <f>IFERROR(ROUND((Table1[[#This Row],[PLAN TC
finish]]-Table1[[#This Row],[PLAN MC-0
start]])/30,2),"")</f>
        <v>0.9</v>
      </c>
      <c r="IC114">
        <f>DATEDIF(Table1[[#This Row],[PLAN MC-0
start]],Table1[[#This Row],[PLAN TC
finish]],"m")</f>
        <v>0</v>
      </c>
    </row>
    <row r="115" spans="1:237" s="4" customFormat="1" ht="15" customHeight="1" x14ac:dyDescent="0.2">
      <c r="B115" s="311">
        <f>SUBTOTAL(3,$D$5:D115)</f>
        <v>73</v>
      </c>
      <c r="C115" s="348">
        <v>111</v>
      </c>
      <c r="D115" s="315" t="s">
        <v>673</v>
      </c>
      <c r="E115" s="315" t="s">
        <v>810</v>
      </c>
      <c r="F115" s="315" t="s">
        <v>811</v>
      </c>
      <c r="G115" s="349">
        <v>45752</v>
      </c>
      <c r="H115" s="314" t="s">
        <v>247</v>
      </c>
      <c r="I115" s="315" t="s">
        <v>278</v>
      </c>
      <c r="J115" s="315"/>
      <c r="K115" s="338" t="s">
        <v>676</v>
      </c>
      <c r="L115" s="316" t="s">
        <v>250</v>
      </c>
      <c r="M115" s="316" t="s">
        <v>269</v>
      </c>
      <c r="N115" s="107">
        <v>59</v>
      </c>
      <c r="O115" s="31" t="s">
        <v>252</v>
      </c>
      <c r="P11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5" s="87" t="e">
        <v>#N/A</v>
      </c>
      <c r="S115" s="87">
        <v>1</v>
      </c>
      <c r="T115" s="35">
        <f>Table1[[#This Row],[Progres Total Aktual
(%)]]</f>
        <v>1</v>
      </c>
      <c r="U115" s="124">
        <f>Table1[[#This Row],[Progres Aktual
(%)]]-Table1[[#This Row],[Target Progres
(%)]]</f>
        <v>0</v>
      </c>
      <c r="V115" s="350">
        <f>Table1[[#This Row],["Volume
BA MC-0"]]</f>
        <v>79</v>
      </c>
      <c r="W115" s="351">
        <f>Table1[[#This Row],[Total Panjang Pipa Aktual
(Sum-&gt;)3]]</f>
        <v>64</v>
      </c>
      <c r="X115" s="47"/>
      <c r="Y115" s="67" t="s">
        <v>812</v>
      </c>
      <c r="Z115" s="67">
        <v>174060149</v>
      </c>
      <c r="AA115" s="67">
        <f>ROUND((Table1[[#This Row],[Nilai RAB Jaringan
(Exclude Ppn)]]-Table1[[#This Row],[RAB Perizinan]])*1.11+Table1[[#This Row],[RAB Perizinan]],0)</f>
        <v>0</v>
      </c>
      <c r="AB115" s="320">
        <f>SUM(Table1[[#This Row],[RAB Kegiatan Umum]:[RAB Perizinan]])</f>
        <v>0</v>
      </c>
      <c r="AC115" s="320"/>
      <c r="AD115" s="320"/>
      <c r="AE115" s="320"/>
      <c r="AF115" s="320"/>
      <c r="AG115" s="320">
        <v>16397187</v>
      </c>
      <c r="AH115" s="35" t="e">
        <f>SUM(Table1[[#This Row],[Bobot Keg Umum]:[Bobot Perizinan]])</f>
        <v>#DIV/0!</v>
      </c>
      <c r="AI115" s="35" t="e">
        <f>Table1[[#This Row],[RAB Kegiatan Umum]]/Table1[[#This Row],[Nilai RAB Jaringan
(Exclude Ppn)]]</f>
        <v>#DIV/0!</v>
      </c>
      <c r="AJ115" s="35" t="e">
        <f>Table1[[#This Row],[RAB Pemasangan]]/Table1[[#This Row],[Nilai RAB Jaringan
(Exclude Ppn)]]</f>
        <v>#DIV/0!</v>
      </c>
      <c r="AK115" s="35" t="e">
        <f>Table1[[#This Row],[RAB Pengadaan]]/Table1[[#This Row],[Nilai RAB Jaringan
(Exclude Ppn)]]</f>
        <v>#DIV/0!</v>
      </c>
      <c r="AL115" s="35" t="e">
        <f>Table1[[#This Row],[RAB Perizinan]]/Table1[[#This Row],[Nilai RAB Jaringan
(Exclude Ppn)]]</f>
        <v>#DIV/0!</v>
      </c>
      <c r="AM115" s="47"/>
      <c r="AN115" s="285">
        <v>79</v>
      </c>
      <c r="AO115" s="285">
        <f>SUM(Table1[[#This Row],[Pipa 63 mm]:[Pipa 1,800 mm]])</f>
        <v>0</v>
      </c>
      <c r="AP115" s="285"/>
      <c r="AQ115" s="285"/>
      <c r="AR115" s="285"/>
      <c r="AS115" s="285"/>
      <c r="AT115" s="285"/>
      <c r="AU115" s="285"/>
      <c r="AV115" s="285"/>
      <c r="AW115" s="285"/>
      <c r="AX115" s="285"/>
      <c r="AY115" s="285"/>
      <c r="AZ115" s="285"/>
      <c r="BA115" s="285"/>
      <c r="BB115" s="285"/>
      <c r="BC115" s="285"/>
      <c r="BD115" s="285"/>
      <c r="BE115" s="285"/>
      <c r="BF115" s="285"/>
      <c r="BG115" s="285"/>
      <c r="BH115" s="285"/>
      <c r="BI115" s="285"/>
      <c r="BJ115" s="36">
        <f>SUM(Table1[[#This Row],[Pipa 63 mm2]:[Pipa 1,800 mm21]])</f>
        <v>64</v>
      </c>
      <c r="BK115" s="32"/>
      <c r="BL115" s="32">
        <v>64</v>
      </c>
      <c r="BM115" s="32"/>
      <c r="BN115" s="32"/>
      <c r="BO115" s="32"/>
      <c r="BP115" s="32"/>
      <c r="BQ115" s="32"/>
      <c r="BR115" s="32"/>
      <c r="BS115" s="32"/>
      <c r="BT115" s="32"/>
      <c r="BU115" s="32"/>
      <c r="BV115" s="32"/>
      <c r="BW115" s="32"/>
      <c r="BX115" s="32"/>
      <c r="BY115" s="32"/>
      <c r="BZ115" s="32"/>
      <c r="CA115" s="32"/>
      <c r="CB115" s="32"/>
      <c r="CC115" s="32"/>
      <c r="CD115" s="32"/>
      <c r="CE115" s="32">
        <v>0</v>
      </c>
      <c r="CF115" s="32"/>
      <c r="CG115" s="32"/>
      <c r="CH115" s="32"/>
      <c r="CI115" s="32">
        <f t="shared" si="6"/>
        <v>0</v>
      </c>
      <c r="CJ115" s="65">
        <f>IF((Table1[[#This Row],["Volume
BA MC-0"]]-Table1[[#This Row],[Total Panjang Pipa Aktual
(Sum-&gt;)3]]-Table1[[#This Row],[Total Volume
tidak dapat dipasang]])&gt;=0,Table1[[#This Row],["Volume
BA MC-0"]]-Table1[[#This Row],[Total Panjang Pipa Aktual
(Sum-&gt;)3]]-Table1[[#This Row],[Total Volume
tidak dapat dipasang]],0)</f>
        <v>15</v>
      </c>
      <c r="CK115" s="47"/>
      <c r="CL115" s="131"/>
      <c r="CM115" s="35"/>
      <c r="CN115" s="131"/>
      <c r="CO115" s="131"/>
      <c r="CP11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5" s="66">
        <f>IFERROR(Table1[[#This Row],[Progres Keg. Umum
(%)]]*Table1[[#This Row],[Nilai RAB Jaringan
(file pa aji)]],0)</f>
        <v>0</v>
      </c>
      <c r="CR115" s="66">
        <f>IFERROR(Table1[[#This Row],[Progres MOS
(%)]]*Table1[[#This Row],[Nilai RAB Jaringan
(file pa aji)]],0)</f>
        <v>0</v>
      </c>
      <c r="CS115" s="66">
        <f>IFERROR(Table1[[#This Row],[Progres Pemasangan
(%)]]*Table1[[#This Row],[Nilai RAB Jaringan
(file pa aji)]],0)</f>
        <v>0</v>
      </c>
      <c r="CT115" s="66">
        <f>IFERROR(Table1[[#This Row],[Progres Perizinan
(%)]]*Table1[[#This Row],[Nilai RAB Jaringan
(file pa aji)]],0)</f>
        <v>0</v>
      </c>
      <c r="CU115" s="329">
        <v>186691002</v>
      </c>
      <c r="CV115" s="329">
        <v>186691002</v>
      </c>
      <c r="CW115" s="583">
        <v>186691002</v>
      </c>
      <c r="CX115" s="329">
        <v>186691002</v>
      </c>
      <c r="CY115" s="47"/>
      <c r="CZ115" s="330">
        <v>45530</v>
      </c>
      <c r="DA115" s="330">
        <v>45543</v>
      </c>
      <c r="DB115" s="331"/>
      <c r="DC115" s="316"/>
      <c r="DD115" s="67"/>
      <c r="DE11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5" s="331"/>
      <c r="DG115" s="316"/>
      <c r="DH115" s="67"/>
      <c r="DI11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5" s="330">
        <v>45544</v>
      </c>
      <c r="DK115" s="330">
        <v>45592</v>
      </c>
      <c r="DL115" s="331">
        <v>45542</v>
      </c>
      <c r="DM115" s="425" t="s">
        <v>813</v>
      </c>
      <c r="DN11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5" s="331">
        <v>45593</v>
      </c>
      <c r="DP115" s="426" t="s">
        <v>814</v>
      </c>
      <c r="DQ115" s="338" t="s">
        <v>762</v>
      </c>
      <c r="DR11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5" s="330">
        <v>45544</v>
      </c>
      <c r="DT115" s="330" t="e">
        <v>#N/A</v>
      </c>
      <c r="DU115" s="330">
        <v>45571</v>
      </c>
      <c r="DV115" s="330" t="e">
        <v>#N/A</v>
      </c>
      <c r="DW115" s="331"/>
      <c r="DX115" s="316"/>
      <c r="DY115" s="334"/>
      <c r="DZ115" s="334"/>
      <c r="EA11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5" s="331"/>
      <c r="EC115" s="332"/>
      <c r="ED115" s="332"/>
      <c r="EE115" s="330"/>
      <c r="EF115" s="35">
        <v>1</v>
      </c>
      <c r="EG115" s="337">
        <v>1</v>
      </c>
      <c r="EH115" s="316" t="str">
        <f>IF(Table1[[#This Row],[PO Material Aktual 
(%)]]&gt;=100%,"Selesai PO = 100%",IF(Table1[[#This Row],[PO Material Aktual 
(%)]]&gt;=50%,"Proses PO &gt; 100%",IF(Table1[[#This Row],[PO Material Aktual 
(%)]]&gt;0%,"Proses PO &gt; 50%",IF(Table1[[#This Row],[PO Material Aktual 
(%)]]=0,"Belum PO = 0%"))))</f>
        <v>Selesai PO = 100%</v>
      </c>
      <c r="EI11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5" s="330">
        <v>45572</v>
      </c>
      <c r="EK115" s="330" t="e">
        <v>#N/A</v>
      </c>
      <c r="EL115" s="330">
        <v>45620</v>
      </c>
      <c r="EM115" s="330" t="e">
        <v>#N/A</v>
      </c>
      <c r="EN115" s="331">
        <v>45814</v>
      </c>
      <c r="EO115" s="332"/>
      <c r="EP115" s="332"/>
      <c r="EQ115" s="87">
        <v>1</v>
      </c>
      <c r="ER115" s="87">
        <v>1</v>
      </c>
      <c r="ES115" s="316" t="str">
        <f>IF(Table1[[#This Row],[Progres MOS]]&gt;=100%,"Selesai MOS = 100%",IF(Table1[[#This Row],[Progres MOS]]&gt;=50%,"Proses MOS &gt; 100%",IF(Table1[[#This Row],[Progres MOS]]&gt;0%,"Proses MOS &gt; 50%",IF(Table1[[#This Row],[Progres MOS]]=0,"Belum MOS = 0%"))))</f>
        <v>Selesai MOS = 100%</v>
      </c>
      <c r="ET11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5" s="47"/>
      <c r="EV115" s="330">
        <v>45544</v>
      </c>
      <c r="EW115" s="330" t="e">
        <v>#N/A</v>
      </c>
      <c r="EX115" s="330">
        <v>45620</v>
      </c>
      <c r="EY115" s="330" t="e">
        <v>#N/A</v>
      </c>
      <c r="EZ115" s="352" t="s">
        <v>298</v>
      </c>
      <c r="FA115" s="336" t="s">
        <v>259</v>
      </c>
      <c r="FB115" s="330" t="s">
        <v>260</v>
      </c>
      <c r="FC115" s="330">
        <v>45799</v>
      </c>
      <c r="FD115" s="330" t="s">
        <v>260</v>
      </c>
      <c r="FE115" s="330">
        <v>45875</v>
      </c>
      <c r="FF115" s="330">
        <v>45929</v>
      </c>
      <c r="FG115" s="330" t="s">
        <v>260</v>
      </c>
      <c r="FH115" s="330" t="s">
        <v>260</v>
      </c>
      <c r="FI115" s="330">
        <v>46021</v>
      </c>
      <c r="FJ115" s="330" t="s">
        <v>260</v>
      </c>
      <c r="FK115" s="330">
        <v>46087</v>
      </c>
      <c r="FL115" s="336" t="s">
        <v>298</v>
      </c>
      <c r="FM115" s="336">
        <v>45799</v>
      </c>
      <c r="FN115" s="314">
        <f>IF(Table1[[#This Row],[Tanggal Pengajuan Dokumen]]="","",Table1[[#This Row],[PLAN PERMIT
start]]-Table1[[#This Row],[Tanggal Pengajuan Dokumen]])</f>
        <v>-255</v>
      </c>
      <c r="FO115" s="336"/>
      <c r="FP115" s="316"/>
      <c r="FQ115" s="338"/>
      <c r="FR115" s="352"/>
      <c r="FS115" s="338" t="str">
        <f t="shared" si="8"/>
        <v>Sudah Terbit</v>
      </c>
      <c r="FT11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5" s="344">
        <f ca="1">IF(Table1[[#This Row],[Status Izin]]="Selesai",Table1[[#This Row],[PLAN PERMIT
finish]]-Table1[[#This Row],[Tanggal Terbit/ Target Izin Terbit]],ROUNDUP(Table1[[#This Row],[PLAN PERMIT
finish]]-NOW(),0))</f>
        <v>45620</v>
      </c>
      <c r="FV11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5" s="344"/>
      <c r="FX115" s="47"/>
      <c r="FY115" s="340"/>
      <c r="FZ115" s="341"/>
      <c r="GA11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5" s="330">
        <v>45594</v>
      </c>
      <c r="GC115" s="352">
        <v>45610</v>
      </c>
      <c r="GD11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5" s="330">
        <v>45601</v>
      </c>
      <c r="GF115" s="352">
        <v>45610</v>
      </c>
      <c r="GG11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5" s="330">
        <v>45607</v>
      </c>
      <c r="GI115" s="330">
        <v>45613</v>
      </c>
      <c r="GJ115" s="352">
        <v>45552</v>
      </c>
      <c r="GK11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5" s="330">
        <v>45621</v>
      </c>
      <c r="GM115" s="330" t="e">
        <v>#N/A</v>
      </c>
      <c r="GN115" s="330">
        <v>45641</v>
      </c>
      <c r="GO115" s="330" t="e">
        <v>#N/A</v>
      </c>
      <c r="GP115" s="316"/>
      <c r="GQ11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5" s="330" t="s">
        <v>261</v>
      </c>
      <c r="GS115" s="421" t="s">
        <v>261</v>
      </c>
      <c r="GT115" s="427">
        <v>45635</v>
      </c>
      <c r="GU115" s="423" t="str">
        <f>IF(Table1[[#This Row],[Hydro Tes Actual
(tanggal)]]&lt;&gt;"","Sudah","Belum")</f>
        <v>Sudah</v>
      </c>
      <c r="GV115" s="330" t="s">
        <v>261</v>
      </c>
      <c r="GW115" s="330" t="s">
        <v>261</v>
      </c>
      <c r="GX115" s="331"/>
      <c r="GY115" s="344" t="str">
        <f>IF(Table1[[#This Row],[Interkoneksi Actual
(tanggal)]]&lt;&gt;"","Sudah","Belum")</f>
        <v>Belum</v>
      </c>
      <c r="GZ115" s="330" t="s">
        <v>261</v>
      </c>
      <c r="HA115" s="421" t="s">
        <v>261</v>
      </c>
      <c r="HB115" s="424">
        <v>45652</v>
      </c>
      <c r="HC115" s="344" t="str">
        <f>IF(Table1[[#This Row],[Flushing Actual
(tanggal)]]&lt;&gt;"","Sudah","Belum")</f>
        <v>Sudah</v>
      </c>
      <c r="HD115" s="330">
        <v>45628</v>
      </c>
      <c r="HE115" s="330" t="e">
        <v>#N/A</v>
      </c>
      <c r="HF115" s="330">
        <v>45634</v>
      </c>
      <c r="HG115" s="352">
        <v>45670</v>
      </c>
      <c r="HH11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5" s="330" t="s">
        <v>261</v>
      </c>
      <c r="HJ115" s="330" t="s">
        <v>261</v>
      </c>
      <c r="HK115" s="331"/>
      <c r="HL115" s="316"/>
      <c r="HM115" s="330">
        <v>45646</v>
      </c>
      <c r="HN115" s="330">
        <v>45646</v>
      </c>
      <c r="HO115" s="330" t="e">
        <v>#N/A</v>
      </c>
      <c r="HP115" s="331">
        <v>45734</v>
      </c>
      <c r="HQ11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5" s="330">
        <v>45653</v>
      </c>
      <c r="HS115" s="330"/>
      <c r="HT115" s="330">
        <v>45653</v>
      </c>
      <c r="HU115" s="527"/>
      <c r="HV115" s="330">
        <f>IF(Table1[[#This Row],[MC-100 Aktual
(tanggal)]]&lt;&gt;"",Table1[[#This Row],[MC-100 Aktual
(tanggal)]]+5,"")</f>
        <v>45739</v>
      </c>
      <c r="HW11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5" s="47"/>
      <c r="HY115" s="352"/>
      <c r="HZ115" s="352"/>
      <c r="IB115" s="618">
        <f>IFERROR(ROUND((Table1[[#This Row],[PLAN TC
finish]]-Table1[[#This Row],[PLAN MC-0
start]])/30,2),"")</f>
        <v>0.9</v>
      </c>
      <c r="IC115">
        <f>DATEDIF(Table1[[#This Row],[PLAN MC-0
start]],Table1[[#This Row],[PLAN TC
finish]],"m")</f>
        <v>0</v>
      </c>
    </row>
    <row r="116" spans="1:237" s="4" customFormat="1" ht="15" customHeight="1" x14ac:dyDescent="0.2">
      <c r="B116" s="311">
        <f>SUBTOTAL(3,$D$5:D116)</f>
        <v>74</v>
      </c>
      <c r="C116" s="348">
        <v>112</v>
      </c>
      <c r="D116" s="315" t="s">
        <v>673</v>
      </c>
      <c r="E116" s="315" t="s">
        <v>815</v>
      </c>
      <c r="F116" s="315" t="s">
        <v>816</v>
      </c>
      <c r="G116" s="349">
        <v>45752</v>
      </c>
      <c r="H116" s="314" t="s">
        <v>247</v>
      </c>
      <c r="I116" s="315" t="s">
        <v>278</v>
      </c>
      <c r="J116" s="315"/>
      <c r="K116" s="338" t="s">
        <v>676</v>
      </c>
      <c r="L116" s="316" t="s">
        <v>250</v>
      </c>
      <c r="M116" s="316" t="s">
        <v>269</v>
      </c>
      <c r="N116" s="107">
        <v>192</v>
      </c>
      <c r="O116" s="31" t="s">
        <v>252</v>
      </c>
      <c r="P11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6" s="87" t="e">
        <v>#N/A</v>
      </c>
      <c r="S116" s="87">
        <v>1</v>
      </c>
      <c r="T116" s="35">
        <f>Table1[[#This Row],[Progres Total Aktual
(%)]]</f>
        <v>1</v>
      </c>
      <c r="U116" s="124">
        <f>Table1[[#This Row],[Progres Aktual
(%)]]-Table1[[#This Row],[Target Progres
(%)]]</f>
        <v>0</v>
      </c>
      <c r="V116" s="350">
        <f>Table1[[#This Row],["Volume
BA MC-0"]]</f>
        <v>192</v>
      </c>
      <c r="W116" s="351">
        <f>Table1[[#This Row],[Total Panjang Pipa Aktual
(Sum-&gt;)3]]</f>
        <v>192</v>
      </c>
      <c r="X116" s="47"/>
      <c r="Y116" s="67" t="s">
        <v>817</v>
      </c>
      <c r="Z116" s="67">
        <v>364346947</v>
      </c>
      <c r="AA116" s="67">
        <f>ROUND((Table1[[#This Row],[Nilai RAB Jaringan
(Exclude Ppn)]]-Table1[[#This Row],[RAB Perizinan]])*1.11+Table1[[#This Row],[RAB Perizinan]],0)</f>
        <v>0</v>
      </c>
      <c r="AB116" s="320">
        <f>SUM(Table1[[#This Row],[RAB Kegiatan Umum]:[RAB Perizinan]])</f>
        <v>0</v>
      </c>
      <c r="AC116" s="320"/>
      <c r="AD116" s="320"/>
      <c r="AE116" s="320"/>
      <c r="AF116" s="320"/>
      <c r="AG116" s="320">
        <v>30744725</v>
      </c>
      <c r="AH116" s="35" t="e">
        <f>SUM(Table1[[#This Row],[Bobot Keg Umum]:[Bobot Perizinan]])</f>
        <v>#DIV/0!</v>
      </c>
      <c r="AI116" s="35" t="e">
        <f>Table1[[#This Row],[RAB Kegiatan Umum]]/Table1[[#This Row],[Nilai RAB Jaringan
(Exclude Ppn)]]</f>
        <v>#DIV/0!</v>
      </c>
      <c r="AJ116" s="35" t="e">
        <f>Table1[[#This Row],[RAB Pemasangan]]/Table1[[#This Row],[Nilai RAB Jaringan
(Exclude Ppn)]]</f>
        <v>#DIV/0!</v>
      </c>
      <c r="AK116" s="35" t="e">
        <f>Table1[[#This Row],[RAB Pengadaan]]/Table1[[#This Row],[Nilai RAB Jaringan
(Exclude Ppn)]]</f>
        <v>#DIV/0!</v>
      </c>
      <c r="AL116" s="35" t="e">
        <f>Table1[[#This Row],[RAB Perizinan]]/Table1[[#This Row],[Nilai RAB Jaringan
(Exclude Ppn)]]</f>
        <v>#DIV/0!</v>
      </c>
      <c r="AM116" s="47"/>
      <c r="AN116" s="285">
        <v>192</v>
      </c>
      <c r="AO116" s="285">
        <f>SUM(Table1[[#This Row],[Pipa 63 mm]:[Pipa 1,800 mm]])</f>
        <v>0</v>
      </c>
      <c r="AP116" s="285"/>
      <c r="AQ116" s="285"/>
      <c r="AR116" s="285"/>
      <c r="AS116" s="285"/>
      <c r="AT116" s="285"/>
      <c r="AU116" s="285"/>
      <c r="AV116" s="285"/>
      <c r="AW116" s="285"/>
      <c r="AX116" s="285"/>
      <c r="AY116" s="285"/>
      <c r="AZ116" s="285"/>
      <c r="BA116" s="285"/>
      <c r="BB116" s="285"/>
      <c r="BC116" s="285"/>
      <c r="BD116" s="285"/>
      <c r="BE116" s="285"/>
      <c r="BF116" s="285"/>
      <c r="BG116" s="285"/>
      <c r="BH116" s="285"/>
      <c r="BI116" s="285"/>
      <c r="BJ116" s="36">
        <f>SUM(Table1[[#This Row],[Pipa 63 mm2]:[Pipa 1,800 mm21]])</f>
        <v>192</v>
      </c>
      <c r="BK116" s="32">
        <v>192</v>
      </c>
      <c r="BL116" s="32"/>
      <c r="BM116" s="32"/>
      <c r="BN116" s="32"/>
      <c r="BO116" s="32"/>
      <c r="BP116" s="32"/>
      <c r="BQ116" s="32"/>
      <c r="BR116" s="32"/>
      <c r="BS116" s="32"/>
      <c r="BT116" s="32"/>
      <c r="BU116" s="32"/>
      <c r="BV116" s="32"/>
      <c r="BW116" s="32"/>
      <c r="BX116" s="32"/>
      <c r="BY116" s="32"/>
      <c r="BZ116" s="32"/>
      <c r="CA116" s="32"/>
      <c r="CB116" s="32"/>
      <c r="CC116" s="32"/>
      <c r="CD116" s="32"/>
      <c r="CE116" s="32">
        <v>0</v>
      </c>
      <c r="CF116" s="32"/>
      <c r="CG116" s="32"/>
      <c r="CH116" s="32"/>
      <c r="CI116" s="32">
        <f t="shared" si="6"/>
        <v>0</v>
      </c>
      <c r="CJ116" s="65">
        <f>IF((Table1[[#This Row],["Volume
BA MC-0"]]-Table1[[#This Row],[Total Panjang Pipa Aktual
(Sum-&gt;)3]]-Table1[[#This Row],[Total Volume
tidak dapat dipasang]])&gt;=0,Table1[[#This Row],["Volume
BA MC-0"]]-Table1[[#This Row],[Total Panjang Pipa Aktual
(Sum-&gt;)3]]-Table1[[#This Row],[Total Volume
tidak dapat dipasang]],0)</f>
        <v>0</v>
      </c>
      <c r="CK116" s="47"/>
      <c r="CL116" s="131"/>
      <c r="CM116" s="35"/>
      <c r="CN116" s="131"/>
      <c r="CO116" s="131"/>
      <c r="CP11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6" s="66">
        <f>IFERROR(Table1[[#This Row],[Progres Keg. Umum
(%)]]*Table1[[#This Row],[Nilai RAB Jaringan
(file pa aji)]],0)</f>
        <v>0</v>
      </c>
      <c r="CR116" s="66">
        <f>IFERROR(Table1[[#This Row],[Progres MOS
(%)]]*Table1[[#This Row],[Nilai RAB Jaringan
(file pa aji)]],0)</f>
        <v>0</v>
      </c>
      <c r="CS116" s="66">
        <f>IFERROR(Table1[[#This Row],[Progres Pemasangan
(%)]]*Table1[[#This Row],[Nilai RAB Jaringan
(file pa aji)]],0)</f>
        <v>0</v>
      </c>
      <c r="CT116" s="66">
        <f>IFERROR(Table1[[#This Row],[Progres Perizinan
(%)]]*Table1[[#This Row],[Nilai RAB Jaringan
(file pa aji)]],0)</f>
        <v>0</v>
      </c>
      <c r="CU116" s="329">
        <v>334627771</v>
      </c>
      <c r="CV116" s="329">
        <v>334627771</v>
      </c>
      <c r="CW116" s="583">
        <v>334627771</v>
      </c>
      <c r="CX116" s="329">
        <v>334627771</v>
      </c>
      <c r="CY116" s="47"/>
      <c r="CZ116" s="330">
        <v>45530</v>
      </c>
      <c r="DA116" s="330">
        <v>45543</v>
      </c>
      <c r="DB116" s="331"/>
      <c r="DC116" s="316"/>
      <c r="DD116" s="67"/>
      <c r="DE11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6" s="331"/>
      <c r="DG116" s="316"/>
      <c r="DH116" s="67"/>
      <c r="DI11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6" s="330">
        <v>45544</v>
      </c>
      <c r="DK116" s="330">
        <v>45592</v>
      </c>
      <c r="DL116" s="331">
        <v>45542</v>
      </c>
      <c r="DM116" s="425" t="s">
        <v>818</v>
      </c>
      <c r="DN11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6" s="331">
        <v>45586</v>
      </c>
      <c r="DP116" s="426" t="s">
        <v>819</v>
      </c>
      <c r="DQ116" s="338" t="s">
        <v>344</v>
      </c>
      <c r="DR11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6" s="330">
        <v>45544</v>
      </c>
      <c r="DT116" s="330" t="e">
        <v>#N/A</v>
      </c>
      <c r="DU116" s="330">
        <v>45571</v>
      </c>
      <c r="DV116" s="330" t="e">
        <v>#N/A</v>
      </c>
      <c r="DW116" s="331"/>
      <c r="DX116" s="316"/>
      <c r="DY116" s="334"/>
      <c r="DZ116" s="334"/>
      <c r="EA11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6" s="331"/>
      <c r="EC116" s="332"/>
      <c r="ED116" s="332"/>
      <c r="EE116" s="330"/>
      <c r="EF116" s="35">
        <v>1</v>
      </c>
      <c r="EG116" s="337">
        <v>1</v>
      </c>
      <c r="EH116" s="316" t="str">
        <f>IF(Table1[[#This Row],[PO Material Aktual 
(%)]]&gt;=100%,"Selesai PO = 100%",IF(Table1[[#This Row],[PO Material Aktual 
(%)]]&gt;=50%,"Proses PO &gt; 100%",IF(Table1[[#This Row],[PO Material Aktual 
(%)]]&gt;0%,"Proses PO &gt; 50%",IF(Table1[[#This Row],[PO Material Aktual 
(%)]]=0,"Belum PO = 0%"))))</f>
        <v>Selesai PO = 100%</v>
      </c>
      <c r="EI11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6" s="330">
        <v>45572</v>
      </c>
      <c r="EK116" s="330" t="e">
        <v>#N/A</v>
      </c>
      <c r="EL116" s="330">
        <v>45620</v>
      </c>
      <c r="EM116" s="330" t="e">
        <v>#N/A</v>
      </c>
      <c r="EN116" s="331">
        <v>45680</v>
      </c>
      <c r="EO116" s="332"/>
      <c r="EP116" s="332"/>
      <c r="EQ116" s="87">
        <v>1</v>
      </c>
      <c r="ER116" s="87">
        <v>1</v>
      </c>
      <c r="ES116" s="316" t="str">
        <f>IF(Table1[[#This Row],[Progres MOS]]&gt;=100%,"Selesai MOS = 100%",IF(Table1[[#This Row],[Progres MOS]]&gt;=50%,"Proses MOS &gt; 100%",IF(Table1[[#This Row],[Progres MOS]]&gt;0%,"Proses MOS &gt; 50%",IF(Table1[[#This Row],[Progres MOS]]=0,"Belum MOS = 0%"))))</f>
        <v>Selesai MOS = 100%</v>
      </c>
      <c r="ET11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6" s="47"/>
      <c r="EV116" s="330">
        <v>45544</v>
      </c>
      <c r="EW116" s="330" t="e">
        <v>#N/A</v>
      </c>
      <c r="EX116" s="330">
        <v>45620</v>
      </c>
      <c r="EY116" s="330" t="e">
        <v>#N/A</v>
      </c>
      <c r="EZ116" s="352" t="s">
        <v>298</v>
      </c>
      <c r="FA116" s="336" t="s">
        <v>259</v>
      </c>
      <c r="FB116" s="330" t="s">
        <v>260</v>
      </c>
      <c r="FC116" s="330">
        <v>45799</v>
      </c>
      <c r="FD116" s="330" t="s">
        <v>260</v>
      </c>
      <c r="FE116" s="330">
        <v>45875</v>
      </c>
      <c r="FF116" s="330">
        <v>45929</v>
      </c>
      <c r="FG116" s="330" t="s">
        <v>260</v>
      </c>
      <c r="FH116" s="330" t="s">
        <v>260</v>
      </c>
      <c r="FI116" s="330">
        <v>46021</v>
      </c>
      <c r="FJ116" s="330" t="s">
        <v>260</v>
      </c>
      <c r="FK116" s="330">
        <v>46087</v>
      </c>
      <c r="FL116" s="336" t="s">
        <v>298</v>
      </c>
      <c r="FM116" s="336">
        <v>45799</v>
      </c>
      <c r="FN116" s="314">
        <f>IF(Table1[[#This Row],[Tanggal Pengajuan Dokumen]]="","",Table1[[#This Row],[PLAN PERMIT
start]]-Table1[[#This Row],[Tanggal Pengajuan Dokumen]])</f>
        <v>-255</v>
      </c>
      <c r="FO116" s="336"/>
      <c r="FP116" s="316"/>
      <c r="FQ116" s="338"/>
      <c r="FR116" s="352"/>
      <c r="FS116" s="338" t="str">
        <f t="shared" si="8"/>
        <v>Sudah Terbit</v>
      </c>
      <c r="FT11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6" s="344">
        <f ca="1">IF(Table1[[#This Row],[Status Izin]]="Selesai",Table1[[#This Row],[PLAN PERMIT
finish]]-Table1[[#This Row],[Tanggal Terbit/ Target Izin Terbit]],ROUNDUP(Table1[[#This Row],[PLAN PERMIT
finish]]-NOW(),0))</f>
        <v>45620</v>
      </c>
      <c r="FV11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6" s="344"/>
      <c r="FX116" s="47"/>
      <c r="FY116" s="340"/>
      <c r="FZ116" s="341"/>
      <c r="GA11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6" s="330">
        <v>45594</v>
      </c>
      <c r="GC116" s="352">
        <v>45610</v>
      </c>
      <c r="GD11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6" s="330">
        <v>45601</v>
      </c>
      <c r="GF116" s="352">
        <v>45610</v>
      </c>
      <c r="GG11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6" s="330">
        <v>45607</v>
      </c>
      <c r="GI116" s="330">
        <v>45613</v>
      </c>
      <c r="GJ116" s="352">
        <v>45553</v>
      </c>
      <c r="GK11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6" s="330">
        <v>45621</v>
      </c>
      <c r="GM116" s="330" t="e">
        <v>#N/A</v>
      </c>
      <c r="GN116" s="330">
        <v>45641</v>
      </c>
      <c r="GO116" s="330" t="e">
        <v>#N/A</v>
      </c>
      <c r="GP116" s="316"/>
      <c r="GQ11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6" s="330" t="s">
        <v>261</v>
      </c>
      <c r="GS116" s="421" t="s">
        <v>261</v>
      </c>
      <c r="GT116" s="427">
        <v>45642</v>
      </c>
      <c r="GU116" s="423" t="str">
        <f>IF(Table1[[#This Row],[Hydro Tes Actual
(tanggal)]]&lt;&gt;"","Sudah","Belum")</f>
        <v>Sudah</v>
      </c>
      <c r="GV116" s="330" t="s">
        <v>261</v>
      </c>
      <c r="GW116" s="330" t="s">
        <v>261</v>
      </c>
      <c r="GX116" s="331"/>
      <c r="GY116" s="344" t="str">
        <f>IF(Table1[[#This Row],[Interkoneksi Actual
(tanggal)]]&lt;&gt;"","Sudah","Belum")</f>
        <v>Belum</v>
      </c>
      <c r="GZ116" s="330" t="s">
        <v>261</v>
      </c>
      <c r="HA116" s="421" t="s">
        <v>261</v>
      </c>
      <c r="HB116" s="424">
        <v>45666</v>
      </c>
      <c r="HC116" s="344" t="str">
        <f>IF(Table1[[#This Row],[Flushing Actual
(tanggal)]]&lt;&gt;"","Sudah","Belum")</f>
        <v>Sudah</v>
      </c>
      <c r="HD116" s="330">
        <v>45628</v>
      </c>
      <c r="HE116" s="330" t="e">
        <v>#N/A</v>
      </c>
      <c r="HF116" s="330">
        <v>45634</v>
      </c>
      <c r="HG116" s="352">
        <v>45824</v>
      </c>
      <c r="HH11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6" s="330" t="s">
        <v>261</v>
      </c>
      <c r="HJ116" s="330" t="s">
        <v>261</v>
      </c>
      <c r="HK116" s="331"/>
      <c r="HL116" s="316"/>
      <c r="HM116" s="330">
        <v>45646</v>
      </c>
      <c r="HN116" s="330">
        <v>45646</v>
      </c>
      <c r="HO116" s="330" t="e">
        <v>#N/A</v>
      </c>
      <c r="HP116" s="331">
        <v>45733</v>
      </c>
      <c r="HQ11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6" s="330">
        <v>45653</v>
      </c>
      <c r="HS116" s="330"/>
      <c r="HT116" s="330">
        <v>45653</v>
      </c>
      <c r="HU116" s="527"/>
      <c r="HV116" s="330">
        <f>IF(Table1[[#This Row],[MC-100 Aktual
(tanggal)]]&lt;&gt;"",Table1[[#This Row],[MC-100 Aktual
(tanggal)]]+5,"")</f>
        <v>45738</v>
      </c>
      <c r="HW11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6" s="47"/>
      <c r="HY116" s="352"/>
      <c r="HZ116" s="352"/>
      <c r="IB116" s="618">
        <f>IFERROR(ROUND((Table1[[#This Row],[PLAN TC
finish]]-Table1[[#This Row],[PLAN MC-0
start]])/30,2),"")</f>
        <v>0.9</v>
      </c>
      <c r="IC116">
        <f>DATEDIF(Table1[[#This Row],[PLAN MC-0
start]],Table1[[#This Row],[PLAN TC
finish]],"m")</f>
        <v>0</v>
      </c>
    </row>
    <row r="117" spans="1:237" s="4" customFormat="1" ht="15" customHeight="1" x14ac:dyDescent="0.2">
      <c r="B117" s="311">
        <f>SUBTOTAL(3,$D$5:D117)</f>
        <v>75</v>
      </c>
      <c r="C117" s="348">
        <v>113</v>
      </c>
      <c r="D117" s="315" t="s">
        <v>673</v>
      </c>
      <c r="E117" s="315" t="s">
        <v>820</v>
      </c>
      <c r="F117" s="315" t="s">
        <v>821</v>
      </c>
      <c r="G117" s="349">
        <v>45752</v>
      </c>
      <c r="H117" s="314" t="s">
        <v>247</v>
      </c>
      <c r="I117" s="315" t="s">
        <v>278</v>
      </c>
      <c r="J117" s="315"/>
      <c r="K117" s="338" t="s">
        <v>676</v>
      </c>
      <c r="L117" s="316" t="s">
        <v>250</v>
      </c>
      <c r="M117" s="316" t="s">
        <v>269</v>
      </c>
      <c r="N117" s="107">
        <v>972</v>
      </c>
      <c r="O117" s="31" t="s">
        <v>252</v>
      </c>
      <c r="P117"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7" s="87" t="e">
        <v>#N/A</v>
      </c>
      <c r="S117" s="87">
        <v>1</v>
      </c>
      <c r="T117" s="35">
        <f>Table1[[#This Row],[Progres Total Aktual
(%)]]</f>
        <v>1</v>
      </c>
      <c r="U117" s="124">
        <f>Table1[[#This Row],[Progres Aktual
(%)]]-Table1[[#This Row],[Target Progres
(%)]]</f>
        <v>0</v>
      </c>
      <c r="V117" s="350">
        <f>Table1[[#This Row],["Volume
BA MC-0"]]</f>
        <v>1006</v>
      </c>
      <c r="W117" s="351">
        <f>Table1[[#This Row],[Total Panjang Pipa Aktual
(Sum-&gt;)3]]</f>
        <v>1140</v>
      </c>
      <c r="X117" s="47"/>
      <c r="Y117" s="67" t="s">
        <v>822</v>
      </c>
      <c r="Z117" s="67">
        <v>1546679252</v>
      </c>
      <c r="AA117" s="67">
        <f>ROUND((Table1[[#This Row],[Nilai RAB Jaringan
(Exclude Ppn)]]-Table1[[#This Row],[RAB Perizinan]])*1.11+Table1[[#This Row],[RAB Perizinan]],0)</f>
        <v>0</v>
      </c>
      <c r="AB117" s="320">
        <f>SUM(Table1[[#This Row],[RAB Kegiatan Umum]:[RAB Perizinan]])</f>
        <v>0</v>
      </c>
      <c r="AC117" s="320"/>
      <c r="AD117" s="320"/>
      <c r="AE117" s="320"/>
      <c r="AF117" s="320"/>
      <c r="AG117" s="320">
        <v>61489449</v>
      </c>
      <c r="AH117" s="35" t="e">
        <f>SUM(Table1[[#This Row],[Bobot Keg Umum]:[Bobot Perizinan]])</f>
        <v>#DIV/0!</v>
      </c>
      <c r="AI117" s="35" t="e">
        <f>Table1[[#This Row],[RAB Kegiatan Umum]]/Table1[[#This Row],[Nilai RAB Jaringan
(Exclude Ppn)]]</f>
        <v>#DIV/0!</v>
      </c>
      <c r="AJ117" s="35" t="e">
        <f>Table1[[#This Row],[RAB Pemasangan]]/Table1[[#This Row],[Nilai RAB Jaringan
(Exclude Ppn)]]</f>
        <v>#DIV/0!</v>
      </c>
      <c r="AK117" s="35" t="e">
        <f>Table1[[#This Row],[RAB Pengadaan]]/Table1[[#This Row],[Nilai RAB Jaringan
(Exclude Ppn)]]</f>
        <v>#DIV/0!</v>
      </c>
      <c r="AL117" s="35" t="e">
        <f>Table1[[#This Row],[RAB Perizinan]]/Table1[[#This Row],[Nilai RAB Jaringan
(Exclude Ppn)]]</f>
        <v>#DIV/0!</v>
      </c>
      <c r="AM117" s="47"/>
      <c r="AN117" s="285">
        <v>1006</v>
      </c>
      <c r="AO117" s="285">
        <f>SUM(Table1[[#This Row],[Pipa 63 mm]:[Pipa 1,800 mm]])</f>
        <v>0</v>
      </c>
      <c r="AP117" s="285"/>
      <c r="AQ117" s="285"/>
      <c r="AR117" s="285"/>
      <c r="AS117" s="285"/>
      <c r="AT117" s="285"/>
      <c r="AU117" s="285"/>
      <c r="AV117" s="285"/>
      <c r="AW117" s="285"/>
      <c r="AX117" s="285"/>
      <c r="AY117" s="285"/>
      <c r="AZ117" s="285"/>
      <c r="BA117" s="285"/>
      <c r="BB117" s="285"/>
      <c r="BC117" s="285"/>
      <c r="BD117" s="285"/>
      <c r="BE117" s="285"/>
      <c r="BF117" s="285"/>
      <c r="BG117" s="285"/>
      <c r="BH117" s="285"/>
      <c r="BI117" s="285"/>
      <c r="BJ117" s="36">
        <f>SUM(Table1[[#This Row],[Pipa 63 mm2]:[Pipa 1,800 mm21]])</f>
        <v>1140</v>
      </c>
      <c r="BK117" s="32">
        <v>905</v>
      </c>
      <c r="BL117" s="32">
        <v>235</v>
      </c>
      <c r="BM117" s="32"/>
      <c r="BN117" s="32"/>
      <c r="BO117" s="32"/>
      <c r="BP117" s="32"/>
      <c r="BQ117" s="32"/>
      <c r="BR117" s="32"/>
      <c r="BS117" s="32"/>
      <c r="BT117" s="32"/>
      <c r="BU117" s="32"/>
      <c r="BV117" s="32"/>
      <c r="BW117" s="32"/>
      <c r="BX117" s="32"/>
      <c r="BY117" s="32"/>
      <c r="BZ117" s="32"/>
      <c r="CA117" s="32"/>
      <c r="CB117" s="32"/>
      <c r="CC117" s="32"/>
      <c r="CD117" s="32"/>
      <c r="CE117" s="32">
        <v>0</v>
      </c>
      <c r="CF117" s="32"/>
      <c r="CG117" s="32"/>
      <c r="CH117" s="32"/>
      <c r="CI117" s="32">
        <f t="shared" si="6"/>
        <v>0</v>
      </c>
      <c r="CJ117" s="65">
        <f>IF((Table1[[#This Row],["Volume
BA MC-0"]]-Table1[[#This Row],[Total Panjang Pipa Aktual
(Sum-&gt;)3]]-Table1[[#This Row],[Total Volume
tidak dapat dipasang]])&gt;=0,Table1[[#This Row],["Volume
BA MC-0"]]-Table1[[#This Row],[Total Panjang Pipa Aktual
(Sum-&gt;)3]]-Table1[[#This Row],[Total Volume
tidak dapat dipasang]],0)</f>
        <v>0</v>
      </c>
      <c r="CK117" s="47"/>
      <c r="CL117" s="131"/>
      <c r="CM117" s="35"/>
      <c r="CN117" s="131"/>
      <c r="CO117" s="131"/>
      <c r="CP11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7" s="66">
        <f>IFERROR(Table1[[#This Row],[Progres Keg. Umum
(%)]]*Table1[[#This Row],[Nilai RAB Jaringan
(file pa aji)]],0)</f>
        <v>0</v>
      </c>
      <c r="CR117" s="66">
        <f>IFERROR(Table1[[#This Row],[Progres MOS
(%)]]*Table1[[#This Row],[Nilai RAB Jaringan
(file pa aji)]],0)</f>
        <v>0</v>
      </c>
      <c r="CS117" s="66">
        <f>IFERROR(Table1[[#This Row],[Progres Pemasangan
(%)]]*Table1[[#This Row],[Nilai RAB Jaringan
(file pa aji)]],0)</f>
        <v>0</v>
      </c>
      <c r="CT117" s="66">
        <f>IFERROR(Table1[[#This Row],[Progres Perizinan
(%)]]*Table1[[#This Row],[Nilai RAB Jaringan
(file pa aji)]],0)</f>
        <v>0</v>
      </c>
      <c r="CU117" s="329">
        <v>1733609548</v>
      </c>
      <c r="CV117" s="329">
        <v>1733609548</v>
      </c>
      <c r="CW117" s="583">
        <v>1733609548</v>
      </c>
      <c r="CX117" s="329">
        <v>1733609548</v>
      </c>
      <c r="CY117" s="47"/>
      <c r="CZ117" s="330">
        <v>45530</v>
      </c>
      <c r="DA117" s="330">
        <v>45543</v>
      </c>
      <c r="DB117" s="331"/>
      <c r="DC117" s="316"/>
      <c r="DD117" s="67"/>
      <c r="DE11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7" s="331"/>
      <c r="DG117" s="316"/>
      <c r="DH117" s="67"/>
      <c r="DI11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7" s="330">
        <v>45544</v>
      </c>
      <c r="DK117" s="330">
        <v>45592</v>
      </c>
      <c r="DL117" s="331">
        <v>45542</v>
      </c>
      <c r="DM117" s="425" t="s">
        <v>823</v>
      </c>
      <c r="DN11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7" s="331">
        <v>45593</v>
      </c>
      <c r="DP117" s="426" t="s">
        <v>824</v>
      </c>
      <c r="DQ117" s="338" t="s">
        <v>762</v>
      </c>
      <c r="DR11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7" s="330">
        <v>45544</v>
      </c>
      <c r="DT117" s="330" t="e">
        <v>#N/A</v>
      </c>
      <c r="DU117" s="330">
        <v>45571</v>
      </c>
      <c r="DV117" s="330" t="e">
        <v>#N/A</v>
      </c>
      <c r="DW117" s="331"/>
      <c r="DX117" s="316"/>
      <c r="DY117" s="334"/>
      <c r="DZ117" s="334"/>
      <c r="EA11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7" s="331"/>
      <c r="EC117" s="332"/>
      <c r="ED117" s="332"/>
      <c r="EE117" s="330"/>
      <c r="EF117" s="35">
        <v>1</v>
      </c>
      <c r="EG117" s="337">
        <v>1</v>
      </c>
      <c r="EH117" s="316" t="str">
        <f>IF(Table1[[#This Row],[PO Material Aktual 
(%)]]&gt;=100%,"Selesai PO = 100%",IF(Table1[[#This Row],[PO Material Aktual 
(%)]]&gt;=50%,"Proses PO &gt; 100%",IF(Table1[[#This Row],[PO Material Aktual 
(%)]]&gt;0%,"Proses PO &gt; 50%",IF(Table1[[#This Row],[PO Material Aktual 
(%)]]=0,"Belum PO = 0%"))))</f>
        <v>Selesai PO = 100%</v>
      </c>
      <c r="EI11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7" s="330">
        <v>45572</v>
      </c>
      <c r="EK117" s="330" t="e">
        <v>#N/A</v>
      </c>
      <c r="EL117" s="330">
        <v>45620</v>
      </c>
      <c r="EM117" s="330" t="e">
        <v>#N/A</v>
      </c>
      <c r="EN117" s="331">
        <v>45764</v>
      </c>
      <c r="EO117" s="332"/>
      <c r="EP117" s="332"/>
      <c r="EQ117" s="87">
        <v>1</v>
      </c>
      <c r="ER117" s="87">
        <v>1</v>
      </c>
      <c r="ES117" s="316" t="str">
        <f>IF(Table1[[#This Row],[Progres MOS]]&gt;=100%,"Selesai MOS = 100%",IF(Table1[[#This Row],[Progres MOS]]&gt;=50%,"Proses MOS &gt; 100%",IF(Table1[[#This Row],[Progres MOS]]&gt;0%,"Proses MOS &gt; 50%",IF(Table1[[#This Row],[Progres MOS]]=0,"Belum MOS = 0%"))))</f>
        <v>Selesai MOS = 100%</v>
      </c>
      <c r="ET11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7" s="47"/>
      <c r="EV117" s="330">
        <v>45544</v>
      </c>
      <c r="EW117" s="330" t="e">
        <v>#N/A</v>
      </c>
      <c r="EX117" s="330">
        <v>45620</v>
      </c>
      <c r="EY117" s="330" t="e">
        <v>#N/A</v>
      </c>
      <c r="EZ117" s="352" t="s">
        <v>298</v>
      </c>
      <c r="FA117" s="336" t="s">
        <v>259</v>
      </c>
      <c r="FB117" s="330" t="s">
        <v>260</v>
      </c>
      <c r="FC117" s="330">
        <v>45799</v>
      </c>
      <c r="FD117" s="330" t="s">
        <v>260</v>
      </c>
      <c r="FE117" s="330">
        <v>45875</v>
      </c>
      <c r="FF117" s="330">
        <v>45929</v>
      </c>
      <c r="FG117" s="330" t="s">
        <v>260</v>
      </c>
      <c r="FH117" s="330" t="s">
        <v>260</v>
      </c>
      <c r="FI117" s="330">
        <v>46021</v>
      </c>
      <c r="FJ117" s="330" t="s">
        <v>260</v>
      </c>
      <c r="FK117" s="330">
        <v>46087</v>
      </c>
      <c r="FL117" s="336" t="s">
        <v>298</v>
      </c>
      <c r="FM117" s="336">
        <v>45799</v>
      </c>
      <c r="FN117" s="314">
        <f>IF(Table1[[#This Row],[Tanggal Pengajuan Dokumen]]="","",Table1[[#This Row],[PLAN PERMIT
start]]-Table1[[#This Row],[Tanggal Pengajuan Dokumen]])</f>
        <v>-255</v>
      </c>
      <c r="FO117" s="336"/>
      <c r="FP117" s="316"/>
      <c r="FQ117" s="338"/>
      <c r="FR117" s="352"/>
      <c r="FS117" s="338" t="str">
        <f t="shared" si="8"/>
        <v>Sudah Terbit</v>
      </c>
      <c r="FT11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7" s="344">
        <f ca="1">IF(Table1[[#This Row],[Status Izin]]="Selesai",Table1[[#This Row],[PLAN PERMIT
finish]]-Table1[[#This Row],[Tanggal Terbit/ Target Izin Terbit]],ROUNDUP(Table1[[#This Row],[PLAN PERMIT
finish]]-NOW(),0))</f>
        <v>45620</v>
      </c>
      <c r="FV11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7" s="344"/>
      <c r="FX117" s="47"/>
      <c r="FY117" s="340"/>
      <c r="FZ117" s="341"/>
      <c r="GA11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7" s="330">
        <v>45594</v>
      </c>
      <c r="GC117" s="352">
        <v>45610</v>
      </c>
      <c r="GD11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7" s="330">
        <v>45601</v>
      </c>
      <c r="GF117" s="352">
        <v>45610</v>
      </c>
      <c r="GG11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7" s="330">
        <v>45607</v>
      </c>
      <c r="GI117" s="330">
        <v>45613</v>
      </c>
      <c r="GJ117" s="352">
        <v>45552</v>
      </c>
      <c r="GK11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7" s="330">
        <v>45621</v>
      </c>
      <c r="GM117" s="330" t="e">
        <v>#N/A</v>
      </c>
      <c r="GN117" s="330">
        <v>45641</v>
      </c>
      <c r="GO117" s="330" t="e">
        <v>#N/A</v>
      </c>
      <c r="GP117" s="316"/>
      <c r="GQ11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7" s="330" t="s">
        <v>261</v>
      </c>
      <c r="GS117" s="421" t="s">
        <v>261</v>
      </c>
      <c r="GT117" s="427" t="s">
        <v>825</v>
      </c>
      <c r="GU117" s="423" t="str">
        <f>IF(Table1[[#This Row],[Hydro Tes Actual
(tanggal)]]&lt;&gt;"","Sudah","Belum")</f>
        <v>Sudah</v>
      </c>
      <c r="GV117" s="330" t="s">
        <v>261</v>
      </c>
      <c r="GW117" s="330" t="s">
        <v>261</v>
      </c>
      <c r="GX117" s="331"/>
      <c r="GY117" s="344" t="str">
        <f>IF(Table1[[#This Row],[Interkoneksi Actual
(tanggal)]]&lt;&gt;"","Sudah","Belum")</f>
        <v>Belum</v>
      </c>
      <c r="GZ117" s="330" t="s">
        <v>261</v>
      </c>
      <c r="HA117" s="421" t="s">
        <v>261</v>
      </c>
      <c r="HB117" s="424">
        <v>45643</v>
      </c>
      <c r="HC117" s="344" t="str">
        <f>IF(Table1[[#This Row],[Flushing Actual
(tanggal)]]&lt;&gt;"","Sudah","Belum")</f>
        <v>Sudah</v>
      </c>
      <c r="HD117" s="330">
        <v>45628</v>
      </c>
      <c r="HE117" s="330" t="e">
        <v>#N/A</v>
      </c>
      <c r="HF117" s="330">
        <v>45634</v>
      </c>
      <c r="HG117" s="352">
        <v>45670</v>
      </c>
      <c r="HH11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7" s="330" t="s">
        <v>261</v>
      </c>
      <c r="HJ117" s="330" t="s">
        <v>261</v>
      </c>
      <c r="HK117" s="331"/>
      <c r="HL117" s="316"/>
      <c r="HM117" s="330">
        <v>45646</v>
      </c>
      <c r="HN117" s="330">
        <v>45646</v>
      </c>
      <c r="HO117" s="330" t="e">
        <v>#N/A</v>
      </c>
      <c r="HP117" s="331">
        <v>45734</v>
      </c>
      <c r="HQ11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7" s="330">
        <v>45653</v>
      </c>
      <c r="HS117" s="330"/>
      <c r="HT117" s="330">
        <v>45653</v>
      </c>
      <c r="HU117" s="527"/>
      <c r="HV117" s="330">
        <f>IF(Table1[[#This Row],[MC-100 Aktual
(tanggal)]]&lt;&gt;"",Table1[[#This Row],[MC-100 Aktual
(tanggal)]]+5,"")</f>
        <v>45739</v>
      </c>
      <c r="HW11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7" s="47"/>
      <c r="HY117" s="352"/>
      <c r="HZ117" s="352"/>
      <c r="IB117" s="618">
        <f>IFERROR(ROUND((Table1[[#This Row],[PLAN TC
finish]]-Table1[[#This Row],[PLAN MC-0
start]])/30,2),"")</f>
        <v>0.9</v>
      </c>
      <c r="IC117">
        <f>DATEDIF(Table1[[#This Row],[PLAN MC-0
start]],Table1[[#This Row],[PLAN TC
finish]],"m")</f>
        <v>0</v>
      </c>
    </row>
    <row r="118" spans="1:237" s="4" customFormat="1" ht="15" customHeight="1" x14ac:dyDescent="0.2">
      <c r="B118" s="311">
        <f>SUBTOTAL(3,$D$5:D118)</f>
        <v>76</v>
      </c>
      <c r="C118" s="348">
        <v>114</v>
      </c>
      <c r="D118" s="315" t="s">
        <v>673</v>
      </c>
      <c r="E118" s="315" t="s">
        <v>826</v>
      </c>
      <c r="F118" s="315" t="s">
        <v>827</v>
      </c>
      <c r="G118" s="349">
        <v>45752</v>
      </c>
      <c r="H118" s="314" t="s">
        <v>247</v>
      </c>
      <c r="I118" s="315" t="s">
        <v>278</v>
      </c>
      <c r="J118" s="315"/>
      <c r="K118" s="338" t="s">
        <v>676</v>
      </c>
      <c r="L118" s="316" t="s">
        <v>250</v>
      </c>
      <c r="M118" s="316" t="s">
        <v>269</v>
      </c>
      <c r="N118" s="107">
        <v>263</v>
      </c>
      <c r="O118" s="31" t="s">
        <v>252</v>
      </c>
      <c r="P11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8" s="87" t="e">
        <v>#N/A</v>
      </c>
      <c r="S118" s="87">
        <v>1</v>
      </c>
      <c r="T118" s="35">
        <f>Table1[[#This Row],[Progres Total Aktual
(%)]]</f>
        <v>1</v>
      </c>
      <c r="U118" s="124">
        <f>Table1[[#This Row],[Progres Aktual
(%)]]-Table1[[#This Row],[Target Progres
(%)]]</f>
        <v>0</v>
      </c>
      <c r="V118" s="350">
        <f>Table1[[#This Row],["Volume
BA MC-0"]]</f>
        <v>212</v>
      </c>
      <c r="W118" s="351">
        <f>Table1[[#This Row],[Total Panjang Pipa Aktual
(Sum-&gt;)3]]</f>
        <v>212</v>
      </c>
      <c r="X118" s="47"/>
      <c r="Y118" s="67" t="s">
        <v>828</v>
      </c>
      <c r="Z118" s="67">
        <v>499957113</v>
      </c>
      <c r="AA118" s="67">
        <f>ROUND((Table1[[#This Row],[Nilai RAB Jaringan
(Exclude Ppn)]]-Table1[[#This Row],[RAB Perizinan]])*1.11+Table1[[#This Row],[RAB Perizinan]],0)</f>
        <v>0</v>
      </c>
      <c r="AB118" s="320">
        <f>SUM(Table1[[#This Row],[RAB Kegiatan Umum]:[RAB Perizinan]])</f>
        <v>0</v>
      </c>
      <c r="AC118" s="320"/>
      <c r="AD118" s="320"/>
      <c r="AE118" s="320"/>
      <c r="AF118" s="320"/>
      <c r="AG118" s="320">
        <v>18446835</v>
      </c>
      <c r="AH118" s="35" t="e">
        <f>SUM(Table1[[#This Row],[Bobot Keg Umum]:[Bobot Perizinan]])</f>
        <v>#DIV/0!</v>
      </c>
      <c r="AI118" s="35" t="e">
        <f>Table1[[#This Row],[RAB Kegiatan Umum]]/Table1[[#This Row],[Nilai RAB Jaringan
(Exclude Ppn)]]</f>
        <v>#DIV/0!</v>
      </c>
      <c r="AJ118" s="35" t="e">
        <f>Table1[[#This Row],[RAB Pemasangan]]/Table1[[#This Row],[Nilai RAB Jaringan
(Exclude Ppn)]]</f>
        <v>#DIV/0!</v>
      </c>
      <c r="AK118" s="35" t="e">
        <f>Table1[[#This Row],[RAB Pengadaan]]/Table1[[#This Row],[Nilai RAB Jaringan
(Exclude Ppn)]]</f>
        <v>#DIV/0!</v>
      </c>
      <c r="AL118" s="35" t="e">
        <f>Table1[[#This Row],[RAB Perizinan]]/Table1[[#This Row],[Nilai RAB Jaringan
(Exclude Ppn)]]</f>
        <v>#DIV/0!</v>
      </c>
      <c r="AM118" s="47"/>
      <c r="AN118" s="285">
        <v>212</v>
      </c>
      <c r="AO118" s="285">
        <f>SUM(Table1[[#This Row],[Pipa 63 mm]:[Pipa 1,800 mm]])</f>
        <v>0</v>
      </c>
      <c r="AP118" s="285"/>
      <c r="AQ118" s="285"/>
      <c r="AR118" s="285"/>
      <c r="AS118" s="285"/>
      <c r="AT118" s="285"/>
      <c r="AU118" s="285"/>
      <c r="AV118" s="285"/>
      <c r="AW118" s="285"/>
      <c r="AX118" s="285"/>
      <c r="AY118" s="285"/>
      <c r="AZ118" s="285"/>
      <c r="BA118" s="285"/>
      <c r="BB118" s="285"/>
      <c r="BC118" s="285"/>
      <c r="BD118" s="285"/>
      <c r="BE118" s="285"/>
      <c r="BF118" s="285"/>
      <c r="BG118" s="285"/>
      <c r="BH118" s="285"/>
      <c r="BI118" s="285"/>
      <c r="BJ118" s="36">
        <f>SUM(Table1[[#This Row],[Pipa 63 mm2]:[Pipa 1,800 mm21]])</f>
        <v>212</v>
      </c>
      <c r="BK118" s="32">
        <v>212</v>
      </c>
      <c r="BL118" s="32"/>
      <c r="BM118" s="32"/>
      <c r="BN118" s="32"/>
      <c r="BO118" s="32"/>
      <c r="BP118" s="32"/>
      <c r="BQ118" s="32"/>
      <c r="BR118" s="32"/>
      <c r="BS118" s="32"/>
      <c r="BT118" s="32"/>
      <c r="BU118" s="32"/>
      <c r="BV118" s="32"/>
      <c r="BW118" s="32"/>
      <c r="BX118" s="32"/>
      <c r="BY118" s="32"/>
      <c r="BZ118" s="32"/>
      <c r="CA118" s="32"/>
      <c r="CB118" s="32"/>
      <c r="CC118" s="32"/>
      <c r="CD118" s="32"/>
      <c r="CE118" s="32">
        <v>0</v>
      </c>
      <c r="CF118" s="32"/>
      <c r="CG118" s="32"/>
      <c r="CH118" s="32"/>
      <c r="CI118" s="32">
        <f t="shared" si="6"/>
        <v>0</v>
      </c>
      <c r="CJ118" s="65">
        <f>IF((Table1[[#This Row],["Volume
BA MC-0"]]-Table1[[#This Row],[Total Panjang Pipa Aktual
(Sum-&gt;)3]]-Table1[[#This Row],[Total Volume
tidak dapat dipasang]])&gt;=0,Table1[[#This Row],["Volume
BA MC-0"]]-Table1[[#This Row],[Total Panjang Pipa Aktual
(Sum-&gt;)3]]-Table1[[#This Row],[Total Volume
tidak dapat dipasang]],0)</f>
        <v>0</v>
      </c>
      <c r="CK118" s="47"/>
      <c r="CL118" s="131"/>
      <c r="CM118" s="35"/>
      <c r="CN118" s="131"/>
      <c r="CO118" s="131"/>
      <c r="CP11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8" s="66">
        <f>IFERROR(Table1[[#This Row],[Progres Keg. Umum
(%)]]*Table1[[#This Row],[Nilai RAB Jaringan
(file pa aji)]],0)</f>
        <v>0</v>
      </c>
      <c r="CR118" s="66">
        <f>IFERROR(Table1[[#This Row],[Progres MOS
(%)]]*Table1[[#This Row],[Nilai RAB Jaringan
(file pa aji)]],0)</f>
        <v>0</v>
      </c>
      <c r="CS118" s="66">
        <f>IFERROR(Table1[[#This Row],[Progres Pemasangan
(%)]]*Table1[[#This Row],[Nilai RAB Jaringan
(file pa aji)]],0)</f>
        <v>0</v>
      </c>
      <c r="CT118" s="66">
        <f>IFERROR(Table1[[#This Row],[Progres Perizinan
(%)]]*Table1[[#This Row],[Nilai RAB Jaringan
(file pa aji)]],0)</f>
        <v>0</v>
      </c>
      <c r="CU118" s="329">
        <v>541719069</v>
      </c>
      <c r="CV118" s="329">
        <v>541719069</v>
      </c>
      <c r="CW118" s="583">
        <v>541719069</v>
      </c>
      <c r="CX118" s="329">
        <v>541719069</v>
      </c>
      <c r="CY118" s="47"/>
      <c r="CZ118" s="330">
        <v>45530</v>
      </c>
      <c r="DA118" s="330">
        <v>45543</v>
      </c>
      <c r="DB118" s="331"/>
      <c r="DC118" s="316"/>
      <c r="DD118" s="67"/>
      <c r="DE11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8" s="331"/>
      <c r="DG118" s="316"/>
      <c r="DH118" s="67"/>
      <c r="DI11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8" s="330">
        <v>45544</v>
      </c>
      <c r="DK118" s="330">
        <v>45592</v>
      </c>
      <c r="DL118" s="331">
        <v>45542</v>
      </c>
      <c r="DM118" s="425" t="s">
        <v>829</v>
      </c>
      <c r="DN11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8" s="331">
        <v>45985</v>
      </c>
      <c r="DP118" s="426" t="s">
        <v>830</v>
      </c>
      <c r="DQ118" s="338" t="s">
        <v>344</v>
      </c>
      <c r="DR11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8" s="330">
        <v>45544</v>
      </c>
      <c r="DT118" s="330" t="e">
        <v>#N/A</v>
      </c>
      <c r="DU118" s="330">
        <v>45571</v>
      </c>
      <c r="DV118" s="330" t="e">
        <v>#N/A</v>
      </c>
      <c r="DW118" s="331"/>
      <c r="DX118" s="316"/>
      <c r="DY118" s="334"/>
      <c r="DZ118" s="334"/>
      <c r="EA11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8" s="331"/>
      <c r="EC118" s="332"/>
      <c r="ED118" s="332"/>
      <c r="EE118" s="330"/>
      <c r="EF118" s="35">
        <v>1</v>
      </c>
      <c r="EG118" s="337">
        <v>1</v>
      </c>
      <c r="EH118" s="316" t="str">
        <f>IF(Table1[[#This Row],[PO Material Aktual 
(%)]]&gt;=100%,"Selesai PO = 100%",IF(Table1[[#This Row],[PO Material Aktual 
(%)]]&gt;=50%,"Proses PO &gt; 100%",IF(Table1[[#This Row],[PO Material Aktual 
(%)]]&gt;0%,"Proses PO &gt; 50%",IF(Table1[[#This Row],[PO Material Aktual 
(%)]]=0,"Belum PO = 0%"))))</f>
        <v>Selesai PO = 100%</v>
      </c>
      <c r="EI11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8" s="330">
        <v>45572</v>
      </c>
      <c r="EK118" s="330" t="e">
        <v>#N/A</v>
      </c>
      <c r="EL118" s="330">
        <v>45620</v>
      </c>
      <c r="EM118" s="330" t="e">
        <v>#N/A</v>
      </c>
      <c r="EN118" s="331">
        <v>45786</v>
      </c>
      <c r="EO118" s="332"/>
      <c r="EP118" s="332"/>
      <c r="EQ118" s="87">
        <v>1</v>
      </c>
      <c r="ER118" s="87">
        <v>1</v>
      </c>
      <c r="ES118" s="316" t="str">
        <f>IF(Table1[[#This Row],[Progres MOS]]&gt;=100%,"Selesai MOS = 100%",IF(Table1[[#This Row],[Progres MOS]]&gt;=50%,"Proses MOS &gt; 100%",IF(Table1[[#This Row],[Progres MOS]]&gt;0%,"Proses MOS &gt; 50%",IF(Table1[[#This Row],[Progres MOS]]=0,"Belum MOS = 0%"))))</f>
        <v>Selesai MOS = 100%</v>
      </c>
      <c r="ET11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8" s="47"/>
      <c r="EV118" s="330">
        <v>45544</v>
      </c>
      <c r="EW118" s="330" t="e">
        <v>#N/A</v>
      </c>
      <c r="EX118" s="330">
        <v>45620</v>
      </c>
      <c r="EY118" s="330" t="e">
        <v>#N/A</v>
      </c>
      <c r="EZ118" s="352" t="s">
        <v>298</v>
      </c>
      <c r="FA118" s="336" t="s">
        <v>259</v>
      </c>
      <c r="FB118" s="330" t="s">
        <v>260</v>
      </c>
      <c r="FC118" s="330">
        <v>45799</v>
      </c>
      <c r="FD118" s="330" t="s">
        <v>260</v>
      </c>
      <c r="FE118" s="330">
        <v>45875</v>
      </c>
      <c r="FF118" s="330">
        <v>45929</v>
      </c>
      <c r="FG118" s="330" t="s">
        <v>260</v>
      </c>
      <c r="FH118" s="330" t="s">
        <v>260</v>
      </c>
      <c r="FI118" s="330">
        <v>46021</v>
      </c>
      <c r="FJ118" s="330" t="s">
        <v>260</v>
      </c>
      <c r="FK118" s="330">
        <v>46087</v>
      </c>
      <c r="FL118" s="336" t="s">
        <v>298</v>
      </c>
      <c r="FM118" s="336">
        <v>45799</v>
      </c>
      <c r="FN118" s="314">
        <f>IF(Table1[[#This Row],[Tanggal Pengajuan Dokumen]]="","",Table1[[#This Row],[PLAN PERMIT
start]]-Table1[[#This Row],[Tanggal Pengajuan Dokumen]])</f>
        <v>-255</v>
      </c>
      <c r="FO118" s="336"/>
      <c r="FP118" s="316"/>
      <c r="FQ118" s="338"/>
      <c r="FR118" s="352"/>
      <c r="FS118" s="338" t="str">
        <f t="shared" si="8"/>
        <v>Sudah Terbit</v>
      </c>
      <c r="FT11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8" s="344">
        <f ca="1">IF(Table1[[#This Row],[Status Izin]]="Selesai",Table1[[#This Row],[PLAN PERMIT
finish]]-Table1[[#This Row],[Tanggal Terbit/ Target Izin Terbit]],ROUNDUP(Table1[[#This Row],[PLAN PERMIT
finish]]-NOW(),0))</f>
        <v>45620</v>
      </c>
      <c r="FV11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8" s="344"/>
      <c r="FX118" s="47"/>
      <c r="FY118" s="340"/>
      <c r="FZ118" s="341"/>
      <c r="GA11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8" s="330">
        <v>45594</v>
      </c>
      <c r="GC118" s="352">
        <v>45610</v>
      </c>
      <c r="GD11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8" s="330">
        <v>45601</v>
      </c>
      <c r="GF118" s="352">
        <v>45610</v>
      </c>
      <c r="GG11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8" s="330">
        <v>45607</v>
      </c>
      <c r="GI118" s="330">
        <v>45613</v>
      </c>
      <c r="GJ118" s="352">
        <v>45553</v>
      </c>
      <c r="GK11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8" s="330">
        <v>45621</v>
      </c>
      <c r="GM118" s="330" t="e">
        <v>#N/A</v>
      </c>
      <c r="GN118" s="330">
        <v>45641</v>
      </c>
      <c r="GO118" s="330" t="e">
        <v>#N/A</v>
      </c>
      <c r="GP118" s="316"/>
      <c r="GQ11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8" s="330" t="s">
        <v>261</v>
      </c>
      <c r="GS118" s="421" t="s">
        <v>261</v>
      </c>
      <c r="GT118" s="427" t="s">
        <v>831</v>
      </c>
      <c r="GU118" s="423" t="str">
        <f>IF(Table1[[#This Row],[Hydro Tes Actual
(tanggal)]]&lt;&gt;"","Sudah","Belum")</f>
        <v>Sudah</v>
      </c>
      <c r="GV118" s="330" t="s">
        <v>261</v>
      </c>
      <c r="GW118" s="330" t="s">
        <v>261</v>
      </c>
      <c r="GX118" s="331"/>
      <c r="GY118" s="344" t="str">
        <f>IF(Table1[[#This Row],[Interkoneksi Actual
(tanggal)]]&lt;&gt;"","Sudah","Belum")</f>
        <v>Belum</v>
      </c>
      <c r="GZ118" s="330" t="s">
        <v>261</v>
      </c>
      <c r="HA118" s="421" t="s">
        <v>261</v>
      </c>
      <c r="HB118" s="424">
        <v>45666</v>
      </c>
      <c r="HC118" s="344" t="str">
        <f>IF(Table1[[#This Row],[Flushing Actual
(tanggal)]]&lt;&gt;"","Sudah","Belum")</f>
        <v>Sudah</v>
      </c>
      <c r="HD118" s="330">
        <v>45628</v>
      </c>
      <c r="HE118" s="330" t="e">
        <v>#N/A</v>
      </c>
      <c r="HF118" s="330">
        <v>45634</v>
      </c>
      <c r="HG118" s="352">
        <v>45671</v>
      </c>
      <c r="HH11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8" s="330" t="s">
        <v>261</v>
      </c>
      <c r="HJ118" s="330" t="s">
        <v>261</v>
      </c>
      <c r="HK118" s="331"/>
      <c r="HL118" s="316"/>
      <c r="HM118" s="330">
        <v>45646</v>
      </c>
      <c r="HN118" s="330">
        <v>45646</v>
      </c>
      <c r="HO118" s="330" t="e">
        <v>#N/A</v>
      </c>
      <c r="HP118" s="331">
        <v>45733</v>
      </c>
      <c r="HQ11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8" s="330">
        <v>45653</v>
      </c>
      <c r="HS118" s="330"/>
      <c r="HT118" s="330">
        <v>45653</v>
      </c>
      <c r="HU118" s="527"/>
      <c r="HV118" s="330">
        <f>IF(Table1[[#This Row],[MC-100 Aktual
(tanggal)]]&lt;&gt;"",Table1[[#This Row],[MC-100 Aktual
(tanggal)]]+5,"")</f>
        <v>45738</v>
      </c>
      <c r="HW11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8" s="47"/>
      <c r="HY118" s="352"/>
      <c r="HZ118" s="352"/>
      <c r="IB118" s="618">
        <f>IFERROR(ROUND((Table1[[#This Row],[PLAN TC
finish]]-Table1[[#This Row],[PLAN MC-0
start]])/30,2),"")</f>
        <v>0.9</v>
      </c>
      <c r="IC118">
        <f>DATEDIF(Table1[[#This Row],[PLAN MC-0
start]],Table1[[#This Row],[PLAN TC
finish]],"m")</f>
        <v>0</v>
      </c>
    </row>
    <row r="119" spans="1:237" s="4" customFormat="1" ht="15" customHeight="1" x14ac:dyDescent="0.2">
      <c r="B119" s="311">
        <f>SUBTOTAL(3,$D$5:D119)</f>
        <v>77</v>
      </c>
      <c r="C119" s="348">
        <v>115</v>
      </c>
      <c r="D119" s="315" t="s">
        <v>673</v>
      </c>
      <c r="E119" s="315" t="s">
        <v>832</v>
      </c>
      <c r="F119" s="315" t="s">
        <v>833</v>
      </c>
      <c r="G119" s="349">
        <v>45752</v>
      </c>
      <c r="H119" s="314" t="s">
        <v>247</v>
      </c>
      <c r="I119" s="315" t="s">
        <v>278</v>
      </c>
      <c r="J119" s="315"/>
      <c r="K119" s="338" t="s">
        <v>676</v>
      </c>
      <c r="L119" s="316" t="s">
        <v>250</v>
      </c>
      <c r="M119" s="316" t="s">
        <v>269</v>
      </c>
      <c r="N119" s="107">
        <v>225</v>
      </c>
      <c r="O119" s="31" t="s">
        <v>252</v>
      </c>
      <c r="P119"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9" s="87" t="e">
        <v>#N/A</v>
      </c>
      <c r="S119" s="87">
        <v>1</v>
      </c>
      <c r="T119" s="35">
        <f>Table1[[#This Row],[Progres Total Aktual
(%)]]</f>
        <v>1</v>
      </c>
      <c r="U119" s="124">
        <f>Table1[[#This Row],[Progres Aktual
(%)]]-Table1[[#This Row],[Target Progres
(%)]]</f>
        <v>0</v>
      </c>
      <c r="V119" s="350">
        <f>Table1[[#This Row],["Volume
BA MC-0"]]</f>
        <v>200</v>
      </c>
      <c r="W119" s="351">
        <f>Table1[[#This Row],[Total Panjang Pipa Aktual
(Sum-&gt;)3]]</f>
        <v>127</v>
      </c>
      <c r="X119" s="47"/>
      <c r="Y119" s="67" t="s">
        <v>834</v>
      </c>
      <c r="Z119" s="67">
        <v>391263647</v>
      </c>
      <c r="AA119" s="67">
        <f>ROUND((Table1[[#This Row],[Nilai RAB Jaringan
(Exclude Ppn)]]-Table1[[#This Row],[RAB Perizinan]])*1.11+Table1[[#This Row],[RAB Perizinan]],0)</f>
        <v>0</v>
      </c>
      <c r="AB119" s="320">
        <f>SUM(Table1[[#This Row],[RAB Kegiatan Umum]:[RAB Perizinan]])</f>
        <v>0</v>
      </c>
      <c r="AC119" s="320"/>
      <c r="AD119" s="320"/>
      <c r="AE119" s="320"/>
      <c r="AF119" s="320"/>
      <c r="AG119" s="320">
        <v>8198594</v>
      </c>
      <c r="AH119" s="35" t="e">
        <f>SUM(Table1[[#This Row],[Bobot Keg Umum]:[Bobot Perizinan]])</f>
        <v>#DIV/0!</v>
      </c>
      <c r="AI119" s="35" t="e">
        <f>Table1[[#This Row],[RAB Kegiatan Umum]]/Table1[[#This Row],[Nilai RAB Jaringan
(Exclude Ppn)]]</f>
        <v>#DIV/0!</v>
      </c>
      <c r="AJ119" s="35" t="e">
        <f>Table1[[#This Row],[RAB Pemasangan]]/Table1[[#This Row],[Nilai RAB Jaringan
(Exclude Ppn)]]</f>
        <v>#DIV/0!</v>
      </c>
      <c r="AK119" s="35" t="e">
        <f>Table1[[#This Row],[RAB Pengadaan]]/Table1[[#This Row],[Nilai RAB Jaringan
(Exclude Ppn)]]</f>
        <v>#DIV/0!</v>
      </c>
      <c r="AL119" s="35" t="e">
        <f>Table1[[#This Row],[RAB Perizinan]]/Table1[[#This Row],[Nilai RAB Jaringan
(Exclude Ppn)]]</f>
        <v>#DIV/0!</v>
      </c>
      <c r="AM119" s="47"/>
      <c r="AN119" s="285">
        <v>200</v>
      </c>
      <c r="AO119" s="285">
        <f>SUM(Table1[[#This Row],[Pipa 63 mm]:[Pipa 1,800 mm]])</f>
        <v>0</v>
      </c>
      <c r="AP119" s="285"/>
      <c r="AQ119" s="285"/>
      <c r="AR119" s="285"/>
      <c r="AS119" s="285"/>
      <c r="AT119" s="285"/>
      <c r="AU119" s="285"/>
      <c r="AV119" s="285"/>
      <c r="AW119" s="285"/>
      <c r="AX119" s="285"/>
      <c r="AY119" s="285"/>
      <c r="AZ119" s="285"/>
      <c r="BA119" s="285"/>
      <c r="BB119" s="285"/>
      <c r="BC119" s="285"/>
      <c r="BD119" s="285"/>
      <c r="BE119" s="285"/>
      <c r="BF119" s="285"/>
      <c r="BG119" s="285"/>
      <c r="BH119" s="285"/>
      <c r="BI119" s="285"/>
      <c r="BJ119" s="36">
        <f>SUM(Table1[[#This Row],[Pipa 63 mm2]:[Pipa 1,800 mm21]])</f>
        <v>127</v>
      </c>
      <c r="BK119" s="32">
        <v>127</v>
      </c>
      <c r="BL119" s="32"/>
      <c r="BM119" s="32"/>
      <c r="BN119" s="32"/>
      <c r="BO119" s="32"/>
      <c r="BP119" s="32"/>
      <c r="BQ119" s="32"/>
      <c r="BR119" s="32"/>
      <c r="BS119" s="32"/>
      <c r="BT119" s="32"/>
      <c r="BU119" s="32"/>
      <c r="BV119" s="32"/>
      <c r="BW119" s="32"/>
      <c r="BX119" s="32"/>
      <c r="BY119" s="32"/>
      <c r="BZ119" s="32"/>
      <c r="CA119" s="32"/>
      <c r="CB119" s="32"/>
      <c r="CC119" s="32"/>
      <c r="CD119" s="32"/>
      <c r="CE119" s="32">
        <v>0</v>
      </c>
      <c r="CF119" s="32"/>
      <c r="CG119" s="32"/>
      <c r="CH119" s="32"/>
      <c r="CI119" s="32">
        <f t="shared" si="6"/>
        <v>0</v>
      </c>
      <c r="CJ119" s="65">
        <f>IF((Table1[[#This Row],["Volume
BA MC-0"]]-Table1[[#This Row],[Total Panjang Pipa Aktual
(Sum-&gt;)3]]-Table1[[#This Row],[Total Volume
tidak dapat dipasang]])&gt;=0,Table1[[#This Row],["Volume
BA MC-0"]]-Table1[[#This Row],[Total Panjang Pipa Aktual
(Sum-&gt;)3]]-Table1[[#This Row],[Total Volume
tidak dapat dipasang]],0)</f>
        <v>73</v>
      </c>
      <c r="CK119" s="47"/>
      <c r="CL119" s="131"/>
      <c r="CM119" s="35"/>
      <c r="CN119" s="131"/>
      <c r="CO119" s="131"/>
      <c r="CP11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9" s="66">
        <f>IFERROR(Table1[[#This Row],[Progres Keg. Umum
(%)]]*Table1[[#This Row],[Nilai RAB Jaringan
(file pa aji)]],0)</f>
        <v>0</v>
      </c>
      <c r="CR119" s="66">
        <f>IFERROR(Table1[[#This Row],[Progres MOS
(%)]]*Table1[[#This Row],[Nilai RAB Jaringan
(file pa aji)]],0)</f>
        <v>0</v>
      </c>
      <c r="CS119" s="66">
        <f>IFERROR(Table1[[#This Row],[Progres Pemasangan
(%)]]*Table1[[#This Row],[Nilai RAB Jaringan
(file pa aji)]],0)</f>
        <v>0</v>
      </c>
      <c r="CT119" s="66">
        <f>IFERROR(Table1[[#This Row],[Progres Perizinan
(%)]]*Table1[[#This Row],[Nilai RAB Jaringan
(file pa aji)]],0)</f>
        <v>0</v>
      </c>
      <c r="CU119" s="329">
        <v>223427870</v>
      </c>
      <c r="CV119" s="329">
        <v>223427870</v>
      </c>
      <c r="CW119" s="583">
        <v>223427870</v>
      </c>
      <c r="CX119" s="329">
        <v>223427870</v>
      </c>
      <c r="CY119" s="47"/>
      <c r="CZ119" s="330">
        <v>45530</v>
      </c>
      <c r="DA119" s="330">
        <v>45543</v>
      </c>
      <c r="DB119" s="331"/>
      <c r="DC119" s="316"/>
      <c r="DD119" s="67"/>
      <c r="DE11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9" s="331"/>
      <c r="DG119" s="316"/>
      <c r="DH119" s="67"/>
      <c r="DI11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9" s="330">
        <v>45544</v>
      </c>
      <c r="DK119" s="330">
        <v>45592</v>
      </c>
      <c r="DL119" s="331">
        <v>45918</v>
      </c>
      <c r="DM119" s="425" t="s">
        <v>835</v>
      </c>
      <c r="DN11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19" s="331"/>
      <c r="DP119" s="316"/>
      <c r="DQ119" s="338" t="s">
        <v>783</v>
      </c>
      <c r="DR11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19" s="330">
        <v>45544</v>
      </c>
      <c r="DT119" s="330" t="e">
        <v>#N/A</v>
      </c>
      <c r="DU119" s="330">
        <v>45571</v>
      </c>
      <c r="DV119" s="330" t="e">
        <v>#N/A</v>
      </c>
      <c r="DW119" s="331"/>
      <c r="DX119" s="316"/>
      <c r="DY119" s="334"/>
      <c r="DZ119" s="334"/>
      <c r="EA11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9" s="331"/>
      <c r="EC119" s="332"/>
      <c r="ED119" s="332"/>
      <c r="EE119" s="330"/>
      <c r="EF119" s="35">
        <v>1</v>
      </c>
      <c r="EG119" s="337">
        <v>1</v>
      </c>
      <c r="EH119" s="316" t="str">
        <f>IF(Table1[[#This Row],[PO Material Aktual 
(%)]]&gt;=100%,"Selesai PO = 100%",IF(Table1[[#This Row],[PO Material Aktual 
(%)]]&gt;=50%,"Proses PO &gt; 100%",IF(Table1[[#This Row],[PO Material Aktual 
(%)]]&gt;0%,"Proses PO &gt; 50%",IF(Table1[[#This Row],[PO Material Aktual 
(%)]]=0,"Belum PO = 0%"))))</f>
        <v>Selesai PO = 100%</v>
      </c>
      <c r="EI11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9" s="330">
        <v>45572</v>
      </c>
      <c r="EK119" s="330" t="e">
        <v>#N/A</v>
      </c>
      <c r="EL119" s="330">
        <v>45620</v>
      </c>
      <c r="EM119" s="330" t="e">
        <v>#N/A</v>
      </c>
      <c r="EN119" s="331">
        <v>45682</v>
      </c>
      <c r="EO119" s="332"/>
      <c r="EP119" s="332"/>
      <c r="EQ119" s="87">
        <v>1</v>
      </c>
      <c r="ER119" s="87">
        <v>1</v>
      </c>
      <c r="ES119" s="316" t="str">
        <f>IF(Table1[[#This Row],[Progres MOS]]&gt;=100%,"Selesai MOS = 100%",IF(Table1[[#This Row],[Progres MOS]]&gt;=50%,"Proses MOS &gt; 100%",IF(Table1[[#This Row],[Progres MOS]]&gt;0%,"Proses MOS &gt; 50%",IF(Table1[[#This Row],[Progres MOS]]=0,"Belum MOS = 0%"))))</f>
        <v>Selesai MOS = 100%</v>
      </c>
      <c r="ET11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9" s="47"/>
      <c r="EV119" s="330">
        <v>45544</v>
      </c>
      <c r="EW119" s="330" t="e">
        <v>#N/A</v>
      </c>
      <c r="EX119" s="330">
        <v>45620</v>
      </c>
      <c r="EY119" s="330" t="e">
        <v>#N/A</v>
      </c>
      <c r="EZ119" s="352" t="s">
        <v>298</v>
      </c>
      <c r="FA119" s="336" t="s">
        <v>259</v>
      </c>
      <c r="FB119" s="330" t="s">
        <v>260</v>
      </c>
      <c r="FC119" s="330">
        <v>45799</v>
      </c>
      <c r="FD119" s="330" t="s">
        <v>260</v>
      </c>
      <c r="FE119" s="330">
        <v>45875</v>
      </c>
      <c r="FF119" s="330">
        <v>45929</v>
      </c>
      <c r="FG119" s="330" t="s">
        <v>260</v>
      </c>
      <c r="FH119" s="330" t="s">
        <v>260</v>
      </c>
      <c r="FI119" s="330">
        <v>46021</v>
      </c>
      <c r="FJ119" s="330" t="s">
        <v>260</v>
      </c>
      <c r="FK119" s="330">
        <v>46087</v>
      </c>
      <c r="FL119" s="336" t="s">
        <v>298</v>
      </c>
      <c r="FM119" s="336">
        <v>45799</v>
      </c>
      <c r="FN119" s="314">
        <f>IF(Table1[[#This Row],[Tanggal Pengajuan Dokumen]]="","",Table1[[#This Row],[PLAN PERMIT
start]]-Table1[[#This Row],[Tanggal Pengajuan Dokumen]])</f>
        <v>-255</v>
      </c>
      <c r="FO119" s="336"/>
      <c r="FP119" s="316"/>
      <c r="FQ119" s="338"/>
      <c r="FR119" s="352"/>
      <c r="FS119" s="338" t="str">
        <f t="shared" si="8"/>
        <v>Sudah Terbit</v>
      </c>
      <c r="FT11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9" s="344">
        <f ca="1">IF(Table1[[#This Row],[Status Izin]]="Selesai",Table1[[#This Row],[PLAN PERMIT
finish]]-Table1[[#This Row],[Tanggal Terbit/ Target Izin Terbit]],ROUNDUP(Table1[[#This Row],[PLAN PERMIT
finish]]-NOW(),0))</f>
        <v>45620</v>
      </c>
      <c r="FV11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9" s="344"/>
      <c r="FX119" s="47"/>
      <c r="FY119" s="340"/>
      <c r="FZ119" s="341"/>
      <c r="GA11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9" s="330">
        <v>45594</v>
      </c>
      <c r="GC119" s="352">
        <v>45610</v>
      </c>
      <c r="GD11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9" s="330">
        <v>45601</v>
      </c>
      <c r="GF119" s="352">
        <v>45610</v>
      </c>
      <c r="GG11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9" s="330">
        <v>45607</v>
      </c>
      <c r="GI119" s="330">
        <v>45613</v>
      </c>
      <c r="GJ119" s="352">
        <v>45553</v>
      </c>
      <c r="GK11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9" s="330">
        <v>45621</v>
      </c>
      <c r="GM119" s="330" t="e">
        <v>#N/A</v>
      </c>
      <c r="GN119" s="330">
        <v>45641</v>
      </c>
      <c r="GO119" s="330" t="e">
        <v>#N/A</v>
      </c>
      <c r="GP119" s="316"/>
      <c r="GQ11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9" s="330" t="s">
        <v>261</v>
      </c>
      <c r="GS119" s="421" t="s">
        <v>261</v>
      </c>
      <c r="GT119" s="427">
        <v>45635</v>
      </c>
      <c r="GU119" s="423" t="str">
        <f>IF(Table1[[#This Row],[Hydro Tes Actual
(tanggal)]]&lt;&gt;"","Sudah","Belum")</f>
        <v>Sudah</v>
      </c>
      <c r="GV119" s="330" t="s">
        <v>261</v>
      </c>
      <c r="GW119" s="330" t="s">
        <v>261</v>
      </c>
      <c r="GX119" s="331"/>
      <c r="GY119" s="344" t="str">
        <f>IF(Table1[[#This Row],[Interkoneksi Actual
(tanggal)]]&lt;&gt;"","Sudah","Belum")</f>
        <v>Belum</v>
      </c>
      <c r="GZ119" s="330" t="s">
        <v>261</v>
      </c>
      <c r="HA119" s="421" t="s">
        <v>261</v>
      </c>
      <c r="HB119" s="424">
        <v>45708</v>
      </c>
      <c r="HC119" s="344" t="str">
        <f>IF(Table1[[#This Row],[Flushing Actual
(tanggal)]]&lt;&gt;"","Sudah","Belum")</f>
        <v>Sudah</v>
      </c>
      <c r="HD119" s="330">
        <v>45628</v>
      </c>
      <c r="HE119" s="330" t="e">
        <v>#N/A</v>
      </c>
      <c r="HF119" s="330">
        <v>45634</v>
      </c>
      <c r="HG119" s="352">
        <v>45909</v>
      </c>
      <c r="HH11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9" s="330" t="s">
        <v>261</v>
      </c>
      <c r="HJ119" s="330" t="s">
        <v>261</v>
      </c>
      <c r="HK119" s="331"/>
      <c r="HL119" s="316"/>
      <c r="HM119" s="330">
        <v>45646</v>
      </c>
      <c r="HN119" s="330">
        <v>45646</v>
      </c>
      <c r="HO119" s="330" t="e">
        <v>#N/A</v>
      </c>
      <c r="HP119" s="331">
        <v>45735</v>
      </c>
      <c r="HQ11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19" s="330">
        <v>45653</v>
      </c>
      <c r="HS119" s="330"/>
      <c r="HT119" s="330">
        <v>45653</v>
      </c>
      <c r="HU119" s="527"/>
      <c r="HV119" s="330">
        <f>IF(Table1[[#This Row],[MC-100 Aktual
(tanggal)]]&lt;&gt;"",Table1[[#This Row],[MC-100 Aktual
(tanggal)]]+5,"")</f>
        <v>45740</v>
      </c>
      <c r="HW11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19" s="47"/>
      <c r="HY119" s="352"/>
      <c r="HZ119" s="352"/>
      <c r="IB119" s="618">
        <f>IFERROR(ROUND((Table1[[#This Row],[PLAN TC
finish]]-Table1[[#This Row],[PLAN MC-0
start]])/30,2),"")</f>
        <v>0.9</v>
      </c>
      <c r="IC119">
        <f>DATEDIF(Table1[[#This Row],[PLAN MC-0
start]],Table1[[#This Row],[PLAN TC
finish]],"m")</f>
        <v>0</v>
      </c>
    </row>
    <row r="120" spans="1:237" s="4" customFormat="1" ht="15" customHeight="1" x14ac:dyDescent="0.2">
      <c r="B120" s="311">
        <f>SUBTOTAL(3,$D$5:D120)</f>
        <v>78</v>
      </c>
      <c r="C120" s="348">
        <v>116</v>
      </c>
      <c r="D120" s="315" t="s">
        <v>673</v>
      </c>
      <c r="E120" s="315" t="s">
        <v>836</v>
      </c>
      <c r="F120" s="315" t="s">
        <v>837</v>
      </c>
      <c r="G120" s="349">
        <v>45752</v>
      </c>
      <c r="H120" s="314" t="s">
        <v>247</v>
      </c>
      <c r="I120" s="315" t="s">
        <v>278</v>
      </c>
      <c r="J120" s="315"/>
      <c r="K120" s="338" t="s">
        <v>676</v>
      </c>
      <c r="L120" s="316" t="s">
        <v>250</v>
      </c>
      <c r="M120" s="316" t="s">
        <v>269</v>
      </c>
      <c r="N120" s="107">
        <v>392</v>
      </c>
      <c r="O120" s="31" t="s">
        <v>252</v>
      </c>
      <c r="P120"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0" s="87" t="e">
        <v>#N/A</v>
      </c>
      <c r="S120" s="87">
        <v>1</v>
      </c>
      <c r="T120" s="35">
        <f>Table1[[#This Row],[Progres Total Aktual
(%)]]</f>
        <v>1</v>
      </c>
      <c r="U120" s="124">
        <f>Table1[[#This Row],[Progres Aktual
(%)]]-Table1[[#This Row],[Target Progres
(%)]]</f>
        <v>0</v>
      </c>
      <c r="V120" s="350">
        <f>Table1[[#This Row],["Volume
BA MC-0"]]</f>
        <v>382</v>
      </c>
      <c r="W120" s="351">
        <f>Table1[[#This Row],[Total Panjang Pipa Aktual
(Sum-&gt;)3]]</f>
        <v>348</v>
      </c>
      <c r="X120" s="47"/>
      <c r="Y120" s="67" t="s">
        <v>812</v>
      </c>
      <c r="Z120" s="67">
        <v>693319565</v>
      </c>
      <c r="AA120" s="67">
        <f>ROUND((Table1[[#This Row],[Nilai RAB Jaringan
(Exclude Ppn)]]-Table1[[#This Row],[RAB Perizinan]])*1.11+Table1[[#This Row],[RAB Perizinan]],0)</f>
        <v>0</v>
      </c>
      <c r="AB120" s="320">
        <f>SUM(Table1[[#This Row],[RAB Kegiatan Umum]:[RAB Perizinan]])</f>
        <v>0</v>
      </c>
      <c r="AC120" s="320"/>
      <c r="AD120" s="320"/>
      <c r="AE120" s="320"/>
      <c r="AF120" s="320"/>
      <c r="AG120" s="320">
        <v>2049649</v>
      </c>
      <c r="AH120" s="35" t="e">
        <f>SUM(Table1[[#This Row],[Bobot Keg Umum]:[Bobot Perizinan]])</f>
        <v>#DIV/0!</v>
      </c>
      <c r="AI120" s="35" t="e">
        <f>Table1[[#This Row],[RAB Kegiatan Umum]]/Table1[[#This Row],[Nilai RAB Jaringan
(Exclude Ppn)]]</f>
        <v>#DIV/0!</v>
      </c>
      <c r="AJ120" s="35" t="e">
        <f>Table1[[#This Row],[RAB Pemasangan]]/Table1[[#This Row],[Nilai RAB Jaringan
(Exclude Ppn)]]</f>
        <v>#DIV/0!</v>
      </c>
      <c r="AK120" s="35" t="e">
        <f>Table1[[#This Row],[RAB Pengadaan]]/Table1[[#This Row],[Nilai RAB Jaringan
(Exclude Ppn)]]</f>
        <v>#DIV/0!</v>
      </c>
      <c r="AL120" s="35" t="e">
        <f>Table1[[#This Row],[RAB Perizinan]]/Table1[[#This Row],[Nilai RAB Jaringan
(Exclude Ppn)]]</f>
        <v>#DIV/0!</v>
      </c>
      <c r="AM120" s="47"/>
      <c r="AN120" s="285">
        <v>382</v>
      </c>
      <c r="AO120" s="285">
        <f>SUM(Table1[[#This Row],[Pipa 63 mm]:[Pipa 1,800 mm]])</f>
        <v>0</v>
      </c>
      <c r="AP120" s="285"/>
      <c r="AQ120" s="285"/>
      <c r="AR120" s="285"/>
      <c r="AS120" s="285"/>
      <c r="AT120" s="285"/>
      <c r="AU120" s="285"/>
      <c r="AV120" s="285"/>
      <c r="AW120" s="285"/>
      <c r="AX120" s="285"/>
      <c r="AY120" s="285"/>
      <c r="AZ120" s="285"/>
      <c r="BA120" s="285"/>
      <c r="BB120" s="285"/>
      <c r="BC120" s="285"/>
      <c r="BD120" s="285"/>
      <c r="BE120" s="285"/>
      <c r="BF120" s="285"/>
      <c r="BG120" s="285"/>
      <c r="BH120" s="285"/>
      <c r="BI120" s="285"/>
      <c r="BJ120" s="36">
        <f>SUM(Table1[[#This Row],[Pipa 63 mm2]:[Pipa 1,800 mm21]])</f>
        <v>348</v>
      </c>
      <c r="BK120" s="32">
        <v>348</v>
      </c>
      <c r="BL120" s="32"/>
      <c r="BM120" s="32"/>
      <c r="BN120" s="32"/>
      <c r="BO120" s="32"/>
      <c r="BP120" s="32"/>
      <c r="BQ120" s="32"/>
      <c r="BR120" s="32"/>
      <c r="BS120" s="32"/>
      <c r="BT120" s="32"/>
      <c r="BU120" s="32"/>
      <c r="BV120" s="32"/>
      <c r="BW120" s="32"/>
      <c r="BX120" s="32"/>
      <c r="BY120" s="32"/>
      <c r="BZ120" s="32"/>
      <c r="CA120" s="32"/>
      <c r="CB120" s="32"/>
      <c r="CC120" s="32"/>
      <c r="CD120" s="32"/>
      <c r="CE120" s="32">
        <v>0</v>
      </c>
      <c r="CF120" s="32"/>
      <c r="CG120" s="32"/>
      <c r="CH120" s="32"/>
      <c r="CI120" s="32">
        <f t="shared" si="6"/>
        <v>0</v>
      </c>
      <c r="CJ120" s="65">
        <f>IF((Table1[[#This Row],["Volume
BA MC-0"]]-Table1[[#This Row],[Total Panjang Pipa Aktual
(Sum-&gt;)3]]-Table1[[#This Row],[Total Volume
tidak dapat dipasang]])&gt;=0,Table1[[#This Row],["Volume
BA MC-0"]]-Table1[[#This Row],[Total Panjang Pipa Aktual
(Sum-&gt;)3]]-Table1[[#This Row],[Total Volume
tidak dapat dipasang]],0)</f>
        <v>34</v>
      </c>
      <c r="CK120" s="47"/>
      <c r="CL120" s="131"/>
      <c r="CM120" s="35"/>
      <c r="CN120" s="131"/>
      <c r="CO120" s="131"/>
      <c r="CP12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0" s="66">
        <f>IFERROR(Table1[[#This Row],[Progres Keg. Umum
(%)]]*Table1[[#This Row],[Nilai RAB Jaringan
(file pa aji)]],0)</f>
        <v>0</v>
      </c>
      <c r="CR120" s="66">
        <f>IFERROR(Table1[[#This Row],[Progres MOS
(%)]]*Table1[[#This Row],[Nilai RAB Jaringan
(file pa aji)]],0)</f>
        <v>0</v>
      </c>
      <c r="CS120" s="66">
        <f>IFERROR(Table1[[#This Row],[Progres Pemasangan
(%)]]*Table1[[#This Row],[Nilai RAB Jaringan
(file pa aji)]],0)</f>
        <v>0</v>
      </c>
      <c r="CT120" s="66">
        <f>IFERROR(Table1[[#This Row],[Progres Perizinan
(%)]]*Table1[[#This Row],[Nilai RAB Jaringan
(file pa aji)]],0)</f>
        <v>0</v>
      </c>
      <c r="CU120" s="329">
        <v>620452381</v>
      </c>
      <c r="CV120" s="329">
        <v>620452381</v>
      </c>
      <c r="CW120" s="583">
        <v>620452381</v>
      </c>
      <c r="CX120" s="329">
        <v>620452381</v>
      </c>
      <c r="CY120" s="47"/>
      <c r="CZ120" s="330">
        <v>45530</v>
      </c>
      <c r="DA120" s="330">
        <v>45543</v>
      </c>
      <c r="DB120" s="331"/>
      <c r="DC120" s="316"/>
      <c r="DD120" s="67"/>
      <c r="DE12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0" s="331"/>
      <c r="DG120" s="316"/>
      <c r="DH120" s="67"/>
      <c r="DI12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0" s="330">
        <v>45544</v>
      </c>
      <c r="DK120" s="330">
        <v>45592</v>
      </c>
      <c r="DL120" s="331">
        <v>45542</v>
      </c>
      <c r="DM120" s="425" t="s">
        <v>838</v>
      </c>
      <c r="DN12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0" s="331">
        <v>45593</v>
      </c>
      <c r="DP120" s="426" t="s">
        <v>839</v>
      </c>
      <c r="DQ120" s="338" t="s">
        <v>762</v>
      </c>
      <c r="DR12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0" s="330">
        <v>45544</v>
      </c>
      <c r="DT120" s="330" t="e">
        <v>#N/A</v>
      </c>
      <c r="DU120" s="330">
        <v>45571</v>
      </c>
      <c r="DV120" s="330" t="e">
        <v>#N/A</v>
      </c>
      <c r="DW120" s="331"/>
      <c r="DX120" s="316"/>
      <c r="DY120" s="334"/>
      <c r="DZ120" s="334"/>
      <c r="EA12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0" s="331"/>
      <c r="EC120" s="332"/>
      <c r="ED120" s="332"/>
      <c r="EE120" s="330"/>
      <c r="EF120" s="35">
        <v>1</v>
      </c>
      <c r="EG120" s="337">
        <v>1</v>
      </c>
      <c r="EH120" s="316" t="str">
        <f>IF(Table1[[#This Row],[PO Material Aktual 
(%)]]&gt;=100%,"Selesai PO = 100%",IF(Table1[[#This Row],[PO Material Aktual 
(%)]]&gt;=50%,"Proses PO &gt; 100%",IF(Table1[[#This Row],[PO Material Aktual 
(%)]]&gt;0%,"Proses PO &gt; 50%",IF(Table1[[#This Row],[PO Material Aktual 
(%)]]=0,"Belum PO = 0%"))))</f>
        <v>Selesai PO = 100%</v>
      </c>
      <c r="EI12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0" s="330">
        <v>45572</v>
      </c>
      <c r="EK120" s="330" t="e">
        <v>#N/A</v>
      </c>
      <c r="EL120" s="330">
        <v>45620</v>
      </c>
      <c r="EM120" s="330" t="e">
        <v>#N/A</v>
      </c>
      <c r="EN120" s="331">
        <v>45764</v>
      </c>
      <c r="EO120" s="332"/>
      <c r="EP120" s="332"/>
      <c r="EQ120" s="87">
        <v>1</v>
      </c>
      <c r="ER120" s="87">
        <v>1</v>
      </c>
      <c r="ES120" s="316" t="str">
        <f>IF(Table1[[#This Row],[Progres MOS]]&gt;=100%,"Selesai MOS = 100%",IF(Table1[[#This Row],[Progres MOS]]&gt;=50%,"Proses MOS &gt; 100%",IF(Table1[[#This Row],[Progres MOS]]&gt;0%,"Proses MOS &gt; 50%",IF(Table1[[#This Row],[Progres MOS]]=0,"Belum MOS = 0%"))))</f>
        <v>Selesai MOS = 100%</v>
      </c>
      <c r="ET12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0" s="47"/>
      <c r="EV120" s="330">
        <v>45544</v>
      </c>
      <c r="EW120" s="330" t="e">
        <v>#N/A</v>
      </c>
      <c r="EX120" s="330">
        <v>45620</v>
      </c>
      <c r="EY120" s="330" t="e">
        <v>#N/A</v>
      </c>
      <c r="EZ120" s="352" t="s">
        <v>298</v>
      </c>
      <c r="FA120" s="336" t="s">
        <v>259</v>
      </c>
      <c r="FB120" s="330" t="s">
        <v>260</v>
      </c>
      <c r="FC120" s="330">
        <v>45799</v>
      </c>
      <c r="FD120" s="330" t="s">
        <v>260</v>
      </c>
      <c r="FE120" s="330">
        <v>45875</v>
      </c>
      <c r="FF120" s="330">
        <v>45929</v>
      </c>
      <c r="FG120" s="330" t="s">
        <v>260</v>
      </c>
      <c r="FH120" s="330" t="s">
        <v>260</v>
      </c>
      <c r="FI120" s="330">
        <v>46021</v>
      </c>
      <c r="FJ120" s="330" t="s">
        <v>260</v>
      </c>
      <c r="FK120" s="330">
        <v>46087</v>
      </c>
      <c r="FL120" s="336" t="s">
        <v>298</v>
      </c>
      <c r="FM120" s="336">
        <v>45799</v>
      </c>
      <c r="FN120" s="314">
        <f>IF(Table1[[#This Row],[Tanggal Pengajuan Dokumen]]="","",Table1[[#This Row],[PLAN PERMIT
start]]-Table1[[#This Row],[Tanggal Pengajuan Dokumen]])</f>
        <v>-255</v>
      </c>
      <c r="FO120" s="336"/>
      <c r="FP120" s="316"/>
      <c r="FQ120" s="338"/>
      <c r="FR120" s="352"/>
      <c r="FS120" s="338" t="str">
        <f t="shared" si="8"/>
        <v>Sudah Terbit</v>
      </c>
      <c r="FT12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0" s="344">
        <f ca="1">IF(Table1[[#This Row],[Status Izin]]="Selesai",Table1[[#This Row],[PLAN PERMIT
finish]]-Table1[[#This Row],[Tanggal Terbit/ Target Izin Terbit]],ROUNDUP(Table1[[#This Row],[PLAN PERMIT
finish]]-NOW(),0))</f>
        <v>45620</v>
      </c>
      <c r="FV12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0" s="344"/>
      <c r="FX120" s="47"/>
      <c r="FY120" s="340"/>
      <c r="FZ120" s="341"/>
      <c r="GA12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0" s="330">
        <v>45594</v>
      </c>
      <c r="GC120" s="352">
        <v>45610</v>
      </c>
      <c r="GD12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0" s="330">
        <v>45601</v>
      </c>
      <c r="GF120" s="352">
        <v>45610</v>
      </c>
      <c r="GG12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0" s="330">
        <v>45607</v>
      </c>
      <c r="GI120" s="330">
        <v>45613</v>
      </c>
      <c r="GJ120" s="352">
        <v>45552</v>
      </c>
      <c r="GK12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0" s="330">
        <v>45621</v>
      </c>
      <c r="GM120" s="330" t="e">
        <v>#N/A</v>
      </c>
      <c r="GN120" s="330">
        <v>45641</v>
      </c>
      <c r="GO120" s="330" t="e">
        <v>#N/A</v>
      </c>
      <c r="GP120" s="316"/>
      <c r="GQ12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0" s="330" t="s">
        <v>261</v>
      </c>
      <c r="GS120" s="421" t="s">
        <v>261</v>
      </c>
      <c r="GT120" s="427">
        <v>45667</v>
      </c>
      <c r="GU120" s="423" t="str">
        <f>IF(Table1[[#This Row],[Hydro Tes Actual
(tanggal)]]&lt;&gt;"","Sudah","Belum")</f>
        <v>Sudah</v>
      </c>
      <c r="GV120" s="330" t="s">
        <v>261</v>
      </c>
      <c r="GW120" s="330" t="s">
        <v>261</v>
      </c>
      <c r="GX120" s="331"/>
      <c r="GY120" s="344" t="str">
        <f>IF(Table1[[#This Row],[Interkoneksi Actual
(tanggal)]]&lt;&gt;"","Sudah","Belum")</f>
        <v>Belum</v>
      </c>
      <c r="GZ120" s="330" t="s">
        <v>261</v>
      </c>
      <c r="HA120" s="421" t="s">
        <v>261</v>
      </c>
      <c r="HB120" s="424">
        <v>45668</v>
      </c>
      <c r="HC120" s="344" t="str">
        <f>IF(Table1[[#This Row],[Flushing Actual
(tanggal)]]&lt;&gt;"","Sudah","Belum")</f>
        <v>Sudah</v>
      </c>
      <c r="HD120" s="330">
        <v>45628</v>
      </c>
      <c r="HE120" s="330" t="e">
        <v>#N/A</v>
      </c>
      <c r="HF120" s="330">
        <v>45634</v>
      </c>
      <c r="HG120" s="352">
        <v>45824</v>
      </c>
      <c r="HH12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0" s="330" t="s">
        <v>261</v>
      </c>
      <c r="HJ120" s="330" t="s">
        <v>261</v>
      </c>
      <c r="HK120" s="331"/>
      <c r="HL120" s="316"/>
      <c r="HM120" s="330">
        <v>45646</v>
      </c>
      <c r="HN120" s="330">
        <v>45646</v>
      </c>
      <c r="HO120" s="330" t="e">
        <v>#N/A</v>
      </c>
      <c r="HP120" s="331">
        <v>45734</v>
      </c>
      <c r="HQ12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20" s="330">
        <v>45653</v>
      </c>
      <c r="HS120" s="330"/>
      <c r="HT120" s="330">
        <v>45653</v>
      </c>
      <c r="HU120" s="527"/>
      <c r="HV120" s="330">
        <f>IF(Table1[[#This Row],[MC-100 Aktual
(tanggal)]]&lt;&gt;"",Table1[[#This Row],[MC-100 Aktual
(tanggal)]]+5,"")</f>
        <v>45739</v>
      </c>
      <c r="HW12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20" s="47"/>
      <c r="HY120" s="352"/>
      <c r="HZ120" s="352"/>
      <c r="IB120" s="618">
        <f>IFERROR(ROUND((Table1[[#This Row],[PLAN TC
finish]]-Table1[[#This Row],[PLAN MC-0
start]])/30,2),"")</f>
        <v>0.9</v>
      </c>
      <c r="IC120">
        <f>DATEDIF(Table1[[#This Row],[PLAN MC-0
start]],Table1[[#This Row],[PLAN TC
finish]],"m")</f>
        <v>0</v>
      </c>
    </row>
    <row r="121" spans="1:237" s="4" customFormat="1" ht="15" hidden="1" customHeight="1" x14ac:dyDescent="0.2">
      <c r="B121" s="311">
        <f>SUBTOTAL(3,$D$5:D121)</f>
        <v>78</v>
      </c>
      <c r="C121" s="348">
        <v>117</v>
      </c>
      <c r="D121" s="315" t="s">
        <v>673</v>
      </c>
      <c r="E121" s="315" t="s">
        <v>840</v>
      </c>
      <c r="F121" s="315" t="s">
        <v>841</v>
      </c>
      <c r="G121" s="349">
        <v>45752</v>
      </c>
      <c r="H121" s="314" t="s">
        <v>247</v>
      </c>
      <c r="I121" s="315" t="s">
        <v>278</v>
      </c>
      <c r="J121" s="418"/>
      <c r="K121" s="338" t="s">
        <v>676</v>
      </c>
      <c r="L121" s="316" t="s">
        <v>250</v>
      </c>
      <c r="M121" s="316" t="s">
        <v>269</v>
      </c>
      <c r="N121" s="107">
        <v>1558</v>
      </c>
      <c r="O121" s="31" t="s">
        <v>252</v>
      </c>
      <c r="P121"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1" s="87" t="e">
        <v>#N/A</v>
      </c>
      <c r="S121" s="87">
        <v>1</v>
      </c>
      <c r="T121" s="35">
        <f>Table1[[#This Row],[Progres Total Aktual
(%)]]</f>
        <v>1</v>
      </c>
      <c r="U121" s="124">
        <f>Table1[[#This Row],[Progres Aktual
(%)]]-Table1[[#This Row],[Target Progres
(%)]]</f>
        <v>0</v>
      </c>
      <c r="V121" s="350">
        <f>Table1[[#This Row],["Volume
BA MC-0"]]</f>
        <v>1471</v>
      </c>
      <c r="W121" s="351">
        <f>Table1[[#This Row],[Total Panjang Pipa Aktual
(Sum-&gt;)3]]</f>
        <v>1280</v>
      </c>
      <c r="X121" s="47"/>
      <c r="Y121" s="67" t="s">
        <v>842</v>
      </c>
      <c r="Z121" s="67">
        <v>6322734382</v>
      </c>
      <c r="AA121" s="67">
        <f>ROUND((Table1[[#This Row],[Nilai RAB Jaringan
(Exclude Ppn)]]-Table1[[#This Row],[RAB Perizinan]])*1.11+Table1[[#This Row],[RAB Perizinan]],0)</f>
        <v>0</v>
      </c>
      <c r="AB121" s="320">
        <f>SUM(Table1[[#This Row],[RAB Kegiatan Umum]:[RAB Perizinan]])</f>
        <v>0</v>
      </c>
      <c r="AC121" s="320"/>
      <c r="AD121" s="320"/>
      <c r="AE121" s="320"/>
      <c r="AF121" s="320"/>
      <c r="AG121" s="320">
        <v>0</v>
      </c>
      <c r="AH121" s="35" t="e">
        <f>SUM(Table1[[#This Row],[Bobot Keg Umum]:[Bobot Perizinan]])</f>
        <v>#DIV/0!</v>
      </c>
      <c r="AI121" s="35" t="e">
        <f>Table1[[#This Row],[RAB Kegiatan Umum]]/Table1[[#This Row],[Nilai RAB Jaringan
(Exclude Ppn)]]</f>
        <v>#DIV/0!</v>
      </c>
      <c r="AJ121" s="35" t="e">
        <f>Table1[[#This Row],[RAB Pemasangan]]/Table1[[#This Row],[Nilai RAB Jaringan
(Exclude Ppn)]]</f>
        <v>#DIV/0!</v>
      </c>
      <c r="AK121" s="35" t="e">
        <f>Table1[[#This Row],[RAB Pengadaan]]/Table1[[#This Row],[Nilai RAB Jaringan
(Exclude Ppn)]]</f>
        <v>#DIV/0!</v>
      </c>
      <c r="AL121" s="35" t="e">
        <f>Table1[[#This Row],[RAB Perizinan]]/Table1[[#This Row],[Nilai RAB Jaringan
(Exclude Ppn)]]</f>
        <v>#DIV/0!</v>
      </c>
      <c r="AM121" s="47"/>
      <c r="AN121" s="285">
        <v>1471</v>
      </c>
      <c r="AO121" s="285">
        <f>SUM(Table1[[#This Row],[Pipa 63 mm]:[Pipa 1,800 mm]])</f>
        <v>0</v>
      </c>
      <c r="AP121" s="285"/>
      <c r="AQ121" s="285"/>
      <c r="AR121" s="285"/>
      <c r="AS121" s="285"/>
      <c r="AT121" s="285"/>
      <c r="AU121" s="285"/>
      <c r="AV121" s="285"/>
      <c r="AW121" s="285"/>
      <c r="AX121" s="285"/>
      <c r="AY121" s="285"/>
      <c r="AZ121" s="285"/>
      <c r="BA121" s="285"/>
      <c r="BB121" s="285"/>
      <c r="BC121" s="285"/>
      <c r="BD121" s="285"/>
      <c r="BE121" s="285"/>
      <c r="BF121" s="285"/>
      <c r="BG121" s="285"/>
      <c r="BH121" s="285"/>
      <c r="BI121" s="285"/>
      <c r="BJ121" s="36">
        <f>SUM(Table1[[#This Row],[Pipa 63 mm2]:[Pipa 1,800 mm21]])</f>
        <v>1280</v>
      </c>
      <c r="BK121" s="32"/>
      <c r="BL121" s="32"/>
      <c r="BM121" s="32"/>
      <c r="BN121" s="32">
        <v>160</v>
      </c>
      <c r="BO121" s="32"/>
      <c r="BP121" s="32">
        <f>1020+100</f>
        <v>1120</v>
      </c>
      <c r="BQ121" s="32"/>
      <c r="BR121" s="32"/>
      <c r="BS121" s="32"/>
      <c r="BT121" s="32"/>
      <c r="BU121" s="32"/>
      <c r="BV121" s="32"/>
      <c r="BW121" s="32"/>
      <c r="BX121" s="32"/>
      <c r="BY121" s="32"/>
      <c r="BZ121" s="32"/>
      <c r="CA121" s="32"/>
      <c r="CB121" s="32"/>
      <c r="CC121" s="32"/>
      <c r="CD121" s="32"/>
      <c r="CE121" s="32">
        <v>1471</v>
      </c>
      <c r="CF121" s="32"/>
      <c r="CG121" s="32"/>
      <c r="CH121" s="32"/>
      <c r="CI121" s="32">
        <f t="shared" si="6"/>
        <v>1471</v>
      </c>
      <c r="CJ121" s="65">
        <f>IF((Table1[[#This Row],["Volume
BA MC-0"]]-Table1[[#This Row],[Total Panjang Pipa Aktual
(Sum-&gt;)3]]-Table1[[#This Row],[Total Volume
tidak dapat dipasang]])&gt;=0,Table1[[#This Row],["Volume
BA MC-0"]]-Table1[[#This Row],[Total Panjang Pipa Aktual
(Sum-&gt;)3]]-Table1[[#This Row],[Total Volume
tidak dapat dipasang]],0)</f>
        <v>0</v>
      </c>
      <c r="CK121" s="47"/>
      <c r="CL121" s="131"/>
      <c r="CM121" s="35"/>
      <c r="CN121" s="131"/>
      <c r="CO121" s="131"/>
      <c r="CP12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1" s="66">
        <f>IFERROR(Table1[[#This Row],[Progres Keg. Umum
(%)]]*Table1[[#This Row],[Nilai RAB Jaringan
(file pa aji)]],0)</f>
        <v>0</v>
      </c>
      <c r="CR121" s="66">
        <f>IFERROR(Table1[[#This Row],[Progres MOS
(%)]]*Table1[[#This Row],[Nilai RAB Jaringan
(file pa aji)]],0)</f>
        <v>0</v>
      </c>
      <c r="CS121" s="66">
        <f>IFERROR(Table1[[#This Row],[Progres Pemasangan
(%)]]*Table1[[#This Row],[Nilai RAB Jaringan
(file pa aji)]],0)</f>
        <v>0</v>
      </c>
      <c r="CT121" s="66">
        <f>IFERROR(Table1[[#This Row],[Progres Perizinan
(%)]]*Table1[[#This Row],[Nilai RAB Jaringan
(file pa aji)]],0)</f>
        <v>0</v>
      </c>
      <c r="CU121" s="329">
        <v>5070043864</v>
      </c>
      <c r="CV121" s="329">
        <v>5070043864</v>
      </c>
      <c r="CW121" s="583">
        <v>5070043864</v>
      </c>
      <c r="CX121" s="329">
        <v>5070043864</v>
      </c>
      <c r="CY121" s="47"/>
      <c r="CZ121" s="330">
        <v>45474</v>
      </c>
      <c r="DA121" s="330">
        <v>45487</v>
      </c>
      <c r="DB121" s="331"/>
      <c r="DC121" s="316"/>
      <c r="DD121" s="67"/>
      <c r="DE12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1" s="331"/>
      <c r="DG121" s="316"/>
      <c r="DH121" s="67"/>
      <c r="DI12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1" s="330">
        <v>45488</v>
      </c>
      <c r="DK121" s="330">
        <v>45536</v>
      </c>
      <c r="DL121" s="331">
        <v>45530</v>
      </c>
      <c r="DM121" s="425" t="s">
        <v>843</v>
      </c>
      <c r="DN12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1" s="331">
        <v>45616</v>
      </c>
      <c r="DP121" s="426" t="s">
        <v>844</v>
      </c>
      <c r="DQ121" s="338" t="s">
        <v>297</v>
      </c>
      <c r="DR12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1" s="330">
        <v>45488</v>
      </c>
      <c r="DT121" s="330" t="e">
        <v>#N/A</v>
      </c>
      <c r="DU121" s="330">
        <v>45515</v>
      </c>
      <c r="DV121" s="330" t="e">
        <v>#N/A</v>
      </c>
      <c r="DW121" s="331"/>
      <c r="DX121" s="316"/>
      <c r="DY121" s="334"/>
      <c r="DZ121" s="334"/>
      <c r="EA12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1" s="331"/>
      <c r="EC121" s="332"/>
      <c r="ED121" s="332"/>
      <c r="EE121" s="330"/>
      <c r="EF121" s="35">
        <v>1</v>
      </c>
      <c r="EG121" s="337">
        <v>1</v>
      </c>
      <c r="EH121" s="316" t="str">
        <f>IF(Table1[[#This Row],[PO Material Aktual 
(%)]]&gt;=100%,"Selesai PO = 100%",IF(Table1[[#This Row],[PO Material Aktual 
(%)]]&gt;=50%,"Proses PO &gt; 100%",IF(Table1[[#This Row],[PO Material Aktual 
(%)]]&gt;0%,"Proses PO &gt; 50%",IF(Table1[[#This Row],[PO Material Aktual 
(%)]]=0,"Belum PO = 0%"))))</f>
        <v>Selesai PO = 100%</v>
      </c>
      <c r="EI12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1" s="330">
        <v>45516</v>
      </c>
      <c r="EK121" s="330" t="e">
        <v>#N/A</v>
      </c>
      <c r="EL121" s="330">
        <v>45571</v>
      </c>
      <c r="EM121" s="330" t="e">
        <v>#N/A</v>
      </c>
      <c r="EN121" s="331">
        <v>46149</v>
      </c>
      <c r="EO121" s="332"/>
      <c r="EP121" s="332"/>
      <c r="EQ121" s="87">
        <v>1</v>
      </c>
      <c r="ER121" s="87">
        <v>1</v>
      </c>
      <c r="ES121" s="316" t="str">
        <f>IF(Table1[[#This Row],[Progres MOS]]&gt;=100%,"Selesai MOS = 100%",IF(Table1[[#This Row],[Progres MOS]]&gt;=50%,"Proses MOS &gt; 100%",IF(Table1[[#This Row],[Progres MOS]]&gt;0%,"Proses MOS &gt; 50%",IF(Table1[[#This Row],[Progres MOS]]=0,"Belum MOS = 0%"))))</f>
        <v>Selesai MOS = 100%</v>
      </c>
      <c r="ET12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1" s="47"/>
      <c r="EV121" s="330">
        <v>45488</v>
      </c>
      <c r="EW121" s="330" t="e">
        <v>#N/A</v>
      </c>
      <c r="EX121" s="330">
        <v>45564</v>
      </c>
      <c r="EY121" s="330" t="e">
        <v>#N/A</v>
      </c>
      <c r="EZ121" s="352" t="s">
        <v>259</v>
      </c>
      <c r="FA121" s="336" t="s">
        <v>259</v>
      </c>
      <c r="FB121" s="330" t="s">
        <v>260</v>
      </c>
      <c r="FC121" s="330">
        <v>45114</v>
      </c>
      <c r="FD121" s="330" t="s">
        <v>260</v>
      </c>
      <c r="FE121" s="330"/>
      <c r="FF121" s="330">
        <v>45139</v>
      </c>
      <c r="FG121" s="330" t="s">
        <v>260</v>
      </c>
      <c r="FH121" s="330" t="s">
        <v>260</v>
      </c>
      <c r="FI121" s="330">
        <v>45189</v>
      </c>
      <c r="FJ121" s="330" t="s">
        <v>260</v>
      </c>
      <c r="FK121" s="330">
        <v>45349</v>
      </c>
      <c r="FL121" s="336" t="s">
        <v>259</v>
      </c>
      <c r="FM121" s="336">
        <v>45114</v>
      </c>
      <c r="FN121" s="314">
        <f>IF(Table1[[#This Row],[Tanggal Pengajuan Dokumen]]="","",Table1[[#This Row],[PLAN PERMIT
start]]-Table1[[#This Row],[Tanggal Pengajuan Dokumen]])</f>
        <v>374</v>
      </c>
      <c r="FO121" s="336">
        <v>45349</v>
      </c>
      <c r="FP121" s="316"/>
      <c r="FQ121" s="338"/>
      <c r="FR121" s="352"/>
      <c r="FS121" s="338" t="str">
        <f t="shared" si="8"/>
        <v>Sudah Terbit</v>
      </c>
      <c r="FT12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1" s="344">
        <f ca="1">IF(Table1[[#This Row],[Status Izin]]="Selesai",Table1[[#This Row],[PLAN PERMIT
finish]]-Table1[[#This Row],[Tanggal Terbit/ Target Izin Terbit]],ROUNDUP(Table1[[#This Row],[PLAN PERMIT
finish]]-NOW(),0))</f>
        <v>215</v>
      </c>
      <c r="FV12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21" s="344"/>
      <c r="FX121" s="47"/>
      <c r="FY121" s="340"/>
      <c r="FZ121" s="341"/>
      <c r="GA12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1" s="330">
        <v>45538</v>
      </c>
      <c r="GC121" s="352">
        <v>45260</v>
      </c>
      <c r="GD12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1" s="330">
        <v>45545</v>
      </c>
      <c r="GF121" s="352">
        <v>45260</v>
      </c>
      <c r="GG12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1" s="330">
        <v>45551</v>
      </c>
      <c r="GI121" s="330">
        <v>45557</v>
      </c>
      <c r="GJ121" s="352">
        <v>45266</v>
      </c>
      <c r="GK12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1" s="330">
        <v>45565</v>
      </c>
      <c r="GM121" s="330" t="e">
        <v>#N/A</v>
      </c>
      <c r="GN121" s="330">
        <v>45641</v>
      </c>
      <c r="GO121" s="330" t="e">
        <v>#N/A</v>
      </c>
      <c r="GP121" s="316"/>
      <c r="GQ12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1" s="330" t="s">
        <v>261</v>
      </c>
      <c r="GS121" s="421" t="s">
        <v>261</v>
      </c>
      <c r="GT121" s="427" t="s">
        <v>845</v>
      </c>
      <c r="GU121" s="423" t="str">
        <f>IF(Table1[[#This Row],[Hydro Tes Actual
(tanggal)]]&lt;&gt;"","Sudah","Belum")</f>
        <v>Sudah</v>
      </c>
      <c r="GV121" s="330" t="s">
        <v>261</v>
      </c>
      <c r="GW121" s="330" t="s">
        <v>261</v>
      </c>
      <c r="GX121" s="331"/>
      <c r="GY121" s="344" t="str">
        <f>IF(Table1[[#This Row],[Interkoneksi Actual
(tanggal)]]&lt;&gt;"","Sudah","Belum")</f>
        <v>Belum</v>
      </c>
      <c r="GZ121" s="330" t="s">
        <v>261</v>
      </c>
      <c r="HA121" s="421" t="s">
        <v>261</v>
      </c>
      <c r="HB121" s="424">
        <v>45627</v>
      </c>
      <c r="HC121" s="344" t="str">
        <f>IF(Table1[[#This Row],[Flushing Actual
(tanggal)]]&lt;&gt;"","Sudah","Belum")</f>
        <v>Sudah</v>
      </c>
      <c r="HD121" s="330">
        <v>45621</v>
      </c>
      <c r="HE121" s="330" t="e">
        <v>#N/A</v>
      </c>
      <c r="HF121" s="330">
        <v>45627</v>
      </c>
      <c r="HG121" s="352">
        <v>45908</v>
      </c>
      <c r="HH12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1" s="330" t="s">
        <v>261</v>
      </c>
      <c r="HJ121" s="330" t="s">
        <v>261</v>
      </c>
      <c r="HK121" s="331"/>
      <c r="HL121" s="316"/>
      <c r="HM121" s="330">
        <v>45646</v>
      </c>
      <c r="HN121" s="330">
        <v>45646</v>
      </c>
      <c r="HO121" s="330" t="e">
        <v>#N/A</v>
      </c>
      <c r="HP121" s="331">
        <v>45929</v>
      </c>
      <c r="HQ12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21" s="330">
        <v>45653</v>
      </c>
      <c r="HS121" s="330"/>
      <c r="HT121" s="330">
        <v>45653</v>
      </c>
      <c r="HU121" s="527"/>
      <c r="HV121" s="330">
        <f>IF(Table1[[#This Row],[MC-100 Aktual
(tanggal)]]&lt;&gt;"",Table1[[#This Row],[MC-100 Aktual
(tanggal)]]+5,"")</f>
        <v>45934</v>
      </c>
      <c r="HW12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21" s="47"/>
      <c r="HY121" s="352"/>
      <c r="HZ121" s="352"/>
      <c r="IB121" s="618">
        <f>IFERROR(ROUND((Table1[[#This Row],[PLAN TC
finish]]-Table1[[#This Row],[PLAN MC-0
start]])/30,2),"")</f>
        <v>2.5299999999999998</v>
      </c>
      <c r="IC121">
        <f>DATEDIF(Table1[[#This Row],[PLAN MC-0
start]],Table1[[#This Row],[PLAN TC
finish]],"m")</f>
        <v>2</v>
      </c>
    </row>
    <row r="122" spans="1:237" s="4" customFormat="1" ht="15" customHeight="1" x14ac:dyDescent="0.2">
      <c r="B122" s="311">
        <f>SUBTOTAL(3,$D$5:D122)</f>
        <v>79</v>
      </c>
      <c r="C122" s="348">
        <v>118</v>
      </c>
      <c r="D122" s="315" t="s">
        <v>673</v>
      </c>
      <c r="E122" s="315" t="s">
        <v>846</v>
      </c>
      <c r="F122" s="315" t="s">
        <v>847</v>
      </c>
      <c r="G122" s="349">
        <v>45752</v>
      </c>
      <c r="H122" s="314" t="s">
        <v>247</v>
      </c>
      <c r="I122" s="315" t="s">
        <v>278</v>
      </c>
      <c r="J122" s="315"/>
      <c r="K122" s="338" t="s">
        <v>676</v>
      </c>
      <c r="L122" s="316" t="s">
        <v>250</v>
      </c>
      <c r="M122" s="316" t="s">
        <v>269</v>
      </c>
      <c r="N122" s="107">
        <v>69</v>
      </c>
      <c r="O122" s="31" t="s">
        <v>252</v>
      </c>
      <c r="P122"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2" s="87" t="e">
        <v>#N/A</v>
      </c>
      <c r="S122" s="87">
        <v>1</v>
      </c>
      <c r="T122" s="35">
        <f>Table1[[#This Row],[Progres Total Aktual
(%)]]</f>
        <v>1</v>
      </c>
      <c r="U122" s="124">
        <f>Table1[[#This Row],[Progres Aktual
(%)]]-Table1[[#This Row],[Target Progres
(%)]]</f>
        <v>0</v>
      </c>
      <c r="V122" s="350">
        <f>Table1[[#This Row],["Volume
BA MC-0"]]</f>
        <v>82</v>
      </c>
      <c r="W122" s="351">
        <f>Table1[[#This Row],[Total Panjang Pipa Aktual
(Sum-&gt;)3]]</f>
        <v>82</v>
      </c>
      <c r="X122" s="47"/>
      <c r="Y122" s="67" t="s">
        <v>848</v>
      </c>
      <c r="Z122" s="67">
        <v>131179494</v>
      </c>
      <c r="AA122" s="67">
        <f>ROUND((Table1[[#This Row],[Nilai RAB Jaringan
(Exclude Ppn)]]-Table1[[#This Row],[RAB Perizinan]])*1.11+Table1[[#This Row],[RAB Perizinan]],0)</f>
        <v>0</v>
      </c>
      <c r="AB122" s="320">
        <f>SUM(Table1[[#This Row],[RAB Kegiatan Umum]:[RAB Perizinan]])</f>
        <v>0</v>
      </c>
      <c r="AC122" s="320"/>
      <c r="AD122" s="320"/>
      <c r="AE122" s="320"/>
      <c r="AF122" s="320"/>
      <c r="AG122" s="320">
        <v>20496483</v>
      </c>
      <c r="AH122" s="35" t="e">
        <f>SUM(Table1[[#This Row],[Bobot Keg Umum]:[Bobot Perizinan]])</f>
        <v>#DIV/0!</v>
      </c>
      <c r="AI122" s="35" t="e">
        <f>Table1[[#This Row],[RAB Kegiatan Umum]]/Table1[[#This Row],[Nilai RAB Jaringan
(Exclude Ppn)]]</f>
        <v>#DIV/0!</v>
      </c>
      <c r="AJ122" s="35" t="e">
        <f>Table1[[#This Row],[RAB Pemasangan]]/Table1[[#This Row],[Nilai RAB Jaringan
(Exclude Ppn)]]</f>
        <v>#DIV/0!</v>
      </c>
      <c r="AK122" s="35" t="e">
        <f>Table1[[#This Row],[RAB Pengadaan]]/Table1[[#This Row],[Nilai RAB Jaringan
(Exclude Ppn)]]</f>
        <v>#DIV/0!</v>
      </c>
      <c r="AL122" s="35" t="e">
        <f>Table1[[#This Row],[RAB Perizinan]]/Table1[[#This Row],[Nilai RAB Jaringan
(Exclude Ppn)]]</f>
        <v>#DIV/0!</v>
      </c>
      <c r="AM122" s="47"/>
      <c r="AN122" s="285">
        <v>82</v>
      </c>
      <c r="AO122" s="285">
        <f>SUM(Table1[[#This Row],[Pipa 63 mm]:[Pipa 1,800 mm]])</f>
        <v>0</v>
      </c>
      <c r="AP122" s="285"/>
      <c r="AQ122" s="285"/>
      <c r="AR122" s="285"/>
      <c r="AS122" s="285"/>
      <c r="AT122" s="285"/>
      <c r="AU122" s="285"/>
      <c r="AV122" s="285"/>
      <c r="AW122" s="285"/>
      <c r="AX122" s="285"/>
      <c r="AY122" s="285"/>
      <c r="AZ122" s="285"/>
      <c r="BA122" s="285"/>
      <c r="BB122" s="285"/>
      <c r="BC122" s="285"/>
      <c r="BD122" s="285"/>
      <c r="BE122" s="285"/>
      <c r="BF122" s="285"/>
      <c r="BG122" s="285"/>
      <c r="BH122" s="285"/>
      <c r="BI122" s="285"/>
      <c r="BJ122" s="36">
        <f>SUM(Table1[[#This Row],[Pipa 63 mm2]:[Pipa 1,800 mm21]])</f>
        <v>82</v>
      </c>
      <c r="BK122" s="32">
        <v>82</v>
      </c>
      <c r="BL122" s="32"/>
      <c r="BM122" s="32"/>
      <c r="BN122" s="32"/>
      <c r="BO122" s="32"/>
      <c r="BP122" s="32"/>
      <c r="BQ122" s="32"/>
      <c r="BR122" s="32"/>
      <c r="BS122" s="32"/>
      <c r="BT122" s="32"/>
      <c r="BU122" s="32"/>
      <c r="BV122" s="32"/>
      <c r="BW122" s="32"/>
      <c r="BX122" s="32"/>
      <c r="BY122" s="32"/>
      <c r="BZ122" s="32"/>
      <c r="CA122" s="32"/>
      <c r="CB122" s="32"/>
      <c r="CC122" s="32"/>
      <c r="CD122" s="32"/>
      <c r="CE122" s="32">
        <v>0</v>
      </c>
      <c r="CF122" s="32"/>
      <c r="CG122" s="32"/>
      <c r="CH122" s="32"/>
      <c r="CI122" s="32">
        <f t="shared" si="6"/>
        <v>0</v>
      </c>
      <c r="CJ122" s="65">
        <f>IF((Table1[[#This Row],["Volume
BA MC-0"]]-Table1[[#This Row],[Total Panjang Pipa Aktual
(Sum-&gt;)3]]-Table1[[#This Row],[Total Volume
tidak dapat dipasang]])&gt;=0,Table1[[#This Row],["Volume
BA MC-0"]]-Table1[[#This Row],[Total Panjang Pipa Aktual
(Sum-&gt;)3]]-Table1[[#This Row],[Total Volume
tidak dapat dipasang]],0)</f>
        <v>0</v>
      </c>
      <c r="CK122" s="47"/>
      <c r="CL122" s="131"/>
      <c r="CM122" s="35"/>
      <c r="CN122" s="131"/>
      <c r="CO122" s="131"/>
      <c r="CP12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2" s="66">
        <f>IFERROR(Table1[[#This Row],[Progres Keg. Umum
(%)]]*Table1[[#This Row],[Nilai RAB Jaringan
(file pa aji)]],0)</f>
        <v>0</v>
      </c>
      <c r="CR122" s="66">
        <f>IFERROR(Table1[[#This Row],[Progres MOS
(%)]]*Table1[[#This Row],[Nilai RAB Jaringan
(file pa aji)]],0)</f>
        <v>0</v>
      </c>
      <c r="CS122" s="66">
        <f>IFERROR(Table1[[#This Row],[Progres Pemasangan
(%)]]*Table1[[#This Row],[Nilai RAB Jaringan
(file pa aji)]],0)</f>
        <v>0</v>
      </c>
      <c r="CT122" s="66">
        <f>IFERROR(Table1[[#This Row],[Progres Perizinan
(%)]]*Table1[[#This Row],[Nilai RAB Jaringan
(file pa aji)]],0)</f>
        <v>0</v>
      </c>
      <c r="CU122" s="329">
        <v>152212411</v>
      </c>
      <c r="CV122" s="329">
        <v>152212411</v>
      </c>
      <c r="CW122" s="583">
        <v>152212411</v>
      </c>
      <c r="CX122" s="329">
        <v>152212411</v>
      </c>
      <c r="CY122" s="47"/>
      <c r="CZ122" s="330">
        <v>45530</v>
      </c>
      <c r="DA122" s="330">
        <v>45543</v>
      </c>
      <c r="DB122" s="331"/>
      <c r="DC122" s="316"/>
      <c r="DD122" s="67"/>
      <c r="DE12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2" s="331"/>
      <c r="DG122" s="316"/>
      <c r="DH122" s="67"/>
      <c r="DI12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2" s="330">
        <v>45544</v>
      </c>
      <c r="DK122" s="330">
        <v>45592</v>
      </c>
      <c r="DL122" s="331">
        <v>45540</v>
      </c>
      <c r="DM122" s="425" t="s">
        <v>849</v>
      </c>
      <c r="DN12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2" s="331">
        <v>45586</v>
      </c>
      <c r="DP122" s="426" t="s">
        <v>850</v>
      </c>
      <c r="DQ122" s="338" t="s">
        <v>344</v>
      </c>
      <c r="DR12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22" s="330">
        <v>45544</v>
      </c>
      <c r="DT122" s="330" t="e">
        <v>#N/A</v>
      </c>
      <c r="DU122" s="330">
        <v>45571</v>
      </c>
      <c r="DV122" s="330" t="e">
        <v>#N/A</v>
      </c>
      <c r="DW122" s="331"/>
      <c r="DX122" s="316"/>
      <c r="DY122" s="334"/>
      <c r="DZ122" s="334"/>
      <c r="EA12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2" s="331"/>
      <c r="EC122" s="332"/>
      <c r="ED122" s="332"/>
      <c r="EE122" s="330"/>
      <c r="EF122" s="35">
        <v>1</v>
      </c>
      <c r="EG122" s="337">
        <v>1</v>
      </c>
      <c r="EH122" s="316" t="str">
        <f>IF(Table1[[#This Row],[PO Material Aktual 
(%)]]&gt;=100%,"Selesai PO = 100%",IF(Table1[[#This Row],[PO Material Aktual 
(%)]]&gt;=50%,"Proses PO &gt; 100%",IF(Table1[[#This Row],[PO Material Aktual 
(%)]]&gt;0%,"Proses PO &gt; 50%",IF(Table1[[#This Row],[PO Material Aktual 
(%)]]=0,"Belum PO = 0%"))))</f>
        <v>Selesai PO = 100%</v>
      </c>
      <c r="EI12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2" s="330">
        <v>45572</v>
      </c>
      <c r="EK122" s="330" t="e">
        <v>#N/A</v>
      </c>
      <c r="EL122" s="330">
        <v>45620</v>
      </c>
      <c r="EM122" s="330" t="e">
        <v>#N/A</v>
      </c>
      <c r="EN122" s="331">
        <v>45680</v>
      </c>
      <c r="EO122" s="332"/>
      <c r="EP122" s="332"/>
      <c r="EQ122" s="87">
        <v>1</v>
      </c>
      <c r="ER122" s="87">
        <v>1</v>
      </c>
      <c r="ES122" s="316" t="str">
        <f>IF(Table1[[#This Row],[Progres MOS]]&gt;=100%,"Selesai MOS = 100%",IF(Table1[[#This Row],[Progres MOS]]&gt;=50%,"Proses MOS &gt; 100%",IF(Table1[[#This Row],[Progres MOS]]&gt;0%,"Proses MOS &gt; 50%",IF(Table1[[#This Row],[Progres MOS]]=0,"Belum MOS = 0%"))))</f>
        <v>Selesai MOS = 100%</v>
      </c>
      <c r="ET12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2" s="47"/>
      <c r="EV122" s="330">
        <v>45544</v>
      </c>
      <c r="EW122" s="330" t="e">
        <v>#N/A</v>
      </c>
      <c r="EX122" s="330">
        <v>45620</v>
      </c>
      <c r="EY122" s="330" t="e">
        <v>#N/A</v>
      </c>
      <c r="EZ122" s="352" t="s">
        <v>298</v>
      </c>
      <c r="FA122" s="336" t="s">
        <v>259</v>
      </c>
      <c r="FB122" s="330" t="s">
        <v>260</v>
      </c>
      <c r="FC122" s="330">
        <v>45799</v>
      </c>
      <c r="FD122" s="330" t="s">
        <v>260</v>
      </c>
      <c r="FE122" s="330">
        <v>45875</v>
      </c>
      <c r="FF122" s="330">
        <v>45929</v>
      </c>
      <c r="FG122" s="330" t="s">
        <v>260</v>
      </c>
      <c r="FH122" s="330" t="s">
        <v>260</v>
      </c>
      <c r="FI122" s="330">
        <v>46021</v>
      </c>
      <c r="FJ122" s="330" t="s">
        <v>260</v>
      </c>
      <c r="FK122" s="330">
        <v>46087</v>
      </c>
      <c r="FL122" s="336" t="s">
        <v>298</v>
      </c>
      <c r="FM122" s="336">
        <v>45799</v>
      </c>
      <c r="FN122" s="314">
        <f>IF(Table1[[#This Row],[Tanggal Pengajuan Dokumen]]="","",Table1[[#This Row],[PLAN PERMIT
start]]-Table1[[#This Row],[Tanggal Pengajuan Dokumen]])</f>
        <v>-255</v>
      </c>
      <c r="FO122" s="336"/>
      <c r="FP122" s="316"/>
      <c r="FQ122" s="338"/>
      <c r="FR122" s="352"/>
      <c r="FS122" s="338" t="str">
        <f t="shared" si="8"/>
        <v>Sudah Terbit</v>
      </c>
      <c r="FT12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2" s="344">
        <f ca="1">IF(Table1[[#This Row],[Status Izin]]="Selesai",Table1[[#This Row],[PLAN PERMIT
finish]]-Table1[[#This Row],[Tanggal Terbit/ Target Izin Terbit]],ROUNDUP(Table1[[#This Row],[PLAN PERMIT
finish]]-NOW(),0))</f>
        <v>45620</v>
      </c>
      <c r="FV12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2" s="344"/>
      <c r="FX122" s="47"/>
      <c r="FY122" s="340"/>
      <c r="FZ122" s="341"/>
      <c r="GA12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2" s="330">
        <v>45594</v>
      </c>
      <c r="GC122" s="352">
        <v>45610</v>
      </c>
      <c r="GD12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2" s="330">
        <v>45601</v>
      </c>
      <c r="GF122" s="352">
        <v>45610</v>
      </c>
      <c r="GG12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2" s="330">
        <v>45607</v>
      </c>
      <c r="GI122" s="330">
        <v>45613</v>
      </c>
      <c r="GJ122" s="352">
        <v>45554</v>
      </c>
      <c r="GK12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2" s="330">
        <v>45621</v>
      </c>
      <c r="GM122" s="330" t="e">
        <v>#N/A</v>
      </c>
      <c r="GN122" s="330">
        <v>45641</v>
      </c>
      <c r="GO122" s="330" t="e">
        <v>#N/A</v>
      </c>
      <c r="GP122" s="316"/>
      <c r="GQ12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2" s="330" t="s">
        <v>261</v>
      </c>
      <c r="GS122" s="421" t="s">
        <v>261</v>
      </c>
      <c r="GT122" s="427">
        <v>45653</v>
      </c>
      <c r="GU122" s="423" t="str">
        <f>IF(Table1[[#This Row],[Hydro Tes Actual
(tanggal)]]&lt;&gt;"","Sudah","Belum")</f>
        <v>Sudah</v>
      </c>
      <c r="GV122" s="330" t="s">
        <v>261</v>
      </c>
      <c r="GW122" s="330" t="s">
        <v>261</v>
      </c>
      <c r="GX122" s="331"/>
      <c r="GY122" s="344" t="str">
        <f>IF(Table1[[#This Row],[Interkoneksi Actual
(tanggal)]]&lt;&gt;"","Sudah","Belum")</f>
        <v>Belum</v>
      </c>
      <c r="GZ122" s="330" t="s">
        <v>261</v>
      </c>
      <c r="HA122" s="421" t="s">
        <v>261</v>
      </c>
      <c r="HB122" s="424">
        <v>45668</v>
      </c>
      <c r="HC122" s="344" t="str">
        <f>IF(Table1[[#This Row],[Flushing Actual
(tanggal)]]&lt;&gt;"","Sudah","Belum")</f>
        <v>Sudah</v>
      </c>
      <c r="HD122" s="330">
        <v>45628</v>
      </c>
      <c r="HE122" s="330" t="e">
        <v>#N/A</v>
      </c>
      <c r="HF122" s="330">
        <v>45634</v>
      </c>
      <c r="HG122" s="352">
        <v>45671</v>
      </c>
      <c r="HH12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2" s="330" t="s">
        <v>261</v>
      </c>
      <c r="HJ122" s="330" t="s">
        <v>261</v>
      </c>
      <c r="HK122" s="331"/>
      <c r="HL122" s="316"/>
      <c r="HM122" s="330">
        <v>45646</v>
      </c>
      <c r="HN122" s="330">
        <v>45646</v>
      </c>
      <c r="HO122" s="330" t="e">
        <v>#N/A</v>
      </c>
      <c r="HP122" s="331">
        <v>45733</v>
      </c>
      <c r="HQ12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22" s="330">
        <v>45653</v>
      </c>
      <c r="HS122" s="330"/>
      <c r="HT122" s="330">
        <v>45653</v>
      </c>
      <c r="HU122" s="527"/>
      <c r="HV122" s="330">
        <f>IF(Table1[[#This Row],[MC-100 Aktual
(tanggal)]]&lt;&gt;"",Table1[[#This Row],[MC-100 Aktual
(tanggal)]]+5,"")</f>
        <v>45738</v>
      </c>
      <c r="HW12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22" s="47"/>
      <c r="HY122" s="352"/>
      <c r="HZ122" s="352"/>
      <c r="IB122" s="618">
        <f>IFERROR(ROUND((Table1[[#This Row],[PLAN TC
finish]]-Table1[[#This Row],[PLAN MC-0
start]])/30,2),"")</f>
        <v>0.9</v>
      </c>
      <c r="IC122">
        <f>DATEDIF(Table1[[#This Row],[PLAN MC-0
start]],Table1[[#This Row],[PLAN TC
finish]],"m")</f>
        <v>0</v>
      </c>
    </row>
    <row r="123" spans="1:237" s="4" customFormat="1" ht="15" customHeight="1" x14ac:dyDescent="0.2">
      <c r="B123" s="311">
        <f>SUBTOTAL(3,$D$5:D123)</f>
        <v>80</v>
      </c>
      <c r="C123" s="348">
        <v>119</v>
      </c>
      <c r="D123" s="315" t="s">
        <v>673</v>
      </c>
      <c r="E123" s="315" t="s">
        <v>851</v>
      </c>
      <c r="F123" s="315" t="s">
        <v>852</v>
      </c>
      <c r="G123" s="349">
        <v>45752</v>
      </c>
      <c r="H123" s="314" t="s">
        <v>247</v>
      </c>
      <c r="I123" s="315" t="s">
        <v>278</v>
      </c>
      <c r="J123" s="315"/>
      <c r="K123" s="338" t="s">
        <v>676</v>
      </c>
      <c r="L123" s="316" t="s">
        <v>250</v>
      </c>
      <c r="M123" s="316" t="s">
        <v>269</v>
      </c>
      <c r="N123" s="107">
        <v>468</v>
      </c>
      <c r="O123" s="31" t="s">
        <v>252</v>
      </c>
      <c r="P123"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3" s="87" t="e">
        <v>#N/A</v>
      </c>
      <c r="S123" s="87">
        <v>1</v>
      </c>
      <c r="T123" s="35">
        <f>Table1[[#This Row],[Progres Total Aktual
(%)]]</f>
        <v>1</v>
      </c>
      <c r="U123" s="124">
        <f>Table1[[#This Row],[Progres Aktual
(%)]]-Table1[[#This Row],[Target Progres
(%)]]</f>
        <v>0</v>
      </c>
      <c r="V123" s="350">
        <f>Table1[[#This Row],["Volume
BA MC-0"]]</f>
        <v>477</v>
      </c>
      <c r="W123" s="351">
        <f>Table1[[#This Row],[Total Panjang Pipa Aktual
(Sum-&gt;)3]]</f>
        <v>477</v>
      </c>
      <c r="X123" s="47"/>
      <c r="Y123" s="67" t="s">
        <v>853</v>
      </c>
      <c r="Z123" s="67">
        <v>886062734</v>
      </c>
      <c r="AA123" s="67">
        <f>ROUND((Table1[[#This Row],[Nilai RAB Jaringan
(Exclude Ppn)]]-Table1[[#This Row],[RAB Perizinan]])*1.11+Table1[[#This Row],[RAB Perizinan]],0)</f>
        <v>0</v>
      </c>
      <c r="AB123" s="320">
        <f>SUM(Table1[[#This Row],[RAB Kegiatan Umum]:[RAB Perizinan]])</f>
        <v>0</v>
      </c>
      <c r="AC123" s="320"/>
      <c r="AD123" s="320"/>
      <c r="AE123" s="320"/>
      <c r="AF123" s="320"/>
      <c r="AG123" s="320">
        <v>38943318</v>
      </c>
      <c r="AH123" s="35" t="e">
        <f>SUM(Table1[[#This Row],[Bobot Keg Umum]:[Bobot Perizinan]])</f>
        <v>#DIV/0!</v>
      </c>
      <c r="AI123" s="35" t="e">
        <f>Table1[[#This Row],[RAB Kegiatan Umum]]/Table1[[#This Row],[Nilai RAB Jaringan
(Exclude Ppn)]]</f>
        <v>#DIV/0!</v>
      </c>
      <c r="AJ123" s="35" t="e">
        <f>Table1[[#This Row],[RAB Pemasangan]]/Table1[[#This Row],[Nilai RAB Jaringan
(Exclude Ppn)]]</f>
        <v>#DIV/0!</v>
      </c>
      <c r="AK123" s="35" t="e">
        <f>Table1[[#This Row],[RAB Pengadaan]]/Table1[[#This Row],[Nilai RAB Jaringan
(Exclude Ppn)]]</f>
        <v>#DIV/0!</v>
      </c>
      <c r="AL123" s="35" t="e">
        <f>Table1[[#This Row],[RAB Perizinan]]/Table1[[#This Row],[Nilai RAB Jaringan
(Exclude Ppn)]]</f>
        <v>#DIV/0!</v>
      </c>
      <c r="AM123" s="47"/>
      <c r="AN123" s="285">
        <v>477</v>
      </c>
      <c r="AO123" s="285">
        <f>SUM(Table1[[#This Row],[Pipa 63 mm]:[Pipa 1,800 mm]])</f>
        <v>0</v>
      </c>
      <c r="AP123" s="285"/>
      <c r="AQ123" s="285"/>
      <c r="AR123" s="285"/>
      <c r="AS123" s="285"/>
      <c r="AT123" s="285"/>
      <c r="AU123" s="285"/>
      <c r="AV123" s="285"/>
      <c r="AW123" s="285"/>
      <c r="AX123" s="285"/>
      <c r="AY123" s="285"/>
      <c r="AZ123" s="285"/>
      <c r="BA123" s="285"/>
      <c r="BB123" s="285"/>
      <c r="BC123" s="285"/>
      <c r="BD123" s="285"/>
      <c r="BE123" s="285"/>
      <c r="BF123" s="285"/>
      <c r="BG123" s="285"/>
      <c r="BH123" s="285"/>
      <c r="BI123" s="285"/>
      <c r="BJ123" s="36">
        <f>SUM(Table1[[#This Row],[Pipa 63 mm2]:[Pipa 1,800 mm21]])</f>
        <v>477</v>
      </c>
      <c r="BK123" s="32">
        <v>477</v>
      </c>
      <c r="BL123" s="32"/>
      <c r="BM123" s="32"/>
      <c r="BN123" s="32"/>
      <c r="BO123" s="32"/>
      <c r="BP123" s="32"/>
      <c r="BQ123" s="32"/>
      <c r="BR123" s="32"/>
      <c r="BS123" s="32"/>
      <c r="BT123" s="32"/>
      <c r="BU123" s="32"/>
      <c r="BV123" s="32"/>
      <c r="BW123" s="32"/>
      <c r="BX123" s="32"/>
      <c r="BY123" s="32"/>
      <c r="BZ123" s="32"/>
      <c r="CA123" s="32"/>
      <c r="CB123" s="32"/>
      <c r="CC123" s="32"/>
      <c r="CD123" s="32"/>
      <c r="CE123" s="32">
        <v>0</v>
      </c>
      <c r="CF123" s="32"/>
      <c r="CG123" s="32"/>
      <c r="CH123" s="32"/>
      <c r="CI123" s="32">
        <f t="shared" si="6"/>
        <v>0</v>
      </c>
      <c r="CJ123" s="65">
        <f>IF((Table1[[#This Row],["Volume
BA MC-0"]]-Table1[[#This Row],[Total Panjang Pipa Aktual
(Sum-&gt;)3]]-Table1[[#This Row],[Total Volume
tidak dapat dipasang]])&gt;=0,Table1[[#This Row],["Volume
BA MC-0"]]-Table1[[#This Row],[Total Panjang Pipa Aktual
(Sum-&gt;)3]]-Table1[[#This Row],[Total Volume
tidak dapat dipasang]],0)</f>
        <v>0</v>
      </c>
      <c r="CK123" s="47"/>
      <c r="CL123" s="131"/>
      <c r="CM123" s="35"/>
      <c r="CN123" s="131"/>
      <c r="CO123" s="131"/>
      <c r="CP12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3" s="66">
        <f>IFERROR(Table1[[#This Row],[Progres Keg. Umum
(%)]]*Table1[[#This Row],[Nilai RAB Jaringan
(file pa aji)]],0)</f>
        <v>0</v>
      </c>
      <c r="CR123" s="66">
        <f>IFERROR(Table1[[#This Row],[Progres MOS
(%)]]*Table1[[#This Row],[Nilai RAB Jaringan
(file pa aji)]],0)</f>
        <v>0</v>
      </c>
      <c r="CS123" s="66">
        <f>IFERROR(Table1[[#This Row],[Progres Pemasangan
(%)]]*Table1[[#This Row],[Nilai RAB Jaringan
(file pa aji)]],0)</f>
        <v>0</v>
      </c>
      <c r="CT123" s="66">
        <f>IFERROR(Table1[[#This Row],[Progres Perizinan
(%)]]*Table1[[#This Row],[Nilai RAB Jaringan
(file pa aji)]],0)</f>
        <v>0</v>
      </c>
      <c r="CU123" s="329">
        <v>731830067</v>
      </c>
      <c r="CV123" s="329">
        <v>731830067</v>
      </c>
      <c r="CW123" s="583">
        <v>731830067</v>
      </c>
      <c r="CX123" s="329">
        <v>731830067</v>
      </c>
      <c r="CY123" s="47"/>
      <c r="CZ123" s="330">
        <v>45530</v>
      </c>
      <c r="DA123" s="330">
        <v>45543</v>
      </c>
      <c r="DB123" s="331"/>
      <c r="DC123" s="316"/>
      <c r="DD123" s="67"/>
      <c r="DE12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3" s="331"/>
      <c r="DG123" s="316"/>
      <c r="DH123" s="67"/>
      <c r="DI12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3" s="330">
        <v>45544</v>
      </c>
      <c r="DK123" s="330">
        <v>45592</v>
      </c>
      <c r="DL123" s="331">
        <v>45542</v>
      </c>
      <c r="DM123" s="425" t="s">
        <v>854</v>
      </c>
      <c r="DN12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3" s="331">
        <v>45586</v>
      </c>
      <c r="DP123" s="426" t="s">
        <v>855</v>
      </c>
      <c r="DQ123" s="338" t="s">
        <v>856</v>
      </c>
      <c r="DR12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23" s="330">
        <v>45544</v>
      </c>
      <c r="DT123" s="330" t="e">
        <v>#N/A</v>
      </c>
      <c r="DU123" s="330">
        <v>45571</v>
      </c>
      <c r="DV123" s="330" t="e">
        <v>#N/A</v>
      </c>
      <c r="DW123" s="331"/>
      <c r="DX123" s="316"/>
      <c r="DY123" s="334"/>
      <c r="DZ123" s="334"/>
      <c r="EA12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3" s="331"/>
      <c r="EC123" s="332"/>
      <c r="ED123" s="332"/>
      <c r="EE123" s="330"/>
      <c r="EF123" s="35">
        <v>1</v>
      </c>
      <c r="EG123" s="337">
        <v>1</v>
      </c>
      <c r="EH123" s="316" t="str">
        <f>IF(Table1[[#This Row],[PO Material Aktual 
(%)]]&gt;=100%,"Selesai PO = 100%",IF(Table1[[#This Row],[PO Material Aktual 
(%)]]&gt;=50%,"Proses PO &gt; 100%",IF(Table1[[#This Row],[PO Material Aktual 
(%)]]&gt;0%,"Proses PO &gt; 50%",IF(Table1[[#This Row],[PO Material Aktual 
(%)]]=0,"Belum PO = 0%"))))</f>
        <v>Selesai PO = 100%</v>
      </c>
      <c r="EI12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3" s="330">
        <v>45572</v>
      </c>
      <c r="EK123" s="330" t="e">
        <v>#N/A</v>
      </c>
      <c r="EL123" s="330">
        <v>45620</v>
      </c>
      <c r="EM123" s="330" t="e">
        <v>#N/A</v>
      </c>
      <c r="EN123" s="331">
        <v>45764</v>
      </c>
      <c r="EO123" s="332"/>
      <c r="EP123" s="332"/>
      <c r="EQ123" s="87">
        <v>1</v>
      </c>
      <c r="ER123" s="87">
        <v>1</v>
      </c>
      <c r="ES123" s="316" t="str">
        <f>IF(Table1[[#This Row],[Progres MOS]]&gt;=100%,"Selesai MOS = 100%",IF(Table1[[#This Row],[Progres MOS]]&gt;=50%,"Proses MOS &gt; 100%",IF(Table1[[#This Row],[Progres MOS]]&gt;0%,"Proses MOS &gt; 50%",IF(Table1[[#This Row],[Progres MOS]]=0,"Belum MOS = 0%"))))</f>
        <v>Selesai MOS = 100%</v>
      </c>
      <c r="ET12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3" s="47"/>
      <c r="EV123" s="330">
        <v>45544</v>
      </c>
      <c r="EW123" s="330" t="e">
        <v>#N/A</v>
      </c>
      <c r="EX123" s="330">
        <v>45620</v>
      </c>
      <c r="EY123" s="330" t="e">
        <v>#N/A</v>
      </c>
      <c r="EZ123" s="352" t="s">
        <v>298</v>
      </c>
      <c r="FA123" s="336" t="s">
        <v>259</v>
      </c>
      <c r="FB123" s="330" t="s">
        <v>260</v>
      </c>
      <c r="FC123" s="330">
        <v>45799</v>
      </c>
      <c r="FD123" s="330" t="s">
        <v>260</v>
      </c>
      <c r="FE123" s="330">
        <v>45875</v>
      </c>
      <c r="FF123" s="330">
        <v>45929</v>
      </c>
      <c r="FG123" s="330" t="s">
        <v>260</v>
      </c>
      <c r="FH123" s="330" t="s">
        <v>260</v>
      </c>
      <c r="FI123" s="330">
        <v>46021</v>
      </c>
      <c r="FJ123" s="330" t="s">
        <v>260</v>
      </c>
      <c r="FK123" s="330">
        <v>46087</v>
      </c>
      <c r="FL123" s="336" t="s">
        <v>298</v>
      </c>
      <c r="FM123" s="336">
        <v>45799</v>
      </c>
      <c r="FN123" s="314">
        <f>IF(Table1[[#This Row],[Tanggal Pengajuan Dokumen]]="","",Table1[[#This Row],[PLAN PERMIT
start]]-Table1[[#This Row],[Tanggal Pengajuan Dokumen]])</f>
        <v>-255</v>
      </c>
      <c r="FO123" s="336"/>
      <c r="FP123" s="316"/>
      <c r="FQ123" s="338"/>
      <c r="FR123" s="352"/>
      <c r="FS123" s="338" t="str">
        <f t="shared" si="8"/>
        <v>Sudah Terbit</v>
      </c>
      <c r="FT12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3" s="344">
        <f ca="1">IF(Table1[[#This Row],[Status Izin]]="Selesai",Table1[[#This Row],[PLAN PERMIT
finish]]-Table1[[#This Row],[Tanggal Terbit/ Target Izin Terbit]],ROUNDUP(Table1[[#This Row],[PLAN PERMIT
finish]]-NOW(),0))</f>
        <v>45620</v>
      </c>
      <c r="FV12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3" s="344"/>
      <c r="FX123" s="47"/>
      <c r="FY123" s="340"/>
      <c r="FZ123" s="341"/>
      <c r="GA12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3" s="330">
        <v>45594</v>
      </c>
      <c r="GC123" s="352">
        <v>45610</v>
      </c>
      <c r="GD12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3" s="330">
        <v>45601</v>
      </c>
      <c r="GF123" s="352">
        <v>45610</v>
      </c>
      <c r="GG12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3" s="330">
        <v>45607</v>
      </c>
      <c r="GI123" s="330">
        <v>45613</v>
      </c>
      <c r="GJ123" s="352">
        <v>45553</v>
      </c>
      <c r="GK12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3" s="330">
        <v>45621</v>
      </c>
      <c r="GM123" s="330" t="e">
        <v>#N/A</v>
      </c>
      <c r="GN123" s="330">
        <v>45641</v>
      </c>
      <c r="GO123" s="330" t="e">
        <v>#N/A</v>
      </c>
      <c r="GP123" s="316"/>
      <c r="GQ12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3" s="330" t="s">
        <v>261</v>
      </c>
      <c r="GS123" s="421" t="s">
        <v>261</v>
      </c>
      <c r="GT123" s="427">
        <v>45642</v>
      </c>
      <c r="GU123" s="423" t="str">
        <f>IF(Table1[[#This Row],[Hydro Tes Actual
(tanggal)]]&lt;&gt;"","Sudah","Belum")</f>
        <v>Sudah</v>
      </c>
      <c r="GV123" s="330" t="s">
        <v>261</v>
      </c>
      <c r="GW123" s="330" t="s">
        <v>261</v>
      </c>
      <c r="GX123" s="331"/>
      <c r="GY123" s="344" t="str">
        <f>IF(Table1[[#This Row],[Interkoneksi Actual
(tanggal)]]&lt;&gt;"","Sudah","Belum")</f>
        <v>Belum</v>
      </c>
      <c r="GZ123" s="330" t="s">
        <v>261</v>
      </c>
      <c r="HA123" s="421" t="s">
        <v>261</v>
      </c>
      <c r="HB123" s="424">
        <v>45668</v>
      </c>
      <c r="HC123" s="344" t="str">
        <f>IF(Table1[[#This Row],[Flushing Actual
(tanggal)]]&lt;&gt;"","Sudah","Belum")</f>
        <v>Sudah</v>
      </c>
      <c r="HD123" s="330">
        <v>45628</v>
      </c>
      <c r="HE123" s="330" t="e">
        <v>#N/A</v>
      </c>
      <c r="HF123" s="330">
        <v>45634</v>
      </c>
      <c r="HG123" s="352">
        <v>45671</v>
      </c>
      <c r="HH12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3" s="330" t="s">
        <v>261</v>
      </c>
      <c r="HJ123" s="330" t="s">
        <v>261</v>
      </c>
      <c r="HK123" s="331"/>
      <c r="HL123" s="316"/>
      <c r="HM123" s="330">
        <v>45646</v>
      </c>
      <c r="HN123" s="330">
        <v>45646</v>
      </c>
      <c r="HO123" s="330" t="e">
        <v>#N/A</v>
      </c>
      <c r="HP123" s="331">
        <v>45733</v>
      </c>
      <c r="HQ12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23" s="330">
        <v>45653</v>
      </c>
      <c r="HS123" s="330"/>
      <c r="HT123" s="330">
        <v>45653</v>
      </c>
      <c r="HU123" s="527"/>
      <c r="HV123" s="330">
        <f>IF(Table1[[#This Row],[MC-100 Aktual
(tanggal)]]&lt;&gt;"",Table1[[#This Row],[MC-100 Aktual
(tanggal)]]+5,"")</f>
        <v>45738</v>
      </c>
      <c r="HW12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23" s="47"/>
      <c r="HY123" s="352"/>
      <c r="HZ123" s="352"/>
      <c r="IB123" s="618">
        <f>IFERROR(ROUND((Table1[[#This Row],[PLAN TC
finish]]-Table1[[#This Row],[PLAN MC-0
start]])/30,2),"")</f>
        <v>0.9</v>
      </c>
      <c r="IC123">
        <f>DATEDIF(Table1[[#This Row],[PLAN MC-0
start]],Table1[[#This Row],[PLAN TC
finish]],"m")</f>
        <v>0</v>
      </c>
    </row>
    <row r="124" spans="1:237" s="4" customFormat="1" ht="15" customHeight="1" x14ac:dyDescent="0.2">
      <c r="B124" s="311">
        <f>SUBTOTAL(3,$D$5:D124)</f>
        <v>81</v>
      </c>
      <c r="C124" s="348">
        <v>120</v>
      </c>
      <c r="D124" s="315" t="s">
        <v>673</v>
      </c>
      <c r="E124" s="315" t="s">
        <v>857</v>
      </c>
      <c r="F124" s="315" t="s">
        <v>858</v>
      </c>
      <c r="G124" s="349">
        <v>45752</v>
      </c>
      <c r="H124" s="338" t="s">
        <v>681</v>
      </c>
      <c r="I124" s="315" t="s">
        <v>278</v>
      </c>
      <c r="J124" s="315"/>
      <c r="K124" s="338" t="s">
        <v>676</v>
      </c>
      <c r="L124" s="316" t="s">
        <v>250</v>
      </c>
      <c r="M124" s="316" t="s">
        <v>269</v>
      </c>
      <c r="N124" s="107">
        <v>21</v>
      </c>
      <c r="O124" s="31" t="s">
        <v>252</v>
      </c>
      <c r="P124"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4" s="87" t="e">
        <v>#N/A</v>
      </c>
      <c r="S124" s="87">
        <v>1</v>
      </c>
      <c r="T124" s="35">
        <f>Table1[[#This Row],[Progres Total Aktual
(%)]]</f>
        <v>1</v>
      </c>
      <c r="U124" s="124">
        <f>Table1[[#This Row],[Progres Aktual
(%)]]-Table1[[#This Row],[Target Progres
(%)]]</f>
        <v>0</v>
      </c>
      <c r="V124" s="350">
        <f>Table1[[#This Row],["Volume
BA MC-0"]]</f>
        <v>12</v>
      </c>
      <c r="W124" s="351">
        <f>Table1[[#This Row],[Total Panjang Pipa Aktual
(Sum-&gt;)3]]</f>
        <v>12</v>
      </c>
      <c r="X124" s="47"/>
      <c r="Y124" s="67" t="s">
        <v>859</v>
      </c>
      <c r="Z124" s="67">
        <v>163355494</v>
      </c>
      <c r="AA124" s="67">
        <f>ROUND((Table1[[#This Row],[Nilai RAB Jaringan
(Exclude Ppn)]]-Table1[[#This Row],[RAB Perizinan]])*1.11+Table1[[#This Row],[RAB Perizinan]],0)</f>
        <v>0</v>
      </c>
      <c r="AB124" s="320">
        <f>SUM(Table1[[#This Row],[RAB Kegiatan Umum]:[RAB Perizinan]])</f>
        <v>0</v>
      </c>
      <c r="AC124" s="320"/>
      <c r="AD124" s="320"/>
      <c r="AE124" s="320"/>
      <c r="AF124" s="320"/>
      <c r="AG124" s="320">
        <v>0</v>
      </c>
      <c r="AH124" s="35" t="e">
        <f>SUM(Table1[[#This Row],[Bobot Keg Umum]:[Bobot Perizinan]])</f>
        <v>#DIV/0!</v>
      </c>
      <c r="AI124" s="35" t="e">
        <f>Table1[[#This Row],[RAB Kegiatan Umum]]/Table1[[#This Row],[Nilai RAB Jaringan
(Exclude Ppn)]]</f>
        <v>#DIV/0!</v>
      </c>
      <c r="AJ124" s="35" t="e">
        <f>Table1[[#This Row],[RAB Pemasangan]]/Table1[[#This Row],[Nilai RAB Jaringan
(Exclude Ppn)]]</f>
        <v>#DIV/0!</v>
      </c>
      <c r="AK124" s="35" t="e">
        <f>Table1[[#This Row],[RAB Pengadaan]]/Table1[[#This Row],[Nilai RAB Jaringan
(Exclude Ppn)]]</f>
        <v>#DIV/0!</v>
      </c>
      <c r="AL124" s="35" t="e">
        <f>Table1[[#This Row],[RAB Perizinan]]/Table1[[#This Row],[Nilai RAB Jaringan
(Exclude Ppn)]]</f>
        <v>#DIV/0!</v>
      </c>
      <c r="AM124" s="47"/>
      <c r="AN124" s="285">
        <v>12</v>
      </c>
      <c r="AO124" s="285">
        <f>SUM(Table1[[#This Row],[Pipa 63 mm]:[Pipa 1,800 mm]])</f>
        <v>0</v>
      </c>
      <c r="AP124" s="285"/>
      <c r="AQ124" s="285"/>
      <c r="AR124" s="285"/>
      <c r="AS124" s="285"/>
      <c r="AT124" s="285"/>
      <c r="AU124" s="285"/>
      <c r="AV124" s="285"/>
      <c r="AW124" s="285"/>
      <c r="AX124" s="285"/>
      <c r="AY124" s="285"/>
      <c r="AZ124" s="285"/>
      <c r="BA124" s="285"/>
      <c r="BB124" s="285"/>
      <c r="BC124" s="285"/>
      <c r="BD124" s="285"/>
      <c r="BE124" s="285"/>
      <c r="BF124" s="285"/>
      <c r="BG124" s="285"/>
      <c r="BH124" s="285"/>
      <c r="BI124" s="285"/>
      <c r="BJ124" s="36">
        <f>SUM(Table1[[#This Row],[Pipa 63 mm2]:[Pipa 1,800 mm21]])</f>
        <v>12</v>
      </c>
      <c r="BK124" s="32"/>
      <c r="BL124" s="32"/>
      <c r="BM124" s="32"/>
      <c r="BN124" s="32">
        <v>12</v>
      </c>
      <c r="BO124" s="32"/>
      <c r="BP124" s="32"/>
      <c r="BQ124" s="32"/>
      <c r="BR124" s="32"/>
      <c r="BS124" s="32"/>
      <c r="BT124" s="32"/>
      <c r="BU124" s="32"/>
      <c r="BV124" s="32"/>
      <c r="BW124" s="32"/>
      <c r="BX124" s="32"/>
      <c r="BY124" s="32"/>
      <c r="BZ124" s="32"/>
      <c r="CA124" s="32"/>
      <c r="CB124" s="32"/>
      <c r="CC124" s="32"/>
      <c r="CD124" s="32"/>
      <c r="CE124" s="32">
        <v>0</v>
      </c>
      <c r="CF124" s="32"/>
      <c r="CG124" s="32"/>
      <c r="CH124" s="32"/>
      <c r="CI124" s="32">
        <f t="shared" si="6"/>
        <v>0</v>
      </c>
      <c r="CJ124" s="65">
        <f>IF((Table1[[#This Row],["Volume
BA MC-0"]]-Table1[[#This Row],[Total Panjang Pipa Aktual
(Sum-&gt;)3]]-Table1[[#This Row],[Total Volume
tidak dapat dipasang]])&gt;=0,Table1[[#This Row],["Volume
BA MC-0"]]-Table1[[#This Row],[Total Panjang Pipa Aktual
(Sum-&gt;)3]]-Table1[[#This Row],[Total Volume
tidak dapat dipasang]],0)</f>
        <v>0</v>
      </c>
      <c r="CK124" s="47"/>
      <c r="CL124" s="131"/>
      <c r="CM124" s="35"/>
      <c r="CN124" s="131"/>
      <c r="CO124" s="131"/>
      <c r="CP12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4" s="66">
        <f>IFERROR(Table1[[#This Row],[Progres Keg. Umum
(%)]]*Table1[[#This Row],[Nilai RAB Jaringan
(file pa aji)]],0)</f>
        <v>0</v>
      </c>
      <c r="CR124" s="66">
        <f>IFERROR(Table1[[#This Row],[Progres MOS
(%)]]*Table1[[#This Row],[Nilai RAB Jaringan
(file pa aji)]],0)</f>
        <v>0</v>
      </c>
      <c r="CS124" s="66">
        <f>IFERROR(Table1[[#This Row],[Progres Pemasangan
(%)]]*Table1[[#This Row],[Nilai RAB Jaringan
(file pa aji)]],0)</f>
        <v>0</v>
      </c>
      <c r="CT124" s="66">
        <f>IFERROR(Table1[[#This Row],[Progres Perizinan
(%)]]*Table1[[#This Row],[Nilai RAB Jaringan
(file pa aji)]],0)</f>
        <v>0</v>
      </c>
      <c r="CU124" s="329">
        <v>97188035</v>
      </c>
      <c r="CV124" s="329">
        <v>97188035</v>
      </c>
      <c r="CW124" s="583">
        <v>97188035</v>
      </c>
      <c r="CX124" s="329">
        <v>97188035</v>
      </c>
      <c r="CY124" s="47"/>
      <c r="CZ124" s="330">
        <v>45530</v>
      </c>
      <c r="DA124" s="330">
        <v>45550</v>
      </c>
      <c r="DB124" s="331"/>
      <c r="DC124" s="316"/>
      <c r="DD124" s="67"/>
      <c r="DE12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4" s="331"/>
      <c r="DG124" s="316"/>
      <c r="DH124" s="67"/>
      <c r="DI12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4" s="330">
        <v>45551</v>
      </c>
      <c r="DK124" s="330">
        <v>45592</v>
      </c>
      <c r="DL124" s="331">
        <v>45357</v>
      </c>
      <c r="DM124" s="425" t="s">
        <v>860</v>
      </c>
      <c r="DN12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4" s="331">
        <v>45369</v>
      </c>
      <c r="DP124" s="426" t="s">
        <v>684</v>
      </c>
      <c r="DQ124" s="338" t="s">
        <v>685</v>
      </c>
      <c r="DR12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24" s="330">
        <v>45551</v>
      </c>
      <c r="DT124" s="330" t="e">
        <v>#N/A</v>
      </c>
      <c r="DU124" s="330">
        <v>45585</v>
      </c>
      <c r="DV124" s="330" t="e">
        <v>#N/A</v>
      </c>
      <c r="DW124" s="331"/>
      <c r="DX124" s="316"/>
      <c r="DY124" s="334"/>
      <c r="DZ124" s="334"/>
      <c r="EA12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4" s="331"/>
      <c r="EC124" s="332"/>
      <c r="ED124" s="332"/>
      <c r="EE124" s="330"/>
      <c r="EF124" s="35">
        <v>1</v>
      </c>
      <c r="EG124" s="337">
        <v>1</v>
      </c>
      <c r="EH124" s="316" t="str">
        <f>IF(Table1[[#This Row],[PO Material Aktual 
(%)]]&gt;=100%,"Selesai PO = 100%",IF(Table1[[#This Row],[PO Material Aktual 
(%)]]&gt;=50%,"Proses PO &gt; 100%",IF(Table1[[#This Row],[PO Material Aktual 
(%)]]&gt;0%,"Proses PO &gt; 50%",IF(Table1[[#This Row],[PO Material Aktual 
(%)]]=0,"Belum PO = 0%"))))</f>
        <v>Selesai PO = 100%</v>
      </c>
      <c r="EI12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4" s="330">
        <v>45586</v>
      </c>
      <c r="EK124" s="330" t="e">
        <v>#N/A</v>
      </c>
      <c r="EL124" s="330">
        <v>45634</v>
      </c>
      <c r="EM124" s="330" t="e">
        <v>#N/A</v>
      </c>
      <c r="EN124" s="331">
        <v>45911</v>
      </c>
      <c r="EO124" s="332"/>
      <c r="EP124" s="332"/>
      <c r="EQ124" s="87">
        <v>1</v>
      </c>
      <c r="ER124" s="87">
        <v>1</v>
      </c>
      <c r="ES124" s="316" t="str">
        <f>IF(Table1[[#This Row],[Progres MOS]]&gt;=100%,"Selesai MOS = 100%",IF(Table1[[#This Row],[Progres MOS]]&gt;=50%,"Proses MOS &gt; 100%",IF(Table1[[#This Row],[Progres MOS]]&gt;0%,"Proses MOS &gt; 50%",IF(Table1[[#This Row],[Progres MOS]]=0,"Belum MOS = 0%"))))</f>
        <v>Selesai MOS = 100%</v>
      </c>
      <c r="ET12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4" s="47"/>
      <c r="EV124" s="330">
        <v>45551</v>
      </c>
      <c r="EW124" s="330" t="e">
        <v>#N/A</v>
      </c>
      <c r="EX124" s="330">
        <v>45620</v>
      </c>
      <c r="EY124" s="330" t="e">
        <v>#N/A</v>
      </c>
      <c r="EZ124" s="352" t="s">
        <v>259</v>
      </c>
      <c r="FA124" s="336" t="s">
        <v>259</v>
      </c>
      <c r="FB124" s="330" t="s">
        <v>260</v>
      </c>
      <c r="FC124" s="330">
        <v>45820</v>
      </c>
      <c r="FD124" s="330" t="s">
        <v>260</v>
      </c>
      <c r="FE124" s="330"/>
      <c r="FF124" s="330">
        <v>45846</v>
      </c>
      <c r="FG124" s="330" t="s">
        <v>260</v>
      </c>
      <c r="FH124" s="330" t="s">
        <v>260</v>
      </c>
      <c r="FI124" s="330"/>
      <c r="FJ124" s="330" t="s">
        <v>260</v>
      </c>
      <c r="FK124" s="330">
        <v>45946</v>
      </c>
      <c r="FL124" s="336" t="s">
        <v>259</v>
      </c>
      <c r="FM124" s="336">
        <v>45820</v>
      </c>
      <c r="FN124" s="314">
        <f>IF(Table1[[#This Row],[Tanggal Pengajuan Dokumen]]="","",Table1[[#This Row],[PLAN PERMIT
start]]-Table1[[#This Row],[Tanggal Pengajuan Dokumen]])</f>
        <v>-269</v>
      </c>
      <c r="FO124" s="336">
        <v>45946</v>
      </c>
      <c r="FP124" s="316"/>
      <c r="FQ124" s="338"/>
      <c r="FR124" s="352"/>
      <c r="FS124" s="338" t="str">
        <f t="shared" si="8"/>
        <v>Sudah Terbit</v>
      </c>
      <c r="FT12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4" s="344">
        <f ca="1">IF(Table1[[#This Row],[Status Izin]]="Selesai",Table1[[#This Row],[PLAN PERMIT
finish]]-Table1[[#This Row],[Tanggal Terbit/ Target Izin Terbit]],ROUNDUP(Table1[[#This Row],[PLAN PERMIT
finish]]-NOW(),0))</f>
        <v>-326</v>
      </c>
      <c r="FV12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4" s="344"/>
      <c r="FX124" s="47"/>
      <c r="FY124" s="340"/>
      <c r="FZ124" s="341"/>
      <c r="GA12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4" s="330">
        <v>45594</v>
      </c>
      <c r="GC124" s="352">
        <v>45322</v>
      </c>
      <c r="GD12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4" s="330">
        <v>45601</v>
      </c>
      <c r="GF124" s="352">
        <v>45322</v>
      </c>
      <c r="GG12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4" s="330">
        <v>45607</v>
      </c>
      <c r="GI124" s="330">
        <v>45613</v>
      </c>
      <c r="GJ124" s="352">
        <v>45338</v>
      </c>
      <c r="GK12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4" s="330">
        <v>45621</v>
      </c>
      <c r="GM124" s="330" t="e">
        <v>#N/A</v>
      </c>
      <c r="GN124" s="330">
        <v>45662</v>
      </c>
      <c r="GO124" s="330" t="e">
        <v>#N/A</v>
      </c>
      <c r="GP124" s="316"/>
      <c r="GQ12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4" s="330" t="s">
        <v>261</v>
      </c>
      <c r="GS124" s="421" t="s">
        <v>261</v>
      </c>
      <c r="GT124" s="431">
        <v>45425</v>
      </c>
      <c r="GU124" s="423" t="str">
        <f>IF(Table1[[#This Row],[Hydro Tes Actual
(tanggal)]]&lt;&gt;"","Sudah","Belum")</f>
        <v>Sudah</v>
      </c>
      <c r="GV124" s="330" t="s">
        <v>261</v>
      </c>
      <c r="GW124" s="330" t="s">
        <v>261</v>
      </c>
      <c r="GX124" s="331"/>
      <c r="GY124" s="344" t="str">
        <f>IF(Table1[[#This Row],[Interkoneksi Actual
(tanggal)]]&lt;&gt;"","Sudah","Belum")</f>
        <v>Belum</v>
      </c>
      <c r="GZ124" s="330" t="s">
        <v>261</v>
      </c>
      <c r="HA124" s="421" t="s">
        <v>261</v>
      </c>
      <c r="HB124" s="432">
        <v>45468</v>
      </c>
      <c r="HC124" s="344" t="str">
        <f>IF(Table1[[#This Row],[Flushing Actual
(tanggal)]]&lt;&gt;"","Sudah","Belum")</f>
        <v>Sudah</v>
      </c>
      <c r="HD124" s="330">
        <v>45649</v>
      </c>
      <c r="HE124" s="330" t="e">
        <v>#N/A</v>
      </c>
      <c r="HF124" s="330">
        <v>45655</v>
      </c>
      <c r="HG124" s="352">
        <v>45559</v>
      </c>
      <c r="HH12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24" s="330" t="s">
        <v>261</v>
      </c>
      <c r="HJ124" s="330" t="s">
        <v>261</v>
      </c>
      <c r="HK124" s="331"/>
      <c r="HL124" s="316"/>
      <c r="HM124" s="330">
        <v>45674</v>
      </c>
      <c r="HN124" s="330">
        <v>45674</v>
      </c>
      <c r="HO124" s="330" t="e">
        <v>#N/A</v>
      </c>
      <c r="HP124" s="331">
        <v>45735</v>
      </c>
      <c r="HQ12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24" s="330">
        <v>45681</v>
      </c>
      <c r="HS124" s="330"/>
      <c r="HT124" s="330">
        <v>45681</v>
      </c>
      <c r="HU124" s="527"/>
      <c r="HV124" s="330">
        <f>IF(Table1[[#This Row],[MC-100 Aktual
(tanggal)]]&lt;&gt;"",Table1[[#This Row],[MC-100 Aktual
(tanggal)]]+5,"")</f>
        <v>45740</v>
      </c>
      <c r="HW12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24" s="47"/>
      <c r="HY124" s="352"/>
      <c r="HZ124" s="352"/>
      <c r="IB124" s="618">
        <f>IFERROR(ROUND((Table1[[#This Row],[PLAN TC
finish]]-Table1[[#This Row],[PLAN MC-0
start]])/30,2),"")</f>
        <v>1.6</v>
      </c>
      <c r="IC124">
        <f>DATEDIF(Table1[[#This Row],[PLAN MC-0
start]],Table1[[#This Row],[PLAN TC
finish]],"m")</f>
        <v>1</v>
      </c>
    </row>
    <row r="125" spans="1:237" s="4" customFormat="1" ht="15" customHeight="1" x14ac:dyDescent="0.2">
      <c r="B125" s="311">
        <f>SUBTOTAL(3,$D$5:D125)</f>
        <v>82</v>
      </c>
      <c r="C125" s="348">
        <v>121</v>
      </c>
      <c r="D125" s="315" t="s">
        <v>673</v>
      </c>
      <c r="E125" s="315" t="s">
        <v>861</v>
      </c>
      <c r="F125" s="315" t="s">
        <v>862</v>
      </c>
      <c r="G125" s="349">
        <v>45752</v>
      </c>
      <c r="H125" s="314" t="s">
        <v>247</v>
      </c>
      <c r="I125" s="315" t="s">
        <v>278</v>
      </c>
      <c r="J125" s="315"/>
      <c r="K125" s="338" t="s">
        <v>676</v>
      </c>
      <c r="L125" s="316" t="s">
        <v>250</v>
      </c>
      <c r="M125" s="316" t="s">
        <v>269</v>
      </c>
      <c r="N125" s="107">
        <v>1123</v>
      </c>
      <c r="O125" s="31" t="s">
        <v>252</v>
      </c>
      <c r="P125"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5" s="87" t="e">
        <v>#N/A</v>
      </c>
      <c r="S125" s="87">
        <v>1</v>
      </c>
      <c r="T125" s="35">
        <f>Table1[[#This Row],[Progres Total Aktual
(%)]]</f>
        <v>1</v>
      </c>
      <c r="U125" s="124">
        <f>Table1[[#This Row],[Progres Aktual
(%)]]-Table1[[#This Row],[Target Progres
(%)]]</f>
        <v>0</v>
      </c>
      <c r="V125" s="350">
        <f>Table1[[#This Row],["Volume
BA MC-0"]]</f>
        <v>1131</v>
      </c>
      <c r="W125" s="351">
        <f>Table1[[#This Row],[Total Panjang Pipa Aktual
(Sum-&gt;)3]]</f>
        <v>1128</v>
      </c>
      <c r="X125" s="47"/>
      <c r="Y125" s="67" t="s">
        <v>863</v>
      </c>
      <c r="Z125" s="67">
        <v>1477826505</v>
      </c>
      <c r="AA125" s="67">
        <f>ROUND((Table1[[#This Row],[Nilai RAB Jaringan
(Exclude Ppn)]]-Table1[[#This Row],[RAB Perizinan]])*1.11+Table1[[#This Row],[RAB Perizinan]],0)</f>
        <v>0</v>
      </c>
      <c r="AB125" s="320">
        <f>SUM(Table1[[#This Row],[RAB Kegiatan Umum]:[RAB Perizinan]])</f>
        <v>0</v>
      </c>
      <c r="AC125" s="320"/>
      <c r="AD125" s="320"/>
      <c r="AE125" s="320"/>
      <c r="AF125" s="320"/>
      <c r="AG125" s="320">
        <v>147574678</v>
      </c>
      <c r="AH125" s="35" t="e">
        <f>SUM(Table1[[#This Row],[Bobot Keg Umum]:[Bobot Perizinan]])</f>
        <v>#DIV/0!</v>
      </c>
      <c r="AI125" s="35" t="e">
        <f>Table1[[#This Row],[RAB Kegiatan Umum]]/Table1[[#This Row],[Nilai RAB Jaringan
(Exclude Ppn)]]</f>
        <v>#DIV/0!</v>
      </c>
      <c r="AJ125" s="35" t="e">
        <f>Table1[[#This Row],[RAB Pemasangan]]/Table1[[#This Row],[Nilai RAB Jaringan
(Exclude Ppn)]]</f>
        <v>#DIV/0!</v>
      </c>
      <c r="AK125" s="35" t="e">
        <f>Table1[[#This Row],[RAB Pengadaan]]/Table1[[#This Row],[Nilai RAB Jaringan
(Exclude Ppn)]]</f>
        <v>#DIV/0!</v>
      </c>
      <c r="AL125" s="35" t="e">
        <f>Table1[[#This Row],[RAB Perizinan]]/Table1[[#This Row],[Nilai RAB Jaringan
(Exclude Ppn)]]</f>
        <v>#DIV/0!</v>
      </c>
      <c r="AM125" s="47"/>
      <c r="AN125" s="285">
        <v>1131</v>
      </c>
      <c r="AO125" s="285">
        <f>SUM(Table1[[#This Row],[Pipa 63 mm]:[Pipa 1,800 mm]])</f>
        <v>0</v>
      </c>
      <c r="AP125" s="285"/>
      <c r="AQ125" s="285"/>
      <c r="AR125" s="285"/>
      <c r="AS125" s="285"/>
      <c r="AT125" s="285"/>
      <c r="AU125" s="285"/>
      <c r="AV125" s="285"/>
      <c r="AW125" s="285"/>
      <c r="AX125" s="285"/>
      <c r="AY125" s="285"/>
      <c r="AZ125" s="285"/>
      <c r="BA125" s="285"/>
      <c r="BB125" s="285"/>
      <c r="BC125" s="285"/>
      <c r="BD125" s="285"/>
      <c r="BE125" s="285"/>
      <c r="BF125" s="285"/>
      <c r="BG125" s="285"/>
      <c r="BH125" s="285"/>
      <c r="BI125" s="285"/>
      <c r="BJ125" s="36">
        <f>SUM(Table1[[#This Row],[Pipa 63 mm2]:[Pipa 1,800 mm21]])</f>
        <v>1128</v>
      </c>
      <c r="BK125" s="32">
        <v>1128</v>
      </c>
      <c r="BL125" s="32"/>
      <c r="BM125" s="32"/>
      <c r="BN125" s="32"/>
      <c r="BO125" s="32"/>
      <c r="BP125" s="32"/>
      <c r="BQ125" s="32"/>
      <c r="BR125" s="32"/>
      <c r="BS125" s="32"/>
      <c r="BT125" s="32"/>
      <c r="BU125" s="32"/>
      <c r="BV125" s="32"/>
      <c r="BW125" s="32"/>
      <c r="BX125" s="32"/>
      <c r="BY125" s="32"/>
      <c r="BZ125" s="32"/>
      <c r="CA125" s="32"/>
      <c r="CB125" s="32"/>
      <c r="CC125" s="32"/>
      <c r="CD125" s="32"/>
      <c r="CE125" s="32">
        <v>0</v>
      </c>
      <c r="CF125" s="32"/>
      <c r="CG125" s="32"/>
      <c r="CH125" s="32"/>
      <c r="CI125" s="32">
        <f t="shared" si="6"/>
        <v>0</v>
      </c>
      <c r="CJ125" s="65">
        <f>IF((Table1[[#This Row],["Volume
BA MC-0"]]-Table1[[#This Row],[Total Panjang Pipa Aktual
(Sum-&gt;)3]]-Table1[[#This Row],[Total Volume
tidak dapat dipasang]])&gt;=0,Table1[[#This Row],["Volume
BA MC-0"]]-Table1[[#This Row],[Total Panjang Pipa Aktual
(Sum-&gt;)3]]-Table1[[#This Row],[Total Volume
tidak dapat dipasang]],0)</f>
        <v>3</v>
      </c>
      <c r="CK125" s="47"/>
      <c r="CL125" s="131"/>
      <c r="CM125" s="35"/>
      <c r="CN125" s="131"/>
      <c r="CO125" s="131"/>
      <c r="CP12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5" s="66">
        <f>IFERROR(Table1[[#This Row],[Progres Keg. Umum
(%)]]*Table1[[#This Row],[Nilai RAB Jaringan
(file pa aji)]],0)</f>
        <v>0</v>
      </c>
      <c r="CR125" s="66">
        <f>IFERROR(Table1[[#This Row],[Progres MOS
(%)]]*Table1[[#This Row],[Nilai RAB Jaringan
(file pa aji)]],0)</f>
        <v>0</v>
      </c>
      <c r="CS125" s="66">
        <f>IFERROR(Table1[[#This Row],[Progres Pemasangan
(%)]]*Table1[[#This Row],[Nilai RAB Jaringan
(file pa aji)]],0)</f>
        <v>0</v>
      </c>
      <c r="CT125" s="66">
        <f>IFERROR(Table1[[#This Row],[Progres Perizinan
(%)]]*Table1[[#This Row],[Nilai RAB Jaringan
(file pa aji)]],0)</f>
        <v>0</v>
      </c>
      <c r="CU125" s="329">
        <v>1486837155</v>
      </c>
      <c r="CV125" s="329">
        <v>1486837155</v>
      </c>
      <c r="CW125" s="583">
        <v>1486837155</v>
      </c>
      <c r="CX125" s="329">
        <v>1486837155</v>
      </c>
      <c r="CY125" s="47"/>
      <c r="CZ125" s="330">
        <v>45530</v>
      </c>
      <c r="DA125" s="330">
        <v>45543</v>
      </c>
      <c r="DB125" s="331"/>
      <c r="DC125" s="316"/>
      <c r="DD125" s="67"/>
      <c r="DE12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5" s="331"/>
      <c r="DG125" s="316"/>
      <c r="DH125" s="67"/>
      <c r="DI12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5" s="330">
        <v>45544</v>
      </c>
      <c r="DK125" s="330">
        <v>45592</v>
      </c>
      <c r="DL125" s="331">
        <v>45542</v>
      </c>
      <c r="DM125" s="425" t="s">
        <v>864</v>
      </c>
      <c r="DN12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5" s="331">
        <v>45736</v>
      </c>
      <c r="DP125" s="426" t="s">
        <v>865</v>
      </c>
      <c r="DQ125" s="338" t="s">
        <v>501</v>
      </c>
      <c r="DR12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5" s="330">
        <v>45544</v>
      </c>
      <c r="DT125" s="330" t="e">
        <v>#N/A</v>
      </c>
      <c r="DU125" s="330">
        <v>45571</v>
      </c>
      <c r="DV125" s="330" t="e">
        <v>#N/A</v>
      </c>
      <c r="DW125" s="331"/>
      <c r="DX125" s="316"/>
      <c r="DY125" s="334"/>
      <c r="DZ125" s="334"/>
      <c r="EA12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5" s="331"/>
      <c r="EC125" s="332"/>
      <c r="ED125" s="332"/>
      <c r="EE125" s="330"/>
      <c r="EF125" s="35">
        <v>1</v>
      </c>
      <c r="EG125" s="337">
        <v>1</v>
      </c>
      <c r="EH125" s="316" t="str">
        <f>IF(Table1[[#This Row],[PO Material Aktual 
(%)]]&gt;=100%,"Selesai PO = 100%",IF(Table1[[#This Row],[PO Material Aktual 
(%)]]&gt;=50%,"Proses PO &gt; 100%",IF(Table1[[#This Row],[PO Material Aktual 
(%)]]&gt;0%,"Proses PO &gt; 50%",IF(Table1[[#This Row],[PO Material Aktual 
(%)]]=0,"Belum PO = 0%"))))</f>
        <v>Selesai PO = 100%</v>
      </c>
      <c r="EI12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5" s="330">
        <v>45572</v>
      </c>
      <c r="EK125" s="330" t="e">
        <v>#N/A</v>
      </c>
      <c r="EL125" s="330">
        <v>45620</v>
      </c>
      <c r="EM125" s="330" t="e">
        <v>#N/A</v>
      </c>
      <c r="EN125" s="331">
        <v>45759</v>
      </c>
      <c r="EO125" s="332"/>
      <c r="EP125" s="332"/>
      <c r="EQ125" s="87">
        <v>1</v>
      </c>
      <c r="ER125" s="87">
        <v>1</v>
      </c>
      <c r="ES125" s="316" t="str">
        <f>IF(Table1[[#This Row],[Progres MOS]]&gt;=100%,"Selesai MOS = 100%",IF(Table1[[#This Row],[Progres MOS]]&gt;=50%,"Proses MOS &gt; 100%",IF(Table1[[#This Row],[Progres MOS]]&gt;0%,"Proses MOS &gt; 50%",IF(Table1[[#This Row],[Progres MOS]]=0,"Belum MOS = 0%"))))</f>
        <v>Selesai MOS = 100%</v>
      </c>
      <c r="ET12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5" s="47"/>
      <c r="EV125" s="330">
        <v>45544</v>
      </c>
      <c r="EW125" s="330" t="e">
        <v>#N/A</v>
      </c>
      <c r="EX125" s="330">
        <v>45620</v>
      </c>
      <c r="EY125" s="330" t="e">
        <v>#N/A</v>
      </c>
      <c r="EZ125" s="352" t="s">
        <v>298</v>
      </c>
      <c r="FA125" s="336" t="s">
        <v>259</v>
      </c>
      <c r="FB125" s="330" t="s">
        <v>260</v>
      </c>
      <c r="FC125" s="330">
        <v>45799</v>
      </c>
      <c r="FD125" s="330" t="s">
        <v>260</v>
      </c>
      <c r="FE125" s="330">
        <v>45875</v>
      </c>
      <c r="FF125" s="330">
        <v>45929</v>
      </c>
      <c r="FG125" s="330" t="s">
        <v>260</v>
      </c>
      <c r="FH125" s="330" t="s">
        <v>260</v>
      </c>
      <c r="FI125" s="330">
        <v>46021</v>
      </c>
      <c r="FJ125" s="330" t="s">
        <v>260</v>
      </c>
      <c r="FK125" s="330">
        <v>46087</v>
      </c>
      <c r="FL125" s="336" t="s">
        <v>298</v>
      </c>
      <c r="FM125" s="336">
        <v>45799</v>
      </c>
      <c r="FN125" s="314">
        <f>IF(Table1[[#This Row],[Tanggal Pengajuan Dokumen]]="","",Table1[[#This Row],[PLAN PERMIT
start]]-Table1[[#This Row],[Tanggal Pengajuan Dokumen]])</f>
        <v>-255</v>
      </c>
      <c r="FO125" s="336"/>
      <c r="FP125" s="316"/>
      <c r="FQ125" s="338"/>
      <c r="FR125" s="352"/>
      <c r="FS125" s="338" t="str">
        <f t="shared" si="8"/>
        <v>Sudah Terbit</v>
      </c>
      <c r="FT12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5" s="344">
        <f ca="1">IF(Table1[[#This Row],[Status Izin]]="Selesai",Table1[[#This Row],[PLAN PERMIT
finish]]-Table1[[#This Row],[Tanggal Terbit/ Target Izin Terbit]],ROUNDUP(Table1[[#This Row],[PLAN PERMIT
finish]]-NOW(),0))</f>
        <v>45620</v>
      </c>
      <c r="FV12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5" s="344"/>
      <c r="FX125" s="47"/>
      <c r="FY125" s="340"/>
      <c r="FZ125" s="341"/>
      <c r="GA12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5" s="330">
        <v>45594</v>
      </c>
      <c r="GC125" s="352">
        <v>45610</v>
      </c>
      <c r="GD12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5" s="330">
        <v>45601</v>
      </c>
      <c r="GF125" s="352">
        <v>45610</v>
      </c>
      <c r="GG12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5" s="330">
        <v>45607</v>
      </c>
      <c r="GI125" s="330">
        <v>45613</v>
      </c>
      <c r="GJ125" s="352">
        <v>45554</v>
      </c>
      <c r="GK12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5" s="330">
        <v>45621</v>
      </c>
      <c r="GM125" s="330" t="e">
        <v>#N/A</v>
      </c>
      <c r="GN125" s="330">
        <v>45641</v>
      </c>
      <c r="GO125" s="330" t="e">
        <v>#N/A</v>
      </c>
      <c r="GP125" s="316"/>
      <c r="GQ12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5" s="330" t="s">
        <v>261</v>
      </c>
      <c r="GS125" s="421" t="s">
        <v>261</v>
      </c>
      <c r="GT125" s="433">
        <v>45695</v>
      </c>
      <c r="GU125" s="423" t="str">
        <f>IF(Table1[[#This Row],[Hydro Tes Actual
(tanggal)]]&lt;&gt;"","Sudah","Belum")</f>
        <v>Sudah</v>
      </c>
      <c r="GV125" s="330" t="s">
        <v>261</v>
      </c>
      <c r="GW125" s="330" t="s">
        <v>261</v>
      </c>
      <c r="GX125" s="331"/>
      <c r="GY125" s="344" t="str">
        <f>IF(Table1[[#This Row],[Interkoneksi Actual
(tanggal)]]&lt;&gt;"","Sudah","Belum")</f>
        <v>Belum</v>
      </c>
      <c r="GZ125" s="330" t="s">
        <v>261</v>
      </c>
      <c r="HA125" s="421" t="s">
        <v>261</v>
      </c>
      <c r="HB125" s="432">
        <v>45696</v>
      </c>
      <c r="HC125" s="344" t="str">
        <f>IF(Table1[[#This Row],[Flushing Actual
(tanggal)]]&lt;&gt;"","Sudah","Belum")</f>
        <v>Sudah</v>
      </c>
      <c r="HD125" s="330">
        <v>45628</v>
      </c>
      <c r="HE125" s="330" t="e">
        <v>#N/A</v>
      </c>
      <c r="HF125" s="330">
        <v>45634</v>
      </c>
      <c r="HG125" s="352">
        <v>45719</v>
      </c>
      <c r="HH12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5" s="330" t="s">
        <v>261</v>
      </c>
      <c r="HJ125" s="330" t="s">
        <v>261</v>
      </c>
      <c r="HK125" s="331"/>
      <c r="HL125" s="316"/>
      <c r="HM125" s="330">
        <v>45646</v>
      </c>
      <c r="HN125" s="330">
        <v>45646</v>
      </c>
      <c r="HO125" s="330" t="e">
        <v>#N/A</v>
      </c>
      <c r="HP125" s="331">
        <v>45734</v>
      </c>
      <c r="HQ12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25" s="330">
        <v>45653</v>
      </c>
      <c r="HS125" s="330"/>
      <c r="HT125" s="330">
        <v>45653</v>
      </c>
      <c r="HU125" s="527"/>
      <c r="HV125" s="330">
        <f>IF(Table1[[#This Row],[MC-100 Aktual
(tanggal)]]&lt;&gt;"",Table1[[#This Row],[MC-100 Aktual
(tanggal)]]+5,"")</f>
        <v>45739</v>
      </c>
      <c r="HW12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25" s="47"/>
      <c r="HY125" s="352"/>
      <c r="HZ125" s="352"/>
      <c r="IB125" s="618">
        <f>IFERROR(ROUND((Table1[[#This Row],[PLAN TC
finish]]-Table1[[#This Row],[PLAN MC-0
start]])/30,2),"")</f>
        <v>0.9</v>
      </c>
      <c r="IC125">
        <f>DATEDIF(Table1[[#This Row],[PLAN MC-0
start]],Table1[[#This Row],[PLAN TC
finish]],"m")</f>
        <v>0</v>
      </c>
    </row>
    <row r="126" spans="1:237" s="4" customFormat="1" ht="15" customHeight="1" x14ac:dyDescent="0.2">
      <c r="B126" s="311">
        <f>SUBTOTAL(3,$D$5:D126)</f>
        <v>83</v>
      </c>
      <c r="C126" s="348">
        <v>122</v>
      </c>
      <c r="D126" s="315" t="s">
        <v>673</v>
      </c>
      <c r="E126" s="315" t="s">
        <v>866</v>
      </c>
      <c r="F126" s="315" t="s">
        <v>867</v>
      </c>
      <c r="G126" s="349">
        <v>45752</v>
      </c>
      <c r="H126" s="314" t="s">
        <v>247</v>
      </c>
      <c r="I126" s="315" t="s">
        <v>278</v>
      </c>
      <c r="J126" s="418" t="s">
        <v>868</v>
      </c>
      <c r="K126" s="338" t="s">
        <v>676</v>
      </c>
      <c r="L126" s="316" t="s">
        <v>250</v>
      </c>
      <c r="M126" s="316" t="s">
        <v>269</v>
      </c>
      <c r="N126" s="107">
        <v>190</v>
      </c>
      <c r="O126" s="31" t="s">
        <v>252</v>
      </c>
      <c r="P126"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126" s="87" t="e">
        <v>#N/A</v>
      </c>
      <c r="S126" s="87">
        <v>1</v>
      </c>
      <c r="T126" s="35">
        <f>Table1[[#This Row],[Progres Total Aktual
(%)]]</f>
        <v>0</v>
      </c>
      <c r="U126" s="124">
        <f>Table1[[#This Row],[Progres Aktual
(%)]]-Table1[[#This Row],[Target Progres
(%)]]</f>
        <v>-1</v>
      </c>
      <c r="V126" s="350">
        <f>Table1[[#This Row],["Volume
BA MC-0"]]</f>
        <v>188</v>
      </c>
      <c r="W126" s="351">
        <f>Table1[[#This Row],[Total Panjang Pipa Aktual
(Sum-&gt;)3]]</f>
        <v>0</v>
      </c>
      <c r="X126" s="47"/>
      <c r="Y126" s="67" t="s">
        <v>869</v>
      </c>
      <c r="Z126" s="67">
        <v>425152292</v>
      </c>
      <c r="AA126" s="67">
        <f>ROUND((Table1[[#This Row],[Nilai RAB Jaringan
(Exclude Ppn)]]-Table1[[#This Row],[RAB Perizinan]])*1.11+Table1[[#This Row],[RAB Perizinan]],0)</f>
        <v>0</v>
      </c>
      <c r="AB126" s="320">
        <f>SUM(Table1[[#This Row],[RAB Kegiatan Umum]:[RAB Perizinan]])</f>
        <v>0</v>
      </c>
      <c r="AC126" s="320"/>
      <c r="AD126" s="320"/>
      <c r="AE126" s="320"/>
      <c r="AF126" s="320"/>
      <c r="AG126" s="320">
        <v>2049649</v>
      </c>
      <c r="AH126" s="35" t="e">
        <f>SUM(Table1[[#This Row],[Bobot Keg Umum]:[Bobot Perizinan]])</f>
        <v>#DIV/0!</v>
      </c>
      <c r="AI126" s="35" t="e">
        <f>Table1[[#This Row],[RAB Kegiatan Umum]]/Table1[[#This Row],[Nilai RAB Jaringan
(Exclude Ppn)]]</f>
        <v>#DIV/0!</v>
      </c>
      <c r="AJ126" s="35" t="e">
        <f>Table1[[#This Row],[RAB Pemasangan]]/Table1[[#This Row],[Nilai RAB Jaringan
(Exclude Ppn)]]</f>
        <v>#DIV/0!</v>
      </c>
      <c r="AK126" s="35" t="e">
        <f>Table1[[#This Row],[RAB Pengadaan]]/Table1[[#This Row],[Nilai RAB Jaringan
(Exclude Ppn)]]</f>
        <v>#DIV/0!</v>
      </c>
      <c r="AL126" s="35" t="e">
        <f>Table1[[#This Row],[RAB Perizinan]]/Table1[[#This Row],[Nilai RAB Jaringan
(Exclude Ppn)]]</f>
        <v>#DIV/0!</v>
      </c>
      <c r="AM126" s="47"/>
      <c r="AN126" s="285">
        <v>188</v>
      </c>
      <c r="AO126" s="285">
        <f>SUM(Table1[[#This Row],[Pipa 63 mm]:[Pipa 1,800 mm]])</f>
        <v>0</v>
      </c>
      <c r="AP126" s="285"/>
      <c r="AQ126" s="285"/>
      <c r="AR126" s="285"/>
      <c r="AS126" s="285"/>
      <c r="AT126" s="285"/>
      <c r="AU126" s="285"/>
      <c r="AV126" s="285"/>
      <c r="AW126" s="285"/>
      <c r="AX126" s="285"/>
      <c r="AY126" s="285"/>
      <c r="AZ126" s="285"/>
      <c r="BA126" s="285"/>
      <c r="BB126" s="285"/>
      <c r="BC126" s="285"/>
      <c r="BD126" s="285"/>
      <c r="BE126" s="285"/>
      <c r="BF126" s="285"/>
      <c r="BG126" s="285"/>
      <c r="BH126" s="285"/>
      <c r="BI126" s="285"/>
      <c r="BJ126" s="36">
        <f>SUM(Table1[[#This Row],[Pipa 63 mm2]:[Pipa 1,800 mm21]])</f>
        <v>0</v>
      </c>
      <c r="BK126" s="32"/>
      <c r="BL126" s="32"/>
      <c r="BM126" s="32"/>
      <c r="BN126" s="32"/>
      <c r="BO126" s="32"/>
      <c r="BP126" s="32"/>
      <c r="BQ126" s="32"/>
      <c r="BR126" s="32"/>
      <c r="BS126" s="32"/>
      <c r="BT126" s="32"/>
      <c r="BU126" s="32"/>
      <c r="BV126" s="32"/>
      <c r="BW126" s="32"/>
      <c r="BX126" s="32"/>
      <c r="BY126" s="32"/>
      <c r="BZ126" s="32"/>
      <c r="CA126" s="32"/>
      <c r="CB126" s="32"/>
      <c r="CC126" s="32"/>
      <c r="CD126" s="32"/>
      <c r="CE126" s="32">
        <v>188</v>
      </c>
      <c r="CF126" s="32"/>
      <c r="CG126" s="32"/>
      <c r="CH126" s="32"/>
      <c r="CI126" s="32">
        <f t="shared" si="6"/>
        <v>188</v>
      </c>
      <c r="CJ126" s="65">
        <f>IF((Table1[[#This Row],["Volume
BA MC-0"]]-Table1[[#This Row],[Total Panjang Pipa Aktual
(Sum-&gt;)3]]-Table1[[#This Row],[Total Volume
tidak dapat dipasang]])&gt;=0,Table1[[#This Row],["Volume
BA MC-0"]]-Table1[[#This Row],[Total Panjang Pipa Aktual
(Sum-&gt;)3]]-Table1[[#This Row],[Total Volume
tidak dapat dipasang]],0)</f>
        <v>0</v>
      </c>
      <c r="CK126" s="47"/>
      <c r="CL126" s="131"/>
      <c r="CM126" s="35"/>
      <c r="CN126" s="131"/>
      <c r="CO126" s="131"/>
      <c r="CP12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26" s="66">
        <f>IFERROR(Table1[[#This Row],[Progres Keg. Umum
(%)]]*Table1[[#This Row],[Nilai RAB Jaringan
(file pa aji)]],0)</f>
        <v>0</v>
      </c>
      <c r="CR126" s="66">
        <f>IFERROR(Table1[[#This Row],[Progres MOS
(%)]]*Table1[[#This Row],[Nilai RAB Jaringan
(file pa aji)]],0)</f>
        <v>0</v>
      </c>
      <c r="CS126" s="66">
        <f>IFERROR(Table1[[#This Row],[Progres Pemasangan
(%)]]*Table1[[#This Row],[Nilai RAB Jaringan
(file pa aji)]],0)</f>
        <v>0</v>
      </c>
      <c r="CT126" s="66">
        <f>IFERROR(Table1[[#This Row],[Progres Perizinan
(%)]]*Table1[[#This Row],[Nilai RAB Jaringan
(file pa aji)]],0)</f>
        <v>0</v>
      </c>
      <c r="CU126" s="329">
        <v>124647097.27600212</v>
      </c>
      <c r="CV126" s="329">
        <v>124647097.27600212</v>
      </c>
      <c r="CW126" s="583">
        <v>0</v>
      </c>
      <c r="CX126" s="329">
        <v>0</v>
      </c>
      <c r="CY126" s="47"/>
      <c r="CZ126" s="330">
        <v>45565</v>
      </c>
      <c r="DA126" s="330">
        <v>45585</v>
      </c>
      <c r="DB126" s="331"/>
      <c r="DC126" s="316"/>
      <c r="DD126" s="67"/>
      <c r="DE12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6" s="331"/>
      <c r="DG126" s="316"/>
      <c r="DH126" s="67"/>
      <c r="DI12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6" s="330">
        <v>45586</v>
      </c>
      <c r="DK126" s="330">
        <v>45627</v>
      </c>
      <c r="DL126" s="331">
        <v>45608</v>
      </c>
      <c r="DM126" s="425" t="s">
        <v>870</v>
      </c>
      <c r="DN12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6" s="331">
        <v>45656</v>
      </c>
      <c r="DP126" s="426" t="s">
        <v>871</v>
      </c>
      <c r="DQ126" s="426" t="s">
        <v>762</v>
      </c>
      <c r="DR12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6" s="330">
        <v>45586</v>
      </c>
      <c r="DT126" s="330" t="e">
        <v>#N/A</v>
      </c>
      <c r="DU126" s="330">
        <v>45620</v>
      </c>
      <c r="DV126" s="330" t="e">
        <v>#N/A</v>
      </c>
      <c r="DW126" s="331"/>
      <c r="DX126" s="316"/>
      <c r="DY126" s="334"/>
      <c r="DZ126" s="334"/>
      <c r="EA12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6" s="331"/>
      <c r="EC126" s="332"/>
      <c r="ED126" s="332"/>
      <c r="EE126" s="330"/>
      <c r="EF126" s="35">
        <v>1</v>
      </c>
      <c r="EG126" s="337">
        <v>1</v>
      </c>
      <c r="EH126" s="316" t="str">
        <f>IF(Table1[[#This Row],[PO Material Aktual 
(%)]]&gt;=100%,"Selesai PO = 100%",IF(Table1[[#This Row],[PO Material Aktual 
(%)]]&gt;=50%,"Proses PO &gt; 100%",IF(Table1[[#This Row],[PO Material Aktual 
(%)]]&gt;0%,"Proses PO &gt; 50%",IF(Table1[[#This Row],[PO Material Aktual 
(%)]]=0,"Belum PO = 0%"))))</f>
        <v>Selesai PO = 100%</v>
      </c>
      <c r="EI12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6" s="330">
        <v>45621</v>
      </c>
      <c r="EK126" s="330" t="e">
        <v>#N/A</v>
      </c>
      <c r="EL126" s="330">
        <v>45683</v>
      </c>
      <c r="EM126" s="330" t="e">
        <v>#N/A</v>
      </c>
      <c r="EN126" s="331"/>
      <c r="EO126" s="332"/>
      <c r="EP126" s="332"/>
      <c r="EQ126" s="87">
        <v>1</v>
      </c>
      <c r="ER126" s="87">
        <v>1</v>
      </c>
      <c r="ES126" s="316" t="str">
        <f>IF(Table1[[#This Row],[Progres MOS]]&gt;=100%,"Selesai MOS = 100%",IF(Table1[[#This Row],[Progres MOS]]&gt;=50%,"Proses MOS &gt; 100%",IF(Table1[[#This Row],[Progres MOS]]&gt;0%,"Proses MOS &gt; 50%",IF(Table1[[#This Row],[Progres MOS]]=0,"Belum MOS = 0%"))))</f>
        <v>Selesai MOS = 100%</v>
      </c>
      <c r="ET12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6" s="47"/>
      <c r="EV126" s="330">
        <v>45586</v>
      </c>
      <c r="EW126" s="330" t="e">
        <v>#N/A</v>
      </c>
      <c r="EX126" s="330">
        <v>45655</v>
      </c>
      <c r="EY126" s="330" t="e">
        <v>#N/A</v>
      </c>
      <c r="EZ126" s="352" t="s">
        <v>259</v>
      </c>
      <c r="FA126" s="336" t="s">
        <v>259</v>
      </c>
      <c r="FB126" s="330" t="s">
        <v>260</v>
      </c>
      <c r="FC126" s="330">
        <v>45799</v>
      </c>
      <c r="FD126" s="330" t="s">
        <v>260</v>
      </c>
      <c r="FE126" s="330">
        <v>45875</v>
      </c>
      <c r="FF126" s="330">
        <v>45929</v>
      </c>
      <c r="FG126" s="330" t="s">
        <v>260</v>
      </c>
      <c r="FH126" s="330" t="s">
        <v>260</v>
      </c>
      <c r="FI126" s="330">
        <v>46021</v>
      </c>
      <c r="FJ126" s="330" t="s">
        <v>260</v>
      </c>
      <c r="FK126" s="330">
        <v>45985</v>
      </c>
      <c r="FL126" s="336" t="s">
        <v>259</v>
      </c>
      <c r="FM126" s="336">
        <v>45799</v>
      </c>
      <c r="FN126" s="314">
        <f>IF(Table1[[#This Row],[Tanggal Pengajuan Dokumen]]="","",Table1[[#This Row],[PLAN PERMIT
start]]-Table1[[#This Row],[Tanggal Pengajuan Dokumen]])</f>
        <v>-213</v>
      </c>
      <c r="FO126" s="336">
        <v>45985</v>
      </c>
      <c r="FP126" s="316"/>
      <c r="FQ126" s="338"/>
      <c r="FR126" s="352"/>
      <c r="FS126" s="338" t="str">
        <f t="shared" si="8"/>
        <v>Sudah Terbit</v>
      </c>
      <c r="FT12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6" s="344">
        <f ca="1">IF(Table1[[#This Row],[Status Izin]]="Selesai",Table1[[#This Row],[PLAN PERMIT
finish]]-Table1[[#This Row],[Tanggal Terbit/ Target Izin Terbit]],ROUNDUP(Table1[[#This Row],[PLAN PERMIT
finish]]-NOW(),0))</f>
        <v>-330</v>
      </c>
      <c r="FV12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6" s="344"/>
      <c r="FX126" s="47"/>
      <c r="FY126" s="340"/>
      <c r="FZ126" s="341"/>
      <c r="GA12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6" s="330">
        <v>45629</v>
      </c>
      <c r="GC126" s="352">
        <v>45629</v>
      </c>
      <c r="GD12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6" s="330">
        <v>45636</v>
      </c>
      <c r="GF126" s="352">
        <v>45629</v>
      </c>
      <c r="GG12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6" s="330">
        <v>45642</v>
      </c>
      <c r="GI126" s="330">
        <v>45648</v>
      </c>
      <c r="GJ126" s="352">
        <v>45638</v>
      </c>
      <c r="GK12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6" s="330">
        <v>45656</v>
      </c>
      <c r="GM126" s="330" t="e">
        <v>#N/A</v>
      </c>
      <c r="GN126" s="330">
        <v>45697</v>
      </c>
      <c r="GO126" s="330" t="e">
        <v>#N/A</v>
      </c>
      <c r="GP126" s="316"/>
      <c r="GQ12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6" s="330" t="s">
        <v>261</v>
      </c>
      <c r="GS126" s="421" t="s">
        <v>261</v>
      </c>
      <c r="GT126" s="354"/>
      <c r="GU126" s="423" t="str">
        <f>IF(Table1[[#This Row],[Hydro Tes Actual
(tanggal)]]&lt;&gt;"","Sudah","Belum")</f>
        <v>Belum</v>
      </c>
      <c r="GV126" s="330" t="s">
        <v>261</v>
      </c>
      <c r="GW126" s="330" t="s">
        <v>261</v>
      </c>
      <c r="GX126" s="331"/>
      <c r="GY126" s="344" t="str">
        <f>IF(Table1[[#This Row],[Interkoneksi Actual
(tanggal)]]&lt;&gt;"","Sudah","Belum")</f>
        <v>Belum</v>
      </c>
      <c r="GZ126" s="330" t="s">
        <v>261</v>
      </c>
      <c r="HA126" s="330" t="s">
        <v>261</v>
      </c>
      <c r="HB126" s="330"/>
      <c r="HC126" s="344" t="str">
        <f>IF(Table1[[#This Row],[Flushing Actual
(tanggal)]]&lt;&gt;"","Sudah","Belum")</f>
        <v>Belum</v>
      </c>
      <c r="HD126" s="330">
        <v>45684</v>
      </c>
      <c r="HE126" s="330" t="e">
        <v>#N/A</v>
      </c>
      <c r="HF126" s="330">
        <v>45690</v>
      </c>
      <c r="HG126" s="352"/>
      <c r="HH12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26" s="330" t="s">
        <v>261</v>
      </c>
      <c r="HJ126" s="330" t="s">
        <v>261</v>
      </c>
      <c r="HK126" s="331"/>
      <c r="HL126" s="316"/>
      <c r="HM126" s="330">
        <v>45702</v>
      </c>
      <c r="HN126" s="330">
        <v>45702</v>
      </c>
      <c r="HO126" s="330" t="e">
        <v>#N/A</v>
      </c>
      <c r="HP126" s="331"/>
      <c r="HQ12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26" s="330">
        <v>45709</v>
      </c>
      <c r="HS126" s="330"/>
      <c r="HT126" s="330">
        <v>45709</v>
      </c>
      <c r="HU126" s="527"/>
      <c r="HV126" s="330"/>
      <c r="HW12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26" s="47"/>
      <c r="HY126" s="352"/>
      <c r="HZ126" s="352"/>
      <c r="IB126" s="618">
        <f>IFERROR(ROUND((Table1[[#This Row],[PLAN TC
finish]]-Table1[[#This Row],[PLAN MC-0
start]])/30,2),"")</f>
        <v>1.6</v>
      </c>
      <c r="IC126">
        <f>DATEDIF(Table1[[#This Row],[PLAN MC-0
start]],Table1[[#This Row],[PLAN TC
finish]],"m")</f>
        <v>1</v>
      </c>
    </row>
    <row r="127" spans="1:237" s="30" customFormat="1" ht="15" hidden="1" customHeight="1" x14ac:dyDescent="0.2">
      <c r="A127" s="77"/>
      <c r="B127" s="311">
        <f>SUBTOTAL(3,$D$5:D127)</f>
        <v>83</v>
      </c>
      <c r="C127" s="362">
        <v>123</v>
      </c>
      <c r="D127" s="363" t="s">
        <v>673</v>
      </c>
      <c r="E127" s="363" t="s">
        <v>872</v>
      </c>
      <c r="F127" s="363" t="s">
        <v>873</v>
      </c>
      <c r="G127" s="364">
        <v>45752</v>
      </c>
      <c r="H127" s="365" t="s">
        <v>247</v>
      </c>
      <c r="I127" s="363" t="s">
        <v>278</v>
      </c>
      <c r="J127" s="363"/>
      <c r="K127" s="366" t="s">
        <v>676</v>
      </c>
      <c r="L127" s="367" t="s">
        <v>250</v>
      </c>
      <c r="M127" s="367" t="s">
        <v>269</v>
      </c>
      <c r="N127" s="368">
        <v>83</v>
      </c>
      <c r="O127" s="369" t="s">
        <v>252</v>
      </c>
      <c r="P127" s="37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7" s="370" t="s">
        <v>389</v>
      </c>
      <c r="R127" s="88" t="e">
        <v>#N/A</v>
      </c>
      <c r="S127" s="88">
        <v>1</v>
      </c>
      <c r="T127" s="371">
        <f>Table1[[#This Row],[Progres Total Aktual
(%)]]</f>
        <v>0</v>
      </c>
      <c r="U127" s="372">
        <f>Table1[[#This Row],[Progres Aktual
(%)]]-Table1[[#This Row],[Target Progres
(%)]]</f>
        <v>-1</v>
      </c>
      <c r="V127" s="373">
        <f>Table1[[#This Row],["Volume
BA MC-0"]]</f>
        <v>0</v>
      </c>
      <c r="W127" s="374">
        <f>Table1[[#This Row],[Total Panjang Pipa Aktual
(Sum-&gt;)3]]</f>
        <v>0</v>
      </c>
      <c r="X127" s="47"/>
      <c r="Y127" s="375" t="s">
        <v>874</v>
      </c>
      <c r="Z127" s="375">
        <v>309990778</v>
      </c>
      <c r="AA127" s="375">
        <f>ROUND((Table1[[#This Row],[Nilai RAB Jaringan
(Exclude Ppn)]]-Table1[[#This Row],[RAB Perizinan]])*1.11+Table1[[#This Row],[RAB Perizinan]],0)</f>
        <v>0</v>
      </c>
      <c r="AB127" s="370">
        <f>SUM(Table1[[#This Row],[RAB Kegiatan Umum]:[RAB Perizinan]])</f>
        <v>0</v>
      </c>
      <c r="AC127" s="370"/>
      <c r="AD127" s="370"/>
      <c r="AE127" s="370"/>
      <c r="AF127" s="370"/>
      <c r="AG127" s="370">
        <v>32794373</v>
      </c>
      <c r="AH127" s="371" t="e">
        <f>SUM(Table1[[#This Row],[Bobot Keg Umum]:[Bobot Perizinan]])</f>
        <v>#DIV/0!</v>
      </c>
      <c r="AI127" s="371" t="e">
        <f>Table1[[#This Row],[RAB Kegiatan Umum]]/Table1[[#This Row],[Nilai RAB Jaringan
(Exclude Ppn)]]</f>
        <v>#DIV/0!</v>
      </c>
      <c r="AJ127" s="371" t="e">
        <f>Table1[[#This Row],[RAB Pemasangan]]/Table1[[#This Row],[Nilai RAB Jaringan
(Exclude Ppn)]]</f>
        <v>#DIV/0!</v>
      </c>
      <c r="AK127" s="371" t="e">
        <f>Table1[[#This Row],[RAB Pengadaan]]/Table1[[#This Row],[Nilai RAB Jaringan
(Exclude Ppn)]]</f>
        <v>#DIV/0!</v>
      </c>
      <c r="AL127" s="371" t="e">
        <f>Table1[[#This Row],[RAB Perizinan]]/Table1[[#This Row],[Nilai RAB Jaringan
(Exclude Ppn)]]</f>
        <v>#DIV/0!</v>
      </c>
      <c r="AM127" s="47"/>
      <c r="AN127" s="376">
        <v>0</v>
      </c>
      <c r="AO127" s="376">
        <f>SUM(Table1[[#This Row],[Pipa 63 mm]:[Pipa 1,800 mm]])</f>
        <v>0</v>
      </c>
      <c r="AP127" s="376"/>
      <c r="AQ127" s="376"/>
      <c r="AR127" s="376"/>
      <c r="AS127" s="376"/>
      <c r="AT127" s="376"/>
      <c r="AU127" s="376"/>
      <c r="AV127" s="376"/>
      <c r="AW127" s="376"/>
      <c r="AX127" s="376"/>
      <c r="AY127" s="376"/>
      <c r="AZ127" s="376"/>
      <c r="BA127" s="376"/>
      <c r="BB127" s="376"/>
      <c r="BC127" s="376"/>
      <c r="BD127" s="376"/>
      <c r="BE127" s="376"/>
      <c r="BF127" s="376"/>
      <c r="BG127" s="376"/>
      <c r="BH127" s="376"/>
      <c r="BI127" s="376"/>
      <c r="BJ127" s="377">
        <f>SUM(Table1[[#This Row],[Pipa 63 mm2]:[Pipa 1,800 mm21]])</f>
        <v>0</v>
      </c>
      <c r="BK127" s="378"/>
      <c r="BL127" s="378"/>
      <c r="BM127" s="378"/>
      <c r="BN127" s="378"/>
      <c r="BO127" s="378"/>
      <c r="BP127" s="378"/>
      <c r="BQ127" s="378"/>
      <c r="BR127" s="378"/>
      <c r="BS127" s="378"/>
      <c r="BT127" s="378"/>
      <c r="BU127" s="378"/>
      <c r="BV127" s="378"/>
      <c r="BW127" s="378"/>
      <c r="BX127" s="378"/>
      <c r="BY127" s="378"/>
      <c r="BZ127" s="378"/>
      <c r="CA127" s="378"/>
      <c r="CB127" s="378"/>
      <c r="CC127" s="378"/>
      <c r="CD127" s="378"/>
      <c r="CE127" s="378">
        <v>83</v>
      </c>
      <c r="CF127" s="378"/>
      <c r="CG127" s="378"/>
      <c r="CH127" s="378"/>
      <c r="CI127" s="378">
        <f t="shared" si="6"/>
        <v>83</v>
      </c>
      <c r="CJ127" s="378">
        <f>IF((Table1[[#This Row],["Volume
BA MC-0"]]-Table1[[#This Row],[Total Panjang Pipa Aktual
(Sum-&gt;)3]]-Table1[[#This Row],[Total Volume
tidak dapat dipasang]])&gt;=0,Table1[[#This Row],["Volume
BA MC-0"]]-Table1[[#This Row],[Total Panjang Pipa Aktual
(Sum-&gt;)3]]-Table1[[#This Row],[Total Volume
tidak dapat dipasang]],0)</f>
        <v>0</v>
      </c>
      <c r="CK127" s="47"/>
      <c r="CL127" s="379"/>
      <c r="CM127" s="371"/>
      <c r="CN127" s="379"/>
      <c r="CO127" s="379"/>
      <c r="CP12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27" s="380">
        <f>IFERROR(Table1[[#This Row],[Progres Keg. Umum
(%)]]*Table1[[#This Row],[Nilai RAB Jaringan
(file pa aji)]],0)</f>
        <v>0</v>
      </c>
      <c r="CR127" s="380">
        <f>IFERROR(Table1[[#This Row],[Progres MOS
(%)]]*Table1[[#This Row],[Nilai RAB Jaringan
(file pa aji)]],0)</f>
        <v>0</v>
      </c>
      <c r="CS127" s="380">
        <f>IFERROR(Table1[[#This Row],[Progres Pemasangan
(%)]]*Table1[[#This Row],[Nilai RAB Jaringan
(file pa aji)]],0)</f>
        <v>0</v>
      </c>
      <c r="CT127" s="380">
        <f>IFERROR(Table1[[#This Row],[Progres Perizinan
(%)]]*Table1[[#This Row],[Nilai RAB Jaringan
(file pa aji)]],0)</f>
        <v>0</v>
      </c>
      <c r="CU127" s="329">
        <v>0</v>
      </c>
      <c r="CV127" s="329">
        <v>0</v>
      </c>
      <c r="CW127" s="582">
        <v>0</v>
      </c>
      <c r="CX127" s="329">
        <v>0</v>
      </c>
      <c r="CY127" s="47"/>
      <c r="CZ127" s="330">
        <v>45565</v>
      </c>
      <c r="DA127" s="330">
        <v>45592</v>
      </c>
      <c r="DB127" s="331"/>
      <c r="DC127" s="367"/>
      <c r="DD127" s="375"/>
      <c r="DE12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7" s="331"/>
      <c r="DG127" s="367"/>
      <c r="DH127" s="375"/>
      <c r="DI127"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7" s="330">
        <v>45593</v>
      </c>
      <c r="DK127" s="330">
        <v>45641</v>
      </c>
      <c r="DL127" s="331"/>
      <c r="DM127" s="367"/>
      <c r="DN12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27" s="331"/>
      <c r="DP127" s="367"/>
      <c r="DQ127" s="366" t="s">
        <v>685</v>
      </c>
      <c r="DR12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27" s="330">
        <v>45593</v>
      </c>
      <c r="DT127" s="330" t="e">
        <v>#N/A</v>
      </c>
      <c r="DU127" s="330">
        <v>45634</v>
      </c>
      <c r="DV127" s="330" t="e">
        <v>#N/A</v>
      </c>
      <c r="DW127" s="331"/>
      <c r="DX127" s="367"/>
      <c r="DY127" s="382"/>
      <c r="DZ127" s="382"/>
      <c r="EA12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7" s="331"/>
      <c r="EC127" s="332"/>
      <c r="ED127" s="332"/>
      <c r="EE127" s="330"/>
      <c r="EF127" s="371" t="b">
        <v>0</v>
      </c>
      <c r="EG127" s="383" t="b">
        <v>0</v>
      </c>
      <c r="EH127" s="316" t="str">
        <f>IF(Table1[[#This Row],[PO Material Aktual 
(%)]]&gt;=100%,"Selesai PO = 100%",IF(Table1[[#This Row],[PO Material Aktual 
(%)]]&gt;=50%,"Proses PO &gt; 100%",IF(Table1[[#This Row],[PO Material Aktual 
(%)]]&gt;0%,"Proses PO &gt; 50%",IF(Table1[[#This Row],[PO Material Aktual 
(%)]]=0,"Belum PO = 0%"))))</f>
        <v>Selesai PO = 100%</v>
      </c>
      <c r="EI12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7" s="330">
        <v>45635</v>
      </c>
      <c r="EK127" s="330" t="e">
        <v>#N/A</v>
      </c>
      <c r="EL127" s="330">
        <v>45669</v>
      </c>
      <c r="EM127" s="330" t="e">
        <v>#N/A</v>
      </c>
      <c r="EN127" s="331"/>
      <c r="EO127" s="332"/>
      <c r="EP127" s="332"/>
      <c r="EQ127" s="88" t="b">
        <v>0</v>
      </c>
      <c r="ER127" s="88" t="b">
        <v>0</v>
      </c>
      <c r="ES127" s="316" t="str">
        <f>IF(Table1[[#This Row],[Progres MOS]]&gt;=100%,"Selesai MOS = 100%",IF(Table1[[#This Row],[Progres MOS]]&gt;=50%,"Proses MOS &gt; 100%",IF(Table1[[#This Row],[Progres MOS]]&gt;0%,"Proses MOS &gt; 50%",IF(Table1[[#This Row],[Progres MOS]]=0,"Belum MOS = 0%"))))</f>
        <v>Selesai MOS = 100%</v>
      </c>
      <c r="ET12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7" s="47"/>
      <c r="EV127" s="330">
        <v>45593</v>
      </c>
      <c r="EW127" s="330" t="e">
        <v>#N/A</v>
      </c>
      <c r="EX127" s="330">
        <v>45669</v>
      </c>
      <c r="EY127" s="330" t="e">
        <v>#N/A</v>
      </c>
      <c r="EZ127" s="384" t="s">
        <v>298</v>
      </c>
      <c r="FA127" s="385" t="s">
        <v>389</v>
      </c>
      <c r="FB127" s="386" t="s">
        <v>260</v>
      </c>
      <c r="FC127" s="330">
        <v>45799</v>
      </c>
      <c r="FD127" s="386" t="s">
        <v>260</v>
      </c>
      <c r="FE127" s="386">
        <v>45875</v>
      </c>
      <c r="FF127" s="386">
        <v>45929</v>
      </c>
      <c r="FG127" s="386" t="s">
        <v>260</v>
      </c>
      <c r="FH127" s="386" t="s">
        <v>260</v>
      </c>
      <c r="FI127" s="386">
        <v>46021</v>
      </c>
      <c r="FJ127" s="386" t="s">
        <v>260</v>
      </c>
      <c r="FK127" s="386"/>
      <c r="FL127" s="336" t="s">
        <v>298</v>
      </c>
      <c r="FM127" s="336">
        <v>45799</v>
      </c>
      <c r="FN127" s="314">
        <f>IF(Table1[[#This Row],[Tanggal Pengajuan Dokumen]]="","",Table1[[#This Row],[PLAN PERMIT
start]]-Table1[[#This Row],[Tanggal Pengajuan Dokumen]])</f>
        <v>-206</v>
      </c>
      <c r="FO127" s="336"/>
      <c r="FP127" s="367"/>
      <c r="FQ127" s="366"/>
      <c r="FR127" s="384"/>
      <c r="FS127" s="338" t="str">
        <f t="shared" si="8"/>
        <v>On Going</v>
      </c>
      <c r="FT127"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27" s="387">
        <f ca="1">IF(Table1[[#This Row],[Status Izin]]="Selesai",Table1[[#This Row],[PLAN PERMIT
finish]]-Table1[[#This Row],[Tanggal Terbit/ Target Izin Terbit]],ROUNDUP(Table1[[#This Row],[PLAN PERMIT
finish]]-NOW(),0))</f>
        <v>-522</v>
      </c>
      <c r="FV127"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7" s="387"/>
      <c r="FX127" s="47"/>
      <c r="FY127" s="340"/>
      <c r="FZ127" s="341"/>
      <c r="GA12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7" s="330">
        <v>45643</v>
      </c>
      <c r="GC127" s="384"/>
      <c r="GD127"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27" s="330">
        <v>45650</v>
      </c>
      <c r="GF127" s="384"/>
      <c r="GG127"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27" s="330">
        <v>45656</v>
      </c>
      <c r="GI127" s="330">
        <v>45662</v>
      </c>
      <c r="GJ127" s="384"/>
      <c r="GK127"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127" s="330">
        <v>45670</v>
      </c>
      <c r="GM127" s="330" t="e">
        <v>#N/A</v>
      </c>
      <c r="GN127" s="330">
        <v>45697</v>
      </c>
      <c r="GO127" s="330" t="e">
        <v>#N/A</v>
      </c>
      <c r="GP127" s="367"/>
      <c r="GQ127"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7" s="386" t="s">
        <v>261</v>
      </c>
      <c r="GS127" s="434" t="s">
        <v>261</v>
      </c>
      <c r="GT127" s="390"/>
      <c r="GU127" s="435" t="str">
        <f>IF(Table1[[#This Row],[Hydro Tes Actual
(tanggal)]]&lt;&gt;"","Sudah","Belum")</f>
        <v>Belum</v>
      </c>
      <c r="GV127" s="386" t="s">
        <v>261</v>
      </c>
      <c r="GW127" s="386" t="s">
        <v>261</v>
      </c>
      <c r="GX127" s="388"/>
      <c r="GY127" s="344" t="str">
        <f>IF(Table1[[#This Row],[Interkoneksi Actual
(tanggal)]]&lt;&gt;"","Sudah","Belum")</f>
        <v>Belum</v>
      </c>
      <c r="GZ127" s="386" t="s">
        <v>261</v>
      </c>
      <c r="HA127" s="386" t="s">
        <v>261</v>
      </c>
      <c r="HB127" s="388"/>
      <c r="HC127" s="344" t="str">
        <f>IF(Table1[[#This Row],[Flushing Actual
(tanggal)]]&lt;&gt;"","Sudah","Belum")</f>
        <v>Belum</v>
      </c>
      <c r="HD127" s="330">
        <v>45684</v>
      </c>
      <c r="HE127" s="330" t="e">
        <v>#N/A</v>
      </c>
      <c r="HF127" s="330">
        <v>45690</v>
      </c>
      <c r="HG127" s="384"/>
      <c r="HH127"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27" s="386" t="s">
        <v>261</v>
      </c>
      <c r="HJ127" s="386" t="s">
        <v>261</v>
      </c>
      <c r="HK127" s="388"/>
      <c r="HL127" s="367"/>
      <c r="HM127" s="330">
        <v>45702</v>
      </c>
      <c r="HN127" s="330">
        <v>45702</v>
      </c>
      <c r="HO127" s="330" t="e">
        <v>#N/A</v>
      </c>
      <c r="HP127" s="388"/>
      <c r="HQ127"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27" s="330">
        <v>45709</v>
      </c>
      <c r="HS127" s="330"/>
      <c r="HT127" s="330">
        <v>45709</v>
      </c>
      <c r="HU127" s="527"/>
      <c r="HV127" s="386"/>
      <c r="HW127"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27" s="47"/>
      <c r="HY127" s="384"/>
      <c r="HZ127" s="384"/>
      <c r="IB127" s="618">
        <f>IFERROR(ROUND((Table1[[#This Row],[PLAN TC
finish]]-Table1[[#This Row],[PLAN MC-0
start]])/30,2),"")</f>
        <v>1.1299999999999999</v>
      </c>
      <c r="IC127">
        <f>DATEDIF(Table1[[#This Row],[PLAN MC-0
start]],Table1[[#This Row],[PLAN TC
finish]],"m")</f>
        <v>1</v>
      </c>
    </row>
    <row r="128" spans="1:237" s="4" customFormat="1" ht="15" customHeight="1" x14ac:dyDescent="0.2">
      <c r="B128" s="311">
        <f>SUBTOTAL(3,$D$5:D128)</f>
        <v>84</v>
      </c>
      <c r="C128" s="348">
        <v>124</v>
      </c>
      <c r="D128" s="315" t="s">
        <v>673</v>
      </c>
      <c r="E128" s="315" t="s">
        <v>875</v>
      </c>
      <c r="F128" s="315" t="s">
        <v>876</v>
      </c>
      <c r="G128" s="349">
        <v>45752</v>
      </c>
      <c r="H128" s="314" t="s">
        <v>247</v>
      </c>
      <c r="I128" s="315" t="s">
        <v>278</v>
      </c>
      <c r="J128" s="418" t="s">
        <v>868</v>
      </c>
      <c r="K128" s="338" t="s">
        <v>676</v>
      </c>
      <c r="L128" s="316" t="s">
        <v>250</v>
      </c>
      <c r="M128" s="316" t="s">
        <v>269</v>
      </c>
      <c r="N128" s="107">
        <v>450</v>
      </c>
      <c r="O128" s="31" t="s">
        <v>252</v>
      </c>
      <c r="P128" s="32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Kick Off Meeting</v>
      </c>
      <c r="R128" s="87" t="e">
        <v>#N/A</v>
      </c>
      <c r="S128" s="87">
        <v>1</v>
      </c>
      <c r="T128" s="35">
        <f>Table1[[#This Row],[Progres Total Aktual
(%)]]</f>
        <v>0</v>
      </c>
      <c r="U128" s="124">
        <f>Table1[[#This Row],[Progres Aktual
(%)]]-Table1[[#This Row],[Target Progres
(%)]]</f>
        <v>-1</v>
      </c>
      <c r="V128" s="350">
        <f>Table1[[#This Row],["Volume
BA MC-0"]]</f>
        <v>445</v>
      </c>
      <c r="W128" s="351">
        <f>Table1[[#This Row],[Total Panjang Pipa Aktual
(Sum-&gt;)3]]</f>
        <v>0</v>
      </c>
      <c r="X128" s="47"/>
      <c r="Y128" s="67" t="s">
        <v>877</v>
      </c>
      <c r="Z128" s="67">
        <v>768397677</v>
      </c>
      <c r="AA128" s="67">
        <f>ROUND((Table1[[#This Row],[Nilai RAB Jaringan
(Exclude Ppn)]]-Table1[[#This Row],[RAB Perizinan]])*1.11+Table1[[#This Row],[RAB Perizinan]],0)</f>
        <v>0</v>
      </c>
      <c r="AB128" s="320">
        <f>SUM(Table1[[#This Row],[RAB Kegiatan Umum]:[RAB Perizinan]])</f>
        <v>0</v>
      </c>
      <c r="AC128" s="320"/>
      <c r="AD128" s="320"/>
      <c r="AE128" s="320"/>
      <c r="AF128" s="320"/>
      <c r="AG128" s="320">
        <v>4099297</v>
      </c>
      <c r="AH128" s="35" t="e">
        <f>SUM(Table1[[#This Row],[Bobot Keg Umum]:[Bobot Perizinan]])</f>
        <v>#DIV/0!</v>
      </c>
      <c r="AI128" s="35" t="e">
        <f>Table1[[#This Row],[RAB Kegiatan Umum]]/Table1[[#This Row],[Nilai RAB Jaringan
(Exclude Ppn)]]</f>
        <v>#DIV/0!</v>
      </c>
      <c r="AJ128" s="35" t="e">
        <f>Table1[[#This Row],[RAB Pemasangan]]/Table1[[#This Row],[Nilai RAB Jaringan
(Exclude Ppn)]]</f>
        <v>#DIV/0!</v>
      </c>
      <c r="AK128" s="35" t="e">
        <f>Table1[[#This Row],[RAB Pengadaan]]/Table1[[#This Row],[Nilai RAB Jaringan
(Exclude Ppn)]]</f>
        <v>#DIV/0!</v>
      </c>
      <c r="AL128" s="35" t="e">
        <f>Table1[[#This Row],[RAB Perizinan]]/Table1[[#This Row],[Nilai RAB Jaringan
(Exclude Ppn)]]</f>
        <v>#DIV/0!</v>
      </c>
      <c r="AM128" s="47"/>
      <c r="AN128" s="285">
        <v>445</v>
      </c>
      <c r="AO128" s="285">
        <f>SUM(Table1[[#This Row],[Pipa 63 mm]:[Pipa 1,800 mm]])</f>
        <v>0</v>
      </c>
      <c r="AP128" s="285"/>
      <c r="AQ128" s="285"/>
      <c r="AR128" s="285"/>
      <c r="AS128" s="285"/>
      <c r="AT128" s="285"/>
      <c r="AU128" s="285"/>
      <c r="AV128" s="285"/>
      <c r="AW128" s="285"/>
      <c r="AX128" s="285"/>
      <c r="AY128" s="285"/>
      <c r="AZ128" s="285"/>
      <c r="BA128" s="285"/>
      <c r="BB128" s="285"/>
      <c r="BC128" s="285"/>
      <c r="BD128" s="285"/>
      <c r="BE128" s="285"/>
      <c r="BF128" s="285"/>
      <c r="BG128" s="285"/>
      <c r="BH128" s="285"/>
      <c r="BI128" s="285"/>
      <c r="BJ128" s="36">
        <f>SUM(Table1[[#This Row],[Pipa 63 mm2]:[Pipa 1,800 mm21]])</f>
        <v>0</v>
      </c>
      <c r="BK128" s="32"/>
      <c r="BL128" s="32"/>
      <c r="BM128" s="32"/>
      <c r="BN128" s="32"/>
      <c r="BO128" s="32"/>
      <c r="BP128" s="32"/>
      <c r="BQ128" s="32"/>
      <c r="BR128" s="32"/>
      <c r="BS128" s="32"/>
      <c r="BT128" s="32"/>
      <c r="BU128" s="32"/>
      <c r="BV128" s="32"/>
      <c r="BW128" s="32"/>
      <c r="BX128" s="32"/>
      <c r="BY128" s="32"/>
      <c r="BZ128" s="32"/>
      <c r="CA128" s="32"/>
      <c r="CB128" s="32"/>
      <c r="CC128" s="32"/>
      <c r="CD128" s="32"/>
      <c r="CE128" s="32">
        <v>445</v>
      </c>
      <c r="CF128" s="32"/>
      <c r="CG128" s="32"/>
      <c r="CH128" s="32"/>
      <c r="CI128" s="32">
        <f t="shared" si="6"/>
        <v>445</v>
      </c>
      <c r="CJ128" s="65">
        <f>IF((Table1[[#This Row],["Volume
BA MC-0"]]-Table1[[#This Row],[Total Panjang Pipa Aktual
(Sum-&gt;)3]]-Table1[[#This Row],[Total Volume
tidak dapat dipasang]])&gt;=0,Table1[[#This Row],["Volume
BA MC-0"]]-Table1[[#This Row],[Total Panjang Pipa Aktual
(Sum-&gt;)3]]-Table1[[#This Row],[Total Volume
tidak dapat dipasang]],0)</f>
        <v>0</v>
      </c>
      <c r="CK128" s="47"/>
      <c r="CL128" s="131"/>
      <c r="CM128" s="35"/>
      <c r="CN128" s="131"/>
      <c r="CO128" s="131"/>
      <c r="CP12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28" s="66">
        <f>IFERROR(Table1[[#This Row],[Progres Keg. Umum
(%)]]*Table1[[#This Row],[Nilai RAB Jaringan
(file pa aji)]],0)</f>
        <v>0</v>
      </c>
      <c r="CR128" s="66">
        <f>IFERROR(Table1[[#This Row],[Progres MOS
(%)]]*Table1[[#This Row],[Nilai RAB Jaringan
(file pa aji)]],0)</f>
        <v>0</v>
      </c>
      <c r="CS128" s="66">
        <f>IFERROR(Table1[[#This Row],[Progres Pemasangan
(%)]]*Table1[[#This Row],[Nilai RAB Jaringan
(file pa aji)]],0)</f>
        <v>0</v>
      </c>
      <c r="CT128" s="66">
        <f>IFERROR(Table1[[#This Row],[Progres Perizinan
(%)]]*Table1[[#This Row],[Nilai RAB Jaringan
(file pa aji)]],0)</f>
        <v>0</v>
      </c>
      <c r="CU128" s="329">
        <v>143992290.21335998</v>
      </c>
      <c r="CV128" s="329">
        <v>143992290.21335998</v>
      </c>
      <c r="CW128" s="583">
        <v>0</v>
      </c>
      <c r="CX128" s="329">
        <v>0</v>
      </c>
      <c r="CY128" s="47"/>
      <c r="CZ128" s="330">
        <v>45530</v>
      </c>
      <c r="DA128" s="330">
        <v>45543</v>
      </c>
      <c r="DB128" s="331"/>
      <c r="DC128" s="316"/>
      <c r="DD128" s="67"/>
      <c r="DE12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8" s="331"/>
      <c r="DG128" s="316"/>
      <c r="DH128" s="67"/>
      <c r="DI12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8" s="330">
        <v>45544</v>
      </c>
      <c r="DK128" s="330">
        <v>45592</v>
      </c>
      <c r="DL128" s="331">
        <v>45542</v>
      </c>
      <c r="DM128" s="425" t="s">
        <v>878</v>
      </c>
      <c r="DN12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8" s="331">
        <v>46010</v>
      </c>
      <c r="DP128" s="426" t="s">
        <v>879</v>
      </c>
      <c r="DQ128" s="338" t="s">
        <v>344</v>
      </c>
      <c r="DR12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8" s="330">
        <v>45544</v>
      </c>
      <c r="DT128" s="330" t="e">
        <v>#N/A</v>
      </c>
      <c r="DU128" s="330">
        <v>45571</v>
      </c>
      <c r="DV128" s="330" t="e">
        <v>#N/A</v>
      </c>
      <c r="DW128" s="331"/>
      <c r="DX128" s="316"/>
      <c r="DY128" s="334"/>
      <c r="DZ128" s="334"/>
      <c r="EA12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8" s="331"/>
      <c r="EC128" s="332"/>
      <c r="ED128" s="332"/>
      <c r="EE128" s="330"/>
      <c r="EF128" s="35">
        <v>1</v>
      </c>
      <c r="EG128" s="337">
        <v>1</v>
      </c>
      <c r="EH128" s="316" t="str">
        <f>IF(Table1[[#This Row],[PO Material Aktual 
(%)]]&gt;=100%,"Selesai PO = 100%",IF(Table1[[#This Row],[PO Material Aktual 
(%)]]&gt;=50%,"Proses PO &gt; 100%",IF(Table1[[#This Row],[PO Material Aktual 
(%)]]&gt;0%,"Proses PO &gt; 50%",IF(Table1[[#This Row],[PO Material Aktual 
(%)]]=0,"Belum PO = 0%"))))</f>
        <v>Selesai PO = 100%</v>
      </c>
      <c r="EI12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8" s="330">
        <v>45572</v>
      </c>
      <c r="EK128" s="330" t="e">
        <v>#N/A</v>
      </c>
      <c r="EL128" s="330">
        <v>45620</v>
      </c>
      <c r="EM128" s="330" t="e">
        <v>#N/A</v>
      </c>
      <c r="EN128" s="331"/>
      <c r="EO128" s="332"/>
      <c r="EP128" s="332"/>
      <c r="EQ128" s="87">
        <v>1</v>
      </c>
      <c r="ER128" s="87">
        <v>1</v>
      </c>
      <c r="ES128" s="316" t="str">
        <f>IF(Table1[[#This Row],[Progres MOS]]&gt;=100%,"Selesai MOS = 100%",IF(Table1[[#This Row],[Progres MOS]]&gt;=50%,"Proses MOS &gt; 100%",IF(Table1[[#This Row],[Progres MOS]]&gt;0%,"Proses MOS &gt; 50%",IF(Table1[[#This Row],[Progres MOS]]=0,"Belum MOS = 0%"))))</f>
        <v>Selesai MOS = 100%</v>
      </c>
      <c r="ET12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8" s="47"/>
      <c r="EV128" s="330">
        <v>45544</v>
      </c>
      <c r="EW128" s="330" t="e">
        <v>#N/A</v>
      </c>
      <c r="EX128" s="330">
        <v>45620</v>
      </c>
      <c r="EY128" s="330" t="e">
        <v>#N/A</v>
      </c>
      <c r="EZ128" s="352" t="s">
        <v>259</v>
      </c>
      <c r="FA128" s="336" t="s">
        <v>259</v>
      </c>
      <c r="FB128" s="330" t="s">
        <v>260</v>
      </c>
      <c r="FC128" s="330">
        <v>45705</v>
      </c>
      <c r="FD128" s="330" t="s">
        <v>260</v>
      </c>
      <c r="FE128" s="330">
        <v>45726</v>
      </c>
      <c r="FF128" s="330">
        <v>45793</v>
      </c>
      <c r="FG128" s="330" t="s">
        <v>260</v>
      </c>
      <c r="FH128" s="330" t="s">
        <v>260</v>
      </c>
      <c r="FI128" s="330">
        <v>45923</v>
      </c>
      <c r="FJ128" s="330" t="s">
        <v>260</v>
      </c>
      <c r="FK128" s="330">
        <v>45985</v>
      </c>
      <c r="FL128" s="336" t="s">
        <v>259</v>
      </c>
      <c r="FM128" s="336">
        <v>45705</v>
      </c>
      <c r="FN128" s="314">
        <f>IF(Table1[[#This Row],[Tanggal Pengajuan Dokumen]]="","",Table1[[#This Row],[PLAN PERMIT
start]]-Table1[[#This Row],[Tanggal Pengajuan Dokumen]])</f>
        <v>-161</v>
      </c>
      <c r="FO128" s="336">
        <v>45985</v>
      </c>
      <c r="FP128" s="316"/>
      <c r="FQ128" s="338"/>
      <c r="FR128" s="352"/>
      <c r="FS128" s="338" t="str">
        <f t="shared" si="8"/>
        <v>Sudah Terbit</v>
      </c>
      <c r="FT12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8" s="344">
        <f ca="1">IF(Table1[[#This Row],[Status Izin]]="Selesai",Table1[[#This Row],[PLAN PERMIT
finish]]-Table1[[#This Row],[Tanggal Terbit/ Target Izin Terbit]],ROUNDUP(Table1[[#This Row],[PLAN PERMIT
finish]]-NOW(),0))</f>
        <v>-365</v>
      </c>
      <c r="FV12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8" s="344"/>
      <c r="FX128" s="47"/>
      <c r="FY128" s="340"/>
      <c r="FZ128" s="341"/>
      <c r="GA12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8" s="330">
        <v>45594</v>
      </c>
      <c r="GC128" s="352">
        <v>45610</v>
      </c>
      <c r="GD12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8" s="330">
        <v>45601</v>
      </c>
      <c r="GF128" s="352">
        <v>45610</v>
      </c>
      <c r="GG12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8" s="330">
        <v>45607</v>
      </c>
      <c r="GI128" s="330">
        <v>45613</v>
      </c>
      <c r="GJ128" s="352"/>
      <c r="GK12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128" s="330">
        <v>45621</v>
      </c>
      <c r="GM128" s="330" t="e">
        <v>#N/A</v>
      </c>
      <c r="GN128" s="330">
        <v>45641</v>
      </c>
      <c r="GO128" s="330" t="e">
        <v>#N/A</v>
      </c>
      <c r="GP128" s="316"/>
      <c r="GQ12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8" s="330" t="s">
        <v>261</v>
      </c>
      <c r="GS128" s="421" t="s">
        <v>261</v>
      </c>
      <c r="GT128" s="354"/>
      <c r="GU128" s="423" t="str">
        <f>IF(Table1[[#This Row],[Hydro Tes Actual
(tanggal)]]&lt;&gt;"","Sudah","Belum")</f>
        <v>Belum</v>
      </c>
      <c r="GV128" s="330" t="s">
        <v>261</v>
      </c>
      <c r="GW128" s="330" t="s">
        <v>261</v>
      </c>
      <c r="GX128" s="331"/>
      <c r="GY128" s="344" t="str">
        <f>IF(Table1[[#This Row],[Interkoneksi Actual
(tanggal)]]&lt;&gt;"","Sudah","Belum")</f>
        <v>Belum</v>
      </c>
      <c r="GZ128" s="330" t="s">
        <v>261</v>
      </c>
      <c r="HA128" s="330" t="s">
        <v>261</v>
      </c>
      <c r="HB128" s="331"/>
      <c r="HC128" s="344" t="str">
        <f>IF(Table1[[#This Row],[Flushing Actual
(tanggal)]]&lt;&gt;"","Sudah","Belum")</f>
        <v>Belum</v>
      </c>
      <c r="HD128" s="330">
        <v>45628</v>
      </c>
      <c r="HE128" s="330" t="e">
        <v>#N/A</v>
      </c>
      <c r="HF128" s="330">
        <v>45634</v>
      </c>
      <c r="HG128" s="352"/>
      <c r="HH12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28" s="330" t="s">
        <v>261</v>
      </c>
      <c r="HJ128" s="330" t="s">
        <v>261</v>
      </c>
      <c r="HK128" s="331"/>
      <c r="HL128" s="316"/>
      <c r="HM128" s="330">
        <v>45646</v>
      </c>
      <c r="HN128" s="330">
        <v>45646</v>
      </c>
      <c r="HO128" s="330" t="e">
        <v>#N/A</v>
      </c>
      <c r="HP128" s="331"/>
      <c r="HQ12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28" s="330">
        <v>45653</v>
      </c>
      <c r="HS128" s="330"/>
      <c r="HT128" s="330">
        <v>45653</v>
      </c>
      <c r="HU128" s="527"/>
      <c r="HV128" s="330"/>
      <c r="HW12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28" s="47"/>
      <c r="HY128" s="352"/>
      <c r="HZ128" s="352"/>
      <c r="IB128" s="618">
        <f>IFERROR(ROUND((Table1[[#This Row],[PLAN TC
finish]]-Table1[[#This Row],[PLAN MC-0
start]])/30,2),"")</f>
        <v>0.9</v>
      </c>
      <c r="IC128">
        <f>DATEDIF(Table1[[#This Row],[PLAN MC-0
start]],Table1[[#This Row],[PLAN TC
finish]],"m")</f>
        <v>0</v>
      </c>
    </row>
    <row r="129" spans="2:237" s="4" customFormat="1" ht="15" hidden="1" customHeight="1" x14ac:dyDescent="0.2">
      <c r="B129" s="311">
        <f>SUBTOTAL(3,$D$5:D129)</f>
        <v>84</v>
      </c>
      <c r="C129" s="348">
        <v>125</v>
      </c>
      <c r="D129" s="338" t="s">
        <v>629</v>
      </c>
      <c r="E129" s="338" t="s">
        <v>880</v>
      </c>
      <c r="F129" s="338" t="s">
        <v>881</v>
      </c>
      <c r="G129" s="349">
        <v>45935</v>
      </c>
      <c r="H129" s="314" t="s">
        <v>247</v>
      </c>
      <c r="I129" s="338" t="s">
        <v>248</v>
      </c>
      <c r="J129" s="315" t="s">
        <v>882</v>
      </c>
      <c r="K129" s="338" t="s">
        <v>632</v>
      </c>
      <c r="L129" s="316" t="s">
        <v>250</v>
      </c>
      <c r="M129" s="316" t="s">
        <v>251</v>
      </c>
      <c r="N129" s="107">
        <v>1050</v>
      </c>
      <c r="O129" s="131" t="s">
        <v>252</v>
      </c>
      <c r="P12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9" s="35" t="e">
        <v>#N/A</v>
      </c>
      <c r="S129" s="35">
        <v>1</v>
      </c>
      <c r="T129" s="35">
        <f>Table1[[#This Row],[Progres Total Aktual
(%)]]</f>
        <v>1</v>
      </c>
      <c r="U129" s="124">
        <f>Table1[[#This Row],[Progres Aktual
(%)]]-Table1[[#This Row],[Target Progres
(%)]]</f>
        <v>0</v>
      </c>
      <c r="V129" s="350">
        <f>Table1[[#This Row],["Volume
BA MC-0"]]</f>
        <v>1050</v>
      </c>
      <c r="W129" s="351">
        <f>Table1[[#This Row],[Total Panjang Pipa Aktual
(Sum-&gt;)3]]</f>
        <v>1008.2</v>
      </c>
      <c r="X129" s="47"/>
      <c r="Y129" s="67" t="s">
        <v>883</v>
      </c>
      <c r="Z129" s="67">
        <v>80943234345</v>
      </c>
      <c r="AA129" s="67">
        <f>Table1[[#This Row],[Nilai RAB Jaringan
(file pa aji)]]</f>
        <v>80943234345</v>
      </c>
      <c r="AB129" s="320">
        <f>SUM(Table1[[#This Row],[RAB Kegiatan Umum]:[RAB Perizinan]])</f>
        <v>0</v>
      </c>
      <c r="AC129" s="320"/>
      <c r="AD129" s="320"/>
      <c r="AE129" s="320"/>
      <c r="AF129" s="320"/>
      <c r="AG129" s="436">
        <v>0</v>
      </c>
      <c r="AH129" s="35" t="e">
        <f>SUM(Table1[[#This Row],[Bobot Keg Umum]:[Bobot Perizinan]])</f>
        <v>#DIV/0!</v>
      </c>
      <c r="AI129" s="35" t="e">
        <f>Table1[[#This Row],[RAB Kegiatan Umum]]/Table1[[#This Row],[Nilai RAB Jaringan
(Exclude Ppn)]]</f>
        <v>#DIV/0!</v>
      </c>
      <c r="AJ129" s="35" t="e">
        <f>Table1[[#This Row],[RAB Pemasangan]]/Table1[[#This Row],[Nilai RAB Jaringan
(Exclude Ppn)]]</f>
        <v>#DIV/0!</v>
      </c>
      <c r="AK129" s="35" t="e">
        <f>Table1[[#This Row],[RAB Pengadaan]]/Table1[[#This Row],[Nilai RAB Jaringan
(Exclude Ppn)]]</f>
        <v>#DIV/0!</v>
      </c>
      <c r="AL129" s="35" t="e">
        <f>Table1[[#This Row],[RAB Perizinan]]/Table1[[#This Row],[Nilai RAB Jaringan
(Exclude Ppn)]]</f>
        <v>#DIV/0!</v>
      </c>
      <c r="AM129" s="47"/>
      <c r="AN129" s="285">
        <v>1050</v>
      </c>
      <c r="AO129" s="285">
        <f>SUM(Table1[[#This Row],[Pipa 63 mm]:[Pipa 1,800 mm]])</f>
        <v>1003</v>
      </c>
      <c r="AP129" s="285"/>
      <c r="AQ129" s="285"/>
      <c r="AR129" s="285"/>
      <c r="AS129" s="285"/>
      <c r="AT129" s="285"/>
      <c r="AU129" s="285"/>
      <c r="AV129" s="285"/>
      <c r="AW129" s="285"/>
      <c r="AX129" s="285"/>
      <c r="AY129" s="285"/>
      <c r="AZ129" s="285"/>
      <c r="BA129" s="285"/>
      <c r="BB129" s="285"/>
      <c r="BC129" s="285"/>
      <c r="BD129" s="285"/>
      <c r="BE129" s="285"/>
      <c r="BF129" s="285"/>
      <c r="BG129" s="285"/>
      <c r="BH129" s="285">
        <v>1003</v>
      </c>
      <c r="BI129" s="285"/>
      <c r="BJ129" s="36">
        <f>SUM(Table1[[#This Row],[Pipa 63 mm2]:[Pipa 1,800 mm21]])</f>
        <v>1008.2</v>
      </c>
      <c r="BK129" s="32"/>
      <c r="BL129" s="32"/>
      <c r="BM129" s="32"/>
      <c r="BN129" s="32"/>
      <c r="BO129" s="32"/>
      <c r="BP129" s="32"/>
      <c r="BQ129" s="32"/>
      <c r="BR129" s="32"/>
      <c r="BS129" s="32"/>
      <c r="BT129" s="32"/>
      <c r="BU129" s="32"/>
      <c r="BV129" s="32"/>
      <c r="BW129" s="32"/>
      <c r="BX129" s="32"/>
      <c r="BY129" s="32"/>
      <c r="BZ129" s="32"/>
      <c r="CA129" s="32"/>
      <c r="CB129" s="32"/>
      <c r="CC129" s="32">
        <v>1008.2</v>
      </c>
      <c r="CD129" s="32"/>
      <c r="CE129" s="32">
        <v>0</v>
      </c>
      <c r="CF129" s="32">
        <v>0</v>
      </c>
      <c r="CG129" s="32">
        <v>0</v>
      </c>
      <c r="CH129" s="32">
        <v>0</v>
      </c>
      <c r="CI129" s="32">
        <f t="shared" si="6"/>
        <v>0</v>
      </c>
      <c r="CJ129" s="65">
        <f>IF((Table1[[#This Row],["Volume
BA MC-0"]]-Table1[[#This Row],[Total Panjang Pipa Aktual
(Sum-&gt;)3]]-Table1[[#This Row],[Total Volume
tidak dapat dipasang]])&gt;=0,Table1[[#This Row],["Volume
BA MC-0"]]-Table1[[#This Row],[Total Panjang Pipa Aktual
(Sum-&gt;)3]]-Table1[[#This Row],[Total Volume
tidak dapat dipasang]],0)</f>
        <v>41.799999999999955</v>
      </c>
      <c r="CK129" s="47"/>
      <c r="CL129" s="131"/>
      <c r="CM129" s="35"/>
      <c r="CN129" s="131"/>
      <c r="CO129" s="131"/>
      <c r="CP12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9" s="66">
        <f>IFERROR(Table1[[#This Row],[Progres Keg. Umum
(%)]]*Table1[[#This Row],[Nilai RAB Jaringan
(file pa aji)]],0)</f>
        <v>0</v>
      </c>
      <c r="CR129" s="66">
        <f>IFERROR(Table1[[#This Row],[Progres MOS
(%)]]*Table1[[#This Row],[Nilai RAB Jaringan
(file pa aji)]],0)</f>
        <v>0</v>
      </c>
      <c r="CS129" s="66">
        <f>IFERROR(Table1[[#This Row],[Progres Pemasangan
(%)]]*Table1[[#This Row],[Nilai RAB Jaringan
(file pa aji)]],0)</f>
        <v>0</v>
      </c>
      <c r="CT129" s="66">
        <f>IFERROR(Table1[[#This Row],[Progres Perizinan
(%)]]*Table1[[#This Row],[Nilai RAB Jaringan
(file pa aji)]],0)</f>
        <v>0</v>
      </c>
      <c r="CU129" s="329">
        <v>70342346388</v>
      </c>
      <c r="CV129" s="329">
        <v>70342346388</v>
      </c>
      <c r="CW129" s="583">
        <v>70342346388</v>
      </c>
      <c r="CX129" s="329">
        <v>70342346388</v>
      </c>
      <c r="CY129" s="47"/>
      <c r="CZ129" s="330">
        <v>45383</v>
      </c>
      <c r="DA129" s="330">
        <v>45417</v>
      </c>
      <c r="DB129" s="331">
        <v>45422</v>
      </c>
      <c r="DC129" s="316" t="s">
        <v>650</v>
      </c>
      <c r="DD129" s="67">
        <v>80943234345</v>
      </c>
      <c r="DE12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29" s="331">
        <v>45275</v>
      </c>
      <c r="DG129" s="316" t="s">
        <v>651</v>
      </c>
      <c r="DH129" s="67">
        <v>80943234345</v>
      </c>
      <c r="DI12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29" s="330">
        <v>45418</v>
      </c>
      <c r="DK129" s="330">
        <v>45564</v>
      </c>
      <c r="DL129" s="331">
        <v>45889</v>
      </c>
      <c r="DM129" s="316" t="s">
        <v>884</v>
      </c>
      <c r="DN12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29" s="331">
        <v>45896</v>
      </c>
      <c r="DP129" s="316" t="s">
        <v>885</v>
      </c>
      <c r="DQ129" s="338" t="s">
        <v>258</v>
      </c>
      <c r="DR12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9" s="330">
        <v>45418</v>
      </c>
      <c r="DT129" s="330" t="e">
        <v>#N/A</v>
      </c>
      <c r="DU129" s="330">
        <v>45466</v>
      </c>
      <c r="DV129" s="330" t="e">
        <v>#N/A</v>
      </c>
      <c r="DW129" s="331">
        <v>45737</v>
      </c>
      <c r="DX129" s="4" t="s">
        <v>886</v>
      </c>
      <c r="EA12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29" s="331">
        <v>45831</v>
      </c>
      <c r="EC129" s="316"/>
      <c r="ED129" s="316"/>
      <c r="EE129" s="331" t="s">
        <v>887</v>
      </c>
      <c r="EF129" s="35">
        <v>1</v>
      </c>
      <c r="EG129" s="337">
        <v>1</v>
      </c>
      <c r="EH129" s="316" t="str">
        <f>IF(Table1[[#This Row],[PO Material Aktual 
(%)]]&gt;=100%,"Selesai PO = 100%",IF(Table1[[#This Row],[PO Material Aktual 
(%)]]&gt;=50%,"Proses PO &gt; 100%",IF(Table1[[#This Row],[PO Material Aktual 
(%)]]&gt;0%,"Proses PO &gt; 50%",IF(Table1[[#This Row],[PO Material Aktual 
(%)]]=0,"Belum PO = 0%"))))</f>
        <v>Selesai PO = 100%</v>
      </c>
      <c r="EI12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29" s="330">
        <v>45467</v>
      </c>
      <c r="EK129" s="330" t="e">
        <v>#N/A</v>
      </c>
      <c r="EL129" s="330">
        <v>45655</v>
      </c>
      <c r="EM129" s="330" t="e">
        <v>#N/A</v>
      </c>
      <c r="EN129" s="331">
        <v>45971</v>
      </c>
      <c r="EO129" s="332"/>
      <c r="EP129" s="332"/>
      <c r="EQ129" s="87">
        <v>1</v>
      </c>
      <c r="ER129" s="87">
        <v>1</v>
      </c>
      <c r="ES129" s="316" t="str">
        <f>IF(Table1[[#This Row],[Progres MOS]]&gt;=100%,"Selesai MOS = 100%",IF(Table1[[#This Row],[Progres MOS]]&gt;=50%,"Proses MOS &gt; 100%",IF(Table1[[#This Row],[Progres MOS]]&gt;0%,"Proses MOS &gt; 50%",IF(Table1[[#This Row],[Progres MOS]]=0,"Belum MOS = 0%"))))</f>
        <v>Selesai MOS = 100%</v>
      </c>
      <c r="ET12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9" s="47"/>
      <c r="EV129" s="330">
        <v>45418</v>
      </c>
      <c r="EW129" s="330" t="e">
        <v>#N/A</v>
      </c>
      <c r="EX129" s="330">
        <v>45592</v>
      </c>
      <c r="EY129" s="330" t="e">
        <v>#N/A</v>
      </c>
      <c r="EZ129" s="352" t="s">
        <v>259</v>
      </c>
      <c r="FA129" s="336" t="str">
        <f>Table1[[#This Row],[IPPJU]]</f>
        <v>10.Izin Terbit</v>
      </c>
      <c r="FB129" s="330" t="e">
        <v>#N/A</v>
      </c>
      <c r="FC129" s="330" t="e">
        <v>#N/A</v>
      </c>
      <c r="FD129" s="330" t="e">
        <v>#N/A</v>
      </c>
      <c r="FE129" s="330" t="e">
        <v>#N/A</v>
      </c>
      <c r="FF129" s="330" t="e">
        <v>#N/A</v>
      </c>
      <c r="FG129" s="330" t="e">
        <v>#N/A</v>
      </c>
      <c r="FH129" s="330" t="e">
        <v>#N/A</v>
      </c>
      <c r="FI129" s="330" t="e">
        <v>#N/A</v>
      </c>
      <c r="FJ129" s="330" t="e">
        <v>#N/A</v>
      </c>
      <c r="FK129" s="330" t="e">
        <v>#N/A</v>
      </c>
      <c r="FL129" s="336" t="s">
        <v>259</v>
      </c>
      <c r="FM129" s="352"/>
      <c r="FN129" s="338" t="str">
        <f>IF(Table1[[#This Row],[Tanggal Pengajuan Dokumen]]="","",Table1[[#This Row],[PLAN PERMIT
start]]-Table1[[#This Row],[Tanggal Pengajuan Dokumen]])</f>
        <v/>
      </c>
      <c r="FO129" s="437">
        <v>45309</v>
      </c>
      <c r="FP129" s="316"/>
      <c r="FQ129" s="338"/>
      <c r="FR129" s="338" t="s">
        <v>175</v>
      </c>
      <c r="FS129" s="338" t="str">
        <f t="shared" ref="FS129:FS192" si="9">IF(AND(COUNTIF(EZ129:FR129,"*terbit*")&gt;=1,COUNTBLANK(FP129:FR129)=3),"Sudah Terbit",IF(COUNTIF(EZ129:FR129,"*terbit*")=COUNTA(EZ129:FR129),"Sudah Terbit","On Going"))</f>
        <v>On Going</v>
      </c>
      <c r="FT12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29" s="344">
        <f ca="1">IF(Table1[[#This Row],[Status Izin]]="Selesai",Table1[[#This Row],[PLAN PERMIT
finish]]-Table1[[#This Row],[Tanggal Terbit/ Target Izin Terbit]],ROUNDUP(Table1[[#This Row],[PLAN PERMIT
finish]]-NOW(),0))</f>
        <v>-599</v>
      </c>
      <c r="FV12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29" s="344"/>
      <c r="FX129" s="47"/>
      <c r="FY129" s="340"/>
      <c r="FZ129" s="341">
        <v>45582</v>
      </c>
      <c r="GA12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29" s="330">
        <v>45566</v>
      </c>
      <c r="GC129" s="352">
        <v>45520</v>
      </c>
      <c r="GD12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9" s="330">
        <v>45573</v>
      </c>
      <c r="GF129" s="438" t="s">
        <v>888</v>
      </c>
      <c r="GG12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9" s="330">
        <v>45579</v>
      </c>
      <c r="GI129" s="330">
        <v>45585</v>
      </c>
      <c r="GJ129" s="352">
        <v>45525</v>
      </c>
      <c r="GK12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9" s="330">
        <v>45593</v>
      </c>
      <c r="GM129" s="330" t="e">
        <v>#N/A</v>
      </c>
      <c r="GN129" s="330">
        <v>45753</v>
      </c>
      <c r="GO129" s="330" t="e">
        <v>#N/A</v>
      </c>
      <c r="GP129" s="316"/>
      <c r="GQ12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9" s="330" t="s">
        <v>261</v>
      </c>
      <c r="GS129" s="330" t="s">
        <v>261</v>
      </c>
      <c r="GT129" s="343">
        <v>45958</v>
      </c>
      <c r="GU129" s="344" t="str">
        <f>IF(Table1[[#This Row],[Hydro Tes Actual
(tanggal)]]&lt;&gt;"","Sudah","Belum")</f>
        <v>Sudah</v>
      </c>
      <c r="GV129" s="330" t="s">
        <v>261</v>
      </c>
      <c r="GW129" s="330" t="s">
        <v>261</v>
      </c>
      <c r="GX129" s="331" t="s">
        <v>261</v>
      </c>
      <c r="GY129" s="344" t="str">
        <f>IF(Table1[[#This Row],[Interkoneksi Actual
(tanggal)]]&lt;&gt;"","Sudah","Belum")</f>
        <v>Sudah</v>
      </c>
      <c r="GZ129" s="330" t="s">
        <v>261</v>
      </c>
      <c r="HA129" s="330" t="s">
        <v>261</v>
      </c>
      <c r="HB129" s="331">
        <v>45968</v>
      </c>
      <c r="HC129" s="344" t="str">
        <f>IF(Table1[[#This Row],[Flushing Actual
(tanggal)]]&lt;&gt;"","Sudah","Belum")</f>
        <v>Sudah</v>
      </c>
      <c r="HD129" s="330">
        <v>45726</v>
      </c>
      <c r="HE129" s="330" t="e">
        <v>#N/A</v>
      </c>
      <c r="HF129" s="330">
        <v>45746</v>
      </c>
      <c r="HG129" s="352">
        <v>45975</v>
      </c>
      <c r="HH12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9" s="330" t="s">
        <v>261</v>
      </c>
      <c r="HJ129" s="330" t="s">
        <v>261</v>
      </c>
      <c r="HK129" s="331"/>
      <c r="HL129" s="316"/>
      <c r="HM129" s="330">
        <v>45765</v>
      </c>
      <c r="HN129" s="330">
        <v>45765</v>
      </c>
      <c r="HO129" s="330" t="e">
        <v>#N/A</v>
      </c>
      <c r="HP129" s="331">
        <v>45982</v>
      </c>
      <c r="HQ12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29" s="330">
        <v>45772</v>
      </c>
      <c r="HS129" s="330"/>
      <c r="HT129" s="330">
        <v>45772</v>
      </c>
      <c r="HU129" s="527"/>
      <c r="HV129" s="330">
        <v>46020</v>
      </c>
      <c r="HW12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29" s="47"/>
      <c r="HY129" s="352"/>
      <c r="HZ129" s="352"/>
      <c r="IB129" s="618">
        <f>IFERROR(ROUND((Table1[[#This Row],[PLAN TC
finish]]-Table1[[#This Row],[PLAN MC-0
start]])/30,2),"")</f>
        <v>5.57</v>
      </c>
      <c r="IC129">
        <f>DATEDIF(Table1[[#This Row],[PLAN MC-0
start]],Table1[[#This Row],[PLAN TC
finish]],"m")</f>
        <v>5</v>
      </c>
    </row>
    <row r="130" spans="2:237" s="4" customFormat="1" ht="15" hidden="1" customHeight="1" x14ac:dyDescent="0.2">
      <c r="B130" s="311">
        <f>SUBTOTAL(3,$D$5:D130)</f>
        <v>84</v>
      </c>
      <c r="C130" s="348">
        <v>126</v>
      </c>
      <c r="D130" s="338" t="s">
        <v>629</v>
      </c>
      <c r="E130" s="338" t="s">
        <v>889</v>
      </c>
      <c r="F130" s="338" t="s">
        <v>890</v>
      </c>
      <c r="G130" s="349">
        <v>45935</v>
      </c>
      <c r="H130" s="314" t="s">
        <v>247</v>
      </c>
      <c r="I130" s="338" t="s">
        <v>248</v>
      </c>
      <c r="J130" s="315" t="s">
        <v>882</v>
      </c>
      <c r="K130" s="338" t="s">
        <v>632</v>
      </c>
      <c r="L130" s="316" t="s">
        <v>250</v>
      </c>
      <c r="M130" s="316" t="s">
        <v>251</v>
      </c>
      <c r="N130" s="107">
        <v>5676</v>
      </c>
      <c r="O130" s="131" t="s">
        <v>252</v>
      </c>
      <c r="P13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0" s="35" t="e">
        <v>#N/A</v>
      </c>
      <c r="S130" s="35">
        <v>1</v>
      </c>
      <c r="T130" s="35">
        <f>Table1[[#This Row],[Progres Total Aktual
(%)]]</f>
        <v>1</v>
      </c>
      <c r="U130" s="124">
        <f>Table1[[#This Row],[Progres Aktual
(%)]]-Table1[[#This Row],[Target Progres
(%)]]</f>
        <v>0</v>
      </c>
      <c r="V130" s="350">
        <f>Table1[[#This Row],["Volume
BA MC-0"]]</f>
        <v>5379.5</v>
      </c>
      <c r="W130" s="351">
        <f>Table1[[#This Row],[Total Panjang Pipa Aktual
(Sum-&gt;)3]]</f>
        <v>5522</v>
      </c>
      <c r="X130" s="47"/>
      <c r="Y130" s="67" t="s">
        <v>891</v>
      </c>
      <c r="Z130" s="67">
        <v>401383074593</v>
      </c>
      <c r="AA130" s="67">
        <f>Table1[[#This Row],[Nilai RAB Jaringan
(file pa aji)]]</f>
        <v>401383074593</v>
      </c>
      <c r="AB130" s="320">
        <f>SUM(Table1[[#This Row],[RAB Kegiatan Umum]:[RAB Perizinan]])</f>
        <v>0</v>
      </c>
      <c r="AC130" s="320"/>
      <c r="AD130" s="320"/>
      <c r="AE130" s="320"/>
      <c r="AF130" s="320"/>
      <c r="AG130" s="436">
        <v>0</v>
      </c>
      <c r="AH130" s="35" t="e">
        <f>SUM(Table1[[#This Row],[Bobot Keg Umum]:[Bobot Perizinan]])</f>
        <v>#DIV/0!</v>
      </c>
      <c r="AI130" s="35" t="e">
        <f>Table1[[#This Row],[RAB Kegiatan Umum]]/Table1[[#This Row],[Nilai RAB Jaringan
(Exclude Ppn)]]</f>
        <v>#DIV/0!</v>
      </c>
      <c r="AJ130" s="35" t="e">
        <f>Table1[[#This Row],[RAB Pemasangan]]/Table1[[#This Row],[Nilai RAB Jaringan
(Exclude Ppn)]]</f>
        <v>#DIV/0!</v>
      </c>
      <c r="AK130" s="35" t="e">
        <f>Table1[[#This Row],[RAB Pengadaan]]/Table1[[#This Row],[Nilai RAB Jaringan
(Exclude Ppn)]]</f>
        <v>#DIV/0!</v>
      </c>
      <c r="AL130" s="35" t="e">
        <f>Table1[[#This Row],[RAB Perizinan]]/Table1[[#This Row],[Nilai RAB Jaringan
(Exclude Ppn)]]</f>
        <v>#DIV/0!</v>
      </c>
      <c r="AM130" s="47"/>
      <c r="AN130" s="285">
        <v>5379.5</v>
      </c>
      <c r="AO130" s="285">
        <f>SUM(Table1[[#This Row],[Pipa 63 mm]:[Pipa 1,800 mm]])</f>
        <v>5750</v>
      </c>
      <c r="AP130" s="285"/>
      <c r="AQ130" s="285"/>
      <c r="AR130" s="285"/>
      <c r="AS130" s="285"/>
      <c r="AT130" s="285"/>
      <c r="AU130" s="285"/>
      <c r="AV130" s="285"/>
      <c r="AW130" s="285"/>
      <c r="AX130" s="285"/>
      <c r="AY130" s="285"/>
      <c r="AZ130" s="285"/>
      <c r="BA130" s="285"/>
      <c r="BB130" s="285"/>
      <c r="BC130" s="285"/>
      <c r="BD130" s="285"/>
      <c r="BE130" s="285"/>
      <c r="BF130" s="285"/>
      <c r="BG130" s="285"/>
      <c r="BH130" s="285">
        <v>5750</v>
      </c>
      <c r="BI130" s="285"/>
      <c r="BJ130" s="36">
        <f>SUM(Table1[[#This Row],[Pipa 63 mm2]:[Pipa 1,800 mm21]])</f>
        <v>5522</v>
      </c>
      <c r="BK130" s="32"/>
      <c r="BL130" s="32"/>
      <c r="BM130" s="32"/>
      <c r="BN130" s="32"/>
      <c r="BO130" s="32"/>
      <c r="BP130" s="32"/>
      <c r="BQ130" s="32"/>
      <c r="BR130" s="32"/>
      <c r="BS130" s="32"/>
      <c r="BT130" s="32"/>
      <c r="BU130" s="32"/>
      <c r="BV130" s="32"/>
      <c r="BW130" s="32"/>
      <c r="BX130" s="32"/>
      <c r="BY130" s="32"/>
      <c r="BZ130" s="32"/>
      <c r="CA130" s="32"/>
      <c r="CB130" s="32"/>
      <c r="CC130" s="32">
        <v>5522</v>
      </c>
      <c r="CD130" s="32"/>
      <c r="CE130" s="32">
        <v>0</v>
      </c>
      <c r="CF130" s="32">
        <v>0</v>
      </c>
      <c r="CG130" s="32">
        <v>0</v>
      </c>
      <c r="CH130" s="32">
        <v>0</v>
      </c>
      <c r="CI130" s="32">
        <f t="shared" si="6"/>
        <v>0</v>
      </c>
      <c r="CJ130" s="65">
        <f>IF((Table1[[#This Row],["Volume
BA MC-0"]]-Table1[[#This Row],[Total Panjang Pipa Aktual
(Sum-&gt;)3]]-Table1[[#This Row],[Total Volume
tidak dapat dipasang]])&gt;=0,Table1[[#This Row],["Volume
BA MC-0"]]-Table1[[#This Row],[Total Panjang Pipa Aktual
(Sum-&gt;)3]]-Table1[[#This Row],[Total Volume
tidak dapat dipasang]],0)</f>
        <v>0</v>
      </c>
      <c r="CK130" s="47"/>
      <c r="CL130" s="131"/>
      <c r="CM130" s="35"/>
      <c r="CN130" s="131"/>
      <c r="CO130" s="131"/>
      <c r="CP13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0" s="66">
        <f>IFERROR(Table1[[#This Row],[Progres Keg. Umum
(%)]]*Table1[[#This Row],[Nilai RAB Jaringan
(file pa aji)]],0)</f>
        <v>0</v>
      </c>
      <c r="CR130" s="66">
        <f>IFERROR(Table1[[#This Row],[Progres MOS
(%)]]*Table1[[#This Row],[Nilai RAB Jaringan
(file pa aji)]],0)</f>
        <v>0</v>
      </c>
      <c r="CS130" s="66">
        <f>IFERROR(Table1[[#This Row],[Progres Pemasangan
(%)]]*Table1[[#This Row],[Nilai RAB Jaringan
(file pa aji)]],0)</f>
        <v>0</v>
      </c>
      <c r="CT130" s="66">
        <f>IFERROR(Table1[[#This Row],[Progres Perizinan
(%)]]*Table1[[#This Row],[Nilai RAB Jaringan
(file pa aji)]],0)</f>
        <v>0</v>
      </c>
      <c r="CU130" s="329">
        <v>293154132323</v>
      </c>
      <c r="CV130" s="329">
        <v>293154132323</v>
      </c>
      <c r="CW130" s="583">
        <v>293154132323</v>
      </c>
      <c r="CX130" s="329">
        <v>293154132323</v>
      </c>
      <c r="CY130" s="47"/>
      <c r="CZ130" s="330">
        <v>45383</v>
      </c>
      <c r="DA130" s="330">
        <v>45417</v>
      </c>
      <c r="DB130" s="331">
        <v>45253</v>
      </c>
      <c r="DC130" s="316" t="s">
        <v>650</v>
      </c>
      <c r="DD130" s="67">
        <v>401031491477</v>
      </c>
      <c r="DE13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0" s="331">
        <v>45275</v>
      </c>
      <c r="DG130" s="316" t="s">
        <v>651</v>
      </c>
      <c r="DH130" s="67">
        <v>401031491477</v>
      </c>
      <c r="DI13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0" s="330">
        <v>45418</v>
      </c>
      <c r="DK130" s="330">
        <v>45564</v>
      </c>
      <c r="DL130" s="331">
        <v>45889</v>
      </c>
      <c r="DM130" s="316" t="s">
        <v>892</v>
      </c>
      <c r="DN13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0" s="331">
        <v>45896</v>
      </c>
      <c r="DP130" s="316" t="s">
        <v>885</v>
      </c>
      <c r="DQ130" s="338" t="s">
        <v>258</v>
      </c>
      <c r="DR13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0" s="330">
        <v>45418</v>
      </c>
      <c r="DT130" s="330" t="e">
        <v>#N/A</v>
      </c>
      <c r="DU130" s="330">
        <v>45466</v>
      </c>
      <c r="DV130" s="330" t="e">
        <v>#N/A</v>
      </c>
      <c r="DW130" s="331">
        <v>45943</v>
      </c>
      <c r="DX130" s="316" t="s">
        <v>893</v>
      </c>
      <c r="DY130" s="334"/>
      <c r="DZ130" s="334"/>
      <c r="EA13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0" s="331">
        <v>45985</v>
      </c>
      <c r="EC130" s="316"/>
      <c r="ED130" s="316"/>
      <c r="EE130" s="331" t="s">
        <v>894</v>
      </c>
      <c r="EF130" s="35">
        <v>1</v>
      </c>
      <c r="EG130" s="337">
        <v>1</v>
      </c>
      <c r="EH130" s="316" t="str">
        <f>IF(Table1[[#This Row],[PO Material Aktual 
(%)]]&gt;=100%,"Selesai PO = 100%",IF(Table1[[#This Row],[PO Material Aktual 
(%)]]&gt;=50%,"Proses PO &gt; 100%",IF(Table1[[#This Row],[PO Material Aktual 
(%)]]&gt;0%,"Proses PO &gt; 50%",IF(Table1[[#This Row],[PO Material Aktual 
(%)]]=0,"Belum PO = 0%"))))</f>
        <v>Selesai PO = 100%</v>
      </c>
      <c r="EI13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0" s="330">
        <v>45467</v>
      </c>
      <c r="EK130" s="330" t="e">
        <v>#N/A</v>
      </c>
      <c r="EL130" s="330">
        <v>45655</v>
      </c>
      <c r="EM130" s="330" t="e">
        <v>#N/A</v>
      </c>
      <c r="EN130" s="331">
        <v>46151</v>
      </c>
      <c r="EO130" s="332"/>
      <c r="EP130" s="332"/>
      <c r="EQ130" s="87">
        <v>1</v>
      </c>
      <c r="ER130" s="87">
        <v>1</v>
      </c>
      <c r="ES130" s="316" t="str">
        <f>IF(Table1[[#This Row],[Progres MOS]]&gt;=100%,"Selesai MOS = 100%",IF(Table1[[#This Row],[Progres MOS]]&gt;=50%,"Proses MOS &gt; 100%",IF(Table1[[#This Row],[Progres MOS]]&gt;0%,"Proses MOS &gt; 50%",IF(Table1[[#This Row],[Progres MOS]]=0,"Belum MOS = 0%"))))</f>
        <v>Selesai MOS = 100%</v>
      </c>
      <c r="ET13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0" s="47"/>
      <c r="EV130" s="330">
        <v>45418</v>
      </c>
      <c r="EW130" s="330" t="e">
        <v>#N/A</v>
      </c>
      <c r="EX130" s="330">
        <v>45592</v>
      </c>
      <c r="EY130" s="330" t="e">
        <v>#N/A</v>
      </c>
      <c r="EZ130" s="352" t="s">
        <v>259</v>
      </c>
      <c r="FA130" s="336" t="s">
        <v>259</v>
      </c>
      <c r="FB130" s="330" t="s">
        <v>260</v>
      </c>
      <c r="FC130" s="330">
        <v>45013</v>
      </c>
      <c r="FD130" s="330" t="s">
        <v>260</v>
      </c>
      <c r="FE130" s="330"/>
      <c r="FF130" s="330">
        <v>45161</v>
      </c>
      <c r="FG130" s="330" t="s">
        <v>260</v>
      </c>
      <c r="FH130" s="330" t="s">
        <v>260</v>
      </c>
      <c r="FI130" s="330">
        <v>45920</v>
      </c>
      <c r="FJ130" s="330" t="s">
        <v>260</v>
      </c>
      <c r="FK130" s="330">
        <v>45398</v>
      </c>
      <c r="FL130" s="336" t="s">
        <v>259</v>
      </c>
      <c r="FM130" s="352">
        <v>45013</v>
      </c>
      <c r="FN130" s="338">
        <f>IF(Table1[[#This Row],[Tanggal Pengajuan Dokumen]]="","",Table1[[#This Row],[PLAN PERMIT
start]]-Table1[[#This Row],[Tanggal Pengajuan Dokumen]])</f>
        <v>405</v>
      </c>
      <c r="FO130" s="437">
        <v>45470</v>
      </c>
      <c r="FP130" s="316" t="s">
        <v>175</v>
      </c>
      <c r="FQ130" s="338"/>
      <c r="FR130" s="338"/>
      <c r="FS130" s="338" t="str">
        <f t="shared" si="9"/>
        <v>On Going</v>
      </c>
      <c r="FT13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0" s="344">
        <f ca="1">IF(Table1[[#This Row],[Status Izin]]="Selesai",Table1[[#This Row],[PLAN PERMIT
finish]]-Table1[[#This Row],[Tanggal Terbit/ Target Izin Terbit]],ROUNDUP(Table1[[#This Row],[PLAN PERMIT
finish]]-NOW(),0))</f>
        <v>-599</v>
      </c>
      <c r="FV13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30" s="344"/>
      <c r="FX130" s="47"/>
      <c r="FY130" s="340"/>
      <c r="FZ130" s="341">
        <v>45582</v>
      </c>
      <c r="GA13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0" s="330">
        <v>45566</v>
      </c>
      <c r="GC130" s="352">
        <v>45520</v>
      </c>
      <c r="GD13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0" s="330">
        <v>45573</v>
      </c>
      <c r="GF130" s="438" t="s">
        <v>888</v>
      </c>
      <c r="GG13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30" s="330">
        <v>45579</v>
      </c>
      <c r="GI130" s="330">
        <v>45585</v>
      </c>
      <c r="GJ130" s="352">
        <v>45526</v>
      </c>
      <c r="GK13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0" s="330">
        <v>45593</v>
      </c>
      <c r="GM130" s="330" t="e">
        <v>#N/A</v>
      </c>
      <c r="GN130" s="330">
        <v>45753</v>
      </c>
      <c r="GO130" s="330" t="e">
        <v>#N/A</v>
      </c>
      <c r="GP130" s="316"/>
      <c r="GQ13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0" s="330" t="s">
        <v>261</v>
      </c>
      <c r="GS130" s="330" t="s">
        <v>261</v>
      </c>
      <c r="GT130" s="354">
        <v>45913</v>
      </c>
      <c r="GU130" s="344" t="str">
        <f>IF(Table1[[#This Row],[Hydro Tes Actual
(tanggal)]]&lt;&gt;"","Sudah","Belum")</f>
        <v>Sudah</v>
      </c>
      <c r="GV130" s="330" t="s">
        <v>261</v>
      </c>
      <c r="GW130" s="330" t="s">
        <v>261</v>
      </c>
      <c r="GX130" s="331" t="s">
        <v>261</v>
      </c>
      <c r="GY130" s="344" t="str">
        <f>IF(Table1[[#This Row],[Interkoneksi Actual
(tanggal)]]&lt;&gt;"","Sudah","Belum")</f>
        <v>Sudah</v>
      </c>
      <c r="GZ130" s="330" t="s">
        <v>261</v>
      </c>
      <c r="HA130" s="330" t="s">
        <v>261</v>
      </c>
      <c r="HB130" s="331">
        <v>45968</v>
      </c>
      <c r="HC130" s="344" t="str">
        <f>IF(Table1[[#This Row],[Flushing Actual
(tanggal)]]&lt;&gt;"","Sudah","Belum")</f>
        <v>Sudah</v>
      </c>
      <c r="HD130" s="330">
        <v>45726</v>
      </c>
      <c r="HE130" s="330" t="e">
        <v>#N/A</v>
      </c>
      <c r="HF130" s="330">
        <v>45746</v>
      </c>
      <c r="HG130" s="352">
        <v>45978</v>
      </c>
      <c r="HH13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0" s="330" t="s">
        <v>261</v>
      </c>
      <c r="HJ130" s="330" t="s">
        <v>261</v>
      </c>
      <c r="HK130" s="331"/>
      <c r="HL130" s="316"/>
      <c r="HM130" s="330">
        <v>45765</v>
      </c>
      <c r="HN130" s="330">
        <v>45765</v>
      </c>
      <c r="HO130" s="330" t="e">
        <v>#N/A</v>
      </c>
      <c r="HP130" s="331">
        <v>45982</v>
      </c>
      <c r="HQ13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30" s="330">
        <v>45772</v>
      </c>
      <c r="HS130" s="330"/>
      <c r="HT130" s="330">
        <v>45772</v>
      </c>
      <c r="HU130" s="527"/>
      <c r="HV130" s="330">
        <v>46020</v>
      </c>
      <c r="HW13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30" s="47"/>
      <c r="HY130" s="352"/>
      <c r="HZ130" s="352"/>
      <c r="IB130" s="618">
        <f>IFERROR(ROUND((Table1[[#This Row],[PLAN TC
finish]]-Table1[[#This Row],[PLAN MC-0
start]])/30,2),"")</f>
        <v>5.57</v>
      </c>
      <c r="IC130">
        <f>DATEDIF(Table1[[#This Row],[PLAN MC-0
start]],Table1[[#This Row],[PLAN TC
finish]],"m")</f>
        <v>5</v>
      </c>
    </row>
    <row r="131" spans="2:237" s="4" customFormat="1" ht="15" hidden="1" customHeight="1" x14ac:dyDescent="0.2">
      <c r="B131" s="311">
        <f>SUBTOTAL(3,$D$5:D131)</f>
        <v>84</v>
      </c>
      <c r="C131" s="348">
        <v>127</v>
      </c>
      <c r="D131" s="338" t="s">
        <v>629</v>
      </c>
      <c r="E131" s="338" t="s">
        <v>895</v>
      </c>
      <c r="F131" s="338" t="s">
        <v>896</v>
      </c>
      <c r="G131" s="349">
        <v>45935</v>
      </c>
      <c r="H131" s="314" t="s">
        <v>247</v>
      </c>
      <c r="I131" s="338" t="s">
        <v>248</v>
      </c>
      <c r="J131" s="315" t="s">
        <v>882</v>
      </c>
      <c r="K131" s="338" t="s">
        <v>632</v>
      </c>
      <c r="L131" s="316" t="s">
        <v>250</v>
      </c>
      <c r="M131" s="316" t="s">
        <v>251</v>
      </c>
      <c r="N131" s="107">
        <v>1350</v>
      </c>
      <c r="O131" s="131" t="s">
        <v>252</v>
      </c>
      <c r="P13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1" s="35" t="e">
        <v>#N/A</v>
      </c>
      <c r="S131" s="35">
        <v>1</v>
      </c>
      <c r="T131" s="35">
        <f>Table1[[#This Row],[Progres Total Aktual
(%)]]</f>
        <v>1</v>
      </c>
      <c r="U131" s="124">
        <f>Table1[[#This Row],[Progres Aktual
(%)]]-Table1[[#This Row],[Target Progres
(%)]]</f>
        <v>0</v>
      </c>
      <c r="V131" s="350">
        <f>Table1[[#This Row],["Volume
BA MC-0"]]</f>
        <v>1275.5</v>
      </c>
      <c r="W131" s="351">
        <f>Table1[[#This Row],[Total Panjang Pipa Aktual
(Sum-&gt;)3]]</f>
        <v>1347.4</v>
      </c>
      <c r="X131" s="47"/>
      <c r="Y131" s="67" t="s">
        <v>897</v>
      </c>
      <c r="Z131" s="67">
        <v>102334938104</v>
      </c>
      <c r="AA131" s="67">
        <f>Table1[[#This Row],[Nilai RAB Jaringan
(file pa aji)]]</f>
        <v>102334938104</v>
      </c>
      <c r="AB131" s="320">
        <f>SUM(Table1[[#This Row],[RAB Kegiatan Umum]:[RAB Perizinan]])</f>
        <v>0</v>
      </c>
      <c r="AC131" s="320"/>
      <c r="AD131" s="320"/>
      <c r="AE131" s="320"/>
      <c r="AF131" s="320"/>
      <c r="AG131" s="436">
        <v>0</v>
      </c>
      <c r="AH131" s="35" t="e">
        <f>SUM(Table1[[#This Row],[Bobot Keg Umum]:[Bobot Perizinan]])</f>
        <v>#DIV/0!</v>
      </c>
      <c r="AI131" s="35" t="e">
        <f>Table1[[#This Row],[RAB Kegiatan Umum]]/Table1[[#This Row],[Nilai RAB Jaringan
(Exclude Ppn)]]</f>
        <v>#DIV/0!</v>
      </c>
      <c r="AJ131" s="35" t="e">
        <f>Table1[[#This Row],[RAB Pemasangan]]/Table1[[#This Row],[Nilai RAB Jaringan
(Exclude Ppn)]]</f>
        <v>#DIV/0!</v>
      </c>
      <c r="AK131" s="35" t="e">
        <f>Table1[[#This Row],[RAB Pengadaan]]/Table1[[#This Row],[Nilai RAB Jaringan
(Exclude Ppn)]]</f>
        <v>#DIV/0!</v>
      </c>
      <c r="AL131" s="35" t="e">
        <f>Table1[[#This Row],[RAB Perizinan]]/Table1[[#This Row],[Nilai RAB Jaringan
(Exclude Ppn)]]</f>
        <v>#DIV/0!</v>
      </c>
      <c r="AM131" s="47"/>
      <c r="AN131" s="285">
        <v>1275.5</v>
      </c>
      <c r="AO131" s="285">
        <f>SUM(Table1[[#This Row],[Pipa 63 mm]:[Pipa 1,800 mm]])</f>
        <v>1350</v>
      </c>
      <c r="AP131" s="285"/>
      <c r="AQ131" s="285"/>
      <c r="AR131" s="285"/>
      <c r="AS131" s="285"/>
      <c r="AT131" s="285"/>
      <c r="AU131" s="285"/>
      <c r="AV131" s="285"/>
      <c r="AW131" s="285"/>
      <c r="AX131" s="285"/>
      <c r="AY131" s="285"/>
      <c r="AZ131" s="285"/>
      <c r="BA131" s="285"/>
      <c r="BB131" s="285"/>
      <c r="BC131" s="285"/>
      <c r="BD131" s="285"/>
      <c r="BE131" s="285"/>
      <c r="BF131" s="285"/>
      <c r="BG131" s="285"/>
      <c r="BH131" s="285">
        <v>1350</v>
      </c>
      <c r="BI131" s="285"/>
      <c r="BJ131" s="36">
        <f>SUM(Table1[[#This Row],[Pipa 63 mm2]:[Pipa 1,800 mm21]])</f>
        <v>1347.4</v>
      </c>
      <c r="BK131" s="32"/>
      <c r="BL131" s="32"/>
      <c r="BM131" s="32"/>
      <c r="BN131" s="32"/>
      <c r="BO131" s="32"/>
      <c r="BP131" s="32"/>
      <c r="BQ131" s="32"/>
      <c r="BR131" s="32"/>
      <c r="BS131" s="32"/>
      <c r="BT131" s="32"/>
      <c r="BU131" s="32"/>
      <c r="BV131" s="32"/>
      <c r="BW131" s="32"/>
      <c r="BX131" s="32"/>
      <c r="BY131" s="32"/>
      <c r="BZ131" s="32"/>
      <c r="CA131" s="32"/>
      <c r="CB131" s="32"/>
      <c r="CC131" s="32">
        <v>1347.4</v>
      </c>
      <c r="CD131" s="32"/>
      <c r="CE131" s="32">
        <v>0</v>
      </c>
      <c r="CF131" s="32">
        <v>0</v>
      </c>
      <c r="CG131" s="32">
        <v>0</v>
      </c>
      <c r="CH131" s="32">
        <v>0</v>
      </c>
      <c r="CI131" s="32">
        <f t="shared" si="6"/>
        <v>0</v>
      </c>
      <c r="CJ131" s="65">
        <f>IF((Table1[[#This Row],["Volume
BA MC-0"]]-Table1[[#This Row],[Total Panjang Pipa Aktual
(Sum-&gt;)3]]-Table1[[#This Row],[Total Volume
tidak dapat dipasang]])&gt;=0,Table1[[#This Row],["Volume
BA MC-0"]]-Table1[[#This Row],[Total Panjang Pipa Aktual
(Sum-&gt;)3]]-Table1[[#This Row],[Total Volume
tidak dapat dipasang]],0)</f>
        <v>0</v>
      </c>
      <c r="CK131" s="47"/>
      <c r="CL131" s="131"/>
      <c r="CM131" s="35"/>
      <c r="CN131" s="131"/>
      <c r="CO131" s="131"/>
      <c r="CP13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1" s="66">
        <f>IFERROR(Table1[[#This Row],[Progres Keg. Umum
(%)]]*Table1[[#This Row],[Nilai RAB Jaringan
(file pa aji)]],0)</f>
        <v>0</v>
      </c>
      <c r="CR131" s="66">
        <f>IFERROR(Table1[[#This Row],[Progres MOS
(%)]]*Table1[[#This Row],[Nilai RAB Jaringan
(file pa aji)]],0)</f>
        <v>0</v>
      </c>
      <c r="CS131" s="66">
        <f>IFERROR(Table1[[#This Row],[Progres Pemasangan
(%)]]*Table1[[#This Row],[Nilai RAB Jaringan
(file pa aji)]],0)</f>
        <v>0</v>
      </c>
      <c r="CT131" s="66">
        <f>IFERROR(Table1[[#This Row],[Progres Perizinan
(%)]]*Table1[[#This Row],[Nilai RAB Jaringan
(file pa aji)]],0)</f>
        <v>0</v>
      </c>
      <c r="CU131" s="329">
        <v>95860910299</v>
      </c>
      <c r="CV131" s="329">
        <v>95860910299</v>
      </c>
      <c r="CW131" s="583">
        <v>95860910299</v>
      </c>
      <c r="CX131" s="329">
        <v>95860910299</v>
      </c>
      <c r="CY131" s="47"/>
      <c r="CZ131" s="330">
        <v>45383</v>
      </c>
      <c r="DA131" s="330">
        <v>45417</v>
      </c>
      <c r="DB131" s="331">
        <v>45365</v>
      </c>
      <c r="DC131" s="316" t="s">
        <v>898</v>
      </c>
      <c r="DD131" s="67">
        <v>102512784096.25</v>
      </c>
      <c r="DE13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1" s="331">
        <v>45479</v>
      </c>
      <c r="DG131" s="316" t="s">
        <v>899</v>
      </c>
      <c r="DH131" s="67">
        <v>102512784096.25</v>
      </c>
      <c r="DI13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31" s="330">
        <v>45418</v>
      </c>
      <c r="DK131" s="330">
        <v>45564</v>
      </c>
      <c r="DL131" s="331">
        <v>45889</v>
      </c>
      <c r="DM131" s="316" t="s">
        <v>900</v>
      </c>
      <c r="DN13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1" s="331">
        <v>45896</v>
      </c>
      <c r="DP131" s="316" t="s">
        <v>885</v>
      </c>
      <c r="DQ131" s="338" t="s">
        <v>258</v>
      </c>
      <c r="DR13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1" s="330">
        <v>45418</v>
      </c>
      <c r="DT131" s="330" t="e">
        <v>#N/A</v>
      </c>
      <c r="DU131" s="330">
        <v>45466</v>
      </c>
      <c r="DV131" s="330" t="e">
        <v>#N/A</v>
      </c>
      <c r="DW131" s="331">
        <v>45939</v>
      </c>
      <c r="DX131" s="316" t="s">
        <v>901</v>
      </c>
      <c r="DY131" s="334"/>
      <c r="DZ131" s="334"/>
      <c r="EA13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1" s="331">
        <v>45961</v>
      </c>
      <c r="EC131" s="316"/>
      <c r="ED131" s="316"/>
      <c r="EE131" s="331" t="s">
        <v>902</v>
      </c>
      <c r="EF131" s="35">
        <v>1</v>
      </c>
      <c r="EG131" s="337">
        <v>1</v>
      </c>
      <c r="EH131" s="316" t="str">
        <f>IF(Table1[[#This Row],[PO Material Aktual 
(%)]]&gt;=100%,"Selesai PO = 100%",IF(Table1[[#This Row],[PO Material Aktual 
(%)]]&gt;=50%,"Proses PO &gt; 100%",IF(Table1[[#This Row],[PO Material Aktual 
(%)]]&gt;0%,"Proses PO &gt; 50%",IF(Table1[[#This Row],[PO Material Aktual 
(%)]]=0,"Belum PO = 0%"))))</f>
        <v>Selesai PO = 100%</v>
      </c>
      <c r="EI13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1" s="330">
        <v>45467</v>
      </c>
      <c r="EK131" s="330" t="e">
        <v>#N/A</v>
      </c>
      <c r="EL131" s="330">
        <v>45655</v>
      </c>
      <c r="EM131" s="330" t="e">
        <v>#N/A</v>
      </c>
      <c r="EN131" s="331">
        <v>46049</v>
      </c>
      <c r="EO131" s="332"/>
      <c r="EP131" s="332"/>
      <c r="EQ131" s="87">
        <v>1</v>
      </c>
      <c r="ER131" s="87">
        <v>1</v>
      </c>
      <c r="ES131" s="316" t="str">
        <f>IF(Table1[[#This Row],[Progres MOS]]&gt;=100%,"Selesai MOS = 100%",IF(Table1[[#This Row],[Progres MOS]]&gt;=50%,"Proses MOS &gt; 100%",IF(Table1[[#This Row],[Progres MOS]]&gt;0%,"Proses MOS &gt; 50%",IF(Table1[[#This Row],[Progres MOS]]=0,"Belum MOS = 0%"))))</f>
        <v>Selesai MOS = 100%</v>
      </c>
      <c r="ET13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1" s="47"/>
      <c r="EV131" s="330">
        <v>45418</v>
      </c>
      <c r="EW131" s="330" t="e">
        <v>#N/A</v>
      </c>
      <c r="EX131" s="330">
        <v>45592</v>
      </c>
      <c r="EY131" s="330" t="e">
        <v>#N/A</v>
      </c>
      <c r="EZ131" s="352" t="s">
        <v>259</v>
      </c>
      <c r="FA131" s="336" t="s">
        <v>259</v>
      </c>
      <c r="FB131" s="330" t="s">
        <v>260</v>
      </c>
      <c r="FC131" s="330">
        <v>45013</v>
      </c>
      <c r="FD131" s="330" t="s">
        <v>260</v>
      </c>
      <c r="FE131" s="330"/>
      <c r="FF131" s="330">
        <v>45161</v>
      </c>
      <c r="FG131" s="330" t="s">
        <v>260</v>
      </c>
      <c r="FH131" s="330" t="s">
        <v>260</v>
      </c>
      <c r="FI131" s="330">
        <v>45920</v>
      </c>
      <c r="FJ131" s="330" t="s">
        <v>260</v>
      </c>
      <c r="FK131" s="330">
        <v>45398</v>
      </c>
      <c r="FL131" s="336" t="s">
        <v>259</v>
      </c>
      <c r="FM131" s="352">
        <v>45013</v>
      </c>
      <c r="FN131" s="338">
        <f>IF(Table1[[#This Row],[Tanggal Pengajuan Dokumen]]="","",Table1[[#This Row],[PLAN PERMIT
start]]-Table1[[#This Row],[Tanggal Pengajuan Dokumen]])</f>
        <v>405</v>
      </c>
      <c r="FO131" s="437">
        <v>45470</v>
      </c>
      <c r="FP131" s="316"/>
      <c r="FQ131" s="338"/>
      <c r="FR131" s="338"/>
      <c r="FS131" s="338" t="str">
        <f t="shared" si="9"/>
        <v>Sudah Terbit</v>
      </c>
      <c r="FT13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1" s="344">
        <f ca="1">IF(Table1[[#This Row],[Status Izin]]="Selesai",Table1[[#This Row],[PLAN PERMIT
finish]]-Table1[[#This Row],[Tanggal Terbit/ Target Izin Terbit]],ROUNDUP(Table1[[#This Row],[PLAN PERMIT
finish]]-NOW(),0))</f>
        <v>122</v>
      </c>
      <c r="FV13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31" s="344"/>
      <c r="FX131" s="47"/>
      <c r="FY131" s="340"/>
      <c r="FZ131" s="341">
        <v>45582</v>
      </c>
      <c r="GA13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1" s="330">
        <v>45566</v>
      </c>
      <c r="GC131" s="352">
        <v>45520</v>
      </c>
      <c r="GD13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1" s="330">
        <v>45573</v>
      </c>
      <c r="GF131" s="438" t="s">
        <v>888</v>
      </c>
      <c r="GG13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31" s="330">
        <v>45579</v>
      </c>
      <c r="GI131" s="330">
        <v>45585</v>
      </c>
      <c r="GJ131" s="352">
        <v>45526</v>
      </c>
      <c r="GK13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1" s="330">
        <v>45593</v>
      </c>
      <c r="GM131" s="330" t="e">
        <v>#N/A</v>
      </c>
      <c r="GN131" s="330">
        <v>45753</v>
      </c>
      <c r="GO131" s="330" t="e">
        <v>#N/A</v>
      </c>
      <c r="GP131" s="316"/>
      <c r="GQ13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1" s="330" t="s">
        <v>261</v>
      </c>
      <c r="GS131" s="330" t="s">
        <v>261</v>
      </c>
      <c r="GT131" s="354">
        <v>45915</v>
      </c>
      <c r="GU131" s="344" t="str">
        <f>IF(Table1[[#This Row],[Hydro Tes Actual
(tanggal)]]&lt;&gt;"","Sudah","Belum")</f>
        <v>Sudah</v>
      </c>
      <c r="GV131" s="330" t="s">
        <v>261</v>
      </c>
      <c r="GW131" s="330" t="s">
        <v>261</v>
      </c>
      <c r="GX131" s="331">
        <v>45920</v>
      </c>
      <c r="GY131" s="344" t="str">
        <f>IF(Table1[[#This Row],[Interkoneksi Actual
(tanggal)]]&lt;&gt;"","Sudah","Belum")</f>
        <v>Sudah</v>
      </c>
      <c r="GZ131" s="330" t="s">
        <v>261</v>
      </c>
      <c r="HA131" s="330" t="s">
        <v>261</v>
      </c>
      <c r="HB131" s="331">
        <v>45968</v>
      </c>
      <c r="HC131" s="344" t="str">
        <f>IF(Table1[[#This Row],[Flushing Actual
(tanggal)]]&lt;&gt;"","Sudah","Belum")</f>
        <v>Sudah</v>
      </c>
      <c r="HD131" s="330">
        <v>45726</v>
      </c>
      <c r="HE131" s="330" t="e">
        <v>#N/A</v>
      </c>
      <c r="HF131" s="330">
        <v>45746</v>
      </c>
      <c r="HG131" s="352">
        <v>45978</v>
      </c>
      <c r="HH13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1" s="330" t="s">
        <v>261</v>
      </c>
      <c r="HJ131" s="330" t="s">
        <v>261</v>
      </c>
      <c r="HK131" s="331"/>
      <c r="HL131" s="316"/>
      <c r="HM131" s="330">
        <v>45765</v>
      </c>
      <c r="HN131" s="330">
        <v>45765</v>
      </c>
      <c r="HO131" s="330" t="e">
        <v>#N/A</v>
      </c>
      <c r="HP131" s="331">
        <v>45982</v>
      </c>
      <c r="HQ13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31" s="330">
        <v>45772</v>
      </c>
      <c r="HS131" s="330"/>
      <c r="HT131" s="330">
        <v>45772</v>
      </c>
      <c r="HU131" s="527"/>
      <c r="HV131" s="330">
        <v>46020</v>
      </c>
      <c r="HW13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31" s="47"/>
      <c r="HY131" s="352"/>
      <c r="HZ131" s="352"/>
      <c r="IB131" s="618">
        <f>IFERROR(ROUND((Table1[[#This Row],[PLAN TC
finish]]-Table1[[#This Row],[PLAN MC-0
start]])/30,2),"")</f>
        <v>5.57</v>
      </c>
      <c r="IC131">
        <f>DATEDIF(Table1[[#This Row],[PLAN MC-0
start]],Table1[[#This Row],[PLAN TC
finish]],"m")</f>
        <v>5</v>
      </c>
    </row>
    <row r="132" spans="2:237" s="4" customFormat="1" ht="15" hidden="1" customHeight="1" x14ac:dyDescent="0.2">
      <c r="B132" s="311">
        <f>SUBTOTAL(3,$D$5:D132)</f>
        <v>84</v>
      </c>
      <c r="C132" s="348">
        <v>128</v>
      </c>
      <c r="D132" s="338" t="s">
        <v>629</v>
      </c>
      <c r="E132" s="338" t="s">
        <v>903</v>
      </c>
      <c r="F132" s="338" t="s">
        <v>904</v>
      </c>
      <c r="G132" s="349">
        <v>45935</v>
      </c>
      <c r="H132" s="314" t="s">
        <v>247</v>
      </c>
      <c r="I132" s="338" t="s">
        <v>248</v>
      </c>
      <c r="J132" s="315" t="s">
        <v>882</v>
      </c>
      <c r="K132" s="338" t="s">
        <v>632</v>
      </c>
      <c r="L132" s="316" t="s">
        <v>250</v>
      </c>
      <c r="M132" s="316" t="s">
        <v>251</v>
      </c>
      <c r="N132" s="107">
        <v>1133</v>
      </c>
      <c r="O132" s="131" t="s">
        <v>252</v>
      </c>
      <c r="P13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2" s="35" t="e">
        <v>#N/A</v>
      </c>
      <c r="S132" s="35">
        <v>1</v>
      </c>
      <c r="T132" s="35">
        <f>Table1[[#This Row],[Progres Total Aktual
(%)]]</f>
        <v>1</v>
      </c>
      <c r="U132" s="124">
        <f>Table1[[#This Row],[Progres Aktual
(%)]]-Table1[[#This Row],[Target Progres
(%)]]</f>
        <v>0</v>
      </c>
      <c r="V132" s="350">
        <f>Table1[[#This Row],["Volume
BA MC-0"]]</f>
        <v>1085</v>
      </c>
      <c r="W132" s="351">
        <f>Table1[[#This Row],[Total Panjang Pipa Aktual
(Sum-&gt;)3]]</f>
        <v>1168.9000000000001</v>
      </c>
      <c r="X132" s="47"/>
      <c r="Y132" s="67" t="s">
        <v>905</v>
      </c>
      <c r="Z132" s="67">
        <v>145686597406</v>
      </c>
      <c r="AA132" s="67">
        <f>Table1[[#This Row],[Nilai RAB Jaringan
(file pa aji)]]</f>
        <v>145686597406</v>
      </c>
      <c r="AB132" s="320">
        <f>SUM(Table1[[#This Row],[RAB Kegiatan Umum]:[RAB Perizinan]])</f>
        <v>0</v>
      </c>
      <c r="AC132" s="320"/>
      <c r="AD132" s="320"/>
      <c r="AE132" s="320"/>
      <c r="AF132" s="320"/>
      <c r="AG132" s="436">
        <v>0</v>
      </c>
      <c r="AH132" s="35" t="e">
        <f>SUM(Table1[[#This Row],[Bobot Keg Umum]:[Bobot Perizinan]])</f>
        <v>#DIV/0!</v>
      </c>
      <c r="AI132" s="35" t="e">
        <f>Table1[[#This Row],[RAB Kegiatan Umum]]/Table1[[#This Row],[Nilai RAB Jaringan
(Exclude Ppn)]]</f>
        <v>#DIV/0!</v>
      </c>
      <c r="AJ132" s="35" t="e">
        <f>Table1[[#This Row],[RAB Pemasangan]]/Table1[[#This Row],[Nilai RAB Jaringan
(Exclude Ppn)]]</f>
        <v>#DIV/0!</v>
      </c>
      <c r="AK132" s="35" t="e">
        <f>Table1[[#This Row],[RAB Pengadaan]]/Table1[[#This Row],[Nilai RAB Jaringan
(Exclude Ppn)]]</f>
        <v>#DIV/0!</v>
      </c>
      <c r="AL132" s="35" t="e">
        <f>Table1[[#This Row],[RAB Perizinan]]/Table1[[#This Row],[Nilai RAB Jaringan
(Exclude Ppn)]]</f>
        <v>#DIV/0!</v>
      </c>
      <c r="AM132" s="47"/>
      <c r="AN132" s="285">
        <v>1085</v>
      </c>
      <c r="AO132" s="285">
        <f>SUM(Table1[[#This Row],[Pipa 63 mm]:[Pipa 1,800 mm]])</f>
        <v>1165</v>
      </c>
      <c r="AP132" s="285"/>
      <c r="AQ132" s="285"/>
      <c r="AR132" s="285"/>
      <c r="AS132" s="285"/>
      <c r="AT132" s="285"/>
      <c r="AU132" s="285"/>
      <c r="AV132" s="285"/>
      <c r="AW132" s="285"/>
      <c r="AX132" s="285"/>
      <c r="AY132" s="285"/>
      <c r="AZ132" s="285"/>
      <c r="BA132" s="285"/>
      <c r="BB132" s="285">
        <v>1165</v>
      </c>
      <c r="BC132" s="285"/>
      <c r="BD132" s="285"/>
      <c r="BE132" s="285"/>
      <c r="BF132" s="285"/>
      <c r="BG132" s="285"/>
      <c r="BH132" s="285"/>
      <c r="BI132" s="285"/>
      <c r="BJ132" s="36">
        <f>SUM(Table1[[#This Row],[Pipa 63 mm2]:[Pipa 1,800 mm21]])</f>
        <v>1168.9000000000001</v>
      </c>
      <c r="BK132" s="32"/>
      <c r="BL132" s="32"/>
      <c r="BM132" s="32"/>
      <c r="BN132" s="32"/>
      <c r="BO132" s="32"/>
      <c r="BP132" s="32"/>
      <c r="BQ132" s="32"/>
      <c r="BR132" s="32"/>
      <c r="BS132" s="32"/>
      <c r="BT132" s="32"/>
      <c r="BU132" s="32"/>
      <c r="BV132" s="32"/>
      <c r="BW132" s="32">
        <v>1168.9000000000001</v>
      </c>
      <c r="BX132" s="32"/>
      <c r="BY132" s="32"/>
      <c r="BZ132" s="32"/>
      <c r="CA132" s="32"/>
      <c r="CB132" s="32"/>
      <c r="CC132" s="32"/>
      <c r="CD132" s="32"/>
      <c r="CE132" s="32">
        <v>0</v>
      </c>
      <c r="CF132" s="32">
        <v>0</v>
      </c>
      <c r="CG132" s="32">
        <v>0</v>
      </c>
      <c r="CH132" s="32">
        <v>0</v>
      </c>
      <c r="CI132" s="32">
        <f t="shared" si="6"/>
        <v>0</v>
      </c>
      <c r="CJ132" s="65">
        <f>IF((Table1[[#This Row],["Volume
BA MC-0"]]-Table1[[#This Row],[Total Panjang Pipa Aktual
(Sum-&gt;)3]]-Table1[[#This Row],[Total Volume
tidak dapat dipasang]])&gt;=0,Table1[[#This Row],["Volume
BA MC-0"]]-Table1[[#This Row],[Total Panjang Pipa Aktual
(Sum-&gt;)3]]-Table1[[#This Row],[Total Volume
tidak dapat dipasang]],0)</f>
        <v>0</v>
      </c>
      <c r="CK132" s="47"/>
      <c r="CL132" s="131"/>
      <c r="CM132" s="35"/>
      <c r="CN132" s="131"/>
      <c r="CO132" s="131"/>
      <c r="CP13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2" s="66">
        <f>IFERROR(Table1[[#This Row],[Progres Keg. Umum
(%)]]*Table1[[#This Row],[Nilai RAB Jaringan
(file pa aji)]],0)</f>
        <v>0</v>
      </c>
      <c r="CR132" s="66">
        <f>IFERROR(Table1[[#This Row],[Progres MOS
(%)]]*Table1[[#This Row],[Nilai RAB Jaringan
(file pa aji)]],0)</f>
        <v>0</v>
      </c>
      <c r="CS132" s="66">
        <f>IFERROR(Table1[[#This Row],[Progres Pemasangan
(%)]]*Table1[[#This Row],[Nilai RAB Jaringan
(file pa aji)]],0)</f>
        <v>0</v>
      </c>
      <c r="CT132" s="66">
        <f>IFERROR(Table1[[#This Row],[Progres Perizinan
(%)]]*Table1[[#This Row],[Nilai RAB Jaringan
(file pa aji)]],0)</f>
        <v>0</v>
      </c>
      <c r="CU132" s="329">
        <v>66373338414</v>
      </c>
      <c r="CV132" s="329">
        <v>66373338414</v>
      </c>
      <c r="CW132" s="583">
        <v>66373338414</v>
      </c>
      <c r="CX132" s="329">
        <v>66373338414</v>
      </c>
      <c r="CY132" s="47"/>
      <c r="CZ132" s="330">
        <v>45383</v>
      </c>
      <c r="DA132" s="330">
        <v>45417</v>
      </c>
      <c r="DB132" s="331">
        <v>45165</v>
      </c>
      <c r="DC132" s="316" t="s">
        <v>906</v>
      </c>
      <c r="DD132" s="67">
        <v>152207926483</v>
      </c>
      <c r="DE13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2" s="331">
        <v>45531</v>
      </c>
      <c r="DG132" s="316" t="s">
        <v>907</v>
      </c>
      <c r="DH132" s="67">
        <v>152207926483</v>
      </c>
      <c r="DI13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32" s="330">
        <v>45418</v>
      </c>
      <c r="DK132" s="330">
        <v>45564</v>
      </c>
      <c r="DL132" s="331">
        <v>45975</v>
      </c>
      <c r="DM132" s="316" t="s">
        <v>908</v>
      </c>
      <c r="DN13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2" s="331">
        <v>46031</v>
      </c>
      <c r="DP132" s="316" t="s">
        <v>909</v>
      </c>
      <c r="DQ132" s="338" t="s">
        <v>910</v>
      </c>
      <c r="DR13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2" s="330">
        <v>45418</v>
      </c>
      <c r="DT132" s="330" t="e">
        <v>#N/A</v>
      </c>
      <c r="DU132" s="330">
        <v>45466</v>
      </c>
      <c r="DV132" s="330" t="e">
        <v>#N/A</v>
      </c>
      <c r="DW132" s="331">
        <v>45776</v>
      </c>
      <c r="DX132" s="316" t="s">
        <v>911</v>
      </c>
      <c r="DY132" s="334"/>
      <c r="DZ132" s="334"/>
      <c r="EA13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2" s="331">
        <v>45821</v>
      </c>
      <c r="EC132" s="316"/>
      <c r="ED132" s="316"/>
      <c r="EE132" s="331" t="s">
        <v>912</v>
      </c>
      <c r="EF132" s="35">
        <v>1</v>
      </c>
      <c r="EG132" s="337">
        <v>1</v>
      </c>
      <c r="EH132" s="316" t="str">
        <f>IF(Table1[[#This Row],[PO Material Aktual 
(%)]]&gt;=100%,"Selesai PO = 100%",IF(Table1[[#This Row],[PO Material Aktual 
(%)]]&gt;=50%,"Proses PO &gt; 100%",IF(Table1[[#This Row],[PO Material Aktual 
(%)]]&gt;0%,"Proses PO &gt; 50%",IF(Table1[[#This Row],[PO Material Aktual 
(%)]]=0,"Belum PO = 0%"))))</f>
        <v>Selesai PO = 100%</v>
      </c>
      <c r="EI13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2" s="330">
        <v>45467</v>
      </c>
      <c r="EK132" s="330" t="e">
        <v>#N/A</v>
      </c>
      <c r="EL132" s="330">
        <v>45655</v>
      </c>
      <c r="EM132" s="330" t="e">
        <v>#N/A</v>
      </c>
      <c r="EN132" s="331">
        <v>45807</v>
      </c>
      <c r="EO132" s="332"/>
      <c r="EP132" s="332"/>
      <c r="EQ132" s="87">
        <v>1</v>
      </c>
      <c r="ER132" s="87">
        <v>1</v>
      </c>
      <c r="ES132" s="316" t="str">
        <f>IF(Table1[[#This Row],[Progres MOS]]&gt;=100%,"Selesai MOS = 100%",IF(Table1[[#This Row],[Progres MOS]]&gt;=50%,"Proses MOS &gt; 100%",IF(Table1[[#This Row],[Progres MOS]]&gt;0%,"Proses MOS &gt; 50%",IF(Table1[[#This Row],[Progres MOS]]=0,"Belum MOS = 0%"))))</f>
        <v>Selesai MOS = 100%</v>
      </c>
      <c r="ET13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2" s="47"/>
      <c r="EV132" s="330">
        <v>45418</v>
      </c>
      <c r="EW132" s="330" t="e">
        <v>#N/A</v>
      </c>
      <c r="EX132" s="330">
        <v>45592</v>
      </c>
      <c r="EY132" s="330" t="e">
        <v>#N/A</v>
      </c>
      <c r="EZ132" s="352" t="s">
        <v>259</v>
      </c>
      <c r="FA132" s="336" t="s">
        <v>259</v>
      </c>
      <c r="FB132" s="330" t="s">
        <v>260</v>
      </c>
      <c r="FC132" s="330">
        <v>45013</v>
      </c>
      <c r="FD132" s="330" t="s">
        <v>260</v>
      </c>
      <c r="FE132" s="330"/>
      <c r="FF132" s="330">
        <v>45161</v>
      </c>
      <c r="FG132" s="330" t="s">
        <v>260</v>
      </c>
      <c r="FH132" s="330" t="s">
        <v>260</v>
      </c>
      <c r="FI132" s="330">
        <v>45920</v>
      </c>
      <c r="FJ132" s="330" t="s">
        <v>260</v>
      </c>
      <c r="FK132" s="330">
        <v>45398</v>
      </c>
      <c r="FL132" s="336" t="s">
        <v>259</v>
      </c>
      <c r="FM132" s="352">
        <v>45013</v>
      </c>
      <c r="FN132" s="338">
        <f>IF(Table1[[#This Row],[Tanggal Pengajuan Dokumen]]="","",Table1[[#This Row],[PLAN PERMIT
start]]-Table1[[#This Row],[Tanggal Pengajuan Dokumen]])</f>
        <v>405</v>
      </c>
      <c r="FO132" s="437">
        <v>45470</v>
      </c>
      <c r="FP132" s="316" t="s">
        <v>175</v>
      </c>
      <c r="FQ132" s="338"/>
      <c r="FR132" s="338" t="s">
        <v>175</v>
      </c>
      <c r="FS132" s="338" t="str">
        <f t="shared" si="9"/>
        <v>On Going</v>
      </c>
      <c r="FT13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2" s="344">
        <f ca="1">IF(Table1[[#This Row],[Status Izin]]="Selesai",Table1[[#This Row],[PLAN PERMIT
finish]]-Table1[[#This Row],[Tanggal Terbit/ Target Izin Terbit]],ROUNDUP(Table1[[#This Row],[PLAN PERMIT
finish]]-NOW(),0))</f>
        <v>-599</v>
      </c>
      <c r="FV13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32" s="344"/>
      <c r="FX132" s="47"/>
      <c r="FY132" s="340"/>
      <c r="FZ132" s="341">
        <v>45582</v>
      </c>
      <c r="GA13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2" s="330">
        <v>45566</v>
      </c>
      <c r="GC132" s="352">
        <v>45555</v>
      </c>
      <c r="GD13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2" s="330">
        <v>45573</v>
      </c>
      <c r="GF132" s="352">
        <v>45555</v>
      </c>
      <c r="GG13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2" s="330">
        <v>45579</v>
      </c>
      <c r="GI132" s="330">
        <v>45585</v>
      </c>
      <c r="GJ132" s="352">
        <v>45559</v>
      </c>
      <c r="GK13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2" s="330">
        <v>45593</v>
      </c>
      <c r="GM132" s="330" t="e">
        <v>#N/A</v>
      </c>
      <c r="GN132" s="330">
        <v>45753</v>
      </c>
      <c r="GO132" s="330" t="e">
        <v>#N/A</v>
      </c>
      <c r="GP132" s="316"/>
      <c r="GQ13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2" s="330" t="s">
        <v>261</v>
      </c>
      <c r="GS132" s="330" t="s">
        <v>261</v>
      </c>
      <c r="GT132" s="354">
        <v>45989</v>
      </c>
      <c r="GU132" s="344" t="str">
        <f>IF(Table1[[#This Row],[Hydro Tes Actual
(tanggal)]]&lt;&gt;"","Sudah","Belum")</f>
        <v>Sudah</v>
      </c>
      <c r="GV132" s="330" t="s">
        <v>261</v>
      </c>
      <c r="GW132" s="330" t="s">
        <v>261</v>
      </c>
      <c r="GX132" s="331">
        <v>45914</v>
      </c>
      <c r="GY132" s="344" t="str">
        <f>IF(Table1[[#This Row],[Interkoneksi Actual
(tanggal)]]&lt;&gt;"","Sudah","Belum")</f>
        <v>Sudah</v>
      </c>
      <c r="GZ132" s="330" t="s">
        <v>261</v>
      </c>
      <c r="HA132" s="330" t="s">
        <v>261</v>
      </c>
      <c r="HB132" s="331">
        <v>45978</v>
      </c>
      <c r="HC132" s="344" t="str">
        <f>IF(Table1[[#This Row],[Flushing Actual
(tanggal)]]&lt;&gt;"","Sudah","Belum")</f>
        <v>Sudah</v>
      </c>
      <c r="HD132" s="330">
        <v>45726</v>
      </c>
      <c r="HE132" s="330" t="e">
        <v>#N/A</v>
      </c>
      <c r="HF132" s="330">
        <v>45746</v>
      </c>
      <c r="HG132" s="352">
        <v>45980</v>
      </c>
      <c r="HH13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2" s="330" t="s">
        <v>261</v>
      </c>
      <c r="HJ132" s="330" t="s">
        <v>261</v>
      </c>
      <c r="HK132" s="331"/>
      <c r="HL132" s="316"/>
      <c r="HM132" s="330">
        <v>45765</v>
      </c>
      <c r="HN132" s="330">
        <v>45765</v>
      </c>
      <c r="HO132" s="330" t="e">
        <v>#N/A</v>
      </c>
      <c r="HP132" s="331">
        <v>45982</v>
      </c>
      <c r="HQ13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32" s="330">
        <v>45772</v>
      </c>
      <c r="HS132" s="330"/>
      <c r="HT132" s="330">
        <v>45772</v>
      </c>
      <c r="HU132" s="527"/>
      <c r="HV132" s="330">
        <v>46020</v>
      </c>
      <c r="HW13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32" s="47"/>
      <c r="HY132" s="352"/>
      <c r="HZ132" s="352"/>
      <c r="IB132" s="618">
        <f>IFERROR(ROUND((Table1[[#This Row],[PLAN TC
finish]]-Table1[[#This Row],[PLAN MC-0
start]])/30,2),"")</f>
        <v>5.57</v>
      </c>
      <c r="IC132">
        <f>DATEDIF(Table1[[#This Row],[PLAN MC-0
start]],Table1[[#This Row],[PLAN TC
finish]],"m")</f>
        <v>5</v>
      </c>
    </row>
    <row r="133" spans="2:237" s="4" customFormat="1" ht="15" hidden="1" customHeight="1" x14ac:dyDescent="0.2">
      <c r="B133" s="311">
        <f>SUBTOTAL(3,$D$5:D133)</f>
        <v>84</v>
      </c>
      <c r="C133" s="348">
        <v>129</v>
      </c>
      <c r="D133" s="338" t="s">
        <v>629</v>
      </c>
      <c r="E133" s="338" t="s">
        <v>913</v>
      </c>
      <c r="F133" s="338" t="s">
        <v>914</v>
      </c>
      <c r="G133" s="349">
        <v>45935</v>
      </c>
      <c r="H133" s="314" t="s">
        <v>247</v>
      </c>
      <c r="I133" s="338" t="s">
        <v>278</v>
      </c>
      <c r="J133" s="315" t="s">
        <v>882</v>
      </c>
      <c r="K133" s="338" t="s">
        <v>915</v>
      </c>
      <c r="L133" s="316" t="s">
        <v>250</v>
      </c>
      <c r="M133" s="316" t="s">
        <v>269</v>
      </c>
      <c r="N133" s="107">
        <v>24655</v>
      </c>
      <c r="O133" s="131" t="s">
        <v>252</v>
      </c>
      <c r="P13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3" s="35" t="e">
        <v>#N/A</v>
      </c>
      <c r="S133" s="35">
        <v>1</v>
      </c>
      <c r="T133" s="35">
        <f>Table1[[#This Row],[Progres Total Aktual
(%)]]</f>
        <v>1</v>
      </c>
      <c r="U133" s="124">
        <f>Table1[[#This Row],[Progres Aktual
(%)]]-Table1[[#This Row],[Target Progres
(%)]]</f>
        <v>0</v>
      </c>
      <c r="V133" s="350">
        <f>Table1[[#This Row],["Volume
BA MC-0"]]</f>
        <v>24731</v>
      </c>
      <c r="W133" s="351">
        <f>Table1[[#This Row],[Total Panjang Pipa Aktual
(Sum-&gt;)3]]</f>
        <v>19044.900000000001</v>
      </c>
      <c r="X133" s="47"/>
      <c r="Y133" s="67" t="s">
        <v>916</v>
      </c>
      <c r="Z133" s="67">
        <v>36544521004</v>
      </c>
      <c r="AA133" s="67">
        <f>Table1[[#This Row],[Nilai RAB Jaringan
(file pa aji)]]</f>
        <v>36544521004</v>
      </c>
      <c r="AB133" s="320">
        <f>SUM(Table1[[#This Row],[RAB Kegiatan Umum]:[RAB Perizinan]])</f>
        <v>0</v>
      </c>
      <c r="AC133" s="320"/>
      <c r="AD133" s="320"/>
      <c r="AE133" s="320"/>
      <c r="AF133" s="320"/>
      <c r="AG133" s="436">
        <v>7891145955</v>
      </c>
      <c r="AH133" s="35" t="e">
        <f>SUM(Table1[[#This Row],[Bobot Keg Umum]:[Bobot Perizinan]])</f>
        <v>#DIV/0!</v>
      </c>
      <c r="AI133" s="35" t="e">
        <f>Table1[[#This Row],[RAB Kegiatan Umum]]/Table1[[#This Row],[Nilai RAB Jaringan
(Exclude Ppn)]]</f>
        <v>#DIV/0!</v>
      </c>
      <c r="AJ133" s="35" t="e">
        <f>Table1[[#This Row],[RAB Pemasangan]]/Table1[[#This Row],[Nilai RAB Jaringan
(Exclude Ppn)]]</f>
        <v>#DIV/0!</v>
      </c>
      <c r="AK133" s="35" t="e">
        <f>Table1[[#This Row],[RAB Pengadaan]]/Table1[[#This Row],[Nilai RAB Jaringan
(Exclude Ppn)]]</f>
        <v>#DIV/0!</v>
      </c>
      <c r="AL133" s="35" t="e">
        <f>Table1[[#This Row],[RAB Perizinan]]/Table1[[#This Row],[Nilai RAB Jaringan
(Exclude Ppn)]]</f>
        <v>#DIV/0!</v>
      </c>
      <c r="AM133" s="47"/>
      <c r="AN133" s="285">
        <v>24731</v>
      </c>
      <c r="AO133" s="285">
        <f>SUM(Table1[[#This Row],[Pipa 63 mm]:[Pipa 1,800 mm]])</f>
        <v>24731</v>
      </c>
      <c r="AP133" s="285">
        <v>11493</v>
      </c>
      <c r="AQ133" s="285">
        <v>8404</v>
      </c>
      <c r="AR133" s="285">
        <v>3421</v>
      </c>
      <c r="AS133" s="285">
        <v>1038</v>
      </c>
      <c r="AT133" s="285">
        <v>180</v>
      </c>
      <c r="AU133" s="285">
        <v>195</v>
      </c>
      <c r="AV133" s="285"/>
      <c r="AW133" s="285"/>
      <c r="AX133" s="285"/>
      <c r="AY133" s="285"/>
      <c r="AZ133" s="285"/>
      <c r="BA133" s="285"/>
      <c r="BB133" s="285"/>
      <c r="BC133" s="285"/>
      <c r="BD133" s="285"/>
      <c r="BE133" s="285"/>
      <c r="BF133" s="285"/>
      <c r="BG133" s="285"/>
      <c r="BH133" s="285"/>
      <c r="BI133" s="285"/>
      <c r="BJ133" s="36">
        <f>SUM(Table1[[#This Row],[Pipa 63 mm2]:[Pipa 1,800 mm21]])</f>
        <v>19044.900000000001</v>
      </c>
      <c r="BK133" s="32">
        <v>10441.1</v>
      </c>
      <c r="BL133" s="32">
        <v>4389.8999999999996</v>
      </c>
      <c r="BM133" s="32">
        <v>2764.9</v>
      </c>
      <c r="BN133" s="32">
        <v>1162</v>
      </c>
      <c r="BO133" s="32">
        <v>112</v>
      </c>
      <c r="BP133" s="32">
        <v>175</v>
      </c>
      <c r="BQ133" s="32"/>
      <c r="BR133" s="32"/>
      <c r="BS133" s="32"/>
      <c r="BT133" s="32"/>
      <c r="BU133" s="32"/>
      <c r="BV133" s="32"/>
      <c r="BW133" s="32"/>
      <c r="BX133" s="32"/>
      <c r="BY133" s="32"/>
      <c r="BZ133" s="32"/>
      <c r="CA133" s="32"/>
      <c r="CB133" s="32"/>
      <c r="CC133" s="32"/>
      <c r="CD133" s="32"/>
      <c r="CE133" s="32">
        <v>0</v>
      </c>
      <c r="CF133" s="32">
        <v>5729</v>
      </c>
      <c r="CG133" s="32">
        <v>0</v>
      </c>
      <c r="CH133" s="32">
        <v>456</v>
      </c>
      <c r="CI133" s="32">
        <f t="shared" ref="CI133:CI196" si="10">SUM(CE133:CH133)</f>
        <v>6185</v>
      </c>
      <c r="CJ133" s="65">
        <f>IF((Table1[[#This Row],["Volume
BA MC-0"]]-Table1[[#This Row],[Total Panjang Pipa Aktual
(Sum-&gt;)3]]-Table1[[#This Row],[Total Volume
tidak dapat dipasang]])&gt;=0,Table1[[#This Row],["Volume
BA MC-0"]]-Table1[[#This Row],[Total Panjang Pipa Aktual
(Sum-&gt;)3]]-Table1[[#This Row],[Total Volume
tidak dapat dipasang]],0)</f>
        <v>0</v>
      </c>
      <c r="CK133" s="47"/>
      <c r="CL133" s="131"/>
      <c r="CM133" s="35"/>
      <c r="CN133" s="131"/>
      <c r="CO133" s="131"/>
      <c r="CP13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3" s="66">
        <f>IFERROR(Table1[[#This Row],[Progres Keg. Umum
(%)]]*Table1[[#This Row],[Nilai RAB Jaringan
(file pa aji)]],0)</f>
        <v>0</v>
      </c>
      <c r="CR133" s="66">
        <f>IFERROR(Table1[[#This Row],[Progres MOS
(%)]]*Table1[[#This Row],[Nilai RAB Jaringan
(file pa aji)]],0)</f>
        <v>0</v>
      </c>
      <c r="CS133" s="66">
        <f>IFERROR(Table1[[#This Row],[Progres Pemasangan
(%)]]*Table1[[#This Row],[Nilai RAB Jaringan
(file pa aji)]],0)</f>
        <v>0</v>
      </c>
      <c r="CT133" s="66">
        <f>IFERROR(Table1[[#This Row],[Progres Perizinan
(%)]]*Table1[[#This Row],[Nilai RAB Jaringan
(file pa aji)]],0)</f>
        <v>0</v>
      </c>
      <c r="CU133" s="329">
        <v>26395392858</v>
      </c>
      <c r="CV133" s="329">
        <v>26395392858</v>
      </c>
      <c r="CW133" s="583">
        <v>26395392858</v>
      </c>
      <c r="CX133" s="329">
        <v>26395392858</v>
      </c>
      <c r="CY133" s="47"/>
      <c r="CZ133" s="330">
        <v>45530</v>
      </c>
      <c r="DA133" s="330">
        <v>45557</v>
      </c>
      <c r="DB133" s="331">
        <v>45531</v>
      </c>
      <c r="DC133" s="316" t="s">
        <v>917</v>
      </c>
      <c r="DD133" s="67">
        <v>41824302398.910004</v>
      </c>
      <c r="DE13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3" s="331">
        <v>45534</v>
      </c>
      <c r="DG133" s="316" t="s">
        <v>918</v>
      </c>
      <c r="DH133" s="67">
        <v>41824302398.910004</v>
      </c>
      <c r="DI13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3" s="330">
        <v>45558</v>
      </c>
      <c r="DK133" s="330">
        <v>45627</v>
      </c>
      <c r="DL133" s="331">
        <v>45937</v>
      </c>
      <c r="DM133" s="316" t="s">
        <v>919</v>
      </c>
      <c r="DN13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3" s="331">
        <v>45953</v>
      </c>
      <c r="DP133" s="316" t="s">
        <v>920</v>
      </c>
      <c r="DQ133" s="338" t="s">
        <v>365</v>
      </c>
      <c r="DR13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3" s="330">
        <v>45558</v>
      </c>
      <c r="DT133" s="330" t="e">
        <v>#N/A</v>
      </c>
      <c r="DU133" s="330">
        <v>45599</v>
      </c>
      <c r="DV133" s="330" t="e">
        <v>#N/A</v>
      </c>
      <c r="DW133" s="331">
        <v>45986</v>
      </c>
      <c r="DX133" s="316" t="s">
        <v>921</v>
      </c>
      <c r="DY133" s="334"/>
      <c r="DZ133" s="334"/>
      <c r="EA13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3" s="331">
        <v>45989</v>
      </c>
      <c r="EC133" s="316"/>
      <c r="ED133" s="316"/>
      <c r="EE133" s="331" t="s">
        <v>922</v>
      </c>
      <c r="EF133" s="35">
        <v>1</v>
      </c>
      <c r="EG133" s="337">
        <v>1</v>
      </c>
      <c r="EH133" s="316" t="str">
        <f>IF(Table1[[#This Row],[PO Material Aktual 
(%)]]&gt;=100%,"Selesai PO = 100%",IF(Table1[[#This Row],[PO Material Aktual 
(%)]]&gt;=50%,"Proses PO &gt; 100%",IF(Table1[[#This Row],[PO Material Aktual 
(%)]]&gt;0%,"Proses PO &gt; 50%",IF(Table1[[#This Row],[PO Material Aktual 
(%)]]=0,"Belum PO = 0%"))))</f>
        <v>Selesai PO = 100%</v>
      </c>
      <c r="EI13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3" s="330">
        <v>45600</v>
      </c>
      <c r="EK133" s="330" t="e">
        <v>#N/A</v>
      </c>
      <c r="EL133" s="330">
        <v>45711</v>
      </c>
      <c r="EM133" s="330" t="e">
        <v>#N/A</v>
      </c>
      <c r="EN133" s="331">
        <v>46114</v>
      </c>
      <c r="EO133" s="332"/>
      <c r="EP133" s="332"/>
      <c r="EQ133" s="87">
        <v>1</v>
      </c>
      <c r="ER133" s="87">
        <v>1</v>
      </c>
      <c r="ES133" s="316" t="str">
        <f>IF(Table1[[#This Row],[Progres MOS]]&gt;=100%,"Selesai MOS = 100%",IF(Table1[[#This Row],[Progres MOS]]&gt;=50%,"Proses MOS &gt; 100%",IF(Table1[[#This Row],[Progres MOS]]&gt;0%,"Proses MOS &gt; 50%",IF(Table1[[#This Row],[Progres MOS]]=0,"Belum MOS = 0%"))))</f>
        <v>Selesai MOS = 100%</v>
      </c>
      <c r="ET13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3" s="47"/>
      <c r="EV133" s="330">
        <v>45558</v>
      </c>
      <c r="EW133" s="330" t="e">
        <v>#N/A</v>
      </c>
      <c r="EX133" s="330">
        <v>45655</v>
      </c>
      <c r="EY133" s="330" t="e">
        <v>#N/A</v>
      </c>
      <c r="EZ133" s="352" t="s">
        <v>259</v>
      </c>
      <c r="FA133" s="336" t="s">
        <v>259</v>
      </c>
      <c r="FB133" s="330" t="s">
        <v>260</v>
      </c>
      <c r="FC133" s="330">
        <v>45607</v>
      </c>
      <c r="FD133" s="330" t="s">
        <v>260</v>
      </c>
      <c r="FE133" s="330">
        <v>45639</v>
      </c>
      <c r="FF133" s="330">
        <v>45705</v>
      </c>
      <c r="FG133" s="330" t="s">
        <v>260</v>
      </c>
      <c r="FH133" s="330" t="s">
        <v>260</v>
      </c>
      <c r="FI133" s="330">
        <v>46006</v>
      </c>
      <c r="FJ133" s="330" t="s">
        <v>260</v>
      </c>
      <c r="FK133" s="330">
        <v>46062</v>
      </c>
      <c r="FL133" s="336" t="s">
        <v>259</v>
      </c>
      <c r="FM133" s="352">
        <v>45607</v>
      </c>
      <c r="FN133" s="338">
        <f>IF(Table1[[#This Row],[Tanggal Pengajuan Dokumen]]="","",Table1[[#This Row],[PLAN PERMIT
start]]-Table1[[#This Row],[Tanggal Pengajuan Dokumen]])</f>
        <v>-49</v>
      </c>
      <c r="FO133" s="437">
        <v>46086</v>
      </c>
      <c r="FP133" s="316"/>
      <c r="FQ133" s="338"/>
      <c r="FR133" s="338" t="s">
        <v>923</v>
      </c>
      <c r="FS133" s="338" t="str">
        <f t="shared" si="9"/>
        <v>On Going</v>
      </c>
      <c r="FT13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3" s="344">
        <f ca="1">IF(Table1[[#This Row],[Status Izin]]="Selesai",Table1[[#This Row],[PLAN PERMIT
finish]]-Table1[[#This Row],[Tanggal Terbit/ Target Izin Terbit]],ROUNDUP(Table1[[#This Row],[PLAN PERMIT
finish]]-NOW(),0))</f>
        <v>-536</v>
      </c>
      <c r="FV13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3" s="344"/>
      <c r="FX133" s="47"/>
      <c r="FY133" s="340"/>
      <c r="FZ133" s="341">
        <v>45582</v>
      </c>
      <c r="GA13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3" s="330">
        <v>45629</v>
      </c>
      <c r="GC133" s="352">
        <v>45597</v>
      </c>
      <c r="GD13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3" s="330">
        <v>45636</v>
      </c>
      <c r="GF133" s="352">
        <v>45597</v>
      </c>
      <c r="GG13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3" s="330">
        <v>45642</v>
      </c>
      <c r="GI133" s="330">
        <v>45648</v>
      </c>
      <c r="GJ133" s="352">
        <v>45602</v>
      </c>
      <c r="GK13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3" s="330">
        <v>45656</v>
      </c>
      <c r="GM133" s="330" t="e">
        <v>#N/A</v>
      </c>
      <c r="GN133" s="330">
        <v>45788</v>
      </c>
      <c r="GO133" s="330" t="e">
        <v>#N/A</v>
      </c>
      <c r="GP133" s="316"/>
      <c r="GQ13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3" s="330" t="s">
        <v>261</v>
      </c>
      <c r="GS133" s="330" t="s">
        <v>261</v>
      </c>
      <c r="GT133" s="354">
        <v>45996</v>
      </c>
      <c r="GU133" s="344" t="str">
        <f>IF(Table1[[#This Row],[Hydro Tes Actual
(tanggal)]]&lt;&gt;"","Sudah","Belum")</f>
        <v>Sudah</v>
      </c>
      <c r="GV133" s="330" t="s">
        <v>261</v>
      </c>
      <c r="GW133" s="330" t="s">
        <v>261</v>
      </c>
      <c r="GX133" s="331">
        <v>45999</v>
      </c>
      <c r="GY133" s="344" t="str">
        <f>IF(Table1[[#This Row],[Interkoneksi Actual
(tanggal)]]&lt;&gt;"","Sudah","Belum")</f>
        <v>Sudah</v>
      </c>
      <c r="GZ133" s="330" t="s">
        <v>261</v>
      </c>
      <c r="HA133" s="330" t="s">
        <v>261</v>
      </c>
      <c r="HB133" s="331">
        <v>46002</v>
      </c>
      <c r="HC133" s="344" t="str">
        <f>IF(Table1[[#This Row],[Flushing Actual
(tanggal)]]&lt;&gt;"","Sudah","Belum")</f>
        <v>Sudah</v>
      </c>
      <c r="HD133" s="330">
        <v>45754</v>
      </c>
      <c r="HE133" s="330" t="e">
        <v>#N/A</v>
      </c>
      <c r="HF133" s="330">
        <v>45774</v>
      </c>
      <c r="HG133" s="352">
        <v>46007</v>
      </c>
      <c r="HH13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3" s="330" t="s">
        <v>261</v>
      </c>
      <c r="HJ133" s="330" t="s">
        <v>261</v>
      </c>
      <c r="HK133" s="331"/>
      <c r="HL133" s="316"/>
      <c r="HM133" s="330">
        <v>45793</v>
      </c>
      <c r="HN133" s="330">
        <v>45793</v>
      </c>
      <c r="HO133" s="330" t="e">
        <v>#N/A</v>
      </c>
      <c r="HP133" s="331">
        <v>46013</v>
      </c>
      <c r="HQ13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33" s="330">
        <v>45800</v>
      </c>
      <c r="HS133" s="330"/>
      <c r="HT133" s="330">
        <v>45800</v>
      </c>
      <c r="HU133" s="527"/>
      <c r="HV133" s="330">
        <v>46024</v>
      </c>
      <c r="HW13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33" s="47"/>
      <c r="HY133" s="352"/>
      <c r="HZ133" s="352"/>
      <c r="IB133" s="618">
        <f>IFERROR(ROUND((Table1[[#This Row],[PLAN TC
finish]]-Table1[[#This Row],[PLAN MC-0
start]])/30,2),"")</f>
        <v>4.4000000000000004</v>
      </c>
      <c r="IC133">
        <f>DATEDIF(Table1[[#This Row],[PLAN MC-0
start]],Table1[[#This Row],[PLAN TC
finish]],"m")</f>
        <v>4</v>
      </c>
    </row>
    <row r="134" spans="2:237" s="4" customFormat="1" ht="15" hidden="1" customHeight="1" x14ac:dyDescent="0.2">
      <c r="B134" s="311">
        <f>SUBTOTAL(3,$D$5:D134)</f>
        <v>84</v>
      </c>
      <c r="C134" s="348">
        <v>130</v>
      </c>
      <c r="D134" s="338" t="s">
        <v>629</v>
      </c>
      <c r="E134" s="338" t="s">
        <v>924</v>
      </c>
      <c r="F134" s="338" t="s">
        <v>925</v>
      </c>
      <c r="G134" s="349">
        <v>45935</v>
      </c>
      <c r="H134" s="314" t="s">
        <v>247</v>
      </c>
      <c r="I134" s="338" t="s">
        <v>278</v>
      </c>
      <c r="J134" s="315" t="s">
        <v>882</v>
      </c>
      <c r="K134" s="338" t="s">
        <v>915</v>
      </c>
      <c r="L134" s="316" t="s">
        <v>250</v>
      </c>
      <c r="M134" s="316" t="s">
        <v>269</v>
      </c>
      <c r="N134" s="107">
        <v>20175</v>
      </c>
      <c r="O134" s="131" t="s">
        <v>252</v>
      </c>
      <c r="P13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4" s="35" t="e">
        <v>#N/A</v>
      </c>
      <c r="S134" s="35">
        <v>1</v>
      </c>
      <c r="T134" s="35">
        <f>Table1[[#This Row],[Progres Total Aktual
(%)]]</f>
        <v>1</v>
      </c>
      <c r="U134" s="124">
        <f>Table1[[#This Row],[Progres Aktual
(%)]]-Table1[[#This Row],[Target Progres
(%)]]</f>
        <v>0</v>
      </c>
      <c r="V134" s="350">
        <f>Table1[[#This Row],["Volume
BA MC-0"]]</f>
        <v>20222</v>
      </c>
      <c r="W134" s="351">
        <f>Table1[[#This Row],[Total Panjang Pipa Aktual
(Sum-&gt;)3]]</f>
        <v>18046.099999999999</v>
      </c>
      <c r="X134" s="47"/>
      <c r="Y134" s="67" t="s">
        <v>926</v>
      </c>
      <c r="Z134" s="67">
        <v>29676979717</v>
      </c>
      <c r="AA134" s="67">
        <f>Table1[[#This Row],[Nilai RAB Jaringan
(file pa aji)]]</f>
        <v>29676979717</v>
      </c>
      <c r="AB134" s="320">
        <f>SUM(Table1[[#This Row],[RAB Kegiatan Umum]:[RAB Perizinan]])</f>
        <v>0</v>
      </c>
      <c r="AC134" s="320"/>
      <c r="AD134" s="320"/>
      <c r="AE134" s="320"/>
      <c r="AF134" s="320"/>
      <c r="AG134" s="436">
        <v>6554775264</v>
      </c>
      <c r="AH134" s="35" t="e">
        <f>SUM(Table1[[#This Row],[Bobot Keg Umum]:[Bobot Perizinan]])</f>
        <v>#DIV/0!</v>
      </c>
      <c r="AI134" s="35" t="e">
        <f>Table1[[#This Row],[RAB Kegiatan Umum]]/Table1[[#This Row],[Nilai RAB Jaringan
(Exclude Ppn)]]</f>
        <v>#DIV/0!</v>
      </c>
      <c r="AJ134" s="35" t="e">
        <f>Table1[[#This Row],[RAB Pemasangan]]/Table1[[#This Row],[Nilai RAB Jaringan
(Exclude Ppn)]]</f>
        <v>#DIV/0!</v>
      </c>
      <c r="AK134" s="35" t="e">
        <f>Table1[[#This Row],[RAB Pengadaan]]/Table1[[#This Row],[Nilai RAB Jaringan
(Exclude Ppn)]]</f>
        <v>#DIV/0!</v>
      </c>
      <c r="AL134" s="35" t="e">
        <f>Table1[[#This Row],[RAB Perizinan]]/Table1[[#This Row],[Nilai RAB Jaringan
(Exclude Ppn)]]</f>
        <v>#DIV/0!</v>
      </c>
      <c r="AM134" s="47"/>
      <c r="AN134" s="285">
        <v>20222</v>
      </c>
      <c r="AO134" s="285">
        <f>SUM(Table1[[#This Row],[Pipa 63 mm]:[Pipa 1,800 mm]])</f>
        <v>20222</v>
      </c>
      <c r="AP134" s="285">
        <v>11138</v>
      </c>
      <c r="AQ134" s="285">
        <v>4267</v>
      </c>
      <c r="AR134" s="285">
        <v>2754</v>
      </c>
      <c r="AS134" s="285">
        <v>929</v>
      </c>
      <c r="AT134" s="285">
        <v>667</v>
      </c>
      <c r="AU134" s="285">
        <v>467</v>
      </c>
      <c r="AV134" s="285"/>
      <c r="AW134" s="285"/>
      <c r="AX134" s="285"/>
      <c r="AY134" s="285"/>
      <c r="AZ134" s="285"/>
      <c r="BA134" s="285"/>
      <c r="BB134" s="285"/>
      <c r="BC134" s="285"/>
      <c r="BD134" s="285"/>
      <c r="BE134" s="285"/>
      <c r="BF134" s="285"/>
      <c r="BG134" s="285"/>
      <c r="BH134" s="285"/>
      <c r="BI134" s="285"/>
      <c r="BJ134" s="36">
        <f>SUM(Table1[[#This Row],[Pipa 63 mm2]:[Pipa 1,800 mm21]])</f>
        <v>18046.099999999999</v>
      </c>
      <c r="BK134" s="32">
        <v>9174</v>
      </c>
      <c r="BL134" s="32">
        <v>4031</v>
      </c>
      <c r="BM134" s="32">
        <v>2804</v>
      </c>
      <c r="BN134" s="32">
        <v>919.1</v>
      </c>
      <c r="BO134" s="32">
        <v>796</v>
      </c>
      <c r="BP134" s="358">
        <v>322</v>
      </c>
      <c r="BQ134" s="32"/>
      <c r="BR134" s="32"/>
      <c r="BS134" s="32"/>
      <c r="BT134" s="32"/>
      <c r="BU134" s="32"/>
      <c r="BV134" s="32"/>
      <c r="BW134" s="32"/>
      <c r="BX134" s="32"/>
      <c r="BY134" s="32"/>
      <c r="BZ134" s="32"/>
      <c r="CA134" s="32"/>
      <c r="CB134" s="32"/>
      <c r="CC134" s="32"/>
      <c r="CD134" s="32"/>
      <c r="CE134" s="32">
        <v>0</v>
      </c>
      <c r="CF134" s="32">
        <v>1836</v>
      </c>
      <c r="CG134" s="32">
        <v>0</v>
      </c>
      <c r="CH134" s="32">
        <v>219</v>
      </c>
      <c r="CI134" s="32">
        <f t="shared" si="10"/>
        <v>2055</v>
      </c>
      <c r="CJ134" s="65">
        <f>IF((Table1[[#This Row],["Volume
BA MC-0"]]-Table1[[#This Row],[Total Panjang Pipa Aktual
(Sum-&gt;)3]]-Table1[[#This Row],[Total Volume
tidak dapat dipasang]])&gt;=0,Table1[[#This Row],["Volume
BA MC-0"]]-Table1[[#This Row],[Total Panjang Pipa Aktual
(Sum-&gt;)3]]-Table1[[#This Row],[Total Volume
tidak dapat dipasang]],0)</f>
        <v>120.90000000000146</v>
      </c>
      <c r="CK134" s="47"/>
      <c r="CL134" s="131"/>
      <c r="CM134" s="35"/>
      <c r="CN134" s="131"/>
      <c r="CO134" s="131"/>
      <c r="CP13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4" s="66">
        <f>IFERROR(Table1[[#This Row],[Progres Keg. Umum
(%)]]*Table1[[#This Row],[Nilai RAB Jaringan
(file pa aji)]],0)</f>
        <v>0</v>
      </c>
      <c r="CR134" s="66">
        <f>IFERROR(Table1[[#This Row],[Progres MOS
(%)]]*Table1[[#This Row],[Nilai RAB Jaringan
(file pa aji)]],0)</f>
        <v>0</v>
      </c>
      <c r="CS134" s="66">
        <f>IFERROR(Table1[[#This Row],[Progres Pemasangan
(%)]]*Table1[[#This Row],[Nilai RAB Jaringan
(file pa aji)]],0)</f>
        <v>0</v>
      </c>
      <c r="CT134" s="66">
        <f>IFERROR(Table1[[#This Row],[Progres Perizinan
(%)]]*Table1[[#This Row],[Nilai RAB Jaringan
(file pa aji)]],0)</f>
        <v>0</v>
      </c>
      <c r="CU134" s="329">
        <v>26190256906</v>
      </c>
      <c r="CV134" s="329">
        <v>26190256906</v>
      </c>
      <c r="CW134" s="583">
        <v>26190256906</v>
      </c>
      <c r="CX134" s="329">
        <v>26190256906</v>
      </c>
      <c r="CY134" s="47"/>
      <c r="CZ134" s="330">
        <v>45530</v>
      </c>
      <c r="DA134" s="330">
        <v>45557</v>
      </c>
      <c r="DB134" s="331">
        <v>45531</v>
      </c>
      <c r="DC134" s="316" t="s">
        <v>927</v>
      </c>
      <c r="DD134" s="67">
        <v>33291213735.040001</v>
      </c>
      <c r="DE13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4" s="331">
        <v>45534</v>
      </c>
      <c r="DG134" s="316" t="s">
        <v>928</v>
      </c>
      <c r="DH134" s="67">
        <v>33291213735.040001</v>
      </c>
      <c r="DI13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4" s="330">
        <v>45558</v>
      </c>
      <c r="DK134" s="330">
        <v>45627</v>
      </c>
      <c r="DL134" s="331">
        <v>45841</v>
      </c>
      <c r="DM134" s="316" t="s">
        <v>929</v>
      </c>
      <c r="DN13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4" s="331">
        <v>45971</v>
      </c>
      <c r="DP134" s="316" t="s">
        <v>930</v>
      </c>
      <c r="DQ134" s="338" t="s">
        <v>365</v>
      </c>
      <c r="DR13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4" s="330">
        <v>45558</v>
      </c>
      <c r="DT134" s="330" t="e">
        <v>#N/A</v>
      </c>
      <c r="DU134" s="330">
        <v>45599</v>
      </c>
      <c r="DV134" s="330" t="e">
        <v>#N/A</v>
      </c>
      <c r="DW134" s="331">
        <v>45993</v>
      </c>
      <c r="DX134" s="316" t="s">
        <v>931</v>
      </c>
      <c r="DY134" s="334"/>
      <c r="DZ134" s="334"/>
      <c r="EA13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4" s="331">
        <v>45995</v>
      </c>
      <c r="EC134" s="332"/>
      <c r="ED134" s="332"/>
      <c r="EE134" s="330" t="s">
        <v>932</v>
      </c>
      <c r="EF134" s="35">
        <v>1</v>
      </c>
      <c r="EG134" s="337">
        <v>1</v>
      </c>
      <c r="EH134" s="316" t="str">
        <f>IF(Table1[[#This Row],[PO Material Aktual 
(%)]]&gt;=100%,"Selesai PO = 100%",IF(Table1[[#This Row],[PO Material Aktual 
(%)]]&gt;=50%,"Proses PO &gt; 100%",IF(Table1[[#This Row],[PO Material Aktual 
(%)]]&gt;0%,"Proses PO &gt; 50%",IF(Table1[[#This Row],[PO Material Aktual 
(%)]]=0,"Belum PO = 0%"))))</f>
        <v>Selesai PO = 100%</v>
      </c>
      <c r="EI13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4" s="330">
        <v>45600</v>
      </c>
      <c r="EK134" s="330" t="e">
        <v>#N/A</v>
      </c>
      <c r="EL134" s="330">
        <v>45711</v>
      </c>
      <c r="EM134" s="330" t="e">
        <v>#N/A</v>
      </c>
      <c r="EN134" s="331">
        <v>46149</v>
      </c>
      <c r="EO134" s="332"/>
      <c r="EP134" s="332"/>
      <c r="EQ134" s="87">
        <v>1</v>
      </c>
      <c r="ER134" s="87">
        <v>1</v>
      </c>
      <c r="ES134" s="316" t="str">
        <f>IF(Table1[[#This Row],[Progres MOS]]&gt;=100%,"Selesai MOS = 100%",IF(Table1[[#This Row],[Progres MOS]]&gt;=50%,"Proses MOS &gt; 100%",IF(Table1[[#This Row],[Progres MOS]]&gt;0%,"Proses MOS &gt; 50%",IF(Table1[[#This Row],[Progres MOS]]=0,"Belum MOS = 0%"))))</f>
        <v>Selesai MOS = 100%</v>
      </c>
      <c r="ET13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4" s="47"/>
      <c r="EV134" s="330">
        <v>45558</v>
      </c>
      <c r="EW134" s="330" t="e">
        <v>#N/A</v>
      </c>
      <c r="EX134" s="330">
        <v>45655</v>
      </c>
      <c r="EY134" s="330" t="e">
        <v>#N/A</v>
      </c>
      <c r="EZ134" s="352" t="s">
        <v>298</v>
      </c>
      <c r="FA134" s="336" t="s">
        <v>259</v>
      </c>
      <c r="FB134" s="330" t="s">
        <v>260</v>
      </c>
      <c r="FC134" s="330">
        <v>45615</v>
      </c>
      <c r="FD134" s="330" t="s">
        <v>260</v>
      </c>
      <c r="FE134" s="330">
        <v>45716</v>
      </c>
      <c r="FF134" s="330">
        <v>45911</v>
      </c>
      <c r="FG134" s="330" t="s">
        <v>260</v>
      </c>
      <c r="FH134" s="330" t="s">
        <v>260</v>
      </c>
      <c r="FI134" s="330">
        <v>46010</v>
      </c>
      <c r="FJ134" s="330" t="s">
        <v>260</v>
      </c>
      <c r="FK134" s="330">
        <v>46094</v>
      </c>
      <c r="FL134" s="336" t="s">
        <v>298</v>
      </c>
      <c r="FM134" s="352">
        <v>45615</v>
      </c>
      <c r="FN134" s="338">
        <f>IF(Table1[[#This Row],[Tanggal Pengajuan Dokumen]]="","",Table1[[#This Row],[PLAN PERMIT
start]]-Table1[[#This Row],[Tanggal Pengajuan Dokumen]])</f>
        <v>-57</v>
      </c>
      <c r="FO134" s="437">
        <v>46086</v>
      </c>
      <c r="FP134" s="316"/>
      <c r="FQ134" s="338"/>
      <c r="FR134" s="338" t="s">
        <v>923</v>
      </c>
      <c r="FS134" s="338" t="str">
        <f t="shared" si="9"/>
        <v>On Going</v>
      </c>
      <c r="FT13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4" s="344">
        <f ca="1">IF(Table1[[#This Row],[Status Izin]]="Selesai",Table1[[#This Row],[PLAN PERMIT
finish]]-Table1[[#This Row],[Tanggal Terbit/ Target Izin Terbit]],ROUNDUP(Table1[[#This Row],[PLAN PERMIT
finish]]-NOW(),0))</f>
        <v>-536</v>
      </c>
      <c r="FV13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4" s="344"/>
      <c r="FX134" s="47"/>
      <c r="FY134" s="340"/>
      <c r="FZ134" s="341">
        <v>45582</v>
      </c>
      <c r="GA13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4" s="330">
        <v>45629</v>
      </c>
      <c r="GC134" s="352">
        <v>45597</v>
      </c>
      <c r="GD13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4" s="330">
        <v>45636</v>
      </c>
      <c r="GF134" s="352">
        <v>45597</v>
      </c>
      <c r="GG13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4" s="330">
        <v>45642</v>
      </c>
      <c r="GI134" s="330">
        <v>45648</v>
      </c>
      <c r="GJ134" s="352">
        <v>45603</v>
      </c>
      <c r="GK13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4" s="330">
        <v>45656</v>
      </c>
      <c r="GM134" s="330" t="e">
        <v>#N/A</v>
      </c>
      <c r="GN134" s="330">
        <v>45788</v>
      </c>
      <c r="GO134" s="330" t="e">
        <v>#N/A</v>
      </c>
      <c r="GP134" s="316"/>
      <c r="GQ13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4" s="330" t="s">
        <v>261</v>
      </c>
      <c r="GS134" s="330" t="s">
        <v>261</v>
      </c>
      <c r="GT134" s="354">
        <v>45952</v>
      </c>
      <c r="GU134" s="344" t="str">
        <f>IF(Table1[[#This Row],[Hydro Tes Actual
(tanggal)]]&lt;&gt;"","Sudah","Belum")</f>
        <v>Sudah</v>
      </c>
      <c r="GV134" s="330" t="s">
        <v>261</v>
      </c>
      <c r="GW134" s="330" t="s">
        <v>261</v>
      </c>
      <c r="GX134" s="331">
        <v>45860</v>
      </c>
      <c r="GY134" s="344" t="str">
        <f>IF(Table1[[#This Row],[Interkoneksi Actual
(tanggal)]]&lt;&gt;"","Sudah","Belum")</f>
        <v>Sudah</v>
      </c>
      <c r="GZ134" s="330" t="s">
        <v>261</v>
      </c>
      <c r="HA134" s="330" t="s">
        <v>261</v>
      </c>
      <c r="HB134" s="331">
        <v>46000</v>
      </c>
      <c r="HC134" s="344" t="str">
        <f>IF(Table1[[#This Row],[Flushing Actual
(tanggal)]]&lt;&gt;"","Sudah","Belum")</f>
        <v>Sudah</v>
      </c>
      <c r="HD134" s="330">
        <v>45754</v>
      </c>
      <c r="HE134" s="330" t="e">
        <v>#N/A</v>
      </c>
      <c r="HF134" s="330">
        <v>45774</v>
      </c>
      <c r="HG134" s="352">
        <v>46006</v>
      </c>
      <c r="HH13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4" s="330" t="s">
        <v>261</v>
      </c>
      <c r="HJ134" s="330" t="s">
        <v>261</v>
      </c>
      <c r="HK134" s="331"/>
      <c r="HL134" s="316"/>
      <c r="HM134" s="330">
        <v>45793</v>
      </c>
      <c r="HN134" s="330">
        <v>45793</v>
      </c>
      <c r="HO134" s="330" t="e">
        <v>#N/A</v>
      </c>
      <c r="HP134" s="331">
        <v>46014</v>
      </c>
      <c r="HQ13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34" s="330">
        <v>45800</v>
      </c>
      <c r="HS134" s="330"/>
      <c r="HT134" s="330">
        <v>45800</v>
      </c>
      <c r="HU134" s="527"/>
      <c r="HV134" s="330">
        <v>46025</v>
      </c>
      <c r="HW13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34" s="47"/>
      <c r="HY134" s="352"/>
      <c r="HZ134" s="352"/>
      <c r="IB134" s="618">
        <f>IFERROR(ROUND((Table1[[#This Row],[PLAN TC
finish]]-Table1[[#This Row],[PLAN MC-0
start]])/30,2),"")</f>
        <v>4.4000000000000004</v>
      </c>
      <c r="IC134">
        <f>DATEDIF(Table1[[#This Row],[PLAN MC-0
start]],Table1[[#This Row],[PLAN TC
finish]],"m")</f>
        <v>4</v>
      </c>
    </row>
    <row r="135" spans="2:237" s="4" customFormat="1" ht="15" hidden="1" customHeight="1" x14ac:dyDescent="0.2">
      <c r="B135" s="311">
        <f>SUBTOTAL(3,$D$5:D135)</f>
        <v>84</v>
      </c>
      <c r="C135" s="348">
        <v>131</v>
      </c>
      <c r="D135" s="338" t="s">
        <v>629</v>
      </c>
      <c r="E135" s="338" t="s">
        <v>933</v>
      </c>
      <c r="F135" s="338" t="s">
        <v>934</v>
      </c>
      <c r="G135" s="349">
        <v>45935</v>
      </c>
      <c r="H135" s="314" t="s">
        <v>247</v>
      </c>
      <c r="I135" s="338" t="s">
        <v>278</v>
      </c>
      <c r="J135" s="315" t="s">
        <v>882</v>
      </c>
      <c r="K135" s="338" t="s">
        <v>915</v>
      </c>
      <c r="L135" s="316" t="s">
        <v>250</v>
      </c>
      <c r="M135" s="316" t="s">
        <v>269</v>
      </c>
      <c r="N135" s="107">
        <v>14</v>
      </c>
      <c r="O135" s="131" t="s">
        <v>252</v>
      </c>
      <c r="P13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5" s="35" t="e">
        <v>#N/A</v>
      </c>
      <c r="S135" s="35">
        <v>1</v>
      </c>
      <c r="T135" s="35">
        <f>Table1[[#This Row],[Progres Total Aktual
(%)]]</f>
        <v>1</v>
      </c>
      <c r="U135" s="124">
        <f>Table1[[#This Row],[Progres Aktual
(%)]]-Table1[[#This Row],[Target Progres
(%)]]</f>
        <v>0</v>
      </c>
      <c r="V135" s="350">
        <f>Table1[[#This Row],["Volume
BA MC-0"]]</f>
        <v>20</v>
      </c>
      <c r="W135" s="351">
        <f>Table1[[#This Row],[Total Panjang Pipa Aktual
(Sum-&gt;)3]]</f>
        <v>42.2</v>
      </c>
      <c r="X135" s="47"/>
      <c r="Y135" s="67" t="s">
        <v>926</v>
      </c>
      <c r="Z135" s="67">
        <v>449003332</v>
      </c>
      <c r="AA135" s="67">
        <f>Table1[[#This Row],[Nilai RAB Jaringan
(file pa aji)]]</f>
        <v>449003332</v>
      </c>
      <c r="AB135" s="320">
        <f>SUM(Table1[[#This Row],[RAB Kegiatan Umum]:[RAB Perizinan]])</f>
        <v>0</v>
      </c>
      <c r="AC135" s="320"/>
      <c r="AD135" s="320"/>
      <c r="AE135" s="320"/>
      <c r="AF135" s="320"/>
      <c r="AG135" s="436">
        <v>0</v>
      </c>
      <c r="AH135" s="35" t="e">
        <f>SUM(Table1[[#This Row],[Bobot Keg Umum]:[Bobot Perizinan]])</f>
        <v>#DIV/0!</v>
      </c>
      <c r="AI135" s="35" t="e">
        <f>Table1[[#This Row],[RAB Kegiatan Umum]]/Table1[[#This Row],[Nilai RAB Jaringan
(Exclude Ppn)]]</f>
        <v>#DIV/0!</v>
      </c>
      <c r="AJ135" s="35" t="e">
        <f>Table1[[#This Row],[RAB Pemasangan]]/Table1[[#This Row],[Nilai RAB Jaringan
(Exclude Ppn)]]</f>
        <v>#DIV/0!</v>
      </c>
      <c r="AK135" s="35" t="e">
        <f>Table1[[#This Row],[RAB Pengadaan]]/Table1[[#This Row],[Nilai RAB Jaringan
(Exclude Ppn)]]</f>
        <v>#DIV/0!</v>
      </c>
      <c r="AL135" s="35" t="e">
        <f>Table1[[#This Row],[RAB Perizinan]]/Table1[[#This Row],[Nilai RAB Jaringan
(Exclude Ppn)]]</f>
        <v>#DIV/0!</v>
      </c>
      <c r="AM135" s="47"/>
      <c r="AN135" s="285">
        <v>20</v>
      </c>
      <c r="AO135" s="285">
        <f>SUM(Table1[[#This Row],[Pipa 63 mm]:[Pipa 1,800 mm]])</f>
        <v>20</v>
      </c>
      <c r="AP135" s="285"/>
      <c r="AQ135" s="285"/>
      <c r="AR135" s="285"/>
      <c r="AS135" s="285"/>
      <c r="AT135" s="285"/>
      <c r="AU135" s="285">
        <v>20</v>
      </c>
      <c r="AV135" s="285"/>
      <c r="AW135" s="285"/>
      <c r="AX135" s="285"/>
      <c r="AY135" s="285"/>
      <c r="AZ135" s="285"/>
      <c r="BA135" s="285"/>
      <c r="BB135" s="285"/>
      <c r="BC135" s="285"/>
      <c r="BD135" s="285"/>
      <c r="BE135" s="285"/>
      <c r="BF135" s="285"/>
      <c r="BG135" s="285"/>
      <c r="BH135" s="285"/>
      <c r="BI135" s="285"/>
      <c r="BJ135" s="36">
        <f>SUM(Table1[[#This Row],[Pipa 63 mm2]:[Pipa 1,800 mm21]])</f>
        <v>42.2</v>
      </c>
      <c r="BK135" s="32"/>
      <c r="BL135" s="32"/>
      <c r="BM135" s="32"/>
      <c r="BN135" s="32"/>
      <c r="BO135" s="32"/>
      <c r="BP135" s="32">
        <v>38</v>
      </c>
      <c r="BQ135" s="32"/>
      <c r="BR135" s="32"/>
      <c r="BS135" s="32">
        <v>4.2</v>
      </c>
      <c r="BT135" s="32"/>
      <c r="BU135" s="32"/>
      <c r="BV135" s="32"/>
      <c r="BW135" s="32"/>
      <c r="BX135" s="32"/>
      <c r="BY135" s="32"/>
      <c r="BZ135" s="32"/>
      <c r="CA135" s="32"/>
      <c r="CB135" s="32"/>
      <c r="CC135" s="32"/>
      <c r="CD135" s="32"/>
      <c r="CE135" s="32">
        <v>0</v>
      </c>
      <c r="CF135" s="32">
        <v>0</v>
      </c>
      <c r="CG135" s="32">
        <v>0</v>
      </c>
      <c r="CH135" s="32">
        <v>0</v>
      </c>
      <c r="CI135" s="32">
        <f t="shared" si="10"/>
        <v>0</v>
      </c>
      <c r="CJ135" s="65">
        <f>IF((Table1[[#This Row],["Volume
BA MC-0"]]-Table1[[#This Row],[Total Panjang Pipa Aktual
(Sum-&gt;)3]]-Table1[[#This Row],[Total Volume
tidak dapat dipasang]])&gt;=0,Table1[[#This Row],["Volume
BA MC-0"]]-Table1[[#This Row],[Total Panjang Pipa Aktual
(Sum-&gt;)3]]-Table1[[#This Row],[Total Volume
tidak dapat dipasang]],0)</f>
        <v>0</v>
      </c>
      <c r="CK135" s="47"/>
      <c r="CL135" s="131"/>
      <c r="CM135" s="35"/>
      <c r="CN135" s="131"/>
      <c r="CO135" s="131"/>
      <c r="CP13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5" s="66">
        <f>IFERROR(Table1[[#This Row],[Progres Keg. Umum
(%)]]*Table1[[#This Row],[Nilai RAB Jaringan
(file pa aji)]],0)</f>
        <v>0</v>
      </c>
      <c r="CR135" s="66">
        <f>IFERROR(Table1[[#This Row],[Progres MOS
(%)]]*Table1[[#This Row],[Nilai RAB Jaringan
(file pa aji)]],0)</f>
        <v>0</v>
      </c>
      <c r="CS135" s="66">
        <f>IFERROR(Table1[[#This Row],[Progres Pemasangan
(%)]]*Table1[[#This Row],[Nilai RAB Jaringan
(file pa aji)]],0)</f>
        <v>0</v>
      </c>
      <c r="CT135" s="66">
        <f>IFERROR(Table1[[#This Row],[Progres Perizinan
(%)]]*Table1[[#This Row],[Nilai RAB Jaringan
(file pa aji)]],0)</f>
        <v>0</v>
      </c>
      <c r="CU135" s="329">
        <v>576443164</v>
      </c>
      <c r="CV135" s="329">
        <v>576443164</v>
      </c>
      <c r="CW135" s="583">
        <v>576443164</v>
      </c>
      <c r="CX135" s="329">
        <v>576443164</v>
      </c>
      <c r="CY135" s="47"/>
      <c r="CZ135" s="330">
        <v>45530</v>
      </c>
      <c r="DA135" s="330">
        <v>45557</v>
      </c>
      <c r="DB135" s="331">
        <v>45582</v>
      </c>
      <c r="DC135" s="316" t="s">
        <v>935</v>
      </c>
      <c r="DD135" s="67">
        <v>499372581</v>
      </c>
      <c r="DE13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35" s="331">
        <v>45600</v>
      </c>
      <c r="DG135" s="316" t="s">
        <v>936</v>
      </c>
      <c r="DH135" s="67">
        <v>499372581</v>
      </c>
      <c r="DI13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35" s="330">
        <v>45558</v>
      </c>
      <c r="DK135" s="330">
        <v>45627</v>
      </c>
      <c r="DL135" s="331">
        <v>45796</v>
      </c>
      <c r="DM135" s="316" t="s">
        <v>937</v>
      </c>
      <c r="DN13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5" s="331">
        <v>45834</v>
      </c>
      <c r="DP135" s="316" t="s">
        <v>938</v>
      </c>
      <c r="DQ135" s="338" t="s">
        <v>365</v>
      </c>
      <c r="DR13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5" s="330">
        <v>45558</v>
      </c>
      <c r="DT135" s="330" t="e">
        <v>#N/A</v>
      </c>
      <c r="DU135" s="330">
        <v>45599</v>
      </c>
      <c r="DV135" s="330" t="e">
        <v>#N/A</v>
      </c>
      <c r="DW135" s="331">
        <v>45985</v>
      </c>
      <c r="DX135" s="316" t="s">
        <v>939</v>
      </c>
      <c r="DY135" s="334"/>
      <c r="DZ135" s="334"/>
      <c r="EA13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5" s="331">
        <v>45993</v>
      </c>
      <c r="EC135" s="332"/>
      <c r="ED135" s="332"/>
      <c r="EE135" s="330" t="s">
        <v>940</v>
      </c>
      <c r="EF135" s="35">
        <v>1</v>
      </c>
      <c r="EG135" s="337">
        <v>1</v>
      </c>
      <c r="EH135" s="316" t="str">
        <f>IF(Table1[[#This Row],[PO Material Aktual 
(%)]]&gt;=100%,"Selesai PO = 100%",IF(Table1[[#This Row],[PO Material Aktual 
(%)]]&gt;=50%,"Proses PO &gt; 100%",IF(Table1[[#This Row],[PO Material Aktual 
(%)]]&gt;0%,"Proses PO &gt; 50%",IF(Table1[[#This Row],[PO Material Aktual 
(%)]]=0,"Belum PO = 0%"))))</f>
        <v>Selesai PO = 100%</v>
      </c>
      <c r="EI13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5" s="330">
        <v>45600</v>
      </c>
      <c r="EK135" s="330" t="e">
        <v>#N/A</v>
      </c>
      <c r="EL135" s="330">
        <v>45711</v>
      </c>
      <c r="EM135" s="330" t="e">
        <v>#N/A</v>
      </c>
      <c r="EN135" s="331">
        <v>46156</v>
      </c>
      <c r="EO135" s="332"/>
      <c r="EP135" s="332"/>
      <c r="EQ135" s="87">
        <v>1</v>
      </c>
      <c r="ER135" s="87">
        <v>1</v>
      </c>
      <c r="ES135" s="316" t="str">
        <f>IF(Table1[[#This Row],[Progres MOS]]&gt;=100%,"Selesai MOS = 100%",IF(Table1[[#This Row],[Progres MOS]]&gt;=50%,"Proses MOS &gt; 100%",IF(Table1[[#This Row],[Progres MOS]]&gt;0%,"Proses MOS &gt; 50%",IF(Table1[[#This Row],[Progres MOS]]=0,"Belum MOS = 0%"))))</f>
        <v>Selesai MOS = 100%</v>
      </c>
      <c r="ET13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5" s="47"/>
      <c r="EV135" s="330">
        <v>45558</v>
      </c>
      <c r="EW135" s="330" t="e">
        <v>#N/A</v>
      </c>
      <c r="EX135" s="330">
        <v>45655</v>
      </c>
      <c r="EY135" s="330" t="e">
        <v>#N/A</v>
      </c>
      <c r="EZ135" s="352" t="s">
        <v>298</v>
      </c>
      <c r="FA135" s="336" t="s">
        <v>259</v>
      </c>
      <c r="FB135" s="330" t="s">
        <v>260</v>
      </c>
      <c r="FC135" s="330">
        <v>45615</v>
      </c>
      <c r="FD135" s="330" t="s">
        <v>260</v>
      </c>
      <c r="FE135" s="330">
        <v>45716</v>
      </c>
      <c r="FF135" s="330">
        <v>45911</v>
      </c>
      <c r="FG135" s="330" t="s">
        <v>260</v>
      </c>
      <c r="FH135" s="330" t="s">
        <v>260</v>
      </c>
      <c r="FI135" s="330">
        <v>46013</v>
      </c>
      <c r="FJ135" s="330" t="s">
        <v>260</v>
      </c>
      <c r="FK135" s="330">
        <v>46114</v>
      </c>
      <c r="FL135" s="336" t="s">
        <v>298</v>
      </c>
      <c r="FM135" s="352">
        <v>45615</v>
      </c>
      <c r="FN135" s="338">
        <f>IF(Table1[[#This Row],[Tanggal Pengajuan Dokumen]]="","",Table1[[#This Row],[PLAN PERMIT
start]]-Table1[[#This Row],[Tanggal Pengajuan Dokumen]])</f>
        <v>-57</v>
      </c>
      <c r="FO135" s="437">
        <v>46086</v>
      </c>
      <c r="FP135" s="316"/>
      <c r="FQ135" s="338"/>
      <c r="FR135" s="338" t="s">
        <v>923</v>
      </c>
      <c r="FS135" s="338" t="str">
        <f t="shared" si="9"/>
        <v>On Going</v>
      </c>
      <c r="FT13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5" s="344">
        <f ca="1">IF(Table1[[#This Row],[Status Izin]]="Selesai",Table1[[#This Row],[PLAN PERMIT
finish]]-Table1[[#This Row],[Tanggal Terbit/ Target Izin Terbit]],ROUNDUP(Table1[[#This Row],[PLAN PERMIT
finish]]-NOW(),0))</f>
        <v>-536</v>
      </c>
      <c r="FV13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5" s="344"/>
      <c r="FX135" s="47"/>
      <c r="FY135" s="340"/>
      <c r="FZ135" s="341">
        <v>45582</v>
      </c>
      <c r="GA13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5" s="330">
        <v>45629</v>
      </c>
      <c r="GC135" s="352">
        <v>45870</v>
      </c>
      <c r="GD13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35" s="330">
        <v>45636</v>
      </c>
      <c r="GF135" s="352">
        <v>45870</v>
      </c>
      <c r="GG13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35" s="330">
        <v>45642</v>
      </c>
      <c r="GI135" s="330">
        <v>45648</v>
      </c>
      <c r="GJ135" s="352">
        <v>45874</v>
      </c>
      <c r="GK13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35" s="330">
        <v>45656</v>
      </c>
      <c r="GM135" s="330" t="e">
        <v>#N/A</v>
      </c>
      <c r="GN135" s="330">
        <v>45788</v>
      </c>
      <c r="GO135" s="330" t="e">
        <v>#N/A</v>
      </c>
      <c r="GP135" s="316"/>
      <c r="GQ13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5" s="330" t="s">
        <v>261</v>
      </c>
      <c r="GS135" s="330" t="s">
        <v>261</v>
      </c>
      <c r="GT135" s="354">
        <v>45958</v>
      </c>
      <c r="GU135" s="344" t="str">
        <f>IF(Table1[[#This Row],[Hydro Tes Actual
(tanggal)]]&lt;&gt;"","Sudah","Belum")</f>
        <v>Sudah</v>
      </c>
      <c r="GV135" s="330" t="s">
        <v>261</v>
      </c>
      <c r="GW135" s="330" t="s">
        <v>261</v>
      </c>
      <c r="GX135" s="331">
        <v>45994</v>
      </c>
      <c r="GY135" s="344" t="str">
        <f>IF(Table1[[#This Row],[Interkoneksi Actual
(tanggal)]]&lt;&gt;"","Sudah","Belum")</f>
        <v>Sudah</v>
      </c>
      <c r="GZ135" s="330" t="s">
        <v>261</v>
      </c>
      <c r="HA135" s="330" t="s">
        <v>261</v>
      </c>
      <c r="HB135" s="331">
        <v>45999</v>
      </c>
      <c r="HC135" s="344" t="str">
        <f>IF(Table1[[#This Row],[Flushing Actual
(tanggal)]]&lt;&gt;"","Sudah","Belum")</f>
        <v>Sudah</v>
      </c>
      <c r="HD135" s="330">
        <v>45754</v>
      </c>
      <c r="HE135" s="330" t="e">
        <v>#N/A</v>
      </c>
      <c r="HF135" s="330">
        <v>45774</v>
      </c>
      <c r="HG135" s="352">
        <v>46001</v>
      </c>
      <c r="HH13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5" s="330" t="s">
        <v>261</v>
      </c>
      <c r="HJ135" s="330" t="s">
        <v>261</v>
      </c>
      <c r="HK135" s="331"/>
      <c r="HL135" s="316"/>
      <c r="HM135" s="330">
        <v>45793</v>
      </c>
      <c r="HN135" s="330">
        <v>45793</v>
      </c>
      <c r="HO135" s="330" t="e">
        <v>#N/A</v>
      </c>
      <c r="HP135" s="331">
        <v>46009</v>
      </c>
      <c r="HQ13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35" s="330">
        <v>45800</v>
      </c>
      <c r="HS135" s="330"/>
      <c r="HT135" s="330">
        <v>45800</v>
      </c>
      <c r="HU135" s="527"/>
      <c r="HV135" s="330">
        <v>46025</v>
      </c>
      <c r="HW13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35" s="47"/>
      <c r="HY135" s="352"/>
      <c r="HZ135" s="352"/>
      <c r="IB135" s="618">
        <f>IFERROR(ROUND((Table1[[#This Row],[PLAN TC
finish]]-Table1[[#This Row],[PLAN MC-0
start]])/30,2),"")</f>
        <v>4.4000000000000004</v>
      </c>
      <c r="IC135">
        <f>DATEDIF(Table1[[#This Row],[PLAN MC-0
start]],Table1[[#This Row],[PLAN TC
finish]],"m")</f>
        <v>4</v>
      </c>
    </row>
    <row r="136" spans="2:237" s="4" customFormat="1" ht="15" hidden="1" customHeight="1" x14ac:dyDescent="0.2">
      <c r="B136" s="311">
        <f>SUBTOTAL(3,$D$5:D136)</f>
        <v>84</v>
      </c>
      <c r="C136" s="348">
        <v>132</v>
      </c>
      <c r="D136" s="338" t="s">
        <v>629</v>
      </c>
      <c r="E136" s="338" t="s">
        <v>941</v>
      </c>
      <c r="F136" s="338" t="s">
        <v>942</v>
      </c>
      <c r="G136" s="349">
        <v>45935</v>
      </c>
      <c r="H136" s="314" t="s">
        <v>247</v>
      </c>
      <c r="I136" s="338" t="s">
        <v>278</v>
      </c>
      <c r="J136" s="315" t="s">
        <v>943</v>
      </c>
      <c r="K136" s="338" t="s">
        <v>915</v>
      </c>
      <c r="L136" s="316" t="s">
        <v>250</v>
      </c>
      <c r="M136" s="316" t="s">
        <v>269</v>
      </c>
      <c r="N136" s="107">
        <v>6200</v>
      </c>
      <c r="O136" s="131" t="s">
        <v>252</v>
      </c>
      <c r="P13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136" s="35" t="e">
        <v>#N/A</v>
      </c>
      <c r="S136" s="35">
        <v>1</v>
      </c>
      <c r="T136" s="35">
        <f>Table1[[#This Row],[Progres Total Aktual
(%)]]</f>
        <v>0.62963512028177115</v>
      </c>
      <c r="U136" s="124">
        <f>Table1[[#This Row],[Progres Aktual
(%)]]-Table1[[#This Row],[Target Progres
(%)]]</f>
        <v>-0.37036487971822885</v>
      </c>
      <c r="V136" s="350">
        <f>Table1[[#This Row],["Volume
BA MC-0"]]</f>
        <v>6209</v>
      </c>
      <c r="W136" s="351">
        <f>Table1[[#This Row],[Total Panjang Pipa Aktual
(Sum-&gt;)3]]</f>
        <v>2571</v>
      </c>
      <c r="X136" s="47"/>
      <c r="Y136" s="67" t="s">
        <v>945</v>
      </c>
      <c r="Z136" s="67">
        <v>10714385576</v>
      </c>
      <c r="AA136" s="67">
        <f>Table1[[#This Row],[Nilai RAB Jaringan
(file pa aji)]]</f>
        <v>10714385576</v>
      </c>
      <c r="AB136" s="320">
        <f>SUM(Table1[[#This Row],[RAB Kegiatan Umum]:[RAB Perizinan]])</f>
        <v>0</v>
      </c>
      <c r="AC136" s="320"/>
      <c r="AD136" s="320"/>
      <c r="AE136" s="320"/>
      <c r="AF136" s="320"/>
      <c r="AG136" s="436">
        <v>7485315592</v>
      </c>
      <c r="AH136" s="35" t="e">
        <f>SUM(Table1[[#This Row],[Bobot Keg Umum]:[Bobot Perizinan]])</f>
        <v>#DIV/0!</v>
      </c>
      <c r="AI136" s="35" t="e">
        <f>Table1[[#This Row],[RAB Kegiatan Umum]]/Table1[[#This Row],[Nilai RAB Jaringan
(Exclude Ppn)]]</f>
        <v>#DIV/0!</v>
      </c>
      <c r="AJ136" s="35" t="e">
        <f>Table1[[#This Row],[RAB Pemasangan]]/Table1[[#This Row],[Nilai RAB Jaringan
(Exclude Ppn)]]</f>
        <v>#DIV/0!</v>
      </c>
      <c r="AK136" s="35" t="e">
        <f>Table1[[#This Row],[RAB Pengadaan]]/Table1[[#This Row],[Nilai RAB Jaringan
(Exclude Ppn)]]</f>
        <v>#DIV/0!</v>
      </c>
      <c r="AL136" s="35" t="e">
        <f>Table1[[#This Row],[RAB Perizinan]]/Table1[[#This Row],[Nilai RAB Jaringan
(Exclude Ppn)]]</f>
        <v>#DIV/0!</v>
      </c>
      <c r="AM136" s="47"/>
      <c r="AN136" s="285">
        <v>6209</v>
      </c>
      <c r="AO136" s="285">
        <f>SUM(Table1[[#This Row],[Pipa 63 mm]:[Pipa 1,800 mm]])</f>
        <v>6209</v>
      </c>
      <c r="AP136" s="285">
        <v>4329</v>
      </c>
      <c r="AQ136" s="285">
        <v>1198</v>
      </c>
      <c r="AR136" s="285">
        <v>210</v>
      </c>
      <c r="AS136" s="285"/>
      <c r="AT136" s="285"/>
      <c r="AU136" s="285"/>
      <c r="AV136" s="285">
        <v>472</v>
      </c>
      <c r="AW136" s="285"/>
      <c r="AX136" s="285"/>
      <c r="AY136" s="285"/>
      <c r="AZ136" s="285"/>
      <c r="BA136" s="285"/>
      <c r="BB136" s="285"/>
      <c r="BC136" s="285"/>
      <c r="BD136" s="285"/>
      <c r="BE136" s="285"/>
      <c r="BF136" s="285"/>
      <c r="BG136" s="285"/>
      <c r="BH136" s="285"/>
      <c r="BI136" s="285"/>
      <c r="BJ136" s="36">
        <f>SUM(Table1[[#This Row],[Pipa 63 mm2]:[Pipa 1,800 mm21]])</f>
        <v>2571</v>
      </c>
      <c r="BK136" s="32">
        <v>1910</v>
      </c>
      <c r="BL136" s="32">
        <v>447</v>
      </c>
      <c r="BM136" s="32"/>
      <c r="BN136" s="32"/>
      <c r="BO136" s="32"/>
      <c r="BP136" s="32"/>
      <c r="BQ136" s="32">
        <v>214</v>
      </c>
      <c r="BR136" s="32"/>
      <c r="BS136" s="32"/>
      <c r="BT136" s="32"/>
      <c r="BU136" s="32"/>
      <c r="BV136" s="32"/>
      <c r="BW136" s="32"/>
      <c r="BX136" s="32"/>
      <c r="BY136" s="32"/>
      <c r="BZ136" s="32"/>
      <c r="CA136" s="32"/>
      <c r="CB136" s="32"/>
      <c r="CC136" s="32"/>
      <c r="CD136" s="32"/>
      <c r="CE136" s="32">
        <v>900</v>
      </c>
      <c r="CF136" s="32">
        <v>1320</v>
      </c>
      <c r="CG136" s="32">
        <v>752</v>
      </c>
      <c r="CH136" s="32">
        <v>408</v>
      </c>
      <c r="CI136" s="32">
        <f t="shared" si="10"/>
        <v>3380</v>
      </c>
      <c r="CJ136" s="65">
        <f>IF((Table1[[#This Row],["Volume
BA MC-0"]]-Table1[[#This Row],[Total Panjang Pipa Aktual
(Sum-&gt;)3]]-Table1[[#This Row],[Total Volume
tidak dapat dipasang]])&gt;=0,Table1[[#This Row],["Volume
BA MC-0"]]-Table1[[#This Row],[Total Panjang Pipa Aktual
(Sum-&gt;)3]]-Table1[[#This Row],[Total Volume
tidak dapat dipasang]],0)</f>
        <v>258</v>
      </c>
      <c r="CK136" s="47"/>
      <c r="CL136" s="131"/>
      <c r="CM136" s="35"/>
      <c r="CN136" s="131"/>
      <c r="CO136" s="131"/>
      <c r="CP13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0.62963512028177115</v>
      </c>
      <c r="CQ136" s="66">
        <f>IFERROR(Table1[[#This Row],[Progres Keg. Umum
(%)]]*Table1[[#This Row],[Nilai RAB Jaringan
(file pa aji)]],0)</f>
        <v>0</v>
      </c>
      <c r="CR136" s="66">
        <f>IFERROR(Table1[[#This Row],[Progres MOS
(%)]]*Table1[[#This Row],[Nilai RAB Jaringan
(file pa aji)]],0)</f>
        <v>0</v>
      </c>
      <c r="CS136" s="66">
        <f>IFERROR(Table1[[#This Row],[Progres Pemasangan
(%)]]*Table1[[#This Row],[Nilai RAB Jaringan
(file pa aji)]],0)</f>
        <v>0</v>
      </c>
      <c r="CT136" s="66">
        <f>IFERROR(Table1[[#This Row],[Progres Perizinan
(%)]]*Table1[[#This Row],[Nilai RAB Jaringan
(file pa aji)]],0)</f>
        <v>0</v>
      </c>
      <c r="CU136" s="329">
        <v>6746153450.8900337</v>
      </c>
      <c r="CV136" s="329">
        <v>6746153450.8900337</v>
      </c>
      <c r="CW136" s="583">
        <v>0</v>
      </c>
      <c r="CX136" s="329">
        <v>0</v>
      </c>
      <c r="CY136" s="47"/>
      <c r="CZ136" s="330">
        <v>45530</v>
      </c>
      <c r="DA136" s="330">
        <v>45557</v>
      </c>
      <c r="DB136" s="331">
        <v>45531</v>
      </c>
      <c r="DC136" s="316" t="s">
        <v>946</v>
      </c>
      <c r="DD136" s="67">
        <v>12052931315</v>
      </c>
      <c r="DE13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6" s="331">
        <v>45538</v>
      </c>
      <c r="DG136" s="316" t="s">
        <v>947</v>
      </c>
      <c r="DH136" s="67">
        <v>11990931315</v>
      </c>
      <c r="DI13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6" s="330">
        <v>45558</v>
      </c>
      <c r="DK136" s="330">
        <v>45627</v>
      </c>
      <c r="DL136" s="331">
        <v>45605</v>
      </c>
      <c r="DM136" s="316" t="s">
        <v>948</v>
      </c>
      <c r="DN13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36" s="331">
        <v>45616</v>
      </c>
      <c r="DP136" s="316" t="s">
        <v>949</v>
      </c>
      <c r="DQ136" s="338" t="s">
        <v>312</v>
      </c>
      <c r="DR13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36" s="330">
        <v>45558</v>
      </c>
      <c r="DT136" s="330" t="e">
        <v>#N/A</v>
      </c>
      <c r="DU136" s="330">
        <v>45599</v>
      </c>
      <c r="DV136" s="330" t="e">
        <v>#N/A</v>
      </c>
      <c r="DW136" s="331">
        <v>45990</v>
      </c>
      <c r="DX136" s="316" t="s">
        <v>950</v>
      </c>
      <c r="DY136" s="334"/>
      <c r="DZ136" s="334"/>
      <c r="EA13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6" s="331">
        <v>45993</v>
      </c>
      <c r="EC136" s="332"/>
      <c r="ED136" s="332"/>
      <c r="EE136" s="330" t="s">
        <v>951</v>
      </c>
      <c r="EF136" s="35">
        <v>0.98058252427184467</v>
      </c>
      <c r="EG136" s="337">
        <v>0.98058252427184467</v>
      </c>
      <c r="EH136" s="316" t="str">
        <f>IF(Table1[[#This Row],[PO Material Aktual 
(%)]]&gt;=100%,"Selesai PO = 100%",IF(Table1[[#This Row],[PO Material Aktual 
(%)]]&gt;=50%,"Proses PO &gt; 100%",IF(Table1[[#This Row],[PO Material Aktual 
(%)]]&gt;0%,"Proses PO &gt; 50%",IF(Table1[[#This Row],[PO Material Aktual 
(%)]]=0,"Belum PO = 0%"))))</f>
        <v>Proses PO &gt; 100%</v>
      </c>
      <c r="EI13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6" s="330">
        <v>45600</v>
      </c>
      <c r="EK136" s="330" t="e">
        <v>#N/A</v>
      </c>
      <c r="EL136" s="330">
        <v>45711</v>
      </c>
      <c r="EM136" s="330" t="e">
        <v>#N/A</v>
      </c>
      <c r="EN136" s="331"/>
      <c r="EO136" s="332"/>
      <c r="EP136" s="332"/>
      <c r="EQ136" s="87">
        <v>0.87378640776699024</v>
      </c>
      <c r="ER136" s="87">
        <v>0.87378640776699024</v>
      </c>
      <c r="ES136" s="316" t="str">
        <f>IF(Table1[[#This Row],[Progres MOS]]&gt;=100%,"Selesai MOS = 100%",IF(Table1[[#This Row],[Progres MOS]]&gt;=50%,"Proses MOS &gt; 100%",IF(Table1[[#This Row],[Progres MOS]]&gt;0%,"Proses MOS &gt; 50%",IF(Table1[[#This Row],[Progres MOS]]=0,"Belum MOS = 0%"))))</f>
        <v>Proses MOS &gt; 100%</v>
      </c>
      <c r="ET13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36" s="47"/>
      <c r="EV136" s="330">
        <v>45558</v>
      </c>
      <c r="EW136" s="330" t="e">
        <v>#N/A</v>
      </c>
      <c r="EX136" s="330">
        <v>45655</v>
      </c>
      <c r="EY136" s="330" t="e">
        <v>#N/A</v>
      </c>
      <c r="EZ136" s="352" t="s">
        <v>259</v>
      </c>
      <c r="FA136" s="336" t="s">
        <v>259</v>
      </c>
      <c r="FB136" s="330" t="s">
        <v>260</v>
      </c>
      <c r="FC136" s="330">
        <v>45649</v>
      </c>
      <c r="FD136" s="330" t="s">
        <v>260</v>
      </c>
      <c r="FE136" s="330">
        <v>45734</v>
      </c>
      <c r="FF136" s="330">
        <v>45798</v>
      </c>
      <c r="FG136" s="330" t="s">
        <v>260</v>
      </c>
      <c r="FH136" s="330" t="s">
        <v>260</v>
      </c>
      <c r="FI136" s="330">
        <v>45894</v>
      </c>
      <c r="FJ136" s="330" t="s">
        <v>260</v>
      </c>
      <c r="FK136" s="330">
        <v>46001</v>
      </c>
      <c r="FL136" s="336" t="s">
        <v>259</v>
      </c>
      <c r="FM136" s="352">
        <v>45649</v>
      </c>
      <c r="FN136" s="338">
        <f>IF(Table1[[#This Row],[Tanggal Pengajuan Dokumen]]="","",Table1[[#This Row],[PLAN PERMIT
start]]-Table1[[#This Row],[Tanggal Pengajuan Dokumen]])</f>
        <v>-91</v>
      </c>
      <c r="FO136" s="437">
        <v>46064</v>
      </c>
      <c r="FP136" s="316"/>
      <c r="FQ136" s="338"/>
      <c r="FR136" s="338"/>
      <c r="FS136" s="338" t="str">
        <f t="shared" si="9"/>
        <v>Sudah Terbit</v>
      </c>
      <c r="FT13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6" s="344">
        <f ca="1">IF(Table1[[#This Row],[Status Izin]]="Selesai",Table1[[#This Row],[PLAN PERMIT
finish]]-Table1[[#This Row],[Tanggal Terbit/ Target Izin Terbit]],ROUNDUP(Table1[[#This Row],[PLAN PERMIT
finish]]-NOW(),0))</f>
        <v>-409</v>
      </c>
      <c r="FV13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6" s="344"/>
      <c r="FX136" s="47"/>
      <c r="FY136" s="340"/>
      <c r="FZ136" s="341">
        <v>45582</v>
      </c>
      <c r="GA13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6" s="330">
        <v>45629</v>
      </c>
      <c r="GC136" s="352">
        <v>45597</v>
      </c>
      <c r="GD13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6" s="330">
        <v>45636</v>
      </c>
      <c r="GF136" s="352">
        <v>45597</v>
      </c>
      <c r="GG13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6" s="330">
        <v>45642</v>
      </c>
      <c r="GI136" s="330">
        <v>45648</v>
      </c>
      <c r="GJ136" s="352">
        <v>45604</v>
      </c>
      <c r="GK13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6" s="330">
        <v>45656</v>
      </c>
      <c r="GM136" s="330" t="e">
        <v>#N/A</v>
      </c>
      <c r="GN136" s="330">
        <v>45788</v>
      </c>
      <c r="GO136" s="330" t="e">
        <v>#N/A</v>
      </c>
      <c r="GP136" s="316"/>
      <c r="GQ13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6" s="330" t="s">
        <v>261</v>
      </c>
      <c r="GS136" s="330" t="s">
        <v>261</v>
      </c>
      <c r="GT136" s="354">
        <v>45833</v>
      </c>
      <c r="GU136" s="344" t="str">
        <f>IF(Table1[[#This Row],[Hydro Tes Actual
(tanggal)]]&lt;&gt;"","Sudah","Belum")</f>
        <v>Sudah</v>
      </c>
      <c r="GV136" s="330" t="s">
        <v>261</v>
      </c>
      <c r="GW136" s="330" t="s">
        <v>261</v>
      </c>
      <c r="GX136" s="331">
        <v>46015</v>
      </c>
      <c r="GY136" s="344" t="str">
        <f>IF(Table1[[#This Row],[Interkoneksi Actual
(tanggal)]]&lt;&gt;"","Sudah","Belum")</f>
        <v>Sudah</v>
      </c>
      <c r="GZ136" s="330" t="s">
        <v>261</v>
      </c>
      <c r="HA136" s="330" t="s">
        <v>261</v>
      </c>
      <c r="HB136" s="331">
        <v>46121</v>
      </c>
      <c r="HC136" s="344" t="str">
        <f>IF(Table1[[#This Row],[Flushing Actual
(tanggal)]]&lt;&gt;"","Sudah","Belum")</f>
        <v>Sudah</v>
      </c>
      <c r="HD136" s="330">
        <v>45754</v>
      </c>
      <c r="HE136" s="330" t="e">
        <v>#N/A</v>
      </c>
      <c r="HF136" s="330">
        <v>45774</v>
      </c>
      <c r="HG136" s="352">
        <v>46139</v>
      </c>
      <c r="HH13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6" s="330" t="s">
        <v>261</v>
      </c>
      <c r="HJ136" s="330" t="s">
        <v>261</v>
      </c>
      <c r="HK136" s="331"/>
      <c r="HL136" s="316"/>
      <c r="HM136" s="330">
        <v>45793</v>
      </c>
      <c r="HN136" s="330">
        <v>45793</v>
      </c>
      <c r="HO136" s="330" t="e">
        <v>#N/A</v>
      </c>
      <c r="HP136" s="331"/>
      <c r="HQ13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36" s="330">
        <v>45800</v>
      </c>
      <c r="HS136" s="330"/>
      <c r="HT136" s="330">
        <v>45800</v>
      </c>
      <c r="HU136" s="330"/>
      <c r="HV136" s="330"/>
      <c r="HW13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36" s="47"/>
      <c r="HY136" s="352"/>
      <c r="HZ136" s="352"/>
      <c r="IB136" s="618">
        <f>IFERROR(ROUND((Table1[[#This Row],[PLAN TC
finish]]-Table1[[#This Row],[PLAN MC-0
start]])/30,2),"")</f>
        <v>4.4000000000000004</v>
      </c>
      <c r="IC136">
        <f>DATEDIF(Table1[[#This Row],[PLAN MC-0
start]],Table1[[#This Row],[PLAN TC
finish]],"m")</f>
        <v>4</v>
      </c>
    </row>
    <row r="137" spans="2:237" s="4" customFormat="1" ht="15" hidden="1" customHeight="1" x14ac:dyDescent="0.2">
      <c r="B137" s="311">
        <f>SUBTOTAL(3,$D$5:D137)</f>
        <v>84</v>
      </c>
      <c r="C137" s="348">
        <v>133</v>
      </c>
      <c r="D137" s="338" t="s">
        <v>629</v>
      </c>
      <c r="E137" s="338" t="s">
        <v>952</v>
      </c>
      <c r="F137" s="338" t="s">
        <v>953</v>
      </c>
      <c r="G137" s="349">
        <v>45935</v>
      </c>
      <c r="H137" s="314" t="s">
        <v>247</v>
      </c>
      <c r="I137" s="338" t="s">
        <v>278</v>
      </c>
      <c r="J137" s="315" t="s">
        <v>882</v>
      </c>
      <c r="K137" s="338" t="s">
        <v>915</v>
      </c>
      <c r="L137" s="316" t="s">
        <v>250</v>
      </c>
      <c r="M137" s="316" t="s">
        <v>269</v>
      </c>
      <c r="N137" s="107">
        <v>4014</v>
      </c>
      <c r="O137" s="131" t="s">
        <v>252</v>
      </c>
      <c r="P13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7" s="35" t="e">
        <v>#N/A</v>
      </c>
      <c r="S137" s="35">
        <v>1</v>
      </c>
      <c r="T137" s="35">
        <f>Table1[[#This Row],[Progres Total Aktual
(%)]]</f>
        <v>1</v>
      </c>
      <c r="U137" s="124">
        <f>Table1[[#This Row],[Progres Aktual
(%)]]-Table1[[#This Row],[Target Progres
(%)]]</f>
        <v>0</v>
      </c>
      <c r="V137" s="350">
        <f>Table1[[#This Row],["Volume
BA MC-0"]]</f>
        <v>4014</v>
      </c>
      <c r="W137" s="351">
        <f>Table1[[#This Row],[Total Panjang Pipa Aktual
(Sum-&gt;)3]]</f>
        <v>2323.4</v>
      </c>
      <c r="X137" s="47"/>
      <c r="Y137" s="67" t="s">
        <v>954</v>
      </c>
      <c r="Z137" s="67">
        <v>11295151692</v>
      </c>
      <c r="AA137" s="67">
        <f>Table1[[#This Row],[Nilai RAB Jaringan
(file pa aji)]]</f>
        <v>11295151692</v>
      </c>
      <c r="AB137" s="320">
        <f>SUM(Table1[[#This Row],[RAB Kegiatan Umum]:[RAB Perizinan]])</f>
        <v>0</v>
      </c>
      <c r="AC137" s="320"/>
      <c r="AD137" s="320"/>
      <c r="AE137" s="320"/>
      <c r="AF137" s="320"/>
      <c r="AG137" s="436">
        <v>2789571337</v>
      </c>
      <c r="AH137" s="35" t="e">
        <f>SUM(Table1[[#This Row],[Bobot Keg Umum]:[Bobot Perizinan]])</f>
        <v>#DIV/0!</v>
      </c>
      <c r="AI137" s="35" t="e">
        <f>Table1[[#This Row],[RAB Kegiatan Umum]]/Table1[[#This Row],[Nilai RAB Jaringan
(Exclude Ppn)]]</f>
        <v>#DIV/0!</v>
      </c>
      <c r="AJ137" s="35" t="e">
        <f>Table1[[#This Row],[RAB Pemasangan]]/Table1[[#This Row],[Nilai RAB Jaringan
(Exclude Ppn)]]</f>
        <v>#DIV/0!</v>
      </c>
      <c r="AK137" s="35" t="e">
        <f>Table1[[#This Row],[RAB Pengadaan]]/Table1[[#This Row],[Nilai RAB Jaringan
(Exclude Ppn)]]</f>
        <v>#DIV/0!</v>
      </c>
      <c r="AL137" s="35" t="e">
        <f>Table1[[#This Row],[RAB Perizinan]]/Table1[[#This Row],[Nilai RAB Jaringan
(Exclude Ppn)]]</f>
        <v>#DIV/0!</v>
      </c>
      <c r="AM137" s="47"/>
      <c r="AN137" s="285">
        <v>4014</v>
      </c>
      <c r="AO137" s="285">
        <f>SUM(Table1[[#This Row],[Pipa 63 mm]:[Pipa 1,800 mm]])</f>
        <v>4014</v>
      </c>
      <c r="AP137" s="285">
        <v>1711</v>
      </c>
      <c r="AQ137" s="285">
        <v>246</v>
      </c>
      <c r="AR137" s="285">
        <v>948</v>
      </c>
      <c r="AS137" s="285">
        <v>4</v>
      </c>
      <c r="AT137" s="285"/>
      <c r="AU137" s="285"/>
      <c r="AV137" s="285">
        <v>1105</v>
      </c>
      <c r="AW137" s="285"/>
      <c r="AX137" s="285"/>
      <c r="AY137" s="285"/>
      <c r="AZ137" s="285"/>
      <c r="BA137" s="285"/>
      <c r="BB137" s="285"/>
      <c r="BC137" s="285"/>
      <c r="BD137" s="285"/>
      <c r="BE137" s="285"/>
      <c r="BF137" s="285"/>
      <c r="BG137" s="285"/>
      <c r="BH137" s="285"/>
      <c r="BI137" s="285"/>
      <c r="BJ137" s="36">
        <f>SUM(Table1[[#This Row],[Pipa 63 mm2]:[Pipa 1,800 mm21]])</f>
        <v>2323.4</v>
      </c>
      <c r="BK137" s="32">
        <v>532</v>
      </c>
      <c r="BL137" s="32">
        <v>140</v>
      </c>
      <c r="BM137" s="32">
        <v>461.2</v>
      </c>
      <c r="BN137" s="32"/>
      <c r="BO137" s="32"/>
      <c r="BP137" s="32"/>
      <c r="BQ137" s="32">
        <v>1190.2</v>
      </c>
      <c r="BR137" s="32"/>
      <c r="BS137" s="32"/>
      <c r="BT137" s="32"/>
      <c r="BU137" s="32"/>
      <c r="BV137" s="32"/>
      <c r="BW137" s="32"/>
      <c r="BX137" s="32"/>
      <c r="BY137" s="32"/>
      <c r="BZ137" s="32"/>
      <c r="CA137" s="32"/>
      <c r="CB137" s="32"/>
      <c r="CC137" s="32"/>
      <c r="CD137" s="32"/>
      <c r="CE137" s="32">
        <v>1111</v>
      </c>
      <c r="CF137" s="32">
        <v>364</v>
      </c>
      <c r="CG137" s="32">
        <v>0</v>
      </c>
      <c r="CH137" s="32">
        <v>297</v>
      </c>
      <c r="CI137" s="32">
        <f t="shared" si="10"/>
        <v>1772</v>
      </c>
      <c r="CJ137" s="65">
        <f>IF((Table1[[#This Row],["Volume
BA MC-0"]]-Table1[[#This Row],[Total Panjang Pipa Aktual
(Sum-&gt;)3]]-Table1[[#This Row],[Total Volume
tidak dapat dipasang]])&gt;=0,Table1[[#This Row],["Volume
BA MC-0"]]-Table1[[#This Row],[Total Panjang Pipa Aktual
(Sum-&gt;)3]]-Table1[[#This Row],[Total Volume
tidak dapat dipasang]],0)</f>
        <v>0</v>
      </c>
      <c r="CK137" s="47"/>
      <c r="CL137" s="131"/>
      <c r="CM137" s="35"/>
      <c r="CN137" s="131"/>
      <c r="CO137" s="131"/>
      <c r="CP13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7" s="66">
        <f>IFERROR(Table1[[#This Row],[Progres Keg. Umum
(%)]]*Table1[[#This Row],[Nilai RAB Jaringan
(file pa aji)]],0)</f>
        <v>0</v>
      </c>
      <c r="CR137" s="66">
        <f>IFERROR(Table1[[#This Row],[Progres MOS
(%)]]*Table1[[#This Row],[Nilai RAB Jaringan
(file pa aji)]],0)</f>
        <v>0</v>
      </c>
      <c r="CS137" s="66">
        <f>IFERROR(Table1[[#This Row],[Progres Pemasangan
(%)]]*Table1[[#This Row],[Nilai RAB Jaringan
(file pa aji)]],0)</f>
        <v>0</v>
      </c>
      <c r="CT137" s="66">
        <f>IFERROR(Table1[[#This Row],[Progres Perizinan
(%)]]*Table1[[#This Row],[Nilai RAB Jaringan
(file pa aji)]],0)</f>
        <v>0</v>
      </c>
      <c r="CU137" s="329">
        <v>7086526177</v>
      </c>
      <c r="CV137" s="329">
        <v>7086526177</v>
      </c>
      <c r="CW137" s="583">
        <v>7086526177</v>
      </c>
      <c r="CX137" s="329">
        <v>7086526177</v>
      </c>
      <c r="CY137" s="47"/>
      <c r="CZ137" s="330">
        <v>45530</v>
      </c>
      <c r="DA137" s="330">
        <v>45557</v>
      </c>
      <c r="DB137" s="331">
        <v>45531</v>
      </c>
      <c r="DC137" s="316" t="s">
        <v>955</v>
      </c>
      <c r="DD137" s="67">
        <v>12519826452</v>
      </c>
      <c r="DE13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7" s="331">
        <v>45538</v>
      </c>
      <c r="DG137" s="316" t="s">
        <v>956</v>
      </c>
      <c r="DH137" s="67">
        <v>12471621652</v>
      </c>
      <c r="DI13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7" s="330">
        <v>45558</v>
      </c>
      <c r="DK137" s="330">
        <v>45627</v>
      </c>
      <c r="DL137" s="331">
        <v>45946</v>
      </c>
      <c r="DM137" s="316" t="s">
        <v>957</v>
      </c>
      <c r="DN13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7" s="331">
        <v>45964</v>
      </c>
      <c r="DP137" s="316" t="s">
        <v>958</v>
      </c>
      <c r="DQ137" s="338" t="s">
        <v>312</v>
      </c>
      <c r="DR13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7" s="330">
        <v>45558</v>
      </c>
      <c r="DT137" s="330" t="e">
        <v>#N/A</v>
      </c>
      <c r="DU137" s="330">
        <v>45599</v>
      </c>
      <c r="DV137" s="330" t="e">
        <v>#N/A</v>
      </c>
      <c r="DW137" s="331">
        <v>45993</v>
      </c>
      <c r="DX137" s="316" t="s">
        <v>959</v>
      </c>
      <c r="DY137" s="334"/>
      <c r="DZ137" s="334"/>
      <c r="EA13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7" s="331">
        <v>45995</v>
      </c>
      <c r="EC137" s="332"/>
      <c r="ED137" s="332"/>
      <c r="EE137" s="330" t="s">
        <v>960</v>
      </c>
      <c r="EF137" s="35">
        <v>1</v>
      </c>
      <c r="EG137" s="337">
        <v>1</v>
      </c>
      <c r="EH137" s="316" t="str">
        <f>IF(Table1[[#This Row],[PO Material Aktual 
(%)]]&gt;=100%,"Selesai PO = 100%",IF(Table1[[#This Row],[PO Material Aktual 
(%)]]&gt;=50%,"Proses PO &gt; 100%",IF(Table1[[#This Row],[PO Material Aktual 
(%)]]&gt;0%,"Proses PO &gt; 50%",IF(Table1[[#This Row],[PO Material Aktual 
(%)]]=0,"Belum PO = 0%"))))</f>
        <v>Selesai PO = 100%</v>
      </c>
      <c r="EI13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7" s="330">
        <v>45600</v>
      </c>
      <c r="EK137" s="330" t="e">
        <v>#N/A</v>
      </c>
      <c r="EL137" s="330">
        <v>45711</v>
      </c>
      <c r="EM137" s="330" t="e">
        <v>#N/A</v>
      </c>
      <c r="EN137" s="331">
        <v>46051</v>
      </c>
      <c r="EO137" s="332"/>
      <c r="EP137" s="332"/>
      <c r="EQ137" s="87">
        <v>1</v>
      </c>
      <c r="ER137" s="87">
        <v>1</v>
      </c>
      <c r="ES137" s="316" t="str">
        <f>IF(Table1[[#This Row],[Progres MOS]]&gt;=100%,"Selesai MOS = 100%",IF(Table1[[#This Row],[Progres MOS]]&gt;=50%,"Proses MOS &gt; 100%",IF(Table1[[#This Row],[Progres MOS]]&gt;0%,"Proses MOS &gt; 50%",IF(Table1[[#This Row],[Progres MOS]]=0,"Belum MOS = 0%"))))</f>
        <v>Selesai MOS = 100%</v>
      </c>
      <c r="ET13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7" s="47"/>
      <c r="EV137" s="330">
        <v>45558</v>
      </c>
      <c r="EW137" s="330" t="e">
        <v>#N/A</v>
      </c>
      <c r="EX137" s="330">
        <v>45655</v>
      </c>
      <c r="EY137" s="330" t="e">
        <v>#N/A</v>
      </c>
      <c r="EZ137" s="352" t="s">
        <v>259</v>
      </c>
      <c r="FA137" s="336" t="s">
        <v>259</v>
      </c>
      <c r="FB137" s="330" t="s">
        <v>260</v>
      </c>
      <c r="FC137" s="330">
        <v>45621</v>
      </c>
      <c r="FD137" s="330" t="s">
        <v>260</v>
      </c>
      <c r="FE137" s="330">
        <v>45734</v>
      </c>
      <c r="FF137" s="330">
        <v>45825</v>
      </c>
      <c r="FG137" s="330" t="s">
        <v>260</v>
      </c>
      <c r="FH137" s="330" t="s">
        <v>260</v>
      </c>
      <c r="FI137" s="330">
        <v>45987</v>
      </c>
      <c r="FJ137" s="330" t="s">
        <v>260</v>
      </c>
      <c r="FK137" s="330">
        <v>46022</v>
      </c>
      <c r="FL137" s="336" t="s">
        <v>259</v>
      </c>
      <c r="FM137" s="352">
        <v>45621</v>
      </c>
      <c r="FN137" s="338">
        <f>IF(Table1[[#This Row],[Tanggal Pengajuan Dokumen]]="","",Table1[[#This Row],[PLAN PERMIT
start]]-Table1[[#This Row],[Tanggal Pengajuan Dokumen]])</f>
        <v>-63</v>
      </c>
      <c r="FO137" s="437">
        <v>46064</v>
      </c>
      <c r="FP137" s="316"/>
      <c r="FQ137" s="338"/>
      <c r="FR137" s="338"/>
      <c r="FS137" s="338" t="str">
        <f t="shared" si="9"/>
        <v>Sudah Terbit</v>
      </c>
      <c r="FT13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7" s="344">
        <f ca="1">IF(Table1[[#This Row],[Status Izin]]="Selesai",Table1[[#This Row],[PLAN PERMIT
finish]]-Table1[[#This Row],[Tanggal Terbit/ Target Izin Terbit]],ROUNDUP(Table1[[#This Row],[PLAN PERMIT
finish]]-NOW(),0))</f>
        <v>-409</v>
      </c>
      <c r="FV13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7" s="344"/>
      <c r="FX137" s="47"/>
      <c r="FY137" s="340"/>
      <c r="FZ137" s="341">
        <v>45582</v>
      </c>
      <c r="GA13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7" s="330">
        <v>45629</v>
      </c>
      <c r="GC137" s="352">
        <v>45597</v>
      </c>
      <c r="GD13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7" s="330">
        <v>45636</v>
      </c>
      <c r="GF137" s="352">
        <v>45597</v>
      </c>
      <c r="GG13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7" s="330">
        <v>45642</v>
      </c>
      <c r="GI137" s="330">
        <v>45648</v>
      </c>
      <c r="GJ137" s="352">
        <v>45609</v>
      </c>
      <c r="GK13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7" s="330">
        <v>45656</v>
      </c>
      <c r="GM137" s="330" t="e">
        <v>#N/A</v>
      </c>
      <c r="GN137" s="330">
        <v>45788</v>
      </c>
      <c r="GO137" s="330" t="e">
        <v>#N/A</v>
      </c>
      <c r="GP137" s="316"/>
      <c r="GQ13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7" s="330" t="s">
        <v>261</v>
      </c>
      <c r="GS137" s="330" t="s">
        <v>261</v>
      </c>
      <c r="GT137" s="354">
        <v>45940</v>
      </c>
      <c r="GU137" s="344" t="str">
        <f>IF(Table1[[#This Row],[Hydro Tes Actual
(tanggal)]]&lt;&gt;"","Sudah","Belum")</f>
        <v>Sudah</v>
      </c>
      <c r="GV137" s="330" t="s">
        <v>261</v>
      </c>
      <c r="GW137" s="330" t="s">
        <v>261</v>
      </c>
      <c r="GX137" s="331">
        <v>46003</v>
      </c>
      <c r="GY137" s="344" t="str">
        <f>IF(Table1[[#This Row],[Interkoneksi Actual
(tanggal)]]&lt;&gt;"","Sudah","Belum")</f>
        <v>Sudah</v>
      </c>
      <c r="GZ137" s="330" t="s">
        <v>261</v>
      </c>
      <c r="HA137" s="330" t="s">
        <v>261</v>
      </c>
      <c r="HB137" s="331">
        <v>45958</v>
      </c>
      <c r="HC137" s="344" t="str">
        <f>IF(Table1[[#This Row],[Flushing Actual
(tanggal)]]&lt;&gt;"","Sudah","Belum")</f>
        <v>Sudah</v>
      </c>
      <c r="HD137" s="330">
        <v>45754</v>
      </c>
      <c r="HE137" s="330" t="e">
        <v>#N/A</v>
      </c>
      <c r="HF137" s="330">
        <v>45774</v>
      </c>
      <c r="HG137" s="352">
        <v>45985</v>
      </c>
      <c r="HH13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7" s="330" t="s">
        <v>261</v>
      </c>
      <c r="HJ137" s="330" t="s">
        <v>261</v>
      </c>
      <c r="HK137" s="331"/>
      <c r="HL137" s="316"/>
      <c r="HM137" s="330">
        <v>45793</v>
      </c>
      <c r="HN137" s="330">
        <v>45793</v>
      </c>
      <c r="HO137" s="330" t="e">
        <v>#N/A</v>
      </c>
      <c r="HP137" s="331">
        <v>46009</v>
      </c>
      <c r="HQ13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37" s="330">
        <v>45800</v>
      </c>
      <c r="HS137" s="330"/>
      <c r="HT137" s="330">
        <v>45800</v>
      </c>
      <c r="HU137" s="527"/>
      <c r="HV137" s="330">
        <v>46024</v>
      </c>
      <c r="HW13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37" s="47"/>
      <c r="HY137" s="352"/>
      <c r="HZ137" s="352"/>
      <c r="IB137" s="618">
        <f>IFERROR(ROUND((Table1[[#This Row],[PLAN TC
finish]]-Table1[[#This Row],[PLAN MC-0
start]])/30,2),"")</f>
        <v>4.4000000000000004</v>
      </c>
      <c r="IC137">
        <f>DATEDIF(Table1[[#This Row],[PLAN MC-0
start]],Table1[[#This Row],[PLAN TC
finish]],"m")</f>
        <v>4</v>
      </c>
    </row>
    <row r="138" spans="2:237" s="4" customFormat="1" ht="15" hidden="1" customHeight="1" x14ac:dyDescent="0.2">
      <c r="B138" s="311">
        <f>SUBTOTAL(3,$D$5:D138)</f>
        <v>84</v>
      </c>
      <c r="C138" s="348">
        <v>134</v>
      </c>
      <c r="D138" s="338" t="s">
        <v>629</v>
      </c>
      <c r="E138" s="338" t="s">
        <v>961</v>
      </c>
      <c r="F138" s="338" t="s">
        <v>962</v>
      </c>
      <c r="G138" s="349">
        <v>45935</v>
      </c>
      <c r="H138" s="314" t="s">
        <v>247</v>
      </c>
      <c r="I138" s="338" t="s">
        <v>278</v>
      </c>
      <c r="J138" s="315"/>
      <c r="K138" s="338" t="s">
        <v>915</v>
      </c>
      <c r="L138" s="316" t="s">
        <v>250</v>
      </c>
      <c r="M138" s="316" t="s">
        <v>269</v>
      </c>
      <c r="N138" s="107">
        <v>6554</v>
      </c>
      <c r="O138" s="131" t="s">
        <v>252</v>
      </c>
      <c r="P13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8" s="35" t="e">
        <v>#N/A</v>
      </c>
      <c r="S138" s="35">
        <v>1</v>
      </c>
      <c r="T138" s="35">
        <f>Table1[[#This Row],[Progres Total Aktual
(%)]]</f>
        <v>1</v>
      </c>
      <c r="U138" s="124">
        <f>Table1[[#This Row],[Progres Aktual
(%)]]-Table1[[#This Row],[Target Progres
(%)]]</f>
        <v>0</v>
      </c>
      <c r="V138" s="350">
        <f>Table1[[#This Row],["Volume
BA MC-0"]]</f>
        <v>6415</v>
      </c>
      <c r="W138" s="351">
        <f>Table1[[#This Row],[Total Panjang Pipa Aktual
(Sum-&gt;)3]]</f>
        <v>5544.1</v>
      </c>
      <c r="X138" s="47"/>
      <c r="Y138" s="67" t="s">
        <v>963</v>
      </c>
      <c r="Z138" s="67">
        <v>11229596133</v>
      </c>
      <c r="AA138" s="67">
        <f>Table1[[#This Row],[Nilai RAB Jaringan
(file pa aji)]]</f>
        <v>11229596133</v>
      </c>
      <c r="AB138" s="320">
        <f>SUM(Table1[[#This Row],[RAB Kegiatan Umum]:[RAB Perizinan]])</f>
        <v>0</v>
      </c>
      <c r="AC138" s="320"/>
      <c r="AD138" s="320"/>
      <c r="AE138" s="320"/>
      <c r="AF138" s="320"/>
      <c r="AG138" s="436">
        <v>3191302404</v>
      </c>
      <c r="AH138" s="35" t="e">
        <f>SUM(Table1[[#This Row],[Bobot Keg Umum]:[Bobot Perizinan]])</f>
        <v>#DIV/0!</v>
      </c>
      <c r="AI138" s="35" t="e">
        <f>Table1[[#This Row],[RAB Kegiatan Umum]]/Table1[[#This Row],[Nilai RAB Jaringan
(Exclude Ppn)]]</f>
        <v>#DIV/0!</v>
      </c>
      <c r="AJ138" s="35" t="e">
        <f>Table1[[#This Row],[RAB Pemasangan]]/Table1[[#This Row],[Nilai RAB Jaringan
(Exclude Ppn)]]</f>
        <v>#DIV/0!</v>
      </c>
      <c r="AK138" s="35" t="e">
        <f>Table1[[#This Row],[RAB Pengadaan]]/Table1[[#This Row],[Nilai RAB Jaringan
(Exclude Ppn)]]</f>
        <v>#DIV/0!</v>
      </c>
      <c r="AL138" s="35" t="e">
        <f>Table1[[#This Row],[RAB Perizinan]]/Table1[[#This Row],[Nilai RAB Jaringan
(Exclude Ppn)]]</f>
        <v>#DIV/0!</v>
      </c>
      <c r="AM138" s="47"/>
      <c r="AN138" s="285">
        <v>6415</v>
      </c>
      <c r="AO138" s="285">
        <f>SUM(Table1[[#This Row],[Pipa 63 mm]:[Pipa 1,800 mm]])</f>
        <v>6415</v>
      </c>
      <c r="AP138" s="285">
        <v>2312</v>
      </c>
      <c r="AQ138" s="285">
        <v>1748</v>
      </c>
      <c r="AR138" s="285">
        <v>1788</v>
      </c>
      <c r="AS138" s="285">
        <v>567</v>
      </c>
      <c r="AT138" s="285"/>
      <c r="AU138" s="285"/>
      <c r="AV138" s="285"/>
      <c r="AW138" s="285"/>
      <c r="AX138" s="285"/>
      <c r="AY138" s="285"/>
      <c r="AZ138" s="285"/>
      <c r="BA138" s="285"/>
      <c r="BB138" s="285"/>
      <c r="BC138" s="285"/>
      <c r="BD138" s="285"/>
      <c r="BE138" s="285"/>
      <c r="BF138" s="285"/>
      <c r="BG138" s="285"/>
      <c r="BH138" s="285"/>
      <c r="BI138" s="285"/>
      <c r="BJ138" s="36">
        <f>SUM(Table1[[#This Row],[Pipa 63 mm2]:[Pipa 1,800 mm21]])</f>
        <v>5544.1</v>
      </c>
      <c r="BK138" s="32">
        <v>1513.3</v>
      </c>
      <c r="BL138" s="32">
        <v>2025.8</v>
      </c>
      <c r="BM138" s="32">
        <v>1430</v>
      </c>
      <c r="BN138" s="32">
        <v>575</v>
      </c>
      <c r="BO138" s="32"/>
      <c r="BP138" s="32"/>
      <c r="BQ138" s="32"/>
      <c r="BR138" s="32"/>
      <c r="BS138" s="32"/>
      <c r="BT138" s="32"/>
      <c r="BU138" s="32"/>
      <c r="BV138" s="32"/>
      <c r="BW138" s="32"/>
      <c r="BX138" s="32"/>
      <c r="BY138" s="32"/>
      <c r="BZ138" s="32"/>
      <c r="CA138" s="32"/>
      <c r="CB138" s="32"/>
      <c r="CC138" s="32"/>
      <c r="CD138" s="32"/>
      <c r="CE138" s="32">
        <v>58</v>
      </c>
      <c r="CF138" s="32">
        <v>712</v>
      </c>
      <c r="CG138" s="32">
        <v>0</v>
      </c>
      <c r="CH138" s="32">
        <v>363</v>
      </c>
      <c r="CI138" s="32">
        <f t="shared" si="10"/>
        <v>1133</v>
      </c>
      <c r="CJ138" s="65">
        <f>IF((Table1[[#This Row],["Volume
BA MC-0"]]-Table1[[#This Row],[Total Panjang Pipa Aktual
(Sum-&gt;)3]]-Table1[[#This Row],[Total Volume
tidak dapat dipasang]])&gt;=0,Table1[[#This Row],["Volume
BA MC-0"]]-Table1[[#This Row],[Total Panjang Pipa Aktual
(Sum-&gt;)3]]-Table1[[#This Row],[Total Volume
tidak dapat dipasang]],0)</f>
        <v>0</v>
      </c>
      <c r="CK138" s="47"/>
      <c r="CL138" s="131"/>
      <c r="CM138" s="35"/>
      <c r="CN138" s="131"/>
      <c r="CO138" s="131"/>
      <c r="CP13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8" s="66">
        <f>IFERROR(Table1[[#This Row],[Progres Keg. Umum
(%)]]*Table1[[#This Row],[Nilai RAB Jaringan
(file pa aji)]],0)</f>
        <v>0</v>
      </c>
      <c r="CR138" s="66">
        <f>IFERROR(Table1[[#This Row],[Progres MOS
(%)]]*Table1[[#This Row],[Nilai RAB Jaringan
(file pa aji)]],0)</f>
        <v>0</v>
      </c>
      <c r="CS138" s="66">
        <f>IFERROR(Table1[[#This Row],[Progres Pemasangan
(%)]]*Table1[[#This Row],[Nilai RAB Jaringan
(file pa aji)]],0)</f>
        <v>0</v>
      </c>
      <c r="CT138" s="66">
        <f>IFERROR(Table1[[#This Row],[Progres Perizinan
(%)]]*Table1[[#This Row],[Nilai RAB Jaringan
(file pa aji)]],0)</f>
        <v>0</v>
      </c>
      <c r="CU138" s="329">
        <v>8570103972</v>
      </c>
      <c r="CV138" s="329">
        <v>8570103972</v>
      </c>
      <c r="CW138" s="583">
        <v>8570103972</v>
      </c>
      <c r="CX138" s="329">
        <v>8570103972</v>
      </c>
      <c r="CY138" s="47"/>
      <c r="CZ138" s="330">
        <v>45530</v>
      </c>
      <c r="DA138" s="330">
        <v>45557</v>
      </c>
      <c r="DB138" s="331">
        <v>45531</v>
      </c>
      <c r="DC138" s="316" t="s">
        <v>964</v>
      </c>
      <c r="DD138" s="67">
        <v>13501414363.26</v>
      </c>
      <c r="DE13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8" s="331">
        <v>45534</v>
      </c>
      <c r="DG138" s="316" t="s">
        <v>965</v>
      </c>
      <c r="DH138" s="67">
        <v>13414874363.26</v>
      </c>
      <c r="DI13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8" s="330">
        <v>45558</v>
      </c>
      <c r="DK138" s="330">
        <v>45627</v>
      </c>
      <c r="DL138" s="331">
        <v>45946</v>
      </c>
      <c r="DM138" s="316" t="s">
        <v>966</v>
      </c>
      <c r="DN13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8" s="331">
        <v>45965</v>
      </c>
      <c r="DP138" s="316" t="s">
        <v>967</v>
      </c>
      <c r="DQ138" s="338" t="s">
        <v>312</v>
      </c>
      <c r="DR13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8" s="330">
        <v>45558</v>
      </c>
      <c r="DT138" s="330" t="e">
        <v>#N/A</v>
      </c>
      <c r="DU138" s="330">
        <v>45599</v>
      </c>
      <c r="DV138" s="330" t="e">
        <v>#N/A</v>
      </c>
      <c r="DW138" s="331">
        <v>45946</v>
      </c>
      <c r="DX138" s="4" t="s">
        <v>966</v>
      </c>
      <c r="EA13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8" s="331">
        <v>45980</v>
      </c>
      <c r="EC138" s="7"/>
      <c r="ED138" s="7"/>
      <c r="EE138" s="7" t="s">
        <v>968</v>
      </c>
      <c r="EF138" s="35">
        <v>1</v>
      </c>
      <c r="EG138" s="337">
        <v>1</v>
      </c>
      <c r="EH138" s="316" t="str">
        <f>IF(Table1[[#This Row],[PO Material Aktual 
(%)]]&gt;=100%,"Selesai PO = 100%",IF(Table1[[#This Row],[PO Material Aktual 
(%)]]&gt;=50%,"Proses PO &gt; 100%",IF(Table1[[#This Row],[PO Material Aktual 
(%)]]&gt;0%,"Proses PO &gt; 50%",IF(Table1[[#This Row],[PO Material Aktual 
(%)]]=0,"Belum PO = 0%"))))</f>
        <v>Selesai PO = 100%</v>
      </c>
      <c r="EI13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8" s="330">
        <v>45600</v>
      </c>
      <c r="EK138" s="330" t="e">
        <v>#N/A</v>
      </c>
      <c r="EL138" s="330">
        <v>45711</v>
      </c>
      <c r="EM138" s="330" t="e">
        <v>#N/A</v>
      </c>
      <c r="EN138" s="331">
        <v>46101</v>
      </c>
      <c r="EO138" s="332"/>
      <c r="EP138" s="332"/>
      <c r="EQ138" s="87">
        <v>1</v>
      </c>
      <c r="ER138" s="87">
        <v>1</v>
      </c>
      <c r="ES138" s="316" t="str">
        <f>IF(Table1[[#This Row],[Progres MOS]]&gt;=100%,"Selesai MOS = 100%",IF(Table1[[#This Row],[Progres MOS]]&gt;=50%,"Proses MOS &gt; 100%",IF(Table1[[#This Row],[Progres MOS]]&gt;0%,"Proses MOS &gt; 50%",IF(Table1[[#This Row],[Progres MOS]]=0,"Belum MOS = 0%"))))</f>
        <v>Selesai MOS = 100%</v>
      </c>
      <c r="ET13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8" s="47"/>
      <c r="EV138" s="330">
        <v>45558</v>
      </c>
      <c r="EW138" s="330" t="e">
        <v>#N/A</v>
      </c>
      <c r="EX138" s="330">
        <v>45655</v>
      </c>
      <c r="EY138" s="330" t="e">
        <v>#N/A</v>
      </c>
      <c r="EZ138" s="352" t="s">
        <v>259</v>
      </c>
      <c r="FA138" s="336" t="s">
        <v>259</v>
      </c>
      <c r="FB138" s="330" t="s">
        <v>260</v>
      </c>
      <c r="FC138" s="330">
        <v>45643</v>
      </c>
      <c r="FD138" s="330" t="s">
        <v>260</v>
      </c>
      <c r="FE138" s="330">
        <v>45715</v>
      </c>
      <c r="FF138" s="330">
        <v>45741</v>
      </c>
      <c r="FG138" s="330" t="s">
        <v>260</v>
      </c>
      <c r="FH138" s="330" t="s">
        <v>260</v>
      </c>
      <c r="FI138" s="330">
        <v>45996</v>
      </c>
      <c r="FJ138" s="330" t="s">
        <v>260</v>
      </c>
      <c r="FK138" s="330">
        <v>46044</v>
      </c>
      <c r="FL138" s="336" t="s">
        <v>259</v>
      </c>
      <c r="FM138" s="352">
        <v>45643</v>
      </c>
      <c r="FN138" s="338">
        <f>IF(Table1[[#This Row],[Tanggal Pengajuan Dokumen]]="","",Table1[[#This Row],[PLAN PERMIT
start]]-Table1[[#This Row],[Tanggal Pengajuan Dokumen]])</f>
        <v>-85</v>
      </c>
      <c r="FO138" s="437">
        <v>46064</v>
      </c>
      <c r="FP138" s="316"/>
      <c r="FQ138" s="338"/>
      <c r="FR138" s="338"/>
      <c r="FS138" s="338" t="str">
        <f t="shared" si="9"/>
        <v>Sudah Terbit</v>
      </c>
      <c r="FT13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8" s="344">
        <f ca="1">IF(Table1[[#This Row],[Status Izin]]="Selesai",Table1[[#This Row],[PLAN PERMIT
finish]]-Table1[[#This Row],[Tanggal Terbit/ Target Izin Terbit]],ROUNDUP(Table1[[#This Row],[PLAN PERMIT
finish]]-NOW(),0))</f>
        <v>-409</v>
      </c>
      <c r="FV13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8" s="344"/>
      <c r="FX138" s="47"/>
      <c r="FY138" s="340"/>
      <c r="FZ138" s="341">
        <v>45582</v>
      </c>
      <c r="GA13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8" s="330">
        <v>45629</v>
      </c>
      <c r="GC138" s="352">
        <v>45635</v>
      </c>
      <c r="GD13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38" s="330">
        <v>45636</v>
      </c>
      <c r="GF138" s="352">
        <v>45635</v>
      </c>
      <c r="GG13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8" s="330">
        <v>45642</v>
      </c>
      <c r="GI138" s="330">
        <v>45648</v>
      </c>
      <c r="GJ138" s="352">
        <v>45663</v>
      </c>
      <c r="GK13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38" s="330">
        <v>45656</v>
      </c>
      <c r="GM138" s="330" t="e">
        <v>#N/A</v>
      </c>
      <c r="GN138" s="330">
        <v>45788</v>
      </c>
      <c r="GO138" s="330" t="e">
        <v>#N/A</v>
      </c>
      <c r="GP138" s="316"/>
      <c r="GQ13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8" s="330" t="s">
        <v>261</v>
      </c>
      <c r="GS138" s="330" t="s">
        <v>261</v>
      </c>
      <c r="GT138" s="354">
        <v>45776</v>
      </c>
      <c r="GU138" s="344" t="str">
        <f>IF(Table1[[#This Row],[Hydro Tes Actual
(tanggal)]]&lt;&gt;"","Sudah","Belum")</f>
        <v>Sudah</v>
      </c>
      <c r="GV138" s="330" t="s">
        <v>261</v>
      </c>
      <c r="GW138" s="330" t="s">
        <v>261</v>
      </c>
      <c r="GX138" s="331">
        <v>45737</v>
      </c>
      <c r="GY138" s="344" t="str">
        <f>IF(Table1[[#This Row],[Interkoneksi Actual
(tanggal)]]&lt;&gt;"","Sudah","Belum")</f>
        <v>Sudah</v>
      </c>
      <c r="GZ138" s="330" t="s">
        <v>261</v>
      </c>
      <c r="HA138" s="330" t="s">
        <v>261</v>
      </c>
      <c r="HB138" s="331">
        <v>45867</v>
      </c>
      <c r="HC138" s="344" t="str">
        <f>IF(Table1[[#This Row],[Flushing Actual
(tanggal)]]&lt;&gt;"","Sudah","Belum")</f>
        <v>Sudah</v>
      </c>
      <c r="HD138" s="330">
        <v>45754</v>
      </c>
      <c r="HE138" s="330" t="e">
        <v>#N/A</v>
      </c>
      <c r="HF138" s="330">
        <v>45774</v>
      </c>
      <c r="HG138" s="352">
        <v>45912</v>
      </c>
      <c r="HH13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8" s="330" t="s">
        <v>261</v>
      </c>
      <c r="HJ138" s="330" t="s">
        <v>261</v>
      </c>
      <c r="HK138" s="331"/>
      <c r="HL138" s="316"/>
      <c r="HM138" s="330">
        <v>45793</v>
      </c>
      <c r="HN138" s="330">
        <v>45793</v>
      </c>
      <c r="HO138" s="330" t="e">
        <v>#N/A</v>
      </c>
      <c r="HP138" s="331">
        <v>45933</v>
      </c>
      <c r="HQ13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38" s="330">
        <v>45800</v>
      </c>
      <c r="HS138" s="330"/>
      <c r="HT138" s="330">
        <v>45800</v>
      </c>
      <c r="HU138" s="527"/>
      <c r="HV138" s="330">
        <v>45934</v>
      </c>
      <c r="HW13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38" s="47"/>
      <c r="HY138" s="352"/>
      <c r="HZ138" s="352"/>
      <c r="IB138" s="618">
        <f>IFERROR(ROUND((Table1[[#This Row],[PLAN TC
finish]]-Table1[[#This Row],[PLAN MC-0
start]])/30,2),"")</f>
        <v>4.4000000000000004</v>
      </c>
      <c r="IC138">
        <f>DATEDIF(Table1[[#This Row],[PLAN MC-0
start]],Table1[[#This Row],[PLAN TC
finish]],"m")</f>
        <v>4</v>
      </c>
    </row>
    <row r="139" spans="2:237" s="4" customFormat="1" ht="15" hidden="1" customHeight="1" x14ac:dyDescent="0.2">
      <c r="B139" s="311">
        <f>SUBTOTAL(3,$D$5:D139)</f>
        <v>84</v>
      </c>
      <c r="C139" s="348">
        <v>135</v>
      </c>
      <c r="D139" s="338" t="s">
        <v>629</v>
      </c>
      <c r="E139" s="338" t="s">
        <v>969</v>
      </c>
      <c r="F139" s="338" t="s">
        <v>970</v>
      </c>
      <c r="G139" s="349">
        <v>45935</v>
      </c>
      <c r="H139" s="314" t="s">
        <v>247</v>
      </c>
      <c r="I139" s="338" t="s">
        <v>278</v>
      </c>
      <c r="J139" s="315" t="s">
        <v>882</v>
      </c>
      <c r="K139" s="338" t="s">
        <v>915</v>
      </c>
      <c r="L139" s="316" t="s">
        <v>250</v>
      </c>
      <c r="M139" s="316" t="s">
        <v>269</v>
      </c>
      <c r="N139" s="107">
        <v>11864</v>
      </c>
      <c r="O139" s="131" t="s">
        <v>252</v>
      </c>
      <c r="P13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9" s="35" t="e">
        <v>#N/A</v>
      </c>
      <c r="S139" s="35">
        <v>1</v>
      </c>
      <c r="T139" s="35">
        <f>Table1[[#This Row],[Progres Total Aktual
(%)]]</f>
        <v>1</v>
      </c>
      <c r="U139" s="124">
        <f>Table1[[#This Row],[Progres Aktual
(%)]]-Table1[[#This Row],[Target Progres
(%)]]</f>
        <v>0</v>
      </c>
      <c r="V139" s="350">
        <f>Table1[[#This Row],["Volume
BA MC-0"]]</f>
        <v>11861</v>
      </c>
      <c r="W139" s="351">
        <f>Table1[[#This Row],[Total Panjang Pipa Aktual
(Sum-&gt;)3]]</f>
        <v>11088.6</v>
      </c>
      <c r="X139" s="47"/>
      <c r="Y139" s="67" t="s">
        <v>971</v>
      </c>
      <c r="Z139" s="67">
        <v>25111444548</v>
      </c>
      <c r="AA139" s="67">
        <f>Table1[[#This Row],[Nilai RAB Jaringan
(file pa aji)]]</f>
        <v>25111444548</v>
      </c>
      <c r="AB139" s="320">
        <f>SUM(Table1[[#This Row],[RAB Kegiatan Umum]:[RAB Perizinan]])</f>
        <v>0</v>
      </c>
      <c r="AC139" s="320"/>
      <c r="AD139" s="320"/>
      <c r="AE139" s="320"/>
      <c r="AF139" s="320"/>
      <c r="AG139" s="436">
        <v>2861309027</v>
      </c>
      <c r="AH139" s="35" t="e">
        <f>SUM(Table1[[#This Row],[Bobot Keg Umum]:[Bobot Perizinan]])</f>
        <v>#DIV/0!</v>
      </c>
      <c r="AI139" s="35" t="e">
        <f>Table1[[#This Row],[RAB Kegiatan Umum]]/Table1[[#This Row],[Nilai RAB Jaringan
(Exclude Ppn)]]</f>
        <v>#DIV/0!</v>
      </c>
      <c r="AJ139" s="35" t="e">
        <f>Table1[[#This Row],[RAB Pemasangan]]/Table1[[#This Row],[Nilai RAB Jaringan
(Exclude Ppn)]]</f>
        <v>#DIV/0!</v>
      </c>
      <c r="AK139" s="35" t="e">
        <f>Table1[[#This Row],[RAB Pengadaan]]/Table1[[#This Row],[Nilai RAB Jaringan
(Exclude Ppn)]]</f>
        <v>#DIV/0!</v>
      </c>
      <c r="AL139" s="35" t="e">
        <f>Table1[[#This Row],[RAB Perizinan]]/Table1[[#This Row],[Nilai RAB Jaringan
(Exclude Ppn)]]</f>
        <v>#DIV/0!</v>
      </c>
      <c r="AM139" s="47"/>
      <c r="AN139" s="285">
        <v>11861</v>
      </c>
      <c r="AO139" s="285">
        <f>SUM(Table1[[#This Row],[Pipa 63 mm]:[Pipa 1,800 mm]])</f>
        <v>11861</v>
      </c>
      <c r="AP139" s="285">
        <v>3820</v>
      </c>
      <c r="AQ139" s="285">
        <v>2185</v>
      </c>
      <c r="AR139" s="285">
        <v>4313</v>
      </c>
      <c r="AS139" s="285">
        <v>393</v>
      </c>
      <c r="AT139" s="285"/>
      <c r="AU139" s="285">
        <v>9</v>
      </c>
      <c r="AV139" s="285"/>
      <c r="AW139" s="285"/>
      <c r="AX139" s="285">
        <v>1141</v>
      </c>
      <c r="AY139" s="285"/>
      <c r="AZ139" s="285"/>
      <c r="BA139" s="285"/>
      <c r="BB139" s="285"/>
      <c r="BC139" s="285"/>
      <c r="BD139" s="285"/>
      <c r="BE139" s="285"/>
      <c r="BF139" s="285"/>
      <c r="BG139" s="285"/>
      <c r="BH139" s="285"/>
      <c r="BI139" s="285"/>
      <c r="BJ139" s="36">
        <f>SUM(Table1[[#This Row],[Pipa 63 mm2]:[Pipa 1,800 mm21]])</f>
        <v>11088.6</v>
      </c>
      <c r="BK139" s="32">
        <v>3098</v>
      </c>
      <c r="BL139" s="32">
        <v>2124</v>
      </c>
      <c r="BM139" s="32">
        <v>4210.6000000000004</v>
      </c>
      <c r="BN139" s="32">
        <v>393</v>
      </c>
      <c r="BO139" s="32"/>
      <c r="BP139" s="32"/>
      <c r="BQ139" s="32"/>
      <c r="BR139" s="32"/>
      <c r="BS139" s="32">
        <v>1263</v>
      </c>
      <c r="BT139" s="32"/>
      <c r="BU139" s="32"/>
      <c r="BV139" s="32"/>
      <c r="BW139" s="32"/>
      <c r="BX139" s="32"/>
      <c r="BY139" s="32"/>
      <c r="BZ139" s="32"/>
      <c r="CA139" s="32"/>
      <c r="CB139" s="32"/>
      <c r="CC139" s="32"/>
      <c r="CD139" s="32"/>
      <c r="CE139" s="32">
        <v>0</v>
      </c>
      <c r="CF139" s="32">
        <v>474</v>
      </c>
      <c r="CG139" s="32">
        <v>70</v>
      </c>
      <c r="CH139" s="32">
        <v>352</v>
      </c>
      <c r="CI139" s="32">
        <f t="shared" si="10"/>
        <v>896</v>
      </c>
      <c r="CJ139" s="65">
        <f>IF((Table1[[#This Row],["Volume
BA MC-0"]]-Table1[[#This Row],[Total Panjang Pipa Aktual
(Sum-&gt;)3]]-Table1[[#This Row],[Total Volume
tidak dapat dipasang]])&gt;=0,Table1[[#This Row],["Volume
BA MC-0"]]-Table1[[#This Row],[Total Panjang Pipa Aktual
(Sum-&gt;)3]]-Table1[[#This Row],[Total Volume
tidak dapat dipasang]],0)</f>
        <v>0</v>
      </c>
      <c r="CK139" s="47"/>
      <c r="CL139" s="131"/>
      <c r="CM139" s="35"/>
      <c r="CN139" s="131"/>
      <c r="CO139" s="131"/>
      <c r="CP13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9" s="66">
        <f>IFERROR(Table1[[#This Row],[Progres Keg. Umum
(%)]]*Table1[[#This Row],[Nilai RAB Jaringan
(file pa aji)]],0)</f>
        <v>0</v>
      </c>
      <c r="CR139" s="66">
        <f>IFERROR(Table1[[#This Row],[Progres MOS
(%)]]*Table1[[#This Row],[Nilai RAB Jaringan
(file pa aji)]],0)</f>
        <v>0</v>
      </c>
      <c r="CS139" s="66">
        <f>IFERROR(Table1[[#This Row],[Progres Pemasangan
(%)]]*Table1[[#This Row],[Nilai RAB Jaringan
(file pa aji)]],0)</f>
        <v>0</v>
      </c>
      <c r="CT139" s="66">
        <f>IFERROR(Table1[[#This Row],[Progres Perizinan
(%)]]*Table1[[#This Row],[Nilai RAB Jaringan
(file pa aji)]],0)</f>
        <v>0</v>
      </c>
      <c r="CU139" s="329">
        <v>21785116519</v>
      </c>
      <c r="CV139" s="329">
        <v>21785116519</v>
      </c>
      <c r="CW139" s="583">
        <v>21785116519</v>
      </c>
      <c r="CX139" s="329">
        <v>21785116519</v>
      </c>
      <c r="CY139" s="47"/>
      <c r="CZ139" s="330">
        <v>45530</v>
      </c>
      <c r="DA139" s="330">
        <v>45557</v>
      </c>
      <c r="DB139" s="331">
        <v>45531</v>
      </c>
      <c r="DC139" s="316" t="s">
        <v>972</v>
      </c>
      <c r="DD139" s="67">
        <v>28289053420</v>
      </c>
      <c r="DE13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9" s="331">
        <v>45538</v>
      </c>
      <c r="DG139" s="316" t="s">
        <v>973</v>
      </c>
      <c r="DH139" s="67">
        <v>28156413420</v>
      </c>
      <c r="DI13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9" s="330">
        <v>45558</v>
      </c>
      <c r="DK139" s="330">
        <v>45627</v>
      </c>
      <c r="DL139" s="331">
        <v>45618</v>
      </c>
      <c r="DM139" s="316" t="s">
        <v>974</v>
      </c>
      <c r="DN13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39" s="331">
        <v>45637</v>
      </c>
      <c r="DP139" s="316" t="s">
        <v>975</v>
      </c>
      <c r="DQ139" s="338" t="s">
        <v>312</v>
      </c>
      <c r="DR13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9" s="330">
        <v>45558</v>
      </c>
      <c r="DT139" s="330" t="e">
        <v>#N/A</v>
      </c>
      <c r="DU139" s="330">
        <v>45599</v>
      </c>
      <c r="DV139" s="330" t="e">
        <v>#N/A</v>
      </c>
      <c r="DW139" s="331">
        <v>45992</v>
      </c>
      <c r="DX139" s="316" t="s">
        <v>976</v>
      </c>
      <c r="DY139" s="334"/>
      <c r="DZ139" s="334"/>
      <c r="EA13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9" s="331">
        <v>45995</v>
      </c>
      <c r="EC139" s="332"/>
      <c r="ED139" s="332"/>
      <c r="EE139" s="330" t="s">
        <v>977</v>
      </c>
      <c r="EF139" s="35">
        <v>1</v>
      </c>
      <c r="EG139" s="337">
        <v>1</v>
      </c>
      <c r="EH139" s="316" t="str">
        <f>IF(Table1[[#This Row],[PO Material Aktual 
(%)]]&gt;=100%,"Selesai PO = 100%",IF(Table1[[#This Row],[PO Material Aktual 
(%)]]&gt;=50%,"Proses PO &gt; 100%",IF(Table1[[#This Row],[PO Material Aktual 
(%)]]&gt;0%,"Proses PO &gt; 50%",IF(Table1[[#This Row],[PO Material Aktual 
(%)]]=0,"Belum PO = 0%"))))</f>
        <v>Selesai PO = 100%</v>
      </c>
      <c r="EI13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9" s="330">
        <v>45600</v>
      </c>
      <c r="EK139" s="330" t="e">
        <v>#N/A</v>
      </c>
      <c r="EL139" s="330">
        <v>45711</v>
      </c>
      <c r="EM139" s="330" t="e">
        <v>#N/A</v>
      </c>
      <c r="EN139" s="331">
        <v>46101</v>
      </c>
      <c r="EO139" s="332"/>
      <c r="EP139" s="332"/>
      <c r="EQ139" s="87">
        <v>1</v>
      </c>
      <c r="ER139" s="87">
        <v>1</v>
      </c>
      <c r="ES139" s="316" t="str">
        <f>IF(Table1[[#This Row],[Progres MOS]]&gt;=100%,"Selesai MOS = 100%",IF(Table1[[#This Row],[Progres MOS]]&gt;=50%,"Proses MOS &gt; 100%",IF(Table1[[#This Row],[Progres MOS]]&gt;0%,"Proses MOS &gt; 50%",IF(Table1[[#This Row],[Progres MOS]]=0,"Belum MOS = 0%"))))</f>
        <v>Selesai MOS = 100%</v>
      </c>
      <c r="ET13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9" s="47"/>
      <c r="EV139" s="330">
        <v>45558</v>
      </c>
      <c r="EW139" s="330" t="e">
        <v>#N/A</v>
      </c>
      <c r="EX139" s="330">
        <v>45655</v>
      </c>
      <c r="EY139" s="330" t="e">
        <v>#N/A</v>
      </c>
      <c r="EZ139" s="352" t="s">
        <v>259</v>
      </c>
      <c r="FA139" s="336" t="s">
        <v>259</v>
      </c>
      <c r="FB139" s="330" t="s">
        <v>260</v>
      </c>
      <c r="FC139" s="330">
        <v>45651</v>
      </c>
      <c r="FD139" s="330" t="s">
        <v>260</v>
      </c>
      <c r="FE139" s="330">
        <v>45715</v>
      </c>
      <c r="FF139" s="330">
        <v>45771</v>
      </c>
      <c r="FG139" s="330" t="s">
        <v>260</v>
      </c>
      <c r="FH139" s="330" t="s">
        <v>260</v>
      </c>
      <c r="FI139" s="330">
        <v>45930</v>
      </c>
      <c r="FJ139" s="330" t="s">
        <v>260</v>
      </c>
      <c r="FK139" s="330">
        <v>46001</v>
      </c>
      <c r="FL139" s="336" t="s">
        <v>259</v>
      </c>
      <c r="FM139" s="352">
        <v>45651</v>
      </c>
      <c r="FN139" s="338">
        <f>IF(Table1[[#This Row],[Tanggal Pengajuan Dokumen]]="","",Table1[[#This Row],[PLAN PERMIT
start]]-Table1[[#This Row],[Tanggal Pengajuan Dokumen]])</f>
        <v>-93</v>
      </c>
      <c r="FO139" s="437">
        <v>46004</v>
      </c>
      <c r="FP139" s="316"/>
      <c r="FQ139" s="338"/>
      <c r="FR139" s="338"/>
      <c r="FS139" s="338" t="str">
        <f t="shared" si="9"/>
        <v>Sudah Terbit</v>
      </c>
      <c r="FT13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9" s="344">
        <f ca="1">IF(Table1[[#This Row],[Status Izin]]="Selesai",Table1[[#This Row],[PLAN PERMIT
finish]]-Table1[[#This Row],[Tanggal Terbit/ Target Izin Terbit]],ROUNDUP(Table1[[#This Row],[PLAN PERMIT
finish]]-NOW(),0))</f>
        <v>-349</v>
      </c>
      <c r="FV13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9" s="344"/>
      <c r="FX139" s="47"/>
      <c r="FY139" s="340"/>
      <c r="FZ139" s="341">
        <v>45582</v>
      </c>
      <c r="GA13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9" s="330">
        <v>45629</v>
      </c>
      <c r="GC139" s="352">
        <v>45635</v>
      </c>
      <c r="GD13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39" s="330">
        <v>45636</v>
      </c>
      <c r="GF139" s="352">
        <v>45635</v>
      </c>
      <c r="GG13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9" s="330">
        <v>45642</v>
      </c>
      <c r="GI139" s="330">
        <v>45648</v>
      </c>
      <c r="GJ139" s="352">
        <v>45664</v>
      </c>
      <c r="GK13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39" s="330">
        <v>45656</v>
      </c>
      <c r="GM139" s="330" t="e">
        <v>#N/A</v>
      </c>
      <c r="GN139" s="330">
        <v>45788</v>
      </c>
      <c r="GO139" s="330" t="e">
        <v>#N/A</v>
      </c>
      <c r="GP139" s="316"/>
      <c r="GQ13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9" s="330" t="s">
        <v>261</v>
      </c>
      <c r="GS139" s="330" t="s">
        <v>261</v>
      </c>
      <c r="GT139" s="354">
        <v>45806</v>
      </c>
      <c r="GU139" s="344" t="str">
        <f>IF(Table1[[#This Row],[Hydro Tes Actual
(tanggal)]]&lt;&gt;"","Sudah","Belum")</f>
        <v>Sudah</v>
      </c>
      <c r="GV139" s="330" t="s">
        <v>261</v>
      </c>
      <c r="GW139" s="330" t="s">
        <v>261</v>
      </c>
      <c r="GX139" s="331">
        <v>45842</v>
      </c>
      <c r="GY139" s="344" t="str">
        <f>IF(Table1[[#This Row],[Interkoneksi Actual
(tanggal)]]&lt;&gt;"","Sudah","Belum")</f>
        <v>Sudah</v>
      </c>
      <c r="GZ139" s="330" t="s">
        <v>261</v>
      </c>
      <c r="HA139" s="330" t="s">
        <v>261</v>
      </c>
      <c r="HB139" s="331">
        <v>45882</v>
      </c>
      <c r="HC139" s="344" t="str">
        <f>IF(Table1[[#This Row],[Flushing Actual
(tanggal)]]&lt;&gt;"","Sudah","Belum")</f>
        <v>Sudah</v>
      </c>
      <c r="HD139" s="330">
        <v>45754</v>
      </c>
      <c r="HE139" s="330" t="e">
        <v>#N/A</v>
      </c>
      <c r="HF139" s="330">
        <v>45774</v>
      </c>
      <c r="HG139" s="352">
        <v>46008</v>
      </c>
      <c r="HH13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9" s="330" t="s">
        <v>261</v>
      </c>
      <c r="HJ139" s="330" t="s">
        <v>261</v>
      </c>
      <c r="HK139" s="331"/>
      <c r="HL139" s="316"/>
      <c r="HM139" s="330">
        <v>45793</v>
      </c>
      <c r="HN139" s="330">
        <v>45793</v>
      </c>
      <c r="HO139" s="330" t="e">
        <v>#N/A</v>
      </c>
      <c r="HP139" s="331">
        <v>46015</v>
      </c>
      <c r="HQ13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39" s="330">
        <v>45800</v>
      </c>
      <c r="HS139" s="330"/>
      <c r="HT139" s="330">
        <v>45800</v>
      </c>
      <c r="HU139" s="527"/>
      <c r="HV139" s="330">
        <v>46024</v>
      </c>
      <c r="HW13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39" s="47"/>
      <c r="HY139" s="352"/>
      <c r="HZ139" s="352"/>
      <c r="IB139" s="618">
        <f>IFERROR(ROUND((Table1[[#This Row],[PLAN TC
finish]]-Table1[[#This Row],[PLAN MC-0
start]])/30,2),"")</f>
        <v>4.4000000000000004</v>
      </c>
      <c r="IC139">
        <f>DATEDIF(Table1[[#This Row],[PLAN MC-0
start]],Table1[[#This Row],[PLAN TC
finish]],"m")</f>
        <v>4</v>
      </c>
    </row>
    <row r="140" spans="2:237" s="4" customFormat="1" ht="15" hidden="1" customHeight="1" x14ac:dyDescent="0.2">
      <c r="B140" s="311">
        <f>SUBTOTAL(3,$D$5:D140)</f>
        <v>84</v>
      </c>
      <c r="C140" s="348">
        <v>136</v>
      </c>
      <c r="D140" s="338" t="s">
        <v>629</v>
      </c>
      <c r="E140" s="338" t="s">
        <v>978</v>
      </c>
      <c r="F140" s="338" t="s">
        <v>979</v>
      </c>
      <c r="G140" s="349">
        <v>45935</v>
      </c>
      <c r="H140" s="314" t="s">
        <v>247</v>
      </c>
      <c r="I140" s="338" t="s">
        <v>278</v>
      </c>
      <c r="J140" s="315" t="s">
        <v>882</v>
      </c>
      <c r="K140" s="338" t="s">
        <v>915</v>
      </c>
      <c r="L140" s="316" t="s">
        <v>250</v>
      </c>
      <c r="M140" s="316" t="s">
        <v>269</v>
      </c>
      <c r="N140" s="107">
        <v>18149</v>
      </c>
      <c r="O140" s="131" t="s">
        <v>252</v>
      </c>
      <c r="P14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0" s="35" t="e">
        <v>#N/A</v>
      </c>
      <c r="S140" s="35">
        <v>1</v>
      </c>
      <c r="T140" s="35">
        <f>Table1[[#This Row],[Progres Total Aktual
(%)]]</f>
        <v>1</v>
      </c>
      <c r="U140" s="124">
        <f>Table1[[#This Row],[Progres Aktual
(%)]]-Table1[[#This Row],[Target Progres
(%)]]</f>
        <v>0</v>
      </c>
      <c r="V140" s="350">
        <f>Table1[[#This Row],["Volume
BA MC-0"]]</f>
        <v>18170</v>
      </c>
      <c r="W140" s="351">
        <f>Table1[[#This Row],[Total Panjang Pipa Aktual
(Sum-&gt;)3]]</f>
        <v>16501</v>
      </c>
      <c r="X140" s="47"/>
      <c r="Y140" s="67" t="s">
        <v>980</v>
      </c>
      <c r="Z140" s="67">
        <v>29184131745</v>
      </c>
      <c r="AA140" s="67">
        <f>Table1[[#This Row],[Nilai RAB Jaringan
(file pa aji)]]</f>
        <v>29184131745</v>
      </c>
      <c r="AB140" s="320">
        <f>SUM(Table1[[#This Row],[RAB Kegiatan Umum]:[RAB Perizinan]])</f>
        <v>0</v>
      </c>
      <c r="AC140" s="320"/>
      <c r="AD140" s="320"/>
      <c r="AE140" s="320"/>
      <c r="AF140" s="320"/>
      <c r="AG140" s="436">
        <v>6476888628</v>
      </c>
      <c r="AH140" s="35" t="e">
        <f>SUM(Table1[[#This Row],[Bobot Keg Umum]:[Bobot Perizinan]])</f>
        <v>#DIV/0!</v>
      </c>
      <c r="AI140" s="35" t="e">
        <f>Table1[[#This Row],[RAB Kegiatan Umum]]/Table1[[#This Row],[Nilai RAB Jaringan
(Exclude Ppn)]]</f>
        <v>#DIV/0!</v>
      </c>
      <c r="AJ140" s="35" t="e">
        <f>Table1[[#This Row],[RAB Pemasangan]]/Table1[[#This Row],[Nilai RAB Jaringan
(Exclude Ppn)]]</f>
        <v>#DIV/0!</v>
      </c>
      <c r="AK140" s="35" t="e">
        <f>Table1[[#This Row],[RAB Pengadaan]]/Table1[[#This Row],[Nilai RAB Jaringan
(Exclude Ppn)]]</f>
        <v>#DIV/0!</v>
      </c>
      <c r="AL140" s="35" t="e">
        <f>Table1[[#This Row],[RAB Perizinan]]/Table1[[#This Row],[Nilai RAB Jaringan
(Exclude Ppn)]]</f>
        <v>#DIV/0!</v>
      </c>
      <c r="AM140" s="47"/>
      <c r="AN140" s="285">
        <v>18170</v>
      </c>
      <c r="AO140" s="285">
        <f>SUM(Table1[[#This Row],[Pipa 63 mm]:[Pipa 1,800 mm]])</f>
        <v>18170</v>
      </c>
      <c r="AP140" s="285">
        <v>5934</v>
      </c>
      <c r="AQ140" s="285">
        <v>3851</v>
      </c>
      <c r="AR140" s="285">
        <v>6751</v>
      </c>
      <c r="AS140" s="285">
        <v>870</v>
      </c>
      <c r="AT140" s="285">
        <v>521</v>
      </c>
      <c r="AU140" s="285">
        <v>243</v>
      </c>
      <c r="AV140" s="285"/>
      <c r="AW140" s="285"/>
      <c r="AX140" s="285"/>
      <c r="AY140" s="285"/>
      <c r="AZ140" s="285"/>
      <c r="BA140" s="285"/>
      <c r="BB140" s="285"/>
      <c r="BC140" s="285"/>
      <c r="BD140" s="285"/>
      <c r="BE140" s="285"/>
      <c r="BF140" s="285"/>
      <c r="BG140" s="285"/>
      <c r="BH140" s="285"/>
      <c r="BI140" s="285"/>
      <c r="BJ140" s="36">
        <f>SUM(Table1[[#This Row],[Pipa 63 mm2]:[Pipa 1,800 mm21]])</f>
        <v>16501</v>
      </c>
      <c r="BK140" s="32">
        <v>4741</v>
      </c>
      <c r="BL140" s="32">
        <v>3623</v>
      </c>
      <c r="BM140" s="32">
        <v>6503</v>
      </c>
      <c r="BN140" s="32">
        <v>870</v>
      </c>
      <c r="BO140" s="32">
        <v>521</v>
      </c>
      <c r="BP140" s="32">
        <v>243</v>
      </c>
      <c r="BQ140" s="32"/>
      <c r="BR140" s="32"/>
      <c r="BS140" s="32"/>
      <c r="BT140" s="32"/>
      <c r="BU140" s="32"/>
      <c r="BV140" s="32"/>
      <c r="BW140" s="32"/>
      <c r="BX140" s="32"/>
      <c r="BY140" s="32"/>
      <c r="BZ140" s="32"/>
      <c r="CA140" s="32"/>
      <c r="CB140" s="32"/>
      <c r="CC140" s="32"/>
      <c r="CD140" s="32"/>
      <c r="CE140" s="32">
        <v>0</v>
      </c>
      <c r="CF140" s="32">
        <v>1226</v>
      </c>
      <c r="CG140" s="32">
        <v>0</v>
      </c>
      <c r="CH140" s="32">
        <v>443</v>
      </c>
      <c r="CI140" s="32">
        <f t="shared" si="10"/>
        <v>1669</v>
      </c>
      <c r="CJ140" s="65">
        <f>IF((Table1[[#This Row],["Volume
BA MC-0"]]-Table1[[#This Row],[Total Panjang Pipa Aktual
(Sum-&gt;)3]]-Table1[[#This Row],[Total Volume
tidak dapat dipasang]])&gt;=0,Table1[[#This Row],["Volume
BA MC-0"]]-Table1[[#This Row],[Total Panjang Pipa Aktual
(Sum-&gt;)3]]-Table1[[#This Row],[Total Volume
tidak dapat dipasang]],0)</f>
        <v>0</v>
      </c>
      <c r="CK140" s="47"/>
      <c r="CL140" s="131"/>
      <c r="CM140" s="35"/>
      <c r="CN140" s="131"/>
      <c r="CO140" s="131"/>
      <c r="CP14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0" s="66">
        <f>IFERROR(Table1[[#This Row],[Progres Keg. Umum
(%)]]*Table1[[#This Row],[Nilai RAB Jaringan
(file pa aji)]],0)</f>
        <v>0</v>
      </c>
      <c r="CR140" s="66">
        <f>IFERROR(Table1[[#This Row],[Progres MOS
(%)]]*Table1[[#This Row],[Nilai RAB Jaringan
(file pa aji)]],0)</f>
        <v>0</v>
      </c>
      <c r="CS140" s="66">
        <f>IFERROR(Table1[[#This Row],[Progres Pemasangan
(%)]]*Table1[[#This Row],[Nilai RAB Jaringan
(file pa aji)]],0)</f>
        <v>0</v>
      </c>
      <c r="CT140" s="66">
        <f>IFERROR(Table1[[#This Row],[Progres Perizinan
(%)]]*Table1[[#This Row],[Nilai RAB Jaringan
(file pa aji)]],0)</f>
        <v>0</v>
      </c>
      <c r="CU140" s="329">
        <v>24234686749</v>
      </c>
      <c r="CV140" s="329">
        <v>24234686749</v>
      </c>
      <c r="CW140" s="583">
        <v>24234686749</v>
      </c>
      <c r="CX140" s="329">
        <v>24234686749</v>
      </c>
      <c r="CY140" s="47"/>
      <c r="CZ140" s="330">
        <v>45530</v>
      </c>
      <c r="DA140" s="330">
        <v>45557</v>
      </c>
      <c r="DB140" s="331">
        <v>45531</v>
      </c>
      <c r="DC140" s="316" t="s">
        <v>981</v>
      </c>
      <c r="DD140" s="67">
        <v>33622894658</v>
      </c>
      <c r="DE14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0" s="331">
        <v>45534</v>
      </c>
      <c r="DG140" s="316" t="s">
        <v>982</v>
      </c>
      <c r="DH140" s="67">
        <v>33622894658</v>
      </c>
      <c r="DI14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40" s="330">
        <v>45558</v>
      </c>
      <c r="DK140" s="330">
        <v>45627</v>
      </c>
      <c r="DL140" s="331">
        <v>45946</v>
      </c>
      <c r="DM140" s="316" t="s">
        <v>983</v>
      </c>
      <c r="DN14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40" s="331">
        <v>45964</v>
      </c>
      <c r="DP140" s="316" t="s">
        <v>984</v>
      </c>
      <c r="DQ140" s="338" t="s">
        <v>312</v>
      </c>
      <c r="DR14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0" s="330">
        <v>45558</v>
      </c>
      <c r="DT140" s="330" t="e">
        <v>#N/A</v>
      </c>
      <c r="DU140" s="330">
        <v>45599</v>
      </c>
      <c r="DV140" s="330" t="e">
        <v>#N/A</v>
      </c>
      <c r="DW140" s="331">
        <v>45973</v>
      </c>
      <c r="DX140" s="316" t="s">
        <v>985</v>
      </c>
      <c r="DY140" s="334"/>
      <c r="DZ140" s="334"/>
      <c r="EA14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0" s="331">
        <v>45993</v>
      </c>
      <c r="EC140" s="332"/>
      <c r="ED140" s="332"/>
      <c r="EE140" s="330" t="s">
        <v>986</v>
      </c>
      <c r="EF140" s="35">
        <v>1</v>
      </c>
      <c r="EG140" s="337">
        <v>1</v>
      </c>
      <c r="EH140" s="316" t="str">
        <f>IF(Table1[[#This Row],[PO Material Aktual 
(%)]]&gt;=100%,"Selesai PO = 100%",IF(Table1[[#This Row],[PO Material Aktual 
(%)]]&gt;=50%,"Proses PO &gt; 100%",IF(Table1[[#This Row],[PO Material Aktual 
(%)]]&gt;0%,"Proses PO &gt; 50%",IF(Table1[[#This Row],[PO Material Aktual 
(%)]]=0,"Belum PO = 0%"))))</f>
        <v>Selesai PO = 100%</v>
      </c>
      <c r="EI14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0" s="330">
        <v>45600</v>
      </c>
      <c r="EK140" s="330" t="e">
        <v>#N/A</v>
      </c>
      <c r="EL140" s="330">
        <v>45711</v>
      </c>
      <c r="EM140" s="330" t="e">
        <v>#N/A</v>
      </c>
      <c r="EN140" s="331">
        <v>46148</v>
      </c>
      <c r="EO140" s="332"/>
      <c r="EP140" s="332"/>
      <c r="EQ140" s="87">
        <v>1</v>
      </c>
      <c r="ER140" s="87">
        <v>1</v>
      </c>
      <c r="ES140" s="316" t="str">
        <f>IF(Table1[[#This Row],[Progres MOS]]&gt;=100%,"Selesai MOS = 100%",IF(Table1[[#This Row],[Progres MOS]]&gt;=50%,"Proses MOS &gt; 100%",IF(Table1[[#This Row],[Progres MOS]]&gt;0%,"Proses MOS &gt; 50%",IF(Table1[[#This Row],[Progres MOS]]=0,"Belum MOS = 0%"))))</f>
        <v>Selesai MOS = 100%</v>
      </c>
      <c r="ET14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0" s="47"/>
      <c r="EV140" s="330">
        <v>45558</v>
      </c>
      <c r="EW140" s="330" t="e">
        <v>#N/A</v>
      </c>
      <c r="EX140" s="330">
        <v>45655</v>
      </c>
      <c r="EY140" s="330" t="e">
        <v>#N/A</v>
      </c>
      <c r="EZ140" s="352" t="s">
        <v>298</v>
      </c>
      <c r="FA140" s="336" t="s">
        <v>259</v>
      </c>
      <c r="FB140" s="330" t="s">
        <v>260</v>
      </c>
      <c r="FC140" s="330">
        <v>45656</v>
      </c>
      <c r="FD140" s="330" t="s">
        <v>260</v>
      </c>
      <c r="FE140" s="330">
        <v>45728</v>
      </c>
      <c r="FF140" s="330">
        <v>45911</v>
      </c>
      <c r="FG140" s="330" t="s">
        <v>260</v>
      </c>
      <c r="FH140" s="330" t="s">
        <v>260</v>
      </c>
      <c r="FI140" s="330">
        <v>46010</v>
      </c>
      <c r="FJ140" s="330" t="s">
        <v>260</v>
      </c>
      <c r="FK140" s="330">
        <v>46098</v>
      </c>
      <c r="FL140" s="336" t="s">
        <v>298</v>
      </c>
      <c r="FM140" s="352">
        <v>45656</v>
      </c>
      <c r="FN140" s="338">
        <f>IF(Table1[[#This Row],[Tanggal Pengajuan Dokumen]]="","",Table1[[#This Row],[PLAN PERMIT
start]]-Table1[[#This Row],[Tanggal Pengajuan Dokumen]])</f>
        <v>-98</v>
      </c>
      <c r="FO140" s="437">
        <v>46086</v>
      </c>
      <c r="FP140" s="316"/>
      <c r="FQ140" s="338"/>
      <c r="FR140" s="338"/>
      <c r="FS140" s="338" t="str">
        <f t="shared" si="9"/>
        <v>Sudah Terbit</v>
      </c>
      <c r="FT14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0" s="344">
        <f ca="1">IF(Table1[[#This Row],[Status Izin]]="Selesai",Table1[[#This Row],[PLAN PERMIT
finish]]-Table1[[#This Row],[Tanggal Terbit/ Target Izin Terbit]],ROUNDUP(Table1[[#This Row],[PLAN PERMIT
finish]]-NOW(),0))</f>
        <v>-431</v>
      </c>
      <c r="FV14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0" s="344"/>
      <c r="FX140" s="47"/>
      <c r="FY140" s="340"/>
      <c r="FZ140" s="341">
        <v>45582</v>
      </c>
      <c r="GA14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0" s="330">
        <v>45629</v>
      </c>
      <c r="GC140" s="352">
        <v>45635</v>
      </c>
      <c r="GD14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0" s="330">
        <v>45636</v>
      </c>
      <c r="GF140" s="352">
        <v>45635</v>
      </c>
      <c r="GG14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0" s="330">
        <v>45642</v>
      </c>
      <c r="GI140" s="330">
        <v>45648</v>
      </c>
      <c r="GJ140" s="352">
        <v>45646</v>
      </c>
      <c r="GK14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0" s="330">
        <v>45656</v>
      </c>
      <c r="GM140" s="330" t="e">
        <v>#N/A</v>
      </c>
      <c r="GN140" s="330">
        <v>45788</v>
      </c>
      <c r="GO140" s="330" t="e">
        <v>#N/A</v>
      </c>
      <c r="GP140" s="316"/>
      <c r="GQ14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0" s="330" t="s">
        <v>261</v>
      </c>
      <c r="GS140" s="330" t="s">
        <v>261</v>
      </c>
      <c r="GT140" s="354">
        <v>45877</v>
      </c>
      <c r="GU140" s="344" t="str">
        <f>IF(Table1[[#This Row],[Hydro Tes Actual
(tanggal)]]&lt;&gt;"","Sudah","Belum")</f>
        <v>Sudah</v>
      </c>
      <c r="GV140" s="330" t="s">
        <v>261</v>
      </c>
      <c r="GW140" s="330" t="s">
        <v>261</v>
      </c>
      <c r="GX140" s="331">
        <v>45897</v>
      </c>
      <c r="GY140" s="344" t="str">
        <f>IF(Table1[[#This Row],[Interkoneksi Actual
(tanggal)]]&lt;&gt;"","Sudah","Belum")</f>
        <v>Sudah</v>
      </c>
      <c r="GZ140" s="330" t="s">
        <v>261</v>
      </c>
      <c r="HA140" s="330" t="s">
        <v>261</v>
      </c>
      <c r="HB140" s="331">
        <v>45940</v>
      </c>
      <c r="HC140" s="344" t="str">
        <f>IF(Table1[[#This Row],[Flushing Actual
(tanggal)]]&lt;&gt;"","Sudah","Belum")</f>
        <v>Sudah</v>
      </c>
      <c r="HD140" s="330">
        <v>45754</v>
      </c>
      <c r="HE140" s="330" t="e">
        <v>#N/A</v>
      </c>
      <c r="HF140" s="330">
        <v>45774</v>
      </c>
      <c r="HG140" s="352">
        <v>45982</v>
      </c>
      <c r="HH14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0" s="330" t="s">
        <v>261</v>
      </c>
      <c r="HJ140" s="330" t="s">
        <v>261</v>
      </c>
      <c r="HK140" s="331"/>
      <c r="HL140" s="316"/>
      <c r="HM140" s="330">
        <v>45793</v>
      </c>
      <c r="HN140" s="330">
        <v>45793</v>
      </c>
      <c r="HO140" s="330" t="e">
        <v>#N/A</v>
      </c>
      <c r="HP140" s="331">
        <v>46006</v>
      </c>
      <c r="HQ14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40" s="330">
        <v>45800</v>
      </c>
      <c r="HS140" s="330"/>
      <c r="HT140" s="330">
        <v>45800</v>
      </c>
      <c r="HU140" s="527"/>
      <c r="HV140" s="330">
        <v>46025</v>
      </c>
      <c r="HW14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40" s="47"/>
      <c r="HY140" s="352"/>
      <c r="HZ140" s="352"/>
      <c r="IB140" s="618">
        <f>IFERROR(ROUND((Table1[[#This Row],[PLAN TC
finish]]-Table1[[#This Row],[PLAN MC-0
start]])/30,2),"")</f>
        <v>4.4000000000000004</v>
      </c>
      <c r="IC140">
        <f>DATEDIF(Table1[[#This Row],[PLAN MC-0
start]],Table1[[#This Row],[PLAN TC
finish]],"m")</f>
        <v>4</v>
      </c>
    </row>
    <row r="141" spans="2:237" s="4" customFormat="1" ht="15" hidden="1" customHeight="1" x14ac:dyDescent="0.2">
      <c r="B141" s="311">
        <f>SUBTOTAL(3,$D$5:D141)</f>
        <v>84</v>
      </c>
      <c r="C141" s="348">
        <v>137</v>
      </c>
      <c r="D141" s="338" t="s">
        <v>629</v>
      </c>
      <c r="E141" s="338" t="s">
        <v>987</v>
      </c>
      <c r="F141" s="338" t="s">
        <v>988</v>
      </c>
      <c r="G141" s="349">
        <v>45935</v>
      </c>
      <c r="H141" s="314" t="s">
        <v>247</v>
      </c>
      <c r="I141" s="338" t="s">
        <v>278</v>
      </c>
      <c r="J141" s="315" t="s">
        <v>882</v>
      </c>
      <c r="K141" s="338" t="s">
        <v>915</v>
      </c>
      <c r="L141" s="316" t="s">
        <v>250</v>
      </c>
      <c r="M141" s="316" t="s">
        <v>269</v>
      </c>
      <c r="N141" s="107">
        <v>11189</v>
      </c>
      <c r="O141" s="131" t="s">
        <v>252</v>
      </c>
      <c r="P14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1" s="35" t="e">
        <v>#N/A</v>
      </c>
      <c r="S141" s="35">
        <v>1</v>
      </c>
      <c r="T141" s="35">
        <f>Table1[[#This Row],[Progres Total Aktual
(%)]]</f>
        <v>1</v>
      </c>
      <c r="U141" s="124">
        <f>Table1[[#This Row],[Progres Aktual
(%)]]-Table1[[#This Row],[Target Progres
(%)]]</f>
        <v>0</v>
      </c>
      <c r="V141" s="350">
        <f>Table1[[#This Row],["Volume
BA MC-0"]]</f>
        <v>11233</v>
      </c>
      <c r="W141" s="351">
        <f>Table1[[#This Row],[Total Panjang Pipa Aktual
(Sum-&gt;)3]]</f>
        <v>8788.7000000000007</v>
      </c>
      <c r="X141" s="47"/>
      <c r="Y141" s="67" t="s">
        <v>989</v>
      </c>
      <c r="Z141" s="67">
        <v>19315384781</v>
      </c>
      <c r="AA141" s="67">
        <f>Table1[[#This Row],[Nilai RAB Jaringan
(file pa aji)]]</f>
        <v>19315384781</v>
      </c>
      <c r="AB141" s="320">
        <f>SUM(Table1[[#This Row],[RAB Kegiatan Umum]:[RAB Perizinan]])</f>
        <v>0</v>
      </c>
      <c r="AC141" s="320"/>
      <c r="AD141" s="320"/>
      <c r="AE141" s="320"/>
      <c r="AF141" s="320"/>
      <c r="AG141" s="436">
        <v>5376227491</v>
      </c>
      <c r="AH141" s="35" t="e">
        <f>SUM(Table1[[#This Row],[Bobot Keg Umum]:[Bobot Perizinan]])</f>
        <v>#DIV/0!</v>
      </c>
      <c r="AI141" s="35" t="e">
        <f>Table1[[#This Row],[RAB Kegiatan Umum]]/Table1[[#This Row],[Nilai RAB Jaringan
(Exclude Ppn)]]</f>
        <v>#DIV/0!</v>
      </c>
      <c r="AJ141" s="35" t="e">
        <f>Table1[[#This Row],[RAB Pemasangan]]/Table1[[#This Row],[Nilai RAB Jaringan
(Exclude Ppn)]]</f>
        <v>#DIV/0!</v>
      </c>
      <c r="AK141" s="35" t="e">
        <f>Table1[[#This Row],[RAB Pengadaan]]/Table1[[#This Row],[Nilai RAB Jaringan
(Exclude Ppn)]]</f>
        <v>#DIV/0!</v>
      </c>
      <c r="AL141" s="35" t="e">
        <f>Table1[[#This Row],[RAB Perizinan]]/Table1[[#This Row],[Nilai RAB Jaringan
(Exclude Ppn)]]</f>
        <v>#DIV/0!</v>
      </c>
      <c r="AM141" s="47"/>
      <c r="AN141" s="285">
        <v>11233</v>
      </c>
      <c r="AO141" s="285">
        <f>SUM(Table1[[#This Row],[Pipa 63 mm]:[Pipa 1,800 mm]])</f>
        <v>11233</v>
      </c>
      <c r="AP141" s="285">
        <v>3702</v>
      </c>
      <c r="AQ141" s="285">
        <v>1881</v>
      </c>
      <c r="AR141" s="285">
        <v>3974</v>
      </c>
      <c r="AS141" s="285">
        <v>947</v>
      </c>
      <c r="AT141" s="285">
        <v>612</v>
      </c>
      <c r="AU141" s="285">
        <v>117</v>
      </c>
      <c r="AV141" s="285"/>
      <c r="AW141" s="285"/>
      <c r="AX141" s="285"/>
      <c r="AY141" s="285"/>
      <c r="AZ141" s="285"/>
      <c r="BA141" s="285"/>
      <c r="BB141" s="285"/>
      <c r="BC141" s="285"/>
      <c r="BD141" s="285"/>
      <c r="BE141" s="285"/>
      <c r="BF141" s="285"/>
      <c r="BG141" s="285"/>
      <c r="BH141" s="285"/>
      <c r="BI141" s="285"/>
      <c r="BJ141" s="36">
        <f>SUM(Table1[[#This Row],[Pipa 63 mm2]:[Pipa 1,800 mm21]])</f>
        <v>8788.7000000000007</v>
      </c>
      <c r="BK141" s="32">
        <v>2407</v>
      </c>
      <c r="BL141" s="32">
        <v>1406.2</v>
      </c>
      <c r="BM141" s="32">
        <v>3272.9</v>
      </c>
      <c r="BN141" s="32">
        <v>910.3</v>
      </c>
      <c r="BO141" s="32">
        <v>664.6</v>
      </c>
      <c r="BP141" s="32">
        <v>127.7</v>
      </c>
      <c r="BQ141" s="32"/>
      <c r="BR141" s="32"/>
      <c r="BS141" s="32"/>
      <c r="BT141" s="32"/>
      <c r="BU141" s="32"/>
      <c r="BV141" s="32"/>
      <c r="BW141" s="32"/>
      <c r="BX141" s="32"/>
      <c r="BY141" s="32"/>
      <c r="BZ141" s="32"/>
      <c r="CA141" s="32"/>
      <c r="CB141" s="32"/>
      <c r="CC141" s="32"/>
      <c r="CD141" s="32"/>
      <c r="CE141" s="32">
        <v>1541</v>
      </c>
      <c r="CF141" s="32">
        <v>1033</v>
      </c>
      <c r="CG141" s="32">
        <v>0</v>
      </c>
      <c r="CH141" s="32">
        <v>0</v>
      </c>
      <c r="CI141" s="32">
        <f t="shared" si="10"/>
        <v>2574</v>
      </c>
      <c r="CJ141" s="65">
        <f>IF((Table1[[#This Row],["Volume
BA MC-0"]]-Table1[[#This Row],[Total Panjang Pipa Aktual
(Sum-&gt;)3]]-Table1[[#This Row],[Total Volume
tidak dapat dipasang]])&gt;=0,Table1[[#This Row],["Volume
BA MC-0"]]-Table1[[#This Row],[Total Panjang Pipa Aktual
(Sum-&gt;)3]]-Table1[[#This Row],[Total Volume
tidak dapat dipasang]],0)</f>
        <v>0</v>
      </c>
      <c r="CK141" s="47"/>
      <c r="CL141" s="131"/>
      <c r="CM141" s="35"/>
      <c r="CN141" s="131"/>
      <c r="CO141" s="131"/>
      <c r="CP14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1" s="66">
        <f>IFERROR(Table1[[#This Row],[Progres Keg. Umum
(%)]]*Table1[[#This Row],[Nilai RAB Jaringan
(file pa aji)]],0)</f>
        <v>0</v>
      </c>
      <c r="CR141" s="66">
        <f>IFERROR(Table1[[#This Row],[Progres MOS
(%)]]*Table1[[#This Row],[Nilai RAB Jaringan
(file pa aji)]],0)</f>
        <v>0</v>
      </c>
      <c r="CS141" s="66">
        <f>IFERROR(Table1[[#This Row],[Progres Pemasangan
(%)]]*Table1[[#This Row],[Nilai RAB Jaringan
(file pa aji)]],0)</f>
        <v>0</v>
      </c>
      <c r="CT141" s="66">
        <f>IFERROR(Table1[[#This Row],[Progres Perizinan
(%)]]*Table1[[#This Row],[Nilai RAB Jaringan
(file pa aji)]],0)</f>
        <v>0</v>
      </c>
      <c r="CU141" s="329">
        <v>14846947982</v>
      </c>
      <c r="CV141" s="329">
        <v>14846947982</v>
      </c>
      <c r="CW141" s="583">
        <v>14846947982</v>
      </c>
      <c r="CX141" s="329">
        <v>14846947982</v>
      </c>
      <c r="CY141" s="47"/>
      <c r="CZ141" s="330">
        <v>45530</v>
      </c>
      <c r="DA141" s="330">
        <v>45557</v>
      </c>
      <c r="DB141" s="331">
        <v>45531</v>
      </c>
      <c r="DC141" s="316" t="s">
        <v>990</v>
      </c>
      <c r="DD141" s="67">
        <v>21999757307</v>
      </c>
      <c r="DE14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1" s="331">
        <v>45534</v>
      </c>
      <c r="DG141" s="316" t="s">
        <v>991</v>
      </c>
      <c r="DH141" s="67">
        <v>21999757307</v>
      </c>
      <c r="DI14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41" s="330">
        <v>45558</v>
      </c>
      <c r="DK141" s="330">
        <v>45627</v>
      </c>
      <c r="DL141" s="331">
        <v>45625</v>
      </c>
      <c r="DM141" s="316" t="s">
        <v>992</v>
      </c>
      <c r="DN14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1" s="331">
        <v>45635</v>
      </c>
      <c r="DP141" s="316" t="s">
        <v>993</v>
      </c>
      <c r="DQ141" s="338" t="s">
        <v>371</v>
      </c>
      <c r="DR14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1" s="330">
        <v>45558</v>
      </c>
      <c r="DT141" s="330" t="e">
        <v>#N/A</v>
      </c>
      <c r="DU141" s="330">
        <v>45599</v>
      </c>
      <c r="DV141" s="330" t="e">
        <v>#N/A</v>
      </c>
      <c r="DW141" s="331">
        <v>45825</v>
      </c>
      <c r="DX141" s="4" t="s">
        <v>994</v>
      </c>
      <c r="EA14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1" s="331">
        <v>45965</v>
      </c>
      <c r="EC141" s="332"/>
      <c r="ED141" s="332"/>
      <c r="EE141" s="330" t="s">
        <v>995</v>
      </c>
      <c r="EF141" s="35">
        <v>1</v>
      </c>
      <c r="EG141" s="337">
        <v>1</v>
      </c>
      <c r="EH141" s="316" t="str">
        <f>IF(Table1[[#This Row],[PO Material Aktual 
(%)]]&gt;=100%,"Selesai PO = 100%",IF(Table1[[#This Row],[PO Material Aktual 
(%)]]&gt;=50%,"Proses PO &gt; 100%",IF(Table1[[#This Row],[PO Material Aktual 
(%)]]&gt;0%,"Proses PO &gt; 50%",IF(Table1[[#This Row],[PO Material Aktual 
(%)]]=0,"Belum PO = 0%"))))</f>
        <v>Selesai PO = 100%</v>
      </c>
      <c r="EI14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1" s="330">
        <v>45600</v>
      </c>
      <c r="EK141" s="330" t="e">
        <v>#N/A</v>
      </c>
      <c r="EL141" s="330">
        <v>45711</v>
      </c>
      <c r="EM141" s="330" t="e">
        <v>#N/A</v>
      </c>
      <c r="EN141" s="331">
        <v>46148</v>
      </c>
      <c r="EO141" s="332"/>
      <c r="EP141" s="332"/>
      <c r="EQ141" s="87">
        <v>1</v>
      </c>
      <c r="ER141" s="87">
        <v>1</v>
      </c>
      <c r="ES141" s="316" t="str">
        <f>IF(Table1[[#This Row],[Progres MOS]]&gt;=100%,"Selesai MOS = 100%",IF(Table1[[#This Row],[Progres MOS]]&gt;=50%,"Proses MOS &gt; 100%",IF(Table1[[#This Row],[Progres MOS]]&gt;0%,"Proses MOS &gt; 50%",IF(Table1[[#This Row],[Progres MOS]]=0,"Belum MOS = 0%"))))</f>
        <v>Selesai MOS = 100%</v>
      </c>
      <c r="ET14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1" s="47"/>
      <c r="EV141" s="330">
        <v>45558</v>
      </c>
      <c r="EW141" s="330" t="e">
        <v>#N/A</v>
      </c>
      <c r="EX141" s="330">
        <v>45655</v>
      </c>
      <c r="EY141" s="330" t="e">
        <v>#N/A</v>
      </c>
      <c r="EZ141" s="352" t="s">
        <v>259</v>
      </c>
      <c r="FA141" s="336" t="s">
        <v>259</v>
      </c>
      <c r="FB141" s="330" t="s">
        <v>260</v>
      </c>
      <c r="FC141" s="330">
        <v>45632</v>
      </c>
      <c r="FD141" s="330" t="s">
        <v>260</v>
      </c>
      <c r="FE141" s="330">
        <v>45715</v>
      </c>
      <c r="FF141" s="330">
        <v>45771</v>
      </c>
      <c r="FG141" s="330" t="s">
        <v>260</v>
      </c>
      <c r="FH141" s="330" t="s">
        <v>260</v>
      </c>
      <c r="FI141" s="330">
        <v>45930</v>
      </c>
      <c r="FJ141" s="330" t="s">
        <v>260</v>
      </c>
      <c r="FK141" s="330">
        <v>45992</v>
      </c>
      <c r="FL141" s="336" t="s">
        <v>259</v>
      </c>
      <c r="FM141" s="352">
        <v>45632</v>
      </c>
      <c r="FN141" s="338">
        <f>IF(Table1[[#This Row],[Tanggal Pengajuan Dokumen]]="","",Table1[[#This Row],[PLAN PERMIT
start]]-Table1[[#This Row],[Tanggal Pengajuan Dokumen]])</f>
        <v>-74</v>
      </c>
      <c r="FO141" s="437">
        <v>45992</v>
      </c>
      <c r="FP141" s="316"/>
      <c r="FQ141" s="338"/>
      <c r="FR141" s="338"/>
      <c r="FS141" s="338" t="str">
        <f t="shared" si="9"/>
        <v>Sudah Terbit</v>
      </c>
      <c r="FT14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1" s="344">
        <f ca="1">IF(Table1[[#This Row],[Status Izin]]="Selesai",Table1[[#This Row],[PLAN PERMIT
finish]]-Table1[[#This Row],[Tanggal Terbit/ Target Izin Terbit]],ROUNDUP(Table1[[#This Row],[PLAN PERMIT
finish]]-NOW(),0))</f>
        <v>-337</v>
      </c>
      <c r="FV14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1" s="344"/>
      <c r="FX141" s="47"/>
      <c r="FY141" s="340"/>
      <c r="FZ141" s="341">
        <v>45582</v>
      </c>
      <c r="GA14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1" s="330">
        <v>45629</v>
      </c>
      <c r="GC141" s="352">
        <v>45635</v>
      </c>
      <c r="GD14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1" s="330">
        <v>45636</v>
      </c>
      <c r="GF141" s="352">
        <v>45635</v>
      </c>
      <c r="GG14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1" s="330">
        <v>45642</v>
      </c>
      <c r="GI141" s="330">
        <v>45648</v>
      </c>
      <c r="GJ141" s="352">
        <v>45643</v>
      </c>
      <c r="GK14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1" s="330">
        <v>45656</v>
      </c>
      <c r="GM141" s="330" t="e">
        <v>#N/A</v>
      </c>
      <c r="GN141" s="330">
        <v>45788</v>
      </c>
      <c r="GO141" s="330" t="e">
        <v>#N/A</v>
      </c>
      <c r="GP141" s="316"/>
      <c r="GQ14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1" s="330" t="s">
        <v>261</v>
      </c>
      <c r="GS141" s="330" t="s">
        <v>261</v>
      </c>
      <c r="GT141" s="354">
        <v>45877</v>
      </c>
      <c r="GU141" s="344" t="str">
        <f>IF(Table1[[#This Row],[Hydro Tes Actual
(tanggal)]]&lt;&gt;"","Sudah","Belum")</f>
        <v>Sudah</v>
      </c>
      <c r="GV141" s="330" t="s">
        <v>261</v>
      </c>
      <c r="GW141" s="330" t="s">
        <v>261</v>
      </c>
      <c r="GX141" s="331">
        <v>45853</v>
      </c>
      <c r="GY141" s="344" t="str">
        <f>IF(Table1[[#This Row],[Interkoneksi Actual
(tanggal)]]&lt;&gt;"","Sudah","Belum")</f>
        <v>Sudah</v>
      </c>
      <c r="GZ141" s="330" t="s">
        <v>261</v>
      </c>
      <c r="HA141" s="330" t="s">
        <v>261</v>
      </c>
      <c r="HB141" s="331">
        <v>45954</v>
      </c>
      <c r="HC141" s="344" t="str">
        <f>IF(Table1[[#This Row],[Flushing Actual
(tanggal)]]&lt;&gt;"","Sudah","Belum")</f>
        <v>Sudah</v>
      </c>
      <c r="HD141" s="330">
        <v>45754</v>
      </c>
      <c r="HE141" s="330" t="e">
        <v>#N/A</v>
      </c>
      <c r="HF141" s="330">
        <v>45774</v>
      </c>
      <c r="HG141" s="352">
        <v>45959</v>
      </c>
      <c r="HH14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1" s="330" t="s">
        <v>261</v>
      </c>
      <c r="HJ141" s="330" t="s">
        <v>261</v>
      </c>
      <c r="HK141" s="331"/>
      <c r="HL141" s="316"/>
      <c r="HM141" s="330">
        <v>45793</v>
      </c>
      <c r="HN141" s="330">
        <v>45793</v>
      </c>
      <c r="HO141" s="330" t="e">
        <v>#N/A</v>
      </c>
      <c r="HP141" s="331">
        <v>45982</v>
      </c>
      <c r="HQ14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41" s="330">
        <v>45800</v>
      </c>
      <c r="HS141" s="330"/>
      <c r="HT141" s="330">
        <v>45800</v>
      </c>
      <c r="HU141" s="527"/>
      <c r="HV141" s="330">
        <v>46024</v>
      </c>
      <c r="HW14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41" s="47"/>
      <c r="HY141" s="352"/>
      <c r="HZ141" s="352"/>
      <c r="IB141" s="618">
        <f>IFERROR(ROUND((Table1[[#This Row],[PLAN TC
finish]]-Table1[[#This Row],[PLAN MC-0
start]])/30,2),"")</f>
        <v>4.4000000000000004</v>
      </c>
      <c r="IC141">
        <f>DATEDIF(Table1[[#This Row],[PLAN MC-0
start]],Table1[[#This Row],[PLAN TC
finish]],"m")</f>
        <v>4</v>
      </c>
    </row>
    <row r="142" spans="2:237" s="4" customFormat="1" ht="15" hidden="1" customHeight="1" x14ac:dyDescent="0.2">
      <c r="B142" s="311">
        <f>SUBTOTAL(3,$D$5:D142)</f>
        <v>84</v>
      </c>
      <c r="C142" s="348">
        <v>138</v>
      </c>
      <c r="D142" s="338" t="s">
        <v>629</v>
      </c>
      <c r="E142" s="338" t="s">
        <v>996</v>
      </c>
      <c r="F142" s="338" t="s">
        <v>997</v>
      </c>
      <c r="G142" s="349">
        <v>45935</v>
      </c>
      <c r="H142" s="314" t="s">
        <v>247</v>
      </c>
      <c r="I142" s="338" t="s">
        <v>278</v>
      </c>
      <c r="J142" s="315"/>
      <c r="K142" s="338" t="s">
        <v>915</v>
      </c>
      <c r="L142" s="316" t="s">
        <v>250</v>
      </c>
      <c r="M142" s="316" t="s">
        <v>269</v>
      </c>
      <c r="N142" s="107">
        <v>13982</v>
      </c>
      <c r="O142" s="131" t="s">
        <v>252</v>
      </c>
      <c r="P14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2" s="35" t="e">
        <v>#N/A</v>
      </c>
      <c r="S142" s="35">
        <v>1</v>
      </c>
      <c r="T142" s="35">
        <f>Table1[[#This Row],[Progres Total Aktual
(%)]]</f>
        <v>1</v>
      </c>
      <c r="U142" s="124">
        <f>Table1[[#This Row],[Progres Aktual
(%)]]-Table1[[#This Row],[Target Progres
(%)]]</f>
        <v>0</v>
      </c>
      <c r="V142" s="350">
        <f>Table1[[#This Row],["Volume
BA MC-0"]]</f>
        <v>14011</v>
      </c>
      <c r="W142" s="351">
        <f>Table1[[#This Row],[Total Panjang Pipa Aktual
(Sum-&gt;)3]]</f>
        <v>6139.2</v>
      </c>
      <c r="X142" s="47"/>
      <c r="Y142" s="67" t="s">
        <v>998</v>
      </c>
      <c r="Z142" s="67">
        <v>21298896877</v>
      </c>
      <c r="AA142" s="67">
        <f>Table1[[#This Row],[Nilai RAB Jaringan
(file pa aji)]]</f>
        <v>21298896877</v>
      </c>
      <c r="AB142" s="320">
        <f>SUM(Table1[[#This Row],[RAB Kegiatan Umum]:[RAB Perizinan]])</f>
        <v>0</v>
      </c>
      <c r="AC142" s="320"/>
      <c r="AD142" s="320"/>
      <c r="AE142" s="320"/>
      <c r="AF142" s="320"/>
      <c r="AG142" s="436">
        <v>6046462485</v>
      </c>
      <c r="AH142" s="35" t="e">
        <f>SUM(Table1[[#This Row],[Bobot Keg Umum]:[Bobot Perizinan]])</f>
        <v>#DIV/0!</v>
      </c>
      <c r="AI142" s="35" t="e">
        <f>Table1[[#This Row],[RAB Kegiatan Umum]]/Table1[[#This Row],[Nilai RAB Jaringan
(Exclude Ppn)]]</f>
        <v>#DIV/0!</v>
      </c>
      <c r="AJ142" s="35" t="e">
        <f>Table1[[#This Row],[RAB Pemasangan]]/Table1[[#This Row],[Nilai RAB Jaringan
(Exclude Ppn)]]</f>
        <v>#DIV/0!</v>
      </c>
      <c r="AK142" s="35" t="e">
        <f>Table1[[#This Row],[RAB Pengadaan]]/Table1[[#This Row],[Nilai RAB Jaringan
(Exclude Ppn)]]</f>
        <v>#DIV/0!</v>
      </c>
      <c r="AL142" s="35" t="e">
        <f>Table1[[#This Row],[RAB Perizinan]]/Table1[[#This Row],[Nilai RAB Jaringan
(Exclude Ppn)]]</f>
        <v>#DIV/0!</v>
      </c>
      <c r="AM142" s="47"/>
      <c r="AN142" s="285">
        <v>14011</v>
      </c>
      <c r="AO142" s="285">
        <f>SUM(Table1[[#This Row],[Pipa 63 mm]:[Pipa 1,800 mm]])</f>
        <v>14011</v>
      </c>
      <c r="AP142" s="285">
        <v>6158</v>
      </c>
      <c r="AQ142" s="285">
        <v>5817</v>
      </c>
      <c r="AR142" s="285">
        <v>422</v>
      </c>
      <c r="AS142" s="285">
        <v>1207</v>
      </c>
      <c r="AT142" s="285">
        <v>407</v>
      </c>
      <c r="AU142" s="285"/>
      <c r="AV142" s="285"/>
      <c r="AW142" s="285"/>
      <c r="AX142" s="285"/>
      <c r="AY142" s="285"/>
      <c r="AZ142" s="285"/>
      <c r="BA142" s="285"/>
      <c r="BB142" s="285"/>
      <c r="BC142" s="285"/>
      <c r="BD142" s="285"/>
      <c r="BE142" s="285"/>
      <c r="BF142" s="285"/>
      <c r="BG142" s="285"/>
      <c r="BH142" s="285"/>
      <c r="BI142" s="285"/>
      <c r="BJ142" s="36">
        <f>SUM(Table1[[#This Row],[Pipa 63 mm2]:[Pipa 1,800 mm21]])</f>
        <v>6139.2</v>
      </c>
      <c r="BK142" s="32">
        <v>1671.6</v>
      </c>
      <c r="BL142" s="32">
        <v>2960.1</v>
      </c>
      <c r="BM142" s="32"/>
      <c r="BN142" s="32">
        <v>1109.5</v>
      </c>
      <c r="BO142" s="32">
        <v>398</v>
      </c>
      <c r="BP142" s="32"/>
      <c r="BQ142" s="32"/>
      <c r="BR142" s="32"/>
      <c r="BS142" s="32"/>
      <c r="BT142" s="32"/>
      <c r="BU142" s="32"/>
      <c r="BV142" s="32"/>
      <c r="BW142" s="32"/>
      <c r="BX142" s="32"/>
      <c r="BY142" s="32"/>
      <c r="BZ142" s="32"/>
      <c r="CA142" s="32"/>
      <c r="CB142" s="32"/>
      <c r="CC142" s="32"/>
      <c r="CD142" s="32"/>
      <c r="CE142" s="32">
        <v>1816</v>
      </c>
      <c r="CF142" s="32">
        <v>4761</v>
      </c>
      <c r="CG142" s="32">
        <v>649</v>
      </c>
      <c r="CH142" s="32">
        <v>243</v>
      </c>
      <c r="CI142" s="32">
        <f t="shared" si="10"/>
        <v>7469</v>
      </c>
      <c r="CJ142" s="65">
        <f>IF((Table1[[#This Row],["Volume
BA MC-0"]]-Table1[[#This Row],[Total Panjang Pipa Aktual
(Sum-&gt;)3]]-Table1[[#This Row],[Total Volume
tidak dapat dipasang]])&gt;=0,Table1[[#This Row],["Volume
BA MC-0"]]-Table1[[#This Row],[Total Panjang Pipa Aktual
(Sum-&gt;)3]]-Table1[[#This Row],[Total Volume
tidak dapat dipasang]],0)</f>
        <v>402.80000000000018</v>
      </c>
      <c r="CK142" s="47"/>
      <c r="CL142" s="131"/>
      <c r="CM142" s="35"/>
      <c r="CN142" s="131"/>
      <c r="CO142" s="131"/>
      <c r="CP14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2" s="66">
        <f>IFERROR(Table1[[#This Row],[Progres Keg. Umum
(%)]]*Table1[[#This Row],[Nilai RAB Jaringan
(file pa aji)]],0)</f>
        <v>0</v>
      </c>
      <c r="CR142" s="66">
        <f>IFERROR(Table1[[#This Row],[Progres MOS
(%)]]*Table1[[#This Row],[Nilai RAB Jaringan
(file pa aji)]],0)</f>
        <v>0</v>
      </c>
      <c r="CS142" s="66">
        <f>IFERROR(Table1[[#This Row],[Progres Pemasangan
(%)]]*Table1[[#This Row],[Nilai RAB Jaringan
(file pa aji)]],0)</f>
        <v>0</v>
      </c>
      <c r="CT142" s="66">
        <f>IFERROR(Table1[[#This Row],[Progres Perizinan
(%)]]*Table1[[#This Row],[Nilai RAB Jaringan
(file pa aji)]],0)</f>
        <v>0</v>
      </c>
      <c r="CU142" s="329">
        <v>10730035476</v>
      </c>
      <c r="CV142" s="329">
        <v>10730035476</v>
      </c>
      <c r="CW142" s="583">
        <v>10730035476</v>
      </c>
      <c r="CX142" s="329">
        <v>10730035476</v>
      </c>
      <c r="CY142" s="47"/>
      <c r="CZ142" s="330">
        <v>45530</v>
      </c>
      <c r="DA142" s="330">
        <v>45557</v>
      </c>
      <c r="DB142" s="331">
        <v>45553</v>
      </c>
      <c r="DC142" s="316" t="s">
        <v>999</v>
      </c>
      <c r="DD142" s="67">
        <v>24328068004</v>
      </c>
      <c r="DE14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2" s="331">
        <v>45566</v>
      </c>
      <c r="DG142" s="316" t="s">
        <v>1000</v>
      </c>
      <c r="DH142" s="67">
        <v>24328068004</v>
      </c>
      <c r="DI14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2" s="330">
        <v>45558</v>
      </c>
      <c r="DK142" s="330">
        <v>45627</v>
      </c>
      <c r="DL142" s="331">
        <v>45626</v>
      </c>
      <c r="DM142" s="316" t="s">
        <v>1001</v>
      </c>
      <c r="DN14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2" s="331">
        <v>45635</v>
      </c>
      <c r="DP142" s="316" t="s">
        <v>1002</v>
      </c>
      <c r="DQ142" s="338" t="s">
        <v>275</v>
      </c>
      <c r="DR14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2" s="330">
        <v>45558</v>
      </c>
      <c r="DT142" s="330" t="e">
        <v>#N/A</v>
      </c>
      <c r="DU142" s="330">
        <v>45599</v>
      </c>
      <c r="DV142" s="330" t="e">
        <v>#N/A</v>
      </c>
      <c r="DW142" s="331">
        <v>45701</v>
      </c>
      <c r="DX142" s="316" t="s">
        <v>1003</v>
      </c>
      <c r="DY142" s="334"/>
      <c r="DZ142" s="334"/>
      <c r="EA14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2" s="331">
        <v>45813</v>
      </c>
      <c r="EC142" s="332"/>
      <c r="ED142" s="332"/>
      <c r="EE142" s="330" t="s">
        <v>1004</v>
      </c>
      <c r="EF142" s="35">
        <v>1</v>
      </c>
      <c r="EG142" s="337">
        <v>1</v>
      </c>
      <c r="EH142" s="316" t="str">
        <f>IF(Table1[[#This Row],[PO Material Aktual 
(%)]]&gt;=100%,"Selesai PO = 100%",IF(Table1[[#This Row],[PO Material Aktual 
(%)]]&gt;=50%,"Proses PO &gt; 100%",IF(Table1[[#This Row],[PO Material Aktual 
(%)]]&gt;0%,"Proses PO &gt; 50%",IF(Table1[[#This Row],[PO Material Aktual 
(%)]]=0,"Belum PO = 0%"))))</f>
        <v>Selesai PO = 100%</v>
      </c>
      <c r="EI14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2" s="330">
        <v>45600</v>
      </c>
      <c r="EK142" s="330" t="e">
        <v>#N/A</v>
      </c>
      <c r="EL142" s="330">
        <v>45711</v>
      </c>
      <c r="EM142" s="330" t="e">
        <v>#N/A</v>
      </c>
      <c r="EN142" s="331">
        <v>45933</v>
      </c>
      <c r="EO142" s="332"/>
      <c r="EP142" s="332"/>
      <c r="EQ142" s="87">
        <v>1</v>
      </c>
      <c r="ER142" s="87">
        <v>1</v>
      </c>
      <c r="ES142" s="316" t="str">
        <f>IF(Table1[[#This Row],[Progres MOS]]&gt;=100%,"Selesai MOS = 100%",IF(Table1[[#This Row],[Progres MOS]]&gt;=50%,"Proses MOS &gt; 100%",IF(Table1[[#This Row],[Progres MOS]]&gt;0%,"Proses MOS &gt; 50%",IF(Table1[[#This Row],[Progres MOS]]=0,"Belum MOS = 0%"))))</f>
        <v>Selesai MOS = 100%</v>
      </c>
      <c r="ET14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2" s="47"/>
      <c r="EV142" s="330">
        <v>45558</v>
      </c>
      <c r="EW142" s="330" t="e">
        <v>#N/A</v>
      </c>
      <c r="EX142" s="330">
        <v>45655</v>
      </c>
      <c r="EY142" s="330" t="e">
        <v>#N/A</v>
      </c>
      <c r="EZ142" s="352" t="s">
        <v>259</v>
      </c>
      <c r="FA142" s="336" t="s">
        <v>259</v>
      </c>
      <c r="FB142" s="330" t="s">
        <v>260</v>
      </c>
      <c r="FC142" s="330">
        <v>45723</v>
      </c>
      <c r="FD142" s="330" t="s">
        <v>260</v>
      </c>
      <c r="FE142" s="330">
        <v>45741</v>
      </c>
      <c r="FF142" s="330">
        <v>45819</v>
      </c>
      <c r="FG142" s="330" t="s">
        <v>260</v>
      </c>
      <c r="FH142" s="330" t="s">
        <v>260</v>
      </c>
      <c r="FI142" s="330">
        <v>45988</v>
      </c>
      <c r="FJ142" s="330" t="s">
        <v>260</v>
      </c>
      <c r="FK142" s="330">
        <v>46057</v>
      </c>
      <c r="FL142" s="336" t="s">
        <v>259</v>
      </c>
      <c r="FM142" s="352">
        <v>45723</v>
      </c>
      <c r="FN142" s="338">
        <f>IF(Table1[[#This Row],[Tanggal Pengajuan Dokumen]]="","",Table1[[#This Row],[PLAN PERMIT
start]]-Table1[[#This Row],[Tanggal Pengajuan Dokumen]])</f>
        <v>-165</v>
      </c>
      <c r="FO142" s="437">
        <v>46064</v>
      </c>
      <c r="FP142" s="316"/>
      <c r="FQ142" s="338"/>
      <c r="FR142" s="338"/>
      <c r="FS142" s="338" t="str">
        <f t="shared" si="9"/>
        <v>Sudah Terbit</v>
      </c>
      <c r="FT14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2" s="344">
        <f ca="1">IF(Table1[[#This Row],[Status Izin]]="Selesai",Table1[[#This Row],[PLAN PERMIT
finish]]-Table1[[#This Row],[Tanggal Terbit/ Target Izin Terbit]],ROUNDUP(Table1[[#This Row],[PLAN PERMIT
finish]]-NOW(),0))</f>
        <v>-409</v>
      </c>
      <c r="FV14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2" s="344"/>
      <c r="FX142" s="47"/>
      <c r="FY142" s="340"/>
      <c r="FZ142" s="341">
        <v>45582</v>
      </c>
      <c r="GA14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2" s="330">
        <v>45629</v>
      </c>
      <c r="GC142" s="352">
        <v>45635</v>
      </c>
      <c r="GD14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2" s="330">
        <v>45636</v>
      </c>
      <c r="GF142" s="352">
        <v>45635</v>
      </c>
      <c r="GG14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2" s="330">
        <v>45642</v>
      </c>
      <c r="GI142" s="330">
        <v>45648</v>
      </c>
      <c r="GJ142" s="352">
        <v>45649</v>
      </c>
      <c r="GK14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2" s="330">
        <v>45656</v>
      </c>
      <c r="GM142" s="330" t="e">
        <v>#N/A</v>
      </c>
      <c r="GN142" s="330">
        <v>45788</v>
      </c>
      <c r="GO142" s="330" t="e">
        <v>#N/A</v>
      </c>
      <c r="GP142" s="316"/>
      <c r="GQ14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2" s="330" t="s">
        <v>261</v>
      </c>
      <c r="GS142" s="330" t="s">
        <v>261</v>
      </c>
      <c r="GT142" s="354">
        <v>45786</v>
      </c>
      <c r="GU142" s="344" t="str">
        <f>IF(Table1[[#This Row],[Hydro Tes Actual
(tanggal)]]&lt;&gt;"","Sudah","Belum")</f>
        <v>Sudah</v>
      </c>
      <c r="GV142" s="330" t="s">
        <v>261</v>
      </c>
      <c r="GW142" s="330" t="s">
        <v>261</v>
      </c>
      <c r="GX142" s="331">
        <v>45792</v>
      </c>
      <c r="GY142" s="344" t="str">
        <f>IF(Table1[[#This Row],[Interkoneksi Actual
(tanggal)]]&lt;&gt;"","Sudah","Belum")</f>
        <v>Sudah</v>
      </c>
      <c r="GZ142" s="330" t="s">
        <v>261</v>
      </c>
      <c r="HA142" s="330" t="s">
        <v>261</v>
      </c>
      <c r="HB142" s="331">
        <v>45825</v>
      </c>
      <c r="HC142" s="344" t="str">
        <f>IF(Table1[[#This Row],[Flushing Actual
(tanggal)]]&lt;&gt;"","Sudah","Belum")</f>
        <v>Sudah</v>
      </c>
      <c r="HD142" s="330">
        <v>45754</v>
      </c>
      <c r="HE142" s="330" t="e">
        <v>#N/A</v>
      </c>
      <c r="HF142" s="330">
        <v>45774</v>
      </c>
      <c r="HG142" s="352">
        <v>45922</v>
      </c>
      <c r="HH14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2" s="330" t="s">
        <v>261</v>
      </c>
      <c r="HJ142" s="330" t="s">
        <v>261</v>
      </c>
      <c r="HK142" s="331"/>
      <c r="HL142" s="316"/>
      <c r="HM142" s="330">
        <v>45793</v>
      </c>
      <c r="HN142" s="330">
        <v>45793</v>
      </c>
      <c r="HO142" s="330" t="e">
        <v>#N/A</v>
      </c>
      <c r="HP142" s="331">
        <v>45933</v>
      </c>
      <c r="HQ14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42" s="330">
        <v>45800</v>
      </c>
      <c r="HS142" s="330"/>
      <c r="HT142" s="330">
        <v>45800</v>
      </c>
      <c r="HU142" s="527"/>
      <c r="HV142" s="330">
        <v>45934</v>
      </c>
      <c r="HW14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42" s="47"/>
      <c r="HY142" s="352"/>
      <c r="HZ142" s="352"/>
      <c r="IB142" s="618">
        <f>IFERROR(ROUND((Table1[[#This Row],[PLAN TC
finish]]-Table1[[#This Row],[PLAN MC-0
start]])/30,2),"")</f>
        <v>4.4000000000000004</v>
      </c>
      <c r="IC142">
        <f>DATEDIF(Table1[[#This Row],[PLAN MC-0
start]],Table1[[#This Row],[PLAN TC
finish]],"m")</f>
        <v>4</v>
      </c>
    </row>
    <row r="143" spans="2:237" s="4" customFormat="1" ht="15" hidden="1" customHeight="1" x14ac:dyDescent="0.2">
      <c r="B143" s="311">
        <f>SUBTOTAL(3,$D$5:D143)</f>
        <v>84</v>
      </c>
      <c r="C143" s="348">
        <v>139</v>
      </c>
      <c r="D143" s="338" t="s">
        <v>629</v>
      </c>
      <c r="E143" s="338" t="s">
        <v>1005</v>
      </c>
      <c r="F143" s="338" t="s">
        <v>1006</v>
      </c>
      <c r="G143" s="349">
        <v>45935</v>
      </c>
      <c r="H143" s="314" t="s">
        <v>247</v>
      </c>
      <c r="I143" s="338" t="s">
        <v>278</v>
      </c>
      <c r="J143" s="315"/>
      <c r="K143" s="338" t="s">
        <v>915</v>
      </c>
      <c r="L143" s="316" t="s">
        <v>250</v>
      </c>
      <c r="M143" s="316" t="s">
        <v>269</v>
      </c>
      <c r="N143" s="107">
        <v>9925</v>
      </c>
      <c r="O143" s="131" t="s">
        <v>252</v>
      </c>
      <c r="P14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3" s="35" t="e">
        <v>#N/A</v>
      </c>
      <c r="S143" s="35">
        <v>1</v>
      </c>
      <c r="T143" s="35">
        <f>Table1[[#This Row],[Progres Total Aktual
(%)]]</f>
        <v>1</v>
      </c>
      <c r="U143" s="124">
        <f>Table1[[#This Row],[Progres Aktual
(%)]]-Table1[[#This Row],[Target Progres
(%)]]</f>
        <v>0</v>
      </c>
      <c r="V143" s="350">
        <f>Table1[[#This Row],["Volume
BA MC-0"]]</f>
        <v>9781</v>
      </c>
      <c r="W143" s="351">
        <f>Table1[[#This Row],[Total Panjang Pipa Aktual
(Sum-&gt;)3]]</f>
        <v>7185.5999999999995</v>
      </c>
      <c r="X143" s="47"/>
      <c r="Y143" s="67" t="s">
        <v>1007</v>
      </c>
      <c r="Z143" s="67">
        <v>14849662982</v>
      </c>
      <c r="AA143" s="67">
        <f>Table1[[#This Row],[Nilai RAB Jaringan
(file pa aji)]]</f>
        <v>14849662982</v>
      </c>
      <c r="AB143" s="320">
        <f>SUM(Table1[[#This Row],[RAB Kegiatan Umum]:[RAB Perizinan]])</f>
        <v>0</v>
      </c>
      <c r="AC143" s="320"/>
      <c r="AD143" s="320"/>
      <c r="AE143" s="320"/>
      <c r="AF143" s="320"/>
      <c r="AG143" s="436">
        <v>4035757503</v>
      </c>
      <c r="AH143" s="35" t="e">
        <f>SUM(Table1[[#This Row],[Bobot Keg Umum]:[Bobot Perizinan]])</f>
        <v>#DIV/0!</v>
      </c>
      <c r="AI143" s="35" t="e">
        <f>Table1[[#This Row],[RAB Kegiatan Umum]]/Table1[[#This Row],[Nilai RAB Jaringan
(Exclude Ppn)]]</f>
        <v>#DIV/0!</v>
      </c>
      <c r="AJ143" s="35" t="e">
        <f>Table1[[#This Row],[RAB Pemasangan]]/Table1[[#This Row],[Nilai RAB Jaringan
(Exclude Ppn)]]</f>
        <v>#DIV/0!</v>
      </c>
      <c r="AK143" s="35" t="e">
        <f>Table1[[#This Row],[RAB Pengadaan]]/Table1[[#This Row],[Nilai RAB Jaringan
(Exclude Ppn)]]</f>
        <v>#DIV/0!</v>
      </c>
      <c r="AL143" s="35" t="e">
        <f>Table1[[#This Row],[RAB Perizinan]]/Table1[[#This Row],[Nilai RAB Jaringan
(Exclude Ppn)]]</f>
        <v>#DIV/0!</v>
      </c>
      <c r="AM143" s="47"/>
      <c r="AN143" s="285">
        <v>9781</v>
      </c>
      <c r="AO143" s="285">
        <f>SUM(Table1[[#This Row],[Pipa 63 mm]:[Pipa 1,800 mm]])</f>
        <v>9781</v>
      </c>
      <c r="AP143" s="285">
        <v>3945</v>
      </c>
      <c r="AQ143" s="285">
        <v>5091</v>
      </c>
      <c r="AR143" s="285">
        <v>500</v>
      </c>
      <c r="AS143" s="285">
        <v>245</v>
      </c>
      <c r="AT143" s="285"/>
      <c r="AU143" s="285"/>
      <c r="AV143" s="285"/>
      <c r="AW143" s="285"/>
      <c r="AX143" s="285"/>
      <c r="AY143" s="285"/>
      <c r="AZ143" s="285"/>
      <c r="BA143" s="285"/>
      <c r="BB143" s="285"/>
      <c r="BC143" s="285"/>
      <c r="BD143" s="285"/>
      <c r="BE143" s="285"/>
      <c r="BF143" s="285"/>
      <c r="BG143" s="285"/>
      <c r="BH143" s="285"/>
      <c r="BI143" s="285"/>
      <c r="BJ143" s="36">
        <f>SUM(Table1[[#This Row],[Pipa 63 mm2]:[Pipa 1,800 mm21]])</f>
        <v>7185.5999999999995</v>
      </c>
      <c r="BK143" s="32">
        <v>2664</v>
      </c>
      <c r="BL143" s="32">
        <v>4098.3999999999996</v>
      </c>
      <c r="BM143" s="32">
        <v>401.2</v>
      </c>
      <c r="BN143" s="32">
        <v>22</v>
      </c>
      <c r="BO143" s="32"/>
      <c r="BP143" s="32"/>
      <c r="BQ143" s="32"/>
      <c r="BR143" s="32"/>
      <c r="BS143" s="32"/>
      <c r="BT143" s="32"/>
      <c r="BU143" s="32"/>
      <c r="BV143" s="32"/>
      <c r="BW143" s="32"/>
      <c r="BX143" s="32"/>
      <c r="BY143" s="32"/>
      <c r="BZ143" s="32"/>
      <c r="CA143" s="32"/>
      <c r="CB143" s="32"/>
      <c r="CC143" s="32"/>
      <c r="CD143" s="32"/>
      <c r="CE143" s="32">
        <v>0</v>
      </c>
      <c r="CF143" s="32">
        <v>591</v>
      </c>
      <c r="CG143" s="32">
        <v>519</v>
      </c>
      <c r="CH143" s="32">
        <v>55</v>
      </c>
      <c r="CI143" s="32">
        <f t="shared" si="10"/>
        <v>1165</v>
      </c>
      <c r="CJ143" s="65">
        <f>IF((Table1[[#This Row],["Volume
BA MC-0"]]-Table1[[#This Row],[Total Panjang Pipa Aktual
(Sum-&gt;)3]]-Table1[[#This Row],[Total Volume
tidak dapat dipasang]])&gt;=0,Table1[[#This Row],["Volume
BA MC-0"]]-Table1[[#This Row],[Total Panjang Pipa Aktual
(Sum-&gt;)3]]-Table1[[#This Row],[Total Volume
tidak dapat dipasang]],0)</f>
        <v>1430.4000000000005</v>
      </c>
      <c r="CK143" s="47"/>
      <c r="CL143" s="131"/>
      <c r="CM143" s="35"/>
      <c r="CN143" s="131"/>
      <c r="CO143" s="131"/>
      <c r="CP14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3" s="66">
        <f>IFERROR(Table1[[#This Row],[Progres Keg. Umum
(%)]]*Table1[[#This Row],[Nilai RAB Jaringan
(file pa aji)]],0)</f>
        <v>0</v>
      </c>
      <c r="CR143" s="66">
        <f>IFERROR(Table1[[#This Row],[Progres MOS
(%)]]*Table1[[#This Row],[Nilai RAB Jaringan
(file pa aji)]],0)</f>
        <v>0</v>
      </c>
      <c r="CS143" s="66">
        <f>IFERROR(Table1[[#This Row],[Progres Pemasangan
(%)]]*Table1[[#This Row],[Nilai RAB Jaringan
(file pa aji)]],0)</f>
        <v>0</v>
      </c>
      <c r="CT143" s="66">
        <f>IFERROR(Table1[[#This Row],[Progres Perizinan
(%)]]*Table1[[#This Row],[Nilai RAB Jaringan
(file pa aji)]],0)</f>
        <v>0</v>
      </c>
      <c r="CU143" s="329">
        <v>10818527341</v>
      </c>
      <c r="CV143" s="329">
        <v>10818527341</v>
      </c>
      <c r="CW143" s="583">
        <v>10818527341</v>
      </c>
      <c r="CX143" s="329">
        <v>10818527341</v>
      </c>
      <c r="CY143" s="47"/>
      <c r="CZ143" s="330">
        <v>45530</v>
      </c>
      <c r="DA143" s="330">
        <v>45557</v>
      </c>
      <c r="DB143" s="331">
        <v>45553</v>
      </c>
      <c r="DC143" s="316" t="s">
        <v>1008</v>
      </c>
      <c r="DD143" s="67">
        <v>17182263383</v>
      </c>
      <c r="DE14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3" s="331">
        <v>45566</v>
      </c>
      <c r="DG143" s="316" t="s">
        <v>1009</v>
      </c>
      <c r="DH143" s="67">
        <v>17182263383</v>
      </c>
      <c r="DI14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3" s="330">
        <v>45558</v>
      </c>
      <c r="DK143" s="330">
        <v>45627</v>
      </c>
      <c r="DL143" s="331">
        <v>45626</v>
      </c>
      <c r="DM143" s="316" t="s">
        <v>657</v>
      </c>
      <c r="DN14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3" s="331">
        <v>45635</v>
      </c>
      <c r="DP143" s="316" t="s">
        <v>658</v>
      </c>
      <c r="DQ143" s="338" t="s">
        <v>275</v>
      </c>
      <c r="DR14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3" s="330">
        <v>45558</v>
      </c>
      <c r="DT143" s="330" t="e">
        <v>#N/A</v>
      </c>
      <c r="DU143" s="330">
        <v>45599</v>
      </c>
      <c r="DV143" s="330" t="e">
        <v>#N/A</v>
      </c>
      <c r="DW143" s="331">
        <v>45917</v>
      </c>
      <c r="DX143" s="316" t="s">
        <v>1010</v>
      </c>
      <c r="DY143" s="334"/>
      <c r="DZ143" s="334"/>
      <c r="EA14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3" s="331">
        <v>45937</v>
      </c>
      <c r="EC143" s="332"/>
      <c r="ED143" s="332"/>
      <c r="EE143" s="330" t="s">
        <v>1011</v>
      </c>
      <c r="EF143" s="35">
        <v>1</v>
      </c>
      <c r="EG143" s="337">
        <v>1</v>
      </c>
      <c r="EH143" s="316" t="str">
        <f>IF(Table1[[#This Row],[PO Material Aktual 
(%)]]&gt;=100%,"Selesai PO = 100%",IF(Table1[[#This Row],[PO Material Aktual 
(%)]]&gt;=50%,"Proses PO &gt; 100%",IF(Table1[[#This Row],[PO Material Aktual 
(%)]]&gt;0%,"Proses PO &gt; 50%",IF(Table1[[#This Row],[PO Material Aktual 
(%)]]=0,"Belum PO = 0%"))))</f>
        <v>Selesai PO = 100%</v>
      </c>
      <c r="EI14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3" s="330">
        <v>45600</v>
      </c>
      <c r="EK143" s="330" t="e">
        <v>#N/A</v>
      </c>
      <c r="EL143" s="330">
        <v>45711</v>
      </c>
      <c r="EM143" s="330" t="e">
        <v>#N/A</v>
      </c>
      <c r="EN143" s="331">
        <v>45964</v>
      </c>
      <c r="EO143" s="332"/>
      <c r="EP143" s="332"/>
      <c r="EQ143" s="87">
        <v>1</v>
      </c>
      <c r="ER143" s="87">
        <v>1</v>
      </c>
      <c r="ES143" s="316" t="str">
        <f>IF(Table1[[#This Row],[Progres MOS]]&gt;=100%,"Selesai MOS = 100%",IF(Table1[[#This Row],[Progres MOS]]&gt;=50%,"Proses MOS &gt; 100%",IF(Table1[[#This Row],[Progres MOS]]&gt;0%,"Proses MOS &gt; 50%",IF(Table1[[#This Row],[Progres MOS]]=0,"Belum MOS = 0%"))))</f>
        <v>Selesai MOS = 100%</v>
      </c>
      <c r="ET14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3" s="47"/>
      <c r="EV143" s="330">
        <v>45558</v>
      </c>
      <c r="EW143" s="330" t="e">
        <v>#N/A</v>
      </c>
      <c r="EX143" s="330">
        <v>45655</v>
      </c>
      <c r="EY143" s="330" t="e">
        <v>#N/A</v>
      </c>
      <c r="EZ143" s="352" t="s">
        <v>259</v>
      </c>
      <c r="FA143" s="336" t="s">
        <v>259</v>
      </c>
      <c r="FB143" s="330" t="s">
        <v>260</v>
      </c>
      <c r="FC143" s="330">
        <v>45670</v>
      </c>
      <c r="FD143" s="330" t="s">
        <v>260</v>
      </c>
      <c r="FE143" s="330">
        <v>45722</v>
      </c>
      <c r="FF143" s="330">
        <v>45819</v>
      </c>
      <c r="FG143" s="330" t="s">
        <v>260</v>
      </c>
      <c r="FH143" s="330" t="s">
        <v>260</v>
      </c>
      <c r="FI143" s="330">
        <v>45988</v>
      </c>
      <c r="FJ143" s="330" t="s">
        <v>260</v>
      </c>
      <c r="FK143" s="330">
        <v>46057</v>
      </c>
      <c r="FL143" s="336" t="s">
        <v>259</v>
      </c>
      <c r="FM143" s="352">
        <v>45670</v>
      </c>
      <c r="FN143" s="338">
        <f>IF(Table1[[#This Row],[Tanggal Pengajuan Dokumen]]="","",Table1[[#This Row],[PLAN PERMIT
start]]-Table1[[#This Row],[Tanggal Pengajuan Dokumen]])</f>
        <v>-112</v>
      </c>
      <c r="FO143" s="437">
        <v>46064</v>
      </c>
      <c r="FP143" s="316"/>
      <c r="FQ143" s="338"/>
      <c r="FR143" s="338"/>
      <c r="FS143" s="338" t="str">
        <f t="shared" si="9"/>
        <v>Sudah Terbit</v>
      </c>
      <c r="FT14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3" s="344">
        <f ca="1">IF(Table1[[#This Row],[Status Izin]]="Selesai",Table1[[#This Row],[PLAN PERMIT
finish]]-Table1[[#This Row],[Tanggal Terbit/ Target Izin Terbit]],ROUNDUP(Table1[[#This Row],[PLAN PERMIT
finish]]-NOW(),0))</f>
        <v>-409</v>
      </c>
      <c r="FV14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3" s="344"/>
      <c r="FX143" s="47"/>
      <c r="FY143" s="340"/>
      <c r="FZ143" s="341">
        <v>45582</v>
      </c>
      <c r="GA14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3" s="330">
        <v>45629</v>
      </c>
      <c r="GC143" s="352">
        <v>45635</v>
      </c>
      <c r="GD14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3" s="330">
        <v>45636</v>
      </c>
      <c r="GF143" s="352">
        <v>45635</v>
      </c>
      <c r="GG14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3" s="330">
        <v>45642</v>
      </c>
      <c r="GI143" s="330">
        <v>45648</v>
      </c>
      <c r="GJ143" s="352">
        <v>45650</v>
      </c>
      <c r="GK14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3" s="330">
        <v>45656</v>
      </c>
      <c r="GM143" s="330" t="e">
        <v>#N/A</v>
      </c>
      <c r="GN143" s="330">
        <v>45788</v>
      </c>
      <c r="GO143" s="330" t="e">
        <v>#N/A</v>
      </c>
      <c r="GP143" s="316"/>
      <c r="GQ14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3" s="330" t="s">
        <v>261</v>
      </c>
      <c r="GS143" s="330" t="s">
        <v>261</v>
      </c>
      <c r="GT143" s="354">
        <v>45813</v>
      </c>
      <c r="GU143" s="344" t="str">
        <f>IF(Table1[[#This Row],[Hydro Tes Actual
(tanggal)]]&lt;&gt;"","Sudah","Belum")</f>
        <v>Sudah</v>
      </c>
      <c r="GV143" s="330" t="s">
        <v>261</v>
      </c>
      <c r="GW143" s="330" t="s">
        <v>261</v>
      </c>
      <c r="GX143" s="331">
        <v>45913</v>
      </c>
      <c r="GY143" s="344" t="str">
        <f>IF(Table1[[#This Row],[Interkoneksi Actual
(tanggal)]]&lt;&gt;"","Sudah","Belum")</f>
        <v>Sudah</v>
      </c>
      <c r="GZ143" s="330" t="s">
        <v>261</v>
      </c>
      <c r="HA143" s="330" t="s">
        <v>261</v>
      </c>
      <c r="HB143" s="331">
        <v>45907</v>
      </c>
      <c r="HC143" s="344" t="str">
        <f>IF(Table1[[#This Row],[Flushing Actual
(tanggal)]]&lt;&gt;"","Sudah","Belum")</f>
        <v>Sudah</v>
      </c>
      <c r="HD143" s="330">
        <v>45754</v>
      </c>
      <c r="HE143" s="330" t="e">
        <v>#N/A</v>
      </c>
      <c r="HF143" s="330">
        <v>45774</v>
      </c>
      <c r="HG143" s="352">
        <v>45922</v>
      </c>
      <c r="HH14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3" s="330" t="s">
        <v>261</v>
      </c>
      <c r="HJ143" s="330" t="s">
        <v>261</v>
      </c>
      <c r="HK143" s="331"/>
      <c r="HL143" s="316"/>
      <c r="HM143" s="330">
        <v>45793</v>
      </c>
      <c r="HN143" s="330">
        <v>45793</v>
      </c>
      <c r="HO143" s="330" t="e">
        <v>#N/A</v>
      </c>
      <c r="HP143" s="331">
        <v>45933</v>
      </c>
      <c r="HQ14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43" s="330">
        <v>45800</v>
      </c>
      <c r="HS143" s="330"/>
      <c r="HT143" s="330">
        <v>45800</v>
      </c>
      <c r="HU143" s="527"/>
      <c r="HV143" s="330">
        <v>45934</v>
      </c>
      <c r="HW14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43" s="47"/>
      <c r="HY143" s="352"/>
      <c r="HZ143" s="352"/>
      <c r="IB143" s="618">
        <f>IFERROR(ROUND((Table1[[#This Row],[PLAN TC
finish]]-Table1[[#This Row],[PLAN MC-0
start]])/30,2),"")</f>
        <v>4.4000000000000004</v>
      </c>
      <c r="IC143">
        <f>DATEDIF(Table1[[#This Row],[PLAN MC-0
start]],Table1[[#This Row],[PLAN TC
finish]],"m")</f>
        <v>4</v>
      </c>
    </row>
    <row r="144" spans="2:237" s="4" customFormat="1" ht="15" hidden="1" customHeight="1" x14ac:dyDescent="0.2">
      <c r="B144" s="311">
        <f>SUBTOTAL(3,$D$5:D144)</f>
        <v>84</v>
      </c>
      <c r="C144" s="348">
        <v>140</v>
      </c>
      <c r="D144" s="338" t="s">
        <v>629</v>
      </c>
      <c r="E144" s="338" t="s">
        <v>1012</v>
      </c>
      <c r="F144" s="338" t="s">
        <v>1013</v>
      </c>
      <c r="G144" s="349">
        <v>45935</v>
      </c>
      <c r="H144" s="314" t="s">
        <v>247</v>
      </c>
      <c r="I144" s="338" t="s">
        <v>278</v>
      </c>
      <c r="J144" s="315"/>
      <c r="K144" s="338" t="s">
        <v>915</v>
      </c>
      <c r="L144" s="316" t="s">
        <v>250</v>
      </c>
      <c r="M144" s="316" t="s">
        <v>269</v>
      </c>
      <c r="N144" s="107">
        <v>12402</v>
      </c>
      <c r="O144" s="131" t="s">
        <v>252</v>
      </c>
      <c r="P14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4" s="35" t="e">
        <v>#N/A</v>
      </c>
      <c r="S144" s="35">
        <v>1</v>
      </c>
      <c r="T144" s="35">
        <f>Table1[[#This Row],[Progres Total Aktual
(%)]]</f>
        <v>1</v>
      </c>
      <c r="U144" s="124">
        <f>Table1[[#This Row],[Progres Aktual
(%)]]-Table1[[#This Row],[Target Progres
(%)]]</f>
        <v>0</v>
      </c>
      <c r="V144" s="350">
        <f>Table1[[#This Row],["Volume
BA MC-0"]]</f>
        <v>12262</v>
      </c>
      <c r="W144" s="351">
        <f>Table1[[#This Row],[Total Panjang Pipa Aktual
(Sum-&gt;)3]]</f>
        <v>7078.3999999999987</v>
      </c>
      <c r="X144" s="47"/>
      <c r="Y144" s="67" t="s">
        <v>1014</v>
      </c>
      <c r="Z144" s="67">
        <v>22496190377</v>
      </c>
      <c r="AA144" s="67">
        <f>Table1[[#This Row],[Nilai RAB Jaringan
(file pa aji)]]</f>
        <v>22496190377</v>
      </c>
      <c r="AB144" s="320">
        <f>SUM(Table1[[#This Row],[RAB Kegiatan Umum]:[RAB Perizinan]])</f>
        <v>0</v>
      </c>
      <c r="AC144" s="320"/>
      <c r="AD144" s="320"/>
      <c r="AE144" s="320"/>
      <c r="AF144" s="320"/>
      <c r="AG144" s="436">
        <v>5097475323</v>
      </c>
      <c r="AH144" s="35" t="e">
        <f>SUM(Table1[[#This Row],[Bobot Keg Umum]:[Bobot Perizinan]])</f>
        <v>#DIV/0!</v>
      </c>
      <c r="AI144" s="35" t="e">
        <f>Table1[[#This Row],[RAB Kegiatan Umum]]/Table1[[#This Row],[Nilai RAB Jaringan
(Exclude Ppn)]]</f>
        <v>#DIV/0!</v>
      </c>
      <c r="AJ144" s="35" t="e">
        <f>Table1[[#This Row],[RAB Pemasangan]]/Table1[[#This Row],[Nilai RAB Jaringan
(Exclude Ppn)]]</f>
        <v>#DIV/0!</v>
      </c>
      <c r="AK144" s="35" t="e">
        <f>Table1[[#This Row],[RAB Pengadaan]]/Table1[[#This Row],[Nilai RAB Jaringan
(Exclude Ppn)]]</f>
        <v>#DIV/0!</v>
      </c>
      <c r="AL144" s="35" t="e">
        <f>Table1[[#This Row],[RAB Perizinan]]/Table1[[#This Row],[Nilai RAB Jaringan
(Exclude Ppn)]]</f>
        <v>#DIV/0!</v>
      </c>
      <c r="AM144" s="47"/>
      <c r="AN144" s="285">
        <v>12262</v>
      </c>
      <c r="AO144" s="285">
        <f>SUM(Table1[[#This Row],[Pipa 63 mm]:[Pipa 1,800 mm]])</f>
        <v>12262</v>
      </c>
      <c r="AP144" s="285">
        <v>5112</v>
      </c>
      <c r="AQ144" s="285">
        <v>2765</v>
      </c>
      <c r="AR144" s="285">
        <v>2946</v>
      </c>
      <c r="AS144" s="285">
        <v>157</v>
      </c>
      <c r="AT144" s="285">
        <v>363</v>
      </c>
      <c r="AU144" s="285">
        <v>909</v>
      </c>
      <c r="AV144" s="285"/>
      <c r="AW144" s="285"/>
      <c r="AX144" s="285"/>
      <c r="AY144" s="285">
        <v>10</v>
      </c>
      <c r="AZ144" s="285"/>
      <c r="BA144" s="285"/>
      <c r="BB144" s="285"/>
      <c r="BC144" s="285"/>
      <c r="BD144" s="285"/>
      <c r="BE144" s="285"/>
      <c r="BF144" s="285"/>
      <c r="BG144" s="285"/>
      <c r="BH144" s="285"/>
      <c r="BI144" s="285"/>
      <c r="BJ144" s="36">
        <f>SUM(Table1[[#This Row],[Pipa 63 mm2]:[Pipa 1,800 mm21]])</f>
        <v>7078.3999999999987</v>
      </c>
      <c r="BK144" s="32">
        <v>1247.3</v>
      </c>
      <c r="BL144" s="32">
        <v>1960.6</v>
      </c>
      <c r="BM144" s="32">
        <v>2539.9</v>
      </c>
      <c r="BN144" s="32">
        <v>91.7</v>
      </c>
      <c r="BO144" s="32">
        <v>331.4</v>
      </c>
      <c r="BP144" s="32">
        <v>907.5</v>
      </c>
      <c r="BQ144" s="32"/>
      <c r="BR144" s="32"/>
      <c r="BS144" s="32"/>
      <c r="BT144" s="32"/>
      <c r="BU144" s="32"/>
      <c r="BV144" s="32"/>
      <c r="BW144" s="32"/>
      <c r="BX144" s="32"/>
      <c r="BY144" s="32"/>
      <c r="BZ144" s="32"/>
      <c r="CA144" s="32"/>
      <c r="CB144" s="32"/>
      <c r="CC144" s="32"/>
      <c r="CD144" s="32"/>
      <c r="CE144" s="32">
        <v>1231</v>
      </c>
      <c r="CF144" s="32">
        <v>1125</v>
      </c>
      <c r="CG144" s="32">
        <v>396</v>
      </c>
      <c r="CH144" s="32">
        <v>2245</v>
      </c>
      <c r="CI144" s="32">
        <f t="shared" si="10"/>
        <v>4997</v>
      </c>
      <c r="CJ144" s="65">
        <f>IF((Table1[[#This Row],["Volume
BA MC-0"]]-Table1[[#This Row],[Total Panjang Pipa Aktual
(Sum-&gt;)3]]-Table1[[#This Row],[Total Volume
tidak dapat dipasang]])&gt;=0,Table1[[#This Row],["Volume
BA MC-0"]]-Table1[[#This Row],[Total Panjang Pipa Aktual
(Sum-&gt;)3]]-Table1[[#This Row],[Total Volume
tidak dapat dipasang]],0)</f>
        <v>186.60000000000127</v>
      </c>
      <c r="CK144" s="47"/>
      <c r="CL144" s="131"/>
      <c r="CM144" s="35"/>
      <c r="CN144" s="131"/>
      <c r="CO144" s="131"/>
      <c r="CP14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4" s="66">
        <f>IFERROR(Table1[[#This Row],[Progres Keg. Umum
(%)]]*Table1[[#This Row],[Nilai RAB Jaringan
(file pa aji)]],0)</f>
        <v>0</v>
      </c>
      <c r="CR144" s="66">
        <f>IFERROR(Table1[[#This Row],[Progres MOS
(%)]]*Table1[[#This Row],[Nilai RAB Jaringan
(file pa aji)]],0)</f>
        <v>0</v>
      </c>
      <c r="CS144" s="66">
        <f>IFERROR(Table1[[#This Row],[Progres Pemasangan
(%)]]*Table1[[#This Row],[Nilai RAB Jaringan
(file pa aji)]],0)</f>
        <v>0</v>
      </c>
      <c r="CT144" s="66">
        <f>IFERROR(Table1[[#This Row],[Progres Perizinan
(%)]]*Table1[[#This Row],[Nilai RAB Jaringan
(file pa aji)]],0)</f>
        <v>0</v>
      </c>
      <c r="CU144" s="329">
        <v>11885983812</v>
      </c>
      <c r="CV144" s="329">
        <v>11885983812</v>
      </c>
      <c r="CW144" s="583">
        <v>11885983812</v>
      </c>
      <c r="CX144" s="329">
        <v>11885983812</v>
      </c>
      <c r="CY144" s="47"/>
      <c r="CZ144" s="330">
        <v>45530</v>
      </c>
      <c r="DA144" s="330">
        <v>45557</v>
      </c>
      <c r="DB144" s="331">
        <v>45553</v>
      </c>
      <c r="DC144" s="316" t="s">
        <v>1015</v>
      </c>
      <c r="DD144" s="67">
        <v>25556487913</v>
      </c>
      <c r="DE14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4" s="331">
        <v>45566</v>
      </c>
      <c r="DG144" s="316" t="s">
        <v>1016</v>
      </c>
      <c r="DH144" s="67">
        <v>25556487913</v>
      </c>
      <c r="DI14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4" s="330">
        <v>45558</v>
      </c>
      <c r="DK144" s="330">
        <v>45627</v>
      </c>
      <c r="DL144" s="331">
        <v>45617</v>
      </c>
      <c r="DM144" s="316" t="s">
        <v>1017</v>
      </c>
      <c r="DN14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4" s="331">
        <v>45635</v>
      </c>
      <c r="DP144" s="316" t="s">
        <v>1018</v>
      </c>
      <c r="DQ144" s="338" t="s">
        <v>275</v>
      </c>
      <c r="DR14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4" s="330">
        <v>45558</v>
      </c>
      <c r="DT144" s="330" t="e">
        <v>#N/A</v>
      </c>
      <c r="DU144" s="330">
        <v>45599</v>
      </c>
      <c r="DV144" s="330" t="e">
        <v>#N/A</v>
      </c>
      <c r="DW144" s="331">
        <v>45999</v>
      </c>
      <c r="DX144" s="316" t="s">
        <v>1019</v>
      </c>
      <c r="DY144" s="334"/>
      <c r="DZ144" s="334"/>
      <c r="EA14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4" s="331">
        <v>46002</v>
      </c>
      <c r="EC144" s="332"/>
      <c r="ED144" s="332"/>
      <c r="EE144" s="330" t="s">
        <v>1020</v>
      </c>
      <c r="EF144" s="35">
        <v>1</v>
      </c>
      <c r="EG144" s="337">
        <v>1</v>
      </c>
      <c r="EH144" s="316" t="str">
        <f>IF(Table1[[#This Row],[PO Material Aktual 
(%)]]&gt;=100%,"Selesai PO = 100%",IF(Table1[[#This Row],[PO Material Aktual 
(%)]]&gt;=50%,"Proses PO &gt; 100%",IF(Table1[[#This Row],[PO Material Aktual 
(%)]]&gt;0%,"Proses PO &gt; 50%",IF(Table1[[#This Row],[PO Material Aktual 
(%)]]=0,"Belum PO = 0%"))))</f>
        <v>Selesai PO = 100%</v>
      </c>
      <c r="EI14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4" s="330">
        <v>45600</v>
      </c>
      <c r="EK144" s="330" t="e">
        <v>#N/A</v>
      </c>
      <c r="EL144" s="330">
        <v>45711</v>
      </c>
      <c r="EM144" s="330" t="e">
        <v>#N/A</v>
      </c>
      <c r="EN144" s="331">
        <v>46030</v>
      </c>
      <c r="EO144" s="332"/>
      <c r="EP144" s="332"/>
      <c r="EQ144" s="87">
        <v>1</v>
      </c>
      <c r="ER144" s="87">
        <v>1</v>
      </c>
      <c r="ES144" s="316" t="str">
        <f>IF(Table1[[#This Row],[Progres MOS]]&gt;=100%,"Selesai MOS = 100%",IF(Table1[[#This Row],[Progres MOS]]&gt;=50%,"Proses MOS &gt; 100%",IF(Table1[[#This Row],[Progres MOS]]&gt;0%,"Proses MOS &gt; 50%",IF(Table1[[#This Row],[Progres MOS]]=0,"Belum MOS = 0%"))))</f>
        <v>Selesai MOS = 100%</v>
      </c>
      <c r="ET14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4" s="47"/>
      <c r="EV144" s="330">
        <v>45558</v>
      </c>
      <c r="EW144" s="330" t="e">
        <v>#N/A</v>
      </c>
      <c r="EX144" s="330">
        <v>45655</v>
      </c>
      <c r="EY144" s="330" t="e">
        <v>#N/A</v>
      </c>
      <c r="EZ144" s="352" t="s">
        <v>298</v>
      </c>
      <c r="FA144" s="336" t="s">
        <v>259</v>
      </c>
      <c r="FB144" s="330" t="s">
        <v>260</v>
      </c>
      <c r="FC144" s="330">
        <v>45762</v>
      </c>
      <c r="FD144" s="330" t="s">
        <v>260</v>
      </c>
      <c r="FE144" s="330">
        <v>45896</v>
      </c>
      <c r="FF144" s="330">
        <v>45911</v>
      </c>
      <c r="FG144" s="330" t="s">
        <v>260</v>
      </c>
      <c r="FH144" s="330" t="s">
        <v>260</v>
      </c>
      <c r="FI144" s="330">
        <v>46013</v>
      </c>
      <c r="FJ144" s="330" t="s">
        <v>260</v>
      </c>
      <c r="FK144" s="330">
        <v>46119</v>
      </c>
      <c r="FL144" s="336" t="s">
        <v>298</v>
      </c>
      <c r="FM144" s="352">
        <v>45762</v>
      </c>
      <c r="FN144" s="338">
        <f>IF(Table1[[#This Row],[Tanggal Pengajuan Dokumen]]="","",Table1[[#This Row],[PLAN PERMIT
start]]-Table1[[#This Row],[Tanggal Pengajuan Dokumen]])</f>
        <v>-204</v>
      </c>
      <c r="FO144" s="437">
        <v>46086</v>
      </c>
      <c r="FP144" s="316"/>
      <c r="FQ144" s="338"/>
      <c r="FR144" s="338"/>
      <c r="FS144" s="338" t="str">
        <f t="shared" si="9"/>
        <v>Sudah Terbit</v>
      </c>
      <c r="FT14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4" s="344">
        <f ca="1">IF(Table1[[#This Row],[Status Izin]]="Selesai",Table1[[#This Row],[PLAN PERMIT
finish]]-Table1[[#This Row],[Tanggal Terbit/ Target Izin Terbit]],ROUNDUP(Table1[[#This Row],[PLAN PERMIT
finish]]-NOW(),0))</f>
        <v>-431</v>
      </c>
      <c r="FV14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4" s="344"/>
      <c r="FX144" s="47"/>
      <c r="FY144" s="340"/>
      <c r="FZ144" s="341">
        <v>45582</v>
      </c>
      <c r="GA14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4" s="330">
        <v>45629</v>
      </c>
      <c r="GC144" s="352">
        <v>45635</v>
      </c>
      <c r="GD14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4" s="330">
        <v>45636</v>
      </c>
      <c r="GF144" s="352">
        <v>45635</v>
      </c>
      <c r="GG14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4" s="330">
        <v>45642</v>
      </c>
      <c r="GI144" s="330">
        <v>45648</v>
      </c>
      <c r="GJ144" s="352">
        <v>45656</v>
      </c>
      <c r="GK14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4" s="330">
        <v>45656</v>
      </c>
      <c r="GM144" s="330" t="e">
        <v>#N/A</v>
      </c>
      <c r="GN144" s="330">
        <v>45788</v>
      </c>
      <c r="GO144" s="330" t="e">
        <v>#N/A</v>
      </c>
      <c r="GP144" s="316"/>
      <c r="GQ14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4" s="330" t="s">
        <v>261</v>
      </c>
      <c r="GS144" s="330" t="s">
        <v>261</v>
      </c>
      <c r="GT144" s="354">
        <v>45873</v>
      </c>
      <c r="GU144" s="344" t="str">
        <f>IF(Table1[[#This Row],[Hydro Tes Actual
(tanggal)]]&lt;&gt;"","Sudah","Belum")</f>
        <v>Sudah</v>
      </c>
      <c r="GV144" s="330" t="s">
        <v>261</v>
      </c>
      <c r="GW144" s="330" t="s">
        <v>261</v>
      </c>
      <c r="GX144" s="331">
        <v>45909</v>
      </c>
      <c r="GY144" s="344" t="str">
        <f>IF(Table1[[#This Row],[Interkoneksi Actual
(tanggal)]]&lt;&gt;"","Sudah","Belum")</f>
        <v>Sudah</v>
      </c>
      <c r="GZ144" s="330" t="s">
        <v>261</v>
      </c>
      <c r="HA144" s="330" t="s">
        <v>261</v>
      </c>
      <c r="HB144" s="331">
        <v>45915</v>
      </c>
      <c r="HC144" s="344" t="str">
        <f>IF(Table1[[#This Row],[Flushing Actual
(tanggal)]]&lt;&gt;"","Sudah","Belum")</f>
        <v>Sudah</v>
      </c>
      <c r="HD144" s="330">
        <v>45754</v>
      </c>
      <c r="HE144" s="330" t="e">
        <v>#N/A</v>
      </c>
      <c r="HF144" s="330">
        <v>45774</v>
      </c>
      <c r="HG144" s="352">
        <v>45926</v>
      </c>
      <c r="HH14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4" s="330" t="s">
        <v>261</v>
      </c>
      <c r="HJ144" s="330" t="s">
        <v>261</v>
      </c>
      <c r="HK144" s="331"/>
      <c r="HL144" s="316"/>
      <c r="HM144" s="330">
        <v>45793</v>
      </c>
      <c r="HN144" s="330">
        <v>45793</v>
      </c>
      <c r="HO144" s="330" t="e">
        <v>#N/A</v>
      </c>
      <c r="HP144" s="331">
        <v>45933</v>
      </c>
      <c r="HQ14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44" s="330">
        <v>45800</v>
      </c>
      <c r="HS144" s="330"/>
      <c r="HT144" s="330">
        <v>45800</v>
      </c>
      <c r="HU144" s="527"/>
      <c r="HV144" s="330">
        <v>45934</v>
      </c>
      <c r="HW14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44" s="47"/>
      <c r="HY144" s="352"/>
      <c r="HZ144" s="352"/>
      <c r="IB144" s="618">
        <f>IFERROR(ROUND((Table1[[#This Row],[PLAN TC
finish]]-Table1[[#This Row],[PLAN MC-0
start]])/30,2),"")</f>
        <v>4.4000000000000004</v>
      </c>
      <c r="IC144">
        <f>DATEDIF(Table1[[#This Row],[PLAN MC-0
start]],Table1[[#This Row],[PLAN TC
finish]],"m")</f>
        <v>4</v>
      </c>
    </row>
    <row r="145" spans="2:237" s="4" customFormat="1" ht="15" hidden="1" customHeight="1" x14ac:dyDescent="0.2">
      <c r="B145" s="311">
        <f>SUBTOTAL(3,$D$5:D145)</f>
        <v>84</v>
      </c>
      <c r="C145" s="348">
        <v>141</v>
      </c>
      <c r="D145" s="338" t="s">
        <v>629</v>
      </c>
      <c r="E145" s="338" t="s">
        <v>1021</v>
      </c>
      <c r="F145" s="338" t="s">
        <v>1022</v>
      </c>
      <c r="G145" s="349">
        <v>45935</v>
      </c>
      <c r="H145" s="314" t="s">
        <v>247</v>
      </c>
      <c r="I145" s="338" t="s">
        <v>278</v>
      </c>
      <c r="J145" s="315"/>
      <c r="K145" s="338" t="s">
        <v>915</v>
      </c>
      <c r="L145" s="316" t="s">
        <v>250</v>
      </c>
      <c r="M145" s="316" t="s">
        <v>269</v>
      </c>
      <c r="N145" s="107">
        <v>20532</v>
      </c>
      <c r="O145" s="131" t="s">
        <v>252</v>
      </c>
      <c r="P14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5" s="35" t="e">
        <v>#N/A</v>
      </c>
      <c r="S145" s="35">
        <v>1</v>
      </c>
      <c r="T145" s="35">
        <f>Table1[[#This Row],[Progres Total Aktual
(%)]]</f>
        <v>1</v>
      </c>
      <c r="U145" s="124">
        <f>Table1[[#This Row],[Progres Aktual
(%)]]-Table1[[#This Row],[Target Progres
(%)]]</f>
        <v>0</v>
      </c>
      <c r="V145" s="350">
        <f>Table1[[#This Row],["Volume
BA MC-0"]]</f>
        <v>20459</v>
      </c>
      <c r="W145" s="351">
        <f>Table1[[#This Row],[Total Panjang Pipa Aktual
(Sum-&gt;)3]]</f>
        <v>14657</v>
      </c>
      <c r="X145" s="47"/>
      <c r="Y145" s="67" t="s">
        <v>1023</v>
      </c>
      <c r="Z145" s="67">
        <v>32072286461</v>
      </c>
      <c r="AA145" s="67">
        <f>Table1[[#This Row],[Nilai RAB Jaringan
(file pa aji)]]</f>
        <v>32072286461</v>
      </c>
      <c r="AB145" s="320">
        <f>SUM(Table1[[#This Row],[RAB Kegiatan Umum]:[RAB Perizinan]])</f>
        <v>0</v>
      </c>
      <c r="AC145" s="320"/>
      <c r="AD145" s="320"/>
      <c r="AE145" s="320"/>
      <c r="AF145" s="320"/>
      <c r="AG145" s="436">
        <v>7587798007</v>
      </c>
      <c r="AH145" s="35" t="e">
        <f>SUM(Table1[[#This Row],[Bobot Keg Umum]:[Bobot Perizinan]])</f>
        <v>#DIV/0!</v>
      </c>
      <c r="AI145" s="35" t="e">
        <f>Table1[[#This Row],[RAB Kegiatan Umum]]/Table1[[#This Row],[Nilai RAB Jaringan
(Exclude Ppn)]]</f>
        <v>#DIV/0!</v>
      </c>
      <c r="AJ145" s="35" t="e">
        <f>Table1[[#This Row],[RAB Pemasangan]]/Table1[[#This Row],[Nilai RAB Jaringan
(Exclude Ppn)]]</f>
        <v>#DIV/0!</v>
      </c>
      <c r="AK145" s="35" t="e">
        <f>Table1[[#This Row],[RAB Pengadaan]]/Table1[[#This Row],[Nilai RAB Jaringan
(Exclude Ppn)]]</f>
        <v>#DIV/0!</v>
      </c>
      <c r="AL145" s="35" t="e">
        <f>Table1[[#This Row],[RAB Perizinan]]/Table1[[#This Row],[Nilai RAB Jaringan
(Exclude Ppn)]]</f>
        <v>#DIV/0!</v>
      </c>
      <c r="AM145" s="47"/>
      <c r="AN145" s="285">
        <v>20459</v>
      </c>
      <c r="AO145" s="285">
        <f>SUM(Table1[[#This Row],[Pipa 63 mm]:[Pipa 1,800 mm]])</f>
        <v>20459</v>
      </c>
      <c r="AP145" s="285">
        <v>9276</v>
      </c>
      <c r="AQ145" s="285">
        <v>6532</v>
      </c>
      <c r="AR145" s="285">
        <v>3401</v>
      </c>
      <c r="AS145" s="285">
        <v>451</v>
      </c>
      <c r="AT145" s="285"/>
      <c r="AU145" s="285">
        <v>491</v>
      </c>
      <c r="AV145" s="285">
        <v>308</v>
      </c>
      <c r="AW145" s="285"/>
      <c r="AX145" s="285"/>
      <c r="AY145" s="285"/>
      <c r="AZ145" s="285"/>
      <c r="BA145" s="285"/>
      <c r="BB145" s="285"/>
      <c r="BC145" s="285"/>
      <c r="BD145" s="285"/>
      <c r="BE145" s="285"/>
      <c r="BF145" s="285"/>
      <c r="BG145" s="285"/>
      <c r="BH145" s="285"/>
      <c r="BI145" s="285"/>
      <c r="BJ145" s="36">
        <f>SUM(Table1[[#This Row],[Pipa 63 mm2]:[Pipa 1,800 mm21]])</f>
        <v>14657</v>
      </c>
      <c r="BK145" s="32">
        <v>5189</v>
      </c>
      <c r="BL145" s="32">
        <v>5376</v>
      </c>
      <c r="BM145" s="32">
        <v>2930</v>
      </c>
      <c r="BN145" s="32">
        <v>369</v>
      </c>
      <c r="BO145" s="32">
        <v>488</v>
      </c>
      <c r="BP145" s="32"/>
      <c r="BQ145" s="32">
        <v>305</v>
      </c>
      <c r="BR145" s="32"/>
      <c r="BS145" s="32"/>
      <c r="BT145" s="32"/>
      <c r="BU145" s="32"/>
      <c r="BV145" s="32"/>
      <c r="BW145" s="32"/>
      <c r="BX145" s="32"/>
      <c r="BY145" s="32"/>
      <c r="BZ145" s="32"/>
      <c r="CA145" s="32"/>
      <c r="CB145" s="32"/>
      <c r="CC145" s="32"/>
      <c r="CD145" s="32"/>
      <c r="CE145" s="32">
        <v>2142</v>
      </c>
      <c r="CF145" s="32">
        <v>1567</v>
      </c>
      <c r="CG145" s="32">
        <v>0</v>
      </c>
      <c r="CH145" s="32">
        <v>1689</v>
      </c>
      <c r="CI145" s="32">
        <f t="shared" si="10"/>
        <v>5398</v>
      </c>
      <c r="CJ145" s="65">
        <f>IF((Table1[[#This Row],["Volume
BA MC-0"]]-Table1[[#This Row],[Total Panjang Pipa Aktual
(Sum-&gt;)3]]-Table1[[#This Row],[Total Volume
tidak dapat dipasang]])&gt;=0,Table1[[#This Row],["Volume
BA MC-0"]]-Table1[[#This Row],[Total Panjang Pipa Aktual
(Sum-&gt;)3]]-Table1[[#This Row],[Total Volume
tidak dapat dipasang]],0)</f>
        <v>404</v>
      </c>
      <c r="CK145" s="47"/>
      <c r="CL145" s="131"/>
      <c r="CM145" s="35"/>
      <c r="CN145" s="131"/>
      <c r="CO145" s="131"/>
      <c r="CP14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5" s="66">
        <f>IFERROR(Table1[[#This Row],[Progres Keg. Umum
(%)]]*Table1[[#This Row],[Nilai RAB Jaringan
(file pa aji)]],0)</f>
        <v>0</v>
      </c>
      <c r="CR145" s="66">
        <f>IFERROR(Table1[[#This Row],[Progres MOS
(%)]]*Table1[[#This Row],[Nilai RAB Jaringan
(file pa aji)]],0)</f>
        <v>0</v>
      </c>
      <c r="CS145" s="66">
        <f>IFERROR(Table1[[#This Row],[Progres Pemasangan
(%)]]*Table1[[#This Row],[Nilai RAB Jaringan
(file pa aji)]],0)</f>
        <v>0</v>
      </c>
      <c r="CT145" s="66">
        <f>IFERROR(Table1[[#This Row],[Progres Perizinan
(%)]]*Table1[[#This Row],[Nilai RAB Jaringan
(file pa aji)]],0)</f>
        <v>0</v>
      </c>
      <c r="CU145" s="329">
        <v>20924776117</v>
      </c>
      <c r="CV145" s="329">
        <v>20924776117</v>
      </c>
      <c r="CW145" s="583">
        <v>20924776117</v>
      </c>
      <c r="CX145" s="329">
        <v>20924776117</v>
      </c>
      <c r="CY145" s="47"/>
      <c r="CZ145" s="330">
        <v>45530</v>
      </c>
      <c r="DA145" s="330">
        <v>45557</v>
      </c>
      <c r="DB145" s="331">
        <v>45553</v>
      </c>
      <c r="DC145" s="316" t="s">
        <v>1024</v>
      </c>
      <c r="DD145" s="67">
        <v>36935240824</v>
      </c>
      <c r="DE14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5" s="331">
        <v>45566</v>
      </c>
      <c r="DG145" s="316" t="s">
        <v>1025</v>
      </c>
      <c r="DH145" s="67">
        <v>36935240824</v>
      </c>
      <c r="DI14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5" s="330">
        <v>45558</v>
      </c>
      <c r="DK145" s="330">
        <v>45627</v>
      </c>
      <c r="DL145" s="331">
        <v>45626</v>
      </c>
      <c r="DM145" s="316" t="s">
        <v>1026</v>
      </c>
      <c r="DN14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5" s="331">
        <v>45635</v>
      </c>
      <c r="DP145" s="316" t="s">
        <v>1027</v>
      </c>
      <c r="DQ145" s="338" t="s">
        <v>275</v>
      </c>
      <c r="DR14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5" s="330">
        <v>45558</v>
      </c>
      <c r="DT145" s="330" t="e">
        <v>#N/A</v>
      </c>
      <c r="DU145" s="330">
        <v>45599</v>
      </c>
      <c r="DV145" s="330" t="e">
        <v>#N/A</v>
      </c>
      <c r="DW145" s="331">
        <v>45972</v>
      </c>
      <c r="DX145" s="316" t="s">
        <v>1028</v>
      </c>
      <c r="DY145" s="334"/>
      <c r="DZ145" s="334"/>
      <c r="EA14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5" s="331">
        <v>45973</v>
      </c>
      <c r="EC145" s="332"/>
      <c r="ED145" s="332"/>
      <c r="EE145" s="330" t="s">
        <v>1029</v>
      </c>
      <c r="EF145" s="35">
        <v>1</v>
      </c>
      <c r="EG145" s="337">
        <v>1</v>
      </c>
      <c r="EH145" s="316" t="str">
        <f>IF(Table1[[#This Row],[PO Material Aktual 
(%)]]&gt;=100%,"Selesai PO = 100%",IF(Table1[[#This Row],[PO Material Aktual 
(%)]]&gt;=50%,"Proses PO &gt; 100%",IF(Table1[[#This Row],[PO Material Aktual 
(%)]]&gt;0%,"Proses PO &gt; 50%",IF(Table1[[#This Row],[PO Material Aktual 
(%)]]=0,"Belum PO = 0%"))))</f>
        <v>Selesai PO = 100%</v>
      </c>
      <c r="EI14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5" s="330">
        <v>45600</v>
      </c>
      <c r="EK145" s="330" t="e">
        <v>#N/A</v>
      </c>
      <c r="EL145" s="330">
        <v>45711</v>
      </c>
      <c r="EM145" s="330" t="e">
        <v>#N/A</v>
      </c>
      <c r="EN145" s="331">
        <v>45919</v>
      </c>
      <c r="EO145" s="332"/>
      <c r="EP145" s="332"/>
      <c r="EQ145" s="87">
        <v>1</v>
      </c>
      <c r="ER145" s="87">
        <v>1</v>
      </c>
      <c r="ES145" s="316" t="str">
        <f>IF(Table1[[#This Row],[Progres MOS]]&gt;=100%,"Selesai MOS = 100%",IF(Table1[[#This Row],[Progres MOS]]&gt;=50%,"Proses MOS &gt; 100%",IF(Table1[[#This Row],[Progres MOS]]&gt;0%,"Proses MOS &gt; 50%",IF(Table1[[#This Row],[Progres MOS]]=0,"Belum MOS = 0%"))))</f>
        <v>Selesai MOS = 100%</v>
      </c>
      <c r="ET14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5" s="47"/>
      <c r="EV145" s="330">
        <v>45558</v>
      </c>
      <c r="EW145" s="330" t="e">
        <v>#N/A</v>
      </c>
      <c r="EX145" s="330">
        <v>45655</v>
      </c>
      <c r="EY145" s="330" t="e">
        <v>#N/A</v>
      </c>
      <c r="EZ145" s="352" t="s">
        <v>298</v>
      </c>
      <c r="FA145" s="336" t="s">
        <v>259</v>
      </c>
      <c r="FB145" s="330" t="s">
        <v>260</v>
      </c>
      <c r="FC145" s="330">
        <v>45733</v>
      </c>
      <c r="FD145" s="330" t="s">
        <v>260</v>
      </c>
      <c r="FE145" s="330">
        <v>45765</v>
      </c>
      <c r="FF145" s="330">
        <v>45911</v>
      </c>
      <c r="FG145" s="330" t="s">
        <v>260</v>
      </c>
      <c r="FH145" s="330" t="s">
        <v>260</v>
      </c>
      <c r="FI145" s="330">
        <v>46010</v>
      </c>
      <c r="FJ145" s="330" t="s">
        <v>260</v>
      </c>
      <c r="FK145" s="330">
        <v>46134</v>
      </c>
      <c r="FL145" s="336" t="s">
        <v>298</v>
      </c>
      <c r="FM145" s="352">
        <v>45733</v>
      </c>
      <c r="FN145" s="338">
        <f>IF(Table1[[#This Row],[Tanggal Pengajuan Dokumen]]="","",Table1[[#This Row],[PLAN PERMIT
start]]-Table1[[#This Row],[Tanggal Pengajuan Dokumen]])</f>
        <v>-175</v>
      </c>
      <c r="FO145" s="437">
        <v>46086</v>
      </c>
      <c r="FP145" s="316" t="s">
        <v>175</v>
      </c>
      <c r="FQ145" s="338"/>
      <c r="FR145" s="338"/>
      <c r="FS145" s="338" t="str">
        <f t="shared" si="9"/>
        <v>On Going</v>
      </c>
      <c r="FT14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45" s="344">
        <f ca="1">IF(Table1[[#This Row],[Status Izin]]="Selesai",Table1[[#This Row],[PLAN PERMIT
finish]]-Table1[[#This Row],[Tanggal Terbit/ Target Izin Terbit]],ROUNDUP(Table1[[#This Row],[PLAN PERMIT
finish]]-NOW(),0))</f>
        <v>-536</v>
      </c>
      <c r="FV14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5" s="344"/>
      <c r="FX145" s="47"/>
      <c r="FY145" s="340"/>
      <c r="FZ145" s="341">
        <v>45582</v>
      </c>
      <c r="GA14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5" s="330">
        <v>45629</v>
      </c>
      <c r="GC145" s="352">
        <v>45635</v>
      </c>
      <c r="GD14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5" s="330">
        <v>45636</v>
      </c>
      <c r="GF145" s="352">
        <v>45635</v>
      </c>
      <c r="GG14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5" s="330">
        <v>45642</v>
      </c>
      <c r="GI145" s="330">
        <v>45648</v>
      </c>
      <c r="GJ145" s="352">
        <v>45657</v>
      </c>
      <c r="GK14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5" s="330">
        <v>45656</v>
      </c>
      <c r="GM145" s="330" t="e">
        <v>#N/A</v>
      </c>
      <c r="GN145" s="330">
        <v>45788</v>
      </c>
      <c r="GO145" s="330" t="e">
        <v>#N/A</v>
      </c>
      <c r="GP145" s="316"/>
      <c r="GQ14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5" s="330" t="s">
        <v>261</v>
      </c>
      <c r="GS145" s="330" t="s">
        <v>261</v>
      </c>
      <c r="GT145" s="354">
        <v>45841</v>
      </c>
      <c r="GU145" s="344" t="str">
        <f>IF(Table1[[#This Row],[Hydro Tes Actual
(tanggal)]]&lt;&gt;"","Sudah","Belum")</f>
        <v>Sudah</v>
      </c>
      <c r="GV145" s="330" t="s">
        <v>261</v>
      </c>
      <c r="GW145" s="330" t="s">
        <v>261</v>
      </c>
      <c r="GX145" s="331">
        <v>45862</v>
      </c>
      <c r="GY145" s="344" t="str">
        <f>IF(Table1[[#This Row],[Interkoneksi Actual
(tanggal)]]&lt;&gt;"","Sudah","Belum")</f>
        <v>Sudah</v>
      </c>
      <c r="GZ145" s="330" t="s">
        <v>261</v>
      </c>
      <c r="HA145" s="330" t="s">
        <v>261</v>
      </c>
      <c r="HB145" s="331">
        <v>45891</v>
      </c>
      <c r="HC145" s="344" t="str">
        <f>IF(Table1[[#This Row],[Flushing Actual
(tanggal)]]&lt;&gt;"","Sudah","Belum")</f>
        <v>Sudah</v>
      </c>
      <c r="HD145" s="330">
        <v>45754</v>
      </c>
      <c r="HE145" s="330" t="e">
        <v>#N/A</v>
      </c>
      <c r="HF145" s="330">
        <v>45774</v>
      </c>
      <c r="HG145" s="352">
        <v>45919</v>
      </c>
      <c r="HH14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5" s="330" t="s">
        <v>261</v>
      </c>
      <c r="HJ145" s="330" t="s">
        <v>261</v>
      </c>
      <c r="HK145" s="331"/>
      <c r="HL145" s="316"/>
      <c r="HM145" s="330">
        <v>45793</v>
      </c>
      <c r="HN145" s="330">
        <v>45793</v>
      </c>
      <c r="HO145" s="330" t="e">
        <v>#N/A</v>
      </c>
      <c r="HP145" s="331">
        <v>45933</v>
      </c>
      <c r="HQ14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45" s="330">
        <v>45800</v>
      </c>
      <c r="HS145" s="330"/>
      <c r="HT145" s="330">
        <v>45800</v>
      </c>
      <c r="HU145" s="527"/>
      <c r="HV145" s="330">
        <v>45934</v>
      </c>
      <c r="HW14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45" s="47"/>
      <c r="HY145" s="352"/>
      <c r="HZ145" s="352"/>
      <c r="IB145" s="618">
        <f>IFERROR(ROUND((Table1[[#This Row],[PLAN TC
finish]]-Table1[[#This Row],[PLAN MC-0
start]])/30,2),"")</f>
        <v>4.4000000000000004</v>
      </c>
      <c r="IC145">
        <f>DATEDIF(Table1[[#This Row],[PLAN MC-0
start]],Table1[[#This Row],[PLAN TC
finish]],"m")</f>
        <v>4</v>
      </c>
    </row>
    <row r="146" spans="2:237" s="4" customFormat="1" ht="15" hidden="1" customHeight="1" x14ac:dyDescent="0.2">
      <c r="B146" s="311">
        <f>SUBTOTAL(3,$D$5:D146)</f>
        <v>84</v>
      </c>
      <c r="C146" s="348">
        <v>142</v>
      </c>
      <c r="D146" s="338" t="s">
        <v>629</v>
      </c>
      <c r="E146" s="338" t="s">
        <v>1030</v>
      </c>
      <c r="F146" s="338" t="s">
        <v>1031</v>
      </c>
      <c r="G146" s="349">
        <v>45935</v>
      </c>
      <c r="H146" s="314" t="s">
        <v>247</v>
      </c>
      <c r="I146" s="338" t="s">
        <v>278</v>
      </c>
      <c r="J146" s="315" t="s">
        <v>882</v>
      </c>
      <c r="K146" s="338" t="s">
        <v>915</v>
      </c>
      <c r="L146" s="316" t="s">
        <v>250</v>
      </c>
      <c r="M146" s="316" t="s">
        <v>269</v>
      </c>
      <c r="N146" s="107">
        <v>9608</v>
      </c>
      <c r="O146" s="131" t="s">
        <v>252</v>
      </c>
      <c r="P14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6" s="35" t="e">
        <v>#N/A</v>
      </c>
      <c r="S146" s="35">
        <v>1</v>
      </c>
      <c r="T146" s="35">
        <f>Table1[[#This Row],[Progres Total Aktual
(%)]]</f>
        <v>1</v>
      </c>
      <c r="U146" s="124">
        <f>Table1[[#This Row],[Progres Aktual
(%)]]-Table1[[#This Row],[Target Progres
(%)]]</f>
        <v>0</v>
      </c>
      <c r="V146" s="350">
        <f>Table1[[#This Row],["Volume
BA MC-0"]]</f>
        <v>10012</v>
      </c>
      <c r="W146" s="351">
        <f>Table1[[#This Row],[Total Panjang Pipa Aktual
(Sum-&gt;)3]]</f>
        <v>8562.5</v>
      </c>
      <c r="X146" s="47"/>
      <c r="Y146" s="67" t="s">
        <v>1032</v>
      </c>
      <c r="Z146" s="67">
        <v>18449037766</v>
      </c>
      <c r="AA146" s="67">
        <f>Table1[[#This Row],[Nilai RAB Jaringan
(file pa aji)]]</f>
        <v>18449037766</v>
      </c>
      <c r="AB146" s="320">
        <f>SUM(Table1[[#This Row],[RAB Kegiatan Umum]:[RAB Perizinan]])</f>
        <v>0</v>
      </c>
      <c r="AC146" s="320"/>
      <c r="AD146" s="320"/>
      <c r="AE146" s="320"/>
      <c r="AF146" s="320"/>
      <c r="AG146" s="436">
        <v>3590983822</v>
      </c>
      <c r="AH146" s="35" t="e">
        <f>SUM(Table1[[#This Row],[Bobot Keg Umum]:[Bobot Perizinan]])</f>
        <v>#DIV/0!</v>
      </c>
      <c r="AI146" s="35" t="e">
        <f>Table1[[#This Row],[RAB Kegiatan Umum]]/Table1[[#This Row],[Nilai RAB Jaringan
(Exclude Ppn)]]</f>
        <v>#DIV/0!</v>
      </c>
      <c r="AJ146" s="35" t="e">
        <f>Table1[[#This Row],[RAB Pemasangan]]/Table1[[#This Row],[Nilai RAB Jaringan
(Exclude Ppn)]]</f>
        <v>#DIV/0!</v>
      </c>
      <c r="AK146" s="35" t="e">
        <f>Table1[[#This Row],[RAB Pengadaan]]/Table1[[#This Row],[Nilai RAB Jaringan
(Exclude Ppn)]]</f>
        <v>#DIV/0!</v>
      </c>
      <c r="AL146" s="35" t="e">
        <f>Table1[[#This Row],[RAB Perizinan]]/Table1[[#This Row],[Nilai RAB Jaringan
(Exclude Ppn)]]</f>
        <v>#DIV/0!</v>
      </c>
      <c r="AM146" s="47"/>
      <c r="AN146" s="285">
        <v>10012</v>
      </c>
      <c r="AO146" s="285">
        <f>SUM(Table1[[#This Row],[Pipa 63 mm]:[Pipa 1,800 mm]])</f>
        <v>10012</v>
      </c>
      <c r="AP146" s="285">
        <v>3412</v>
      </c>
      <c r="AQ146" s="285">
        <v>2874</v>
      </c>
      <c r="AR146" s="285">
        <v>1966</v>
      </c>
      <c r="AS146" s="285">
        <v>833</v>
      </c>
      <c r="AT146" s="285">
        <v>380</v>
      </c>
      <c r="AU146" s="285">
        <v>63</v>
      </c>
      <c r="AV146" s="285"/>
      <c r="AW146" s="285"/>
      <c r="AX146" s="285">
        <v>484</v>
      </c>
      <c r="AY146" s="285"/>
      <c r="AZ146" s="285"/>
      <c r="BA146" s="285"/>
      <c r="BB146" s="285"/>
      <c r="BC146" s="285"/>
      <c r="BD146" s="285"/>
      <c r="BE146" s="285"/>
      <c r="BF146" s="285"/>
      <c r="BG146" s="285"/>
      <c r="BH146" s="285"/>
      <c r="BI146" s="285"/>
      <c r="BJ146" s="36">
        <f>SUM(Table1[[#This Row],[Pipa 63 mm2]:[Pipa 1,800 mm21]])</f>
        <v>8562.5</v>
      </c>
      <c r="BK146" s="32">
        <v>1989</v>
      </c>
      <c r="BL146" s="32">
        <v>2921</v>
      </c>
      <c r="BM146" s="32">
        <v>1844</v>
      </c>
      <c r="BN146" s="32">
        <v>870</v>
      </c>
      <c r="BO146" s="32">
        <v>496</v>
      </c>
      <c r="BP146" s="32">
        <v>78</v>
      </c>
      <c r="BQ146" s="32">
        <v>364.5</v>
      </c>
      <c r="BR146" s="32"/>
      <c r="BS146" s="32"/>
      <c r="BT146" s="32"/>
      <c r="BU146" s="32"/>
      <c r="BV146" s="32"/>
      <c r="BW146" s="32"/>
      <c r="BX146" s="32"/>
      <c r="BY146" s="32"/>
      <c r="BZ146" s="32"/>
      <c r="CA146" s="32"/>
      <c r="CB146" s="32"/>
      <c r="CC146" s="32"/>
      <c r="CD146" s="32"/>
      <c r="CE146" s="32">
        <v>147</v>
      </c>
      <c r="CF146" s="32">
        <v>677</v>
      </c>
      <c r="CG146" s="32">
        <v>0</v>
      </c>
      <c r="CH146" s="32">
        <v>623</v>
      </c>
      <c r="CI146" s="32">
        <f t="shared" si="10"/>
        <v>1447</v>
      </c>
      <c r="CJ146" s="65">
        <f>IF((Table1[[#This Row],["Volume
BA MC-0"]]-Table1[[#This Row],[Total Panjang Pipa Aktual
(Sum-&gt;)3]]-Table1[[#This Row],[Total Volume
tidak dapat dipasang]])&gt;=0,Table1[[#This Row],["Volume
BA MC-0"]]-Table1[[#This Row],[Total Panjang Pipa Aktual
(Sum-&gt;)3]]-Table1[[#This Row],[Total Volume
tidak dapat dipasang]],0)</f>
        <v>2.5</v>
      </c>
      <c r="CK146" s="47"/>
      <c r="CL146" s="131"/>
      <c r="CM146" s="35"/>
      <c r="CN146" s="131"/>
      <c r="CO146" s="131"/>
      <c r="CP14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6" s="66">
        <f>IFERROR(Table1[[#This Row],[Progres Keg. Umum
(%)]]*Table1[[#This Row],[Nilai RAB Jaringan
(file pa aji)]],0)</f>
        <v>0</v>
      </c>
      <c r="CR146" s="66">
        <f>IFERROR(Table1[[#This Row],[Progres MOS
(%)]]*Table1[[#This Row],[Nilai RAB Jaringan
(file pa aji)]],0)</f>
        <v>0</v>
      </c>
      <c r="CS146" s="66">
        <f>IFERROR(Table1[[#This Row],[Progres Pemasangan
(%)]]*Table1[[#This Row],[Nilai RAB Jaringan
(file pa aji)]],0)</f>
        <v>0</v>
      </c>
      <c r="CT146" s="66">
        <f>IFERROR(Table1[[#This Row],[Progres Perizinan
(%)]]*Table1[[#This Row],[Nilai RAB Jaringan
(file pa aji)]],0)</f>
        <v>0</v>
      </c>
      <c r="CU146" s="329">
        <v>14022937402</v>
      </c>
      <c r="CV146" s="329">
        <v>14022937402</v>
      </c>
      <c r="CW146" s="583">
        <v>14022937402</v>
      </c>
      <c r="CX146" s="329">
        <v>14022937402</v>
      </c>
      <c r="CY146" s="47"/>
      <c r="CZ146" s="330">
        <v>45530</v>
      </c>
      <c r="DA146" s="330">
        <v>45557</v>
      </c>
      <c r="DB146" s="331">
        <v>45553</v>
      </c>
      <c r="DC146" s="316" t="s">
        <v>1033</v>
      </c>
      <c r="DD146" s="67">
        <v>21183576358</v>
      </c>
      <c r="DE14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6" s="331">
        <v>45566</v>
      </c>
      <c r="DG146" s="316" t="s">
        <v>1034</v>
      </c>
      <c r="DH146" s="67">
        <v>21183576358</v>
      </c>
      <c r="DI14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6" s="330">
        <v>45558</v>
      </c>
      <c r="DK146" s="330">
        <v>45627</v>
      </c>
      <c r="DL146" s="331">
        <v>45621</v>
      </c>
      <c r="DM146" s="316" t="s">
        <v>1035</v>
      </c>
      <c r="DN14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6" s="331">
        <v>45636</v>
      </c>
      <c r="DP146" s="316" t="s">
        <v>1036</v>
      </c>
      <c r="DQ146" s="338" t="s">
        <v>275</v>
      </c>
      <c r="DR14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6" s="330">
        <v>45558</v>
      </c>
      <c r="DT146" s="330" t="e">
        <v>#N/A</v>
      </c>
      <c r="DU146" s="330">
        <v>45599</v>
      </c>
      <c r="DV146" s="330" t="e">
        <v>#N/A</v>
      </c>
      <c r="DW146" s="331">
        <v>45979</v>
      </c>
      <c r="DX146" s="316" t="s">
        <v>1037</v>
      </c>
      <c r="DY146" s="334"/>
      <c r="DZ146" s="334"/>
      <c r="EA14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6" s="331">
        <v>45992</v>
      </c>
      <c r="EC146" s="332"/>
      <c r="ED146" s="332"/>
      <c r="EE146" s="330" t="s">
        <v>1038</v>
      </c>
      <c r="EF146" s="35">
        <v>1</v>
      </c>
      <c r="EG146" s="337">
        <v>1</v>
      </c>
      <c r="EH146" s="316" t="str">
        <f>IF(Table1[[#This Row],[PO Material Aktual 
(%)]]&gt;=100%,"Selesai PO = 100%",IF(Table1[[#This Row],[PO Material Aktual 
(%)]]&gt;=50%,"Proses PO &gt; 100%",IF(Table1[[#This Row],[PO Material Aktual 
(%)]]&gt;0%,"Proses PO &gt; 50%",IF(Table1[[#This Row],[PO Material Aktual 
(%)]]=0,"Belum PO = 0%"))))</f>
        <v>Selesai PO = 100%</v>
      </c>
      <c r="EI14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6" s="330">
        <v>45600</v>
      </c>
      <c r="EK146" s="330" t="e">
        <v>#N/A</v>
      </c>
      <c r="EL146" s="330">
        <v>45711</v>
      </c>
      <c r="EM146" s="330" t="e">
        <v>#N/A</v>
      </c>
      <c r="EN146" s="331">
        <v>46160</v>
      </c>
      <c r="EO146" s="332"/>
      <c r="EP146" s="332"/>
      <c r="EQ146" s="87">
        <v>1</v>
      </c>
      <c r="ER146" s="87">
        <v>1</v>
      </c>
      <c r="ES146" s="316" t="str">
        <f>IF(Table1[[#This Row],[Progres MOS]]&gt;=100%,"Selesai MOS = 100%",IF(Table1[[#This Row],[Progres MOS]]&gt;=50%,"Proses MOS &gt; 100%",IF(Table1[[#This Row],[Progres MOS]]&gt;0%,"Proses MOS &gt; 50%",IF(Table1[[#This Row],[Progres MOS]]=0,"Belum MOS = 0%"))))</f>
        <v>Selesai MOS = 100%</v>
      </c>
      <c r="ET14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6" s="47"/>
      <c r="EV146" s="330">
        <v>45558</v>
      </c>
      <c r="EW146" s="330" t="e">
        <v>#N/A</v>
      </c>
      <c r="EX146" s="330">
        <v>45655</v>
      </c>
      <c r="EY146" s="330" t="e">
        <v>#N/A</v>
      </c>
      <c r="EZ146" s="352" t="s">
        <v>298</v>
      </c>
      <c r="FA146" s="336" t="s">
        <v>259</v>
      </c>
      <c r="FB146" s="330" t="s">
        <v>260</v>
      </c>
      <c r="FC146" s="330">
        <v>45728</v>
      </c>
      <c r="FD146" s="330" t="s">
        <v>260</v>
      </c>
      <c r="FE146" s="330">
        <v>45866</v>
      </c>
      <c r="FF146" s="330">
        <v>45911</v>
      </c>
      <c r="FG146" s="330" t="s">
        <v>260</v>
      </c>
      <c r="FH146" s="330" t="s">
        <v>260</v>
      </c>
      <c r="FI146" s="330">
        <v>46010</v>
      </c>
      <c r="FJ146" s="330" t="s">
        <v>260</v>
      </c>
      <c r="FK146" s="330">
        <v>46142</v>
      </c>
      <c r="FL146" s="336" t="s">
        <v>298</v>
      </c>
      <c r="FM146" s="352">
        <v>45728</v>
      </c>
      <c r="FN146" s="338">
        <f>IF(Table1[[#This Row],[Tanggal Pengajuan Dokumen]]="","",Table1[[#This Row],[PLAN PERMIT
start]]-Table1[[#This Row],[Tanggal Pengajuan Dokumen]])</f>
        <v>-170</v>
      </c>
      <c r="FO146" s="437">
        <v>46086</v>
      </c>
      <c r="FP146" s="316"/>
      <c r="FQ146" s="338"/>
      <c r="FR146" s="338"/>
      <c r="FS146" s="338" t="str">
        <f t="shared" si="9"/>
        <v>Sudah Terbit</v>
      </c>
      <c r="FT14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6" s="344">
        <f ca="1">IF(Table1[[#This Row],[Status Izin]]="Selesai",Table1[[#This Row],[PLAN PERMIT
finish]]-Table1[[#This Row],[Tanggal Terbit/ Target Izin Terbit]],ROUNDUP(Table1[[#This Row],[PLAN PERMIT
finish]]-NOW(),0))</f>
        <v>-431</v>
      </c>
      <c r="FV14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6" s="344"/>
      <c r="FX146" s="47"/>
      <c r="FY146" s="340"/>
      <c r="FZ146" s="341">
        <v>45582</v>
      </c>
      <c r="GA14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6" s="330">
        <v>45629</v>
      </c>
      <c r="GC146" s="352">
        <v>45635</v>
      </c>
      <c r="GD14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6" s="330">
        <v>45636</v>
      </c>
      <c r="GF146" s="352">
        <v>45635</v>
      </c>
      <c r="GG14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6" s="330">
        <v>45642</v>
      </c>
      <c r="GI146" s="330">
        <v>45648</v>
      </c>
      <c r="GJ146" s="352">
        <v>45660</v>
      </c>
      <c r="GK14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6" s="330">
        <v>45656</v>
      </c>
      <c r="GM146" s="330" t="e">
        <v>#N/A</v>
      </c>
      <c r="GN146" s="330">
        <v>45788</v>
      </c>
      <c r="GO146" s="330" t="e">
        <v>#N/A</v>
      </c>
      <c r="GP146" s="316"/>
      <c r="GQ14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6" s="330" t="s">
        <v>261</v>
      </c>
      <c r="GS146" s="330" t="s">
        <v>261</v>
      </c>
      <c r="GT146" s="354">
        <v>45873</v>
      </c>
      <c r="GU146" s="344" t="str">
        <f>IF(Table1[[#This Row],[Hydro Tes Actual
(tanggal)]]&lt;&gt;"","Sudah","Belum")</f>
        <v>Sudah</v>
      </c>
      <c r="GV146" s="330" t="s">
        <v>261</v>
      </c>
      <c r="GW146" s="330" t="s">
        <v>261</v>
      </c>
      <c r="GX146" s="331">
        <v>45800</v>
      </c>
      <c r="GY146" s="344" t="str">
        <f>IF(Table1[[#This Row],[Interkoneksi Actual
(tanggal)]]&lt;&gt;"","Sudah","Belum")</f>
        <v>Sudah</v>
      </c>
      <c r="GZ146" s="330" t="s">
        <v>261</v>
      </c>
      <c r="HA146" s="330" t="s">
        <v>261</v>
      </c>
      <c r="HB146" s="331">
        <v>46006</v>
      </c>
      <c r="HC146" s="344" t="str">
        <f>IF(Table1[[#This Row],[Flushing Actual
(tanggal)]]&lt;&gt;"","Sudah","Belum")</f>
        <v>Sudah</v>
      </c>
      <c r="HD146" s="330">
        <v>45754</v>
      </c>
      <c r="HE146" s="330" t="e">
        <v>#N/A</v>
      </c>
      <c r="HF146" s="330">
        <v>45774</v>
      </c>
      <c r="HG146" s="352">
        <v>46007</v>
      </c>
      <c r="HH14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6" s="330" t="s">
        <v>261</v>
      </c>
      <c r="HJ146" s="330" t="s">
        <v>261</v>
      </c>
      <c r="HK146" s="331"/>
      <c r="HL146" s="316"/>
      <c r="HM146" s="330">
        <v>45793</v>
      </c>
      <c r="HN146" s="330">
        <v>45793</v>
      </c>
      <c r="HO146" s="330" t="e">
        <v>#N/A</v>
      </c>
      <c r="HP146" s="331">
        <v>46010</v>
      </c>
      <c r="HQ14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46" s="330">
        <v>45800</v>
      </c>
      <c r="HS146" s="330"/>
      <c r="HT146" s="330">
        <v>45800</v>
      </c>
      <c r="HU146" s="527"/>
      <c r="HV146" s="330">
        <v>46024</v>
      </c>
      <c r="HW14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46" s="47"/>
      <c r="HY146" s="352"/>
      <c r="HZ146" s="352"/>
      <c r="IB146" s="618">
        <f>IFERROR(ROUND((Table1[[#This Row],[PLAN TC
finish]]-Table1[[#This Row],[PLAN MC-0
start]])/30,2),"")</f>
        <v>4.4000000000000004</v>
      </c>
      <c r="IC146">
        <f>DATEDIF(Table1[[#This Row],[PLAN MC-0
start]],Table1[[#This Row],[PLAN TC
finish]],"m")</f>
        <v>4</v>
      </c>
    </row>
    <row r="147" spans="2:237" s="4" customFormat="1" ht="15" hidden="1" customHeight="1" x14ac:dyDescent="0.2">
      <c r="B147" s="311">
        <f>SUBTOTAL(3,$D$5:D147)</f>
        <v>84</v>
      </c>
      <c r="C147" s="348">
        <v>143</v>
      </c>
      <c r="D147" s="338" t="s">
        <v>629</v>
      </c>
      <c r="E147" s="338" t="s">
        <v>1039</v>
      </c>
      <c r="F147" s="338" t="s">
        <v>1040</v>
      </c>
      <c r="G147" s="349">
        <v>45935</v>
      </c>
      <c r="H147" s="314" t="s">
        <v>247</v>
      </c>
      <c r="I147" s="338" t="s">
        <v>278</v>
      </c>
      <c r="J147" s="315" t="s">
        <v>882</v>
      </c>
      <c r="K147" s="338" t="s">
        <v>915</v>
      </c>
      <c r="L147" s="316" t="s">
        <v>250</v>
      </c>
      <c r="M147" s="316" t="s">
        <v>269</v>
      </c>
      <c r="N147" s="107">
        <v>11712</v>
      </c>
      <c r="O147" s="131" t="s">
        <v>252</v>
      </c>
      <c r="P14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7" s="35" t="e">
        <v>#N/A</v>
      </c>
      <c r="S147" s="35">
        <v>1</v>
      </c>
      <c r="T147" s="35">
        <f>Table1[[#This Row],[Progres Total Aktual
(%)]]</f>
        <v>1</v>
      </c>
      <c r="U147" s="124">
        <f>Table1[[#This Row],[Progres Aktual
(%)]]-Table1[[#This Row],[Target Progres
(%)]]</f>
        <v>0</v>
      </c>
      <c r="V147" s="350">
        <f>Table1[[#This Row],["Volume
BA MC-0"]]</f>
        <v>11607</v>
      </c>
      <c r="W147" s="351">
        <f>Table1[[#This Row],[Total Panjang Pipa Aktual
(Sum-&gt;)3]]</f>
        <v>8772</v>
      </c>
      <c r="X147" s="47"/>
      <c r="Y147" s="67" t="s">
        <v>1041</v>
      </c>
      <c r="Z147" s="67">
        <v>27488140030</v>
      </c>
      <c r="AA147" s="67">
        <f>Table1[[#This Row],[Nilai RAB Jaringan
(file pa aji)]]</f>
        <v>27488140030</v>
      </c>
      <c r="AB147" s="320">
        <f>SUM(Table1[[#This Row],[RAB Kegiatan Umum]:[RAB Perizinan]])</f>
        <v>0</v>
      </c>
      <c r="AC147" s="320"/>
      <c r="AD147" s="320"/>
      <c r="AE147" s="320"/>
      <c r="AF147" s="320"/>
      <c r="AG147" s="436">
        <v>3935324736</v>
      </c>
      <c r="AH147" s="35" t="e">
        <f>SUM(Table1[[#This Row],[Bobot Keg Umum]:[Bobot Perizinan]])</f>
        <v>#DIV/0!</v>
      </c>
      <c r="AI147" s="35" t="e">
        <f>Table1[[#This Row],[RAB Kegiatan Umum]]/Table1[[#This Row],[Nilai RAB Jaringan
(Exclude Ppn)]]</f>
        <v>#DIV/0!</v>
      </c>
      <c r="AJ147" s="35" t="e">
        <f>Table1[[#This Row],[RAB Pemasangan]]/Table1[[#This Row],[Nilai RAB Jaringan
(Exclude Ppn)]]</f>
        <v>#DIV/0!</v>
      </c>
      <c r="AK147" s="35" t="e">
        <f>Table1[[#This Row],[RAB Pengadaan]]/Table1[[#This Row],[Nilai RAB Jaringan
(Exclude Ppn)]]</f>
        <v>#DIV/0!</v>
      </c>
      <c r="AL147" s="35" t="e">
        <f>Table1[[#This Row],[RAB Perizinan]]/Table1[[#This Row],[Nilai RAB Jaringan
(Exclude Ppn)]]</f>
        <v>#DIV/0!</v>
      </c>
      <c r="AM147" s="47"/>
      <c r="AN147" s="285">
        <v>11607</v>
      </c>
      <c r="AO147" s="285">
        <f>SUM(Table1[[#This Row],[Pipa 63 mm]:[Pipa 1,800 mm]])</f>
        <v>11607</v>
      </c>
      <c r="AP147" s="285">
        <v>3712</v>
      </c>
      <c r="AQ147" s="285">
        <v>3804</v>
      </c>
      <c r="AR147" s="285">
        <v>3593</v>
      </c>
      <c r="AS147" s="285"/>
      <c r="AT147" s="285"/>
      <c r="AU147" s="285"/>
      <c r="AV147" s="285">
        <v>498</v>
      </c>
      <c r="AW147" s="285"/>
      <c r="AX147" s="285"/>
      <c r="AY147" s="285"/>
      <c r="AZ147" s="285"/>
      <c r="BA147" s="285"/>
      <c r="BB147" s="285"/>
      <c r="BC147" s="285"/>
      <c r="BD147" s="285"/>
      <c r="BE147" s="285"/>
      <c r="BF147" s="285"/>
      <c r="BG147" s="285"/>
      <c r="BH147" s="285"/>
      <c r="BI147" s="285"/>
      <c r="BJ147" s="36">
        <f>SUM(Table1[[#This Row],[Pipa 63 mm2]:[Pipa 1,800 mm21]])</f>
        <v>8772</v>
      </c>
      <c r="BK147" s="32">
        <v>1762.7</v>
      </c>
      <c r="BL147" s="32">
        <v>3257</v>
      </c>
      <c r="BM147" s="32">
        <v>3129.3</v>
      </c>
      <c r="BN147" s="32"/>
      <c r="BO147" s="32"/>
      <c r="BP147" s="32"/>
      <c r="BQ147" s="32">
        <v>623</v>
      </c>
      <c r="BR147" s="32"/>
      <c r="BS147" s="32"/>
      <c r="BT147" s="32"/>
      <c r="BU147" s="32"/>
      <c r="BV147" s="32"/>
      <c r="BW147" s="32"/>
      <c r="BX147" s="32"/>
      <c r="BY147" s="32"/>
      <c r="BZ147" s="32"/>
      <c r="CA147" s="32"/>
      <c r="CB147" s="32"/>
      <c r="CC147" s="32"/>
      <c r="CD147" s="32"/>
      <c r="CE147" s="32">
        <v>2833</v>
      </c>
      <c r="CF147" s="32">
        <v>0</v>
      </c>
      <c r="CG147" s="32">
        <v>0</v>
      </c>
      <c r="CH147" s="32">
        <v>0</v>
      </c>
      <c r="CI147" s="32">
        <f t="shared" si="10"/>
        <v>2833</v>
      </c>
      <c r="CJ147" s="65">
        <f>IF((Table1[[#This Row],["Volume
BA MC-0"]]-Table1[[#This Row],[Total Panjang Pipa Aktual
(Sum-&gt;)3]]-Table1[[#This Row],[Total Volume
tidak dapat dipasang]])&gt;=0,Table1[[#This Row],["Volume
BA MC-0"]]-Table1[[#This Row],[Total Panjang Pipa Aktual
(Sum-&gt;)3]]-Table1[[#This Row],[Total Volume
tidak dapat dipasang]],0)</f>
        <v>2</v>
      </c>
      <c r="CK147" s="47"/>
      <c r="CL147" s="131"/>
      <c r="CM147" s="35"/>
      <c r="CN147" s="131"/>
      <c r="CO147" s="131"/>
      <c r="CP14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7" s="66">
        <f>IFERROR(Table1[[#This Row],[Progres Keg. Umum
(%)]]*Table1[[#This Row],[Nilai RAB Jaringan
(file pa aji)]],0)</f>
        <v>0</v>
      </c>
      <c r="CR147" s="66">
        <f>IFERROR(Table1[[#This Row],[Progres MOS
(%)]]*Table1[[#This Row],[Nilai RAB Jaringan
(file pa aji)]],0)</f>
        <v>0</v>
      </c>
      <c r="CS147" s="66">
        <f>IFERROR(Table1[[#This Row],[Progres Pemasangan
(%)]]*Table1[[#This Row],[Nilai RAB Jaringan
(file pa aji)]],0)</f>
        <v>0</v>
      </c>
      <c r="CT147" s="66">
        <f>IFERROR(Table1[[#This Row],[Progres Perizinan
(%)]]*Table1[[#This Row],[Nilai RAB Jaringan
(file pa aji)]],0)</f>
        <v>0</v>
      </c>
      <c r="CU147" s="329">
        <v>13656154021</v>
      </c>
      <c r="CV147" s="329">
        <v>13656154021</v>
      </c>
      <c r="CW147" s="583">
        <v>13656154021</v>
      </c>
      <c r="CX147" s="329">
        <v>13656154021</v>
      </c>
      <c r="CY147" s="47"/>
      <c r="CZ147" s="330">
        <v>45530</v>
      </c>
      <c r="DA147" s="330">
        <v>45557</v>
      </c>
      <c r="DB147" s="331">
        <v>45553</v>
      </c>
      <c r="DC147" s="316" t="s">
        <v>1042</v>
      </c>
      <c r="DD147" s="67">
        <v>30777377128</v>
      </c>
      <c r="DE14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7" s="331">
        <v>45566</v>
      </c>
      <c r="DG147" s="316" t="s">
        <v>1043</v>
      </c>
      <c r="DH147" s="67">
        <v>30777377128</v>
      </c>
      <c r="DI14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7" s="330">
        <v>45558</v>
      </c>
      <c r="DK147" s="330">
        <v>45627</v>
      </c>
      <c r="DL147" s="331">
        <v>45924</v>
      </c>
      <c r="DM147" s="316" t="s">
        <v>1044</v>
      </c>
      <c r="DN14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47" s="331">
        <v>45966</v>
      </c>
      <c r="DP147" s="316" t="s">
        <v>1045</v>
      </c>
      <c r="DQ147" s="338" t="s">
        <v>365</v>
      </c>
      <c r="DR14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7" s="330">
        <v>45558</v>
      </c>
      <c r="DT147" s="330" t="e">
        <v>#N/A</v>
      </c>
      <c r="DU147" s="330">
        <v>45599</v>
      </c>
      <c r="DV147" s="330" t="e">
        <v>#N/A</v>
      </c>
      <c r="DW147" s="331">
        <v>45990</v>
      </c>
      <c r="DX147" s="316" t="s">
        <v>1046</v>
      </c>
      <c r="DY147" s="334"/>
      <c r="DZ147" s="334"/>
      <c r="EA14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7" s="331">
        <v>45994</v>
      </c>
      <c r="EC147" s="332"/>
      <c r="ED147" s="332"/>
      <c r="EE147" s="330" t="s">
        <v>1047</v>
      </c>
      <c r="EF147" s="35">
        <v>1</v>
      </c>
      <c r="EG147" s="337">
        <v>1</v>
      </c>
      <c r="EH147" s="316" t="str">
        <f>IF(Table1[[#This Row],[PO Material Aktual 
(%)]]&gt;=100%,"Selesai PO = 100%",IF(Table1[[#This Row],[PO Material Aktual 
(%)]]&gt;=50%,"Proses PO &gt; 100%",IF(Table1[[#This Row],[PO Material Aktual 
(%)]]&gt;0%,"Proses PO &gt; 50%",IF(Table1[[#This Row],[PO Material Aktual 
(%)]]=0,"Belum PO = 0%"))))</f>
        <v>Selesai PO = 100%</v>
      </c>
      <c r="EI14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7" s="330">
        <v>45600</v>
      </c>
      <c r="EK147" s="330" t="e">
        <v>#N/A</v>
      </c>
      <c r="EL147" s="330">
        <v>45711</v>
      </c>
      <c r="EM147" s="330" t="e">
        <v>#N/A</v>
      </c>
      <c r="EN147" s="331">
        <v>46095</v>
      </c>
      <c r="EO147" s="332"/>
      <c r="EP147" s="332"/>
      <c r="EQ147" s="87">
        <v>1</v>
      </c>
      <c r="ER147" s="87">
        <v>1</v>
      </c>
      <c r="ES147" s="316" t="str">
        <f>IF(Table1[[#This Row],[Progres MOS]]&gt;=100%,"Selesai MOS = 100%",IF(Table1[[#This Row],[Progres MOS]]&gt;=50%,"Proses MOS &gt; 100%",IF(Table1[[#This Row],[Progres MOS]]&gt;0%,"Proses MOS &gt; 50%",IF(Table1[[#This Row],[Progres MOS]]=0,"Belum MOS = 0%"))))</f>
        <v>Selesai MOS = 100%</v>
      </c>
      <c r="ET14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7" s="47"/>
      <c r="EV147" s="330">
        <v>45558</v>
      </c>
      <c r="EW147" s="330" t="e">
        <v>#N/A</v>
      </c>
      <c r="EX147" s="330">
        <v>45655</v>
      </c>
      <c r="EY147" s="330" t="e">
        <v>#N/A</v>
      </c>
      <c r="EZ147" s="352" t="s">
        <v>259</v>
      </c>
      <c r="FA147" s="336" t="s">
        <v>259</v>
      </c>
      <c r="FB147" s="330" t="s">
        <v>260</v>
      </c>
      <c r="FC147" s="330">
        <v>45763</v>
      </c>
      <c r="FD147" s="330" t="s">
        <v>260</v>
      </c>
      <c r="FE147" s="330">
        <v>45866</v>
      </c>
      <c r="FF147" s="330">
        <v>45880</v>
      </c>
      <c r="FG147" s="330" t="s">
        <v>260</v>
      </c>
      <c r="FH147" s="330" t="s">
        <v>260</v>
      </c>
      <c r="FI147" s="330">
        <v>45985</v>
      </c>
      <c r="FJ147" s="330" t="s">
        <v>260</v>
      </c>
      <c r="FK147" s="330">
        <v>46057</v>
      </c>
      <c r="FL147" s="336" t="s">
        <v>259</v>
      </c>
      <c r="FM147" s="352">
        <v>45763</v>
      </c>
      <c r="FN147" s="338">
        <f>IF(Table1[[#This Row],[Tanggal Pengajuan Dokumen]]="","",Table1[[#This Row],[PLAN PERMIT
start]]-Table1[[#This Row],[Tanggal Pengajuan Dokumen]])</f>
        <v>-205</v>
      </c>
      <c r="FO147" s="437">
        <v>46064</v>
      </c>
      <c r="FP147" s="316" t="s">
        <v>175</v>
      </c>
      <c r="FQ147" s="338"/>
      <c r="FR147" s="338"/>
      <c r="FS147" s="338" t="str">
        <f t="shared" si="9"/>
        <v>On Going</v>
      </c>
      <c r="FT14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47" s="344">
        <f ca="1">IF(Table1[[#This Row],[Status Izin]]="Selesai",Table1[[#This Row],[PLAN PERMIT
finish]]-Table1[[#This Row],[Tanggal Terbit/ Target Izin Terbit]],ROUNDUP(Table1[[#This Row],[PLAN PERMIT
finish]]-NOW(),0))</f>
        <v>-536</v>
      </c>
      <c r="FV14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7" s="344"/>
      <c r="FX147" s="47"/>
      <c r="FY147" s="340"/>
      <c r="FZ147" s="341">
        <v>45582</v>
      </c>
      <c r="GA14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7" s="330">
        <v>45629</v>
      </c>
      <c r="GC147" s="352">
        <v>45635</v>
      </c>
      <c r="GD14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7" s="330">
        <v>45636</v>
      </c>
      <c r="GF147" s="352">
        <v>45635</v>
      </c>
      <c r="GG14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7" s="330">
        <v>45642</v>
      </c>
      <c r="GI147" s="330">
        <v>45648</v>
      </c>
      <c r="GJ147" s="352">
        <v>45644</v>
      </c>
      <c r="GK14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7" s="330">
        <v>45656</v>
      </c>
      <c r="GM147" s="330" t="e">
        <v>#N/A</v>
      </c>
      <c r="GN147" s="330">
        <v>45788</v>
      </c>
      <c r="GO147" s="330" t="e">
        <v>#N/A</v>
      </c>
      <c r="GP147" s="316"/>
      <c r="GQ14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7" s="330" t="s">
        <v>261</v>
      </c>
      <c r="GS147" s="330" t="s">
        <v>261</v>
      </c>
      <c r="GT147" s="354">
        <v>45987</v>
      </c>
      <c r="GU147" s="344" t="str">
        <f>IF(Table1[[#This Row],[Hydro Tes Actual
(tanggal)]]&lt;&gt;"","Sudah","Belum")</f>
        <v>Sudah</v>
      </c>
      <c r="GV147" s="330" t="s">
        <v>261</v>
      </c>
      <c r="GW147" s="330" t="s">
        <v>261</v>
      </c>
      <c r="GX147" s="331">
        <v>45800</v>
      </c>
      <c r="GY147" s="344" t="str">
        <f>IF(Table1[[#This Row],[Interkoneksi Actual
(tanggal)]]&lt;&gt;"","Sudah","Belum")</f>
        <v>Sudah</v>
      </c>
      <c r="GZ147" s="330" t="s">
        <v>261</v>
      </c>
      <c r="HA147" s="330" t="s">
        <v>261</v>
      </c>
      <c r="HB147" s="331">
        <v>45950</v>
      </c>
      <c r="HC147" s="344" t="str">
        <f>IF(Table1[[#This Row],[Flushing Actual
(tanggal)]]&lt;&gt;"","Sudah","Belum")</f>
        <v>Sudah</v>
      </c>
      <c r="HD147" s="330">
        <v>45754</v>
      </c>
      <c r="HE147" s="330" t="e">
        <v>#N/A</v>
      </c>
      <c r="HF147" s="330">
        <v>45774</v>
      </c>
      <c r="HG147" s="352">
        <v>46008</v>
      </c>
      <c r="HH14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7" s="330" t="s">
        <v>261</v>
      </c>
      <c r="HJ147" s="330" t="s">
        <v>261</v>
      </c>
      <c r="HK147" s="331"/>
      <c r="HL147" s="316"/>
      <c r="HM147" s="330">
        <v>45793</v>
      </c>
      <c r="HN147" s="330">
        <v>45793</v>
      </c>
      <c r="HO147" s="330" t="e">
        <v>#N/A</v>
      </c>
      <c r="HP147" s="331">
        <v>46015</v>
      </c>
      <c r="HQ14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47" s="330">
        <v>45800</v>
      </c>
      <c r="HS147" s="330"/>
      <c r="HT147" s="330">
        <v>45800</v>
      </c>
      <c r="HU147" s="527"/>
      <c r="HV147" s="330">
        <v>46024</v>
      </c>
      <c r="HW14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47" s="47"/>
      <c r="HY147" s="352"/>
      <c r="HZ147" s="352"/>
      <c r="IB147" s="618">
        <f>IFERROR(ROUND((Table1[[#This Row],[PLAN TC
finish]]-Table1[[#This Row],[PLAN MC-0
start]])/30,2),"")</f>
        <v>4.4000000000000004</v>
      </c>
      <c r="IC147">
        <f>DATEDIF(Table1[[#This Row],[PLAN MC-0
start]],Table1[[#This Row],[PLAN TC
finish]],"m")</f>
        <v>4</v>
      </c>
    </row>
    <row r="148" spans="2:237" s="4" customFormat="1" ht="15" hidden="1" customHeight="1" x14ac:dyDescent="0.2">
      <c r="B148" s="311">
        <f>SUBTOTAL(3,$D$5:D148)</f>
        <v>84</v>
      </c>
      <c r="C148" s="348">
        <v>144</v>
      </c>
      <c r="D148" s="338" t="s">
        <v>629</v>
      </c>
      <c r="E148" s="338" t="s">
        <v>1048</v>
      </c>
      <c r="F148" s="338" t="s">
        <v>1049</v>
      </c>
      <c r="G148" s="349">
        <v>45935</v>
      </c>
      <c r="H148" s="314" t="s">
        <v>247</v>
      </c>
      <c r="I148" s="338" t="s">
        <v>278</v>
      </c>
      <c r="J148" s="315" t="s">
        <v>882</v>
      </c>
      <c r="K148" s="338" t="s">
        <v>915</v>
      </c>
      <c r="L148" s="316" t="s">
        <v>250</v>
      </c>
      <c r="M148" s="316" t="s">
        <v>269</v>
      </c>
      <c r="N148" s="107">
        <v>36979</v>
      </c>
      <c r="O148" s="131" t="s">
        <v>252</v>
      </c>
      <c r="P14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8" s="35" t="e">
        <v>#N/A</v>
      </c>
      <c r="S148" s="35">
        <v>1</v>
      </c>
      <c r="T148" s="35">
        <f>Table1[[#This Row],[Progres Total Aktual
(%)]]</f>
        <v>1</v>
      </c>
      <c r="U148" s="124">
        <f>Table1[[#This Row],[Progres Aktual
(%)]]-Table1[[#This Row],[Target Progres
(%)]]</f>
        <v>0</v>
      </c>
      <c r="V148" s="350">
        <f>Table1[[#This Row],["Volume
BA MC-0"]]</f>
        <v>44782</v>
      </c>
      <c r="W148" s="351">
        <f>Table1[[#This Row],[Total Panjang Pipa Aktual
(Sum-&gt;)3]]</f>
        <v>37737.200000000004</v>
      </c>
      <c r="X148" s="47"/>
      <c r="Y148" s="67" t="s">
        <v>1050</v>
      </c>
      <c r="Z148" s="67">
        <v>89206411490</v>
      </c>
      <c r="AA148" s="67">
        <f>Table1[[#This Row],[Nilai RAB Jaringan
(file pa aji)]]</f>
        <v>89206411490</v>
      </c>
      <c r="AB148" s="320">
        <f>SUM(Table1[[#This Row],[RAB Kegiatan Umum]:[RAB Perizinan]])</f>
        <v>0</v>
      </c>
      <c r="AC148" s="320"/>
      <c r="AD148" s="320"/>
      <c r="AE148" s="320"/>
      <c r="AF148" s="320"/>
      <c r="AG148" s="436">
        <v>4091098007</v>
      </c>
      <c r="AH148" s="35" t="e">
        <f>SUM(Table1[[#This Row],[Bobot Keg Umum]:[Bobot Perizinan]])</f>
        <v>#DIV/0!</v>
      </c>
      <c r="AI148" s="35" t="e">
        <f>Table1[[#This Row],[RAB Kegiatan Umum]]/Table1[[#This Row],[Nilai RAB Jaringan
(Exclude Ppn)]]</f>
        <v>#DIV/0!</v>
      </c>
      <c r="AJ148" s="35" t="e">
        <f>Table1[[#This Row],[RAB Pemasangan]]/Table1[[#This Row],[Nilai RAB Jaringan
(Exclude Ppn)]]</f>
        <v>#DIV/0!</v>
      </c>
      <c r="AK148" s="35" t="e">
        <f>Table1[[#This Row],[RAB Pengadaan]]/Table1[[#This Row],[Nilai RAB Jaringan
(Exclude Ppn)]]</f>
        <v>#DIV/0!</v>
      </c>
      <c r="AL148" s="35" t="e">
        <f>Table1[[#This Row],[RAB Perizinan]]/Table1[[#This Row],[Nilai RAB Jaringan
(Exclude Ppn)]]</f>
        <v>#DIV/0!</v>
      </c>
      <c r="AM148" s="47"/>
      <c r="AN148" s="285">
        <v>44782</v>
      </c>
      <c r="AO148" s="285">
        <f>SUM(Table1[[#This Row],[Pipa 63 mm]:[Pipa 1,800 mm]])</f>
        <v>44782</v>
      </c>
      <c r="AP148" s="285">
        <v>18645</v>
      </c>
      <c r="AQ148" s="285">
        <v>10444</v>
      </c>
      <c r="AR148" s="285">
        <v>5537</v>
      </c>
      <c r="AS148" s="285">
        <v>2050</v>
      </c>
      <c r="AT148" s="285">
        <v>335</v>
      </c>
      <c r="AU148" s="285">
        <v>3</v>
      </c>
      <c r="AV148" s="285"/>
      <c r="AW148" s="285"/>
      <c r="AX148" s="285">
        <v>7768</v>
      </c>
      <c r="AY148" s="285"/>
      <c r="AZ148" s="285"/>
      <c r="BA148" s="285"/>
      <c r="BB148" s="285"/>
      <c r="BC148" s="285"/>
      <c r="BD148" s="285"/>
      <c r="BE148" s="285"/>
      <c r="BF148" s="285"/>
      <c r="BG148" s="285"/>
      <c r="BH148" s="285"/>
      <c r="BI148" s="285"/>
      <c r="BJ148" s="36">
        <f>SUM(Table1[[#This Row],[Pipa 63 mm2]:[Pipa 1,800 mm21]])</f>
        <v>37737.200000000004</v>
      </c>
      <c r="BK148" s="32">
        <v>17525.7</v>
      </c>
      <c r="BL148" s="32">
        <v>10446.1</v>
      </c>
      <c r="BM148" s="32">
        <v>5384.4</v>
      </c>
      <c r="BN148" s="32">
        <v>2196</v>
      </c>
      <c r="BO148" s="32">
        <v>365</v>
      </c>
      <c r="BP148" s="32">
        <v>85</v>
      </c>
      <c r="BQ148" s="32"/>
      <c r="BR148" s="32"/>
      <c r="BS148" s="32">
        <v>1735</v>
      </c>
      <c r="BT148" s="32"/>
      <c r="BU148" s="32"/>
      <c r="BV148" s="32"/>
      <c r="BW148" s="32"/>
      <c r="BX148" s="32"/>
      <c r="BY148" s="32"/>
      <c r="BZ148" s="32"/>
      <c r="CA148" s="32"/>
      <c r="CB148" s="32"/>
      <c r="CC148" s="32"/>
      <c r="CD148" s="32"/>
      <c r="CE148" s="32">
        <v>7280</v>
      </c>
      <c r="CF148" s="32">
        <v>0</v>
      </c>
      <c r="CG148" s="32">
        <v>0</v>
      </c>
      <c r="CH148" s="32">
        <v>0</v>
      </c>
      <c r="CI148" s="32">
        <f t="shared" si="10"/>
        <v>7280</v>
      </c>
      <c r="CJ148" s="65">
        <f>IF((Table1[[#This Row],["Volume
BA MC-0"]]-Table1[[#This Row],[Total Panjang Pipa Aktual
(Sum-&gt;)3]]-Table1[[#This Row],[Total Volume
tidak dapat dipasang]])&gt;=0,Table1[[#This Row],["Volume
BA MC-0"]]-Table1[[#This Row],[Total Panjang Pipa Aktual
(Sum-&gt;)3]]-Table1[[#This Row],[Total Volume
tidak dapat dipasang]],0)</f>
        <v>0</v>
      </c>
      <c r="CK148" s="47"/>
      <c r="CL148" s="131"/>
      <c r="CM148" s="35"/>
      <c r="CN148" s="131"/>
      <c r="CO148" s="131"/>
      <c r="CP14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8" s="66">
        <f>IFERROR(Table1[[#This Row],[Progres Keg. Umum
(%)]]*Table1[[#This Row],[Nilai RAB Jaringan
(file pa aji)]],0)</f>
        <v>0</v>
      </c>
      <c r="CR148" s="66">
        <f>IFERROR(Table1[[#This Row],[Progres MOS
(%)]]*Table1[[#This Row],[Nilai RAB Jaringan
(file pa aji)]],0)</f>
        <v>0</v>
      </c>
      <c r="CS148" s="66">
        <f>IFERROR(Table1[[#This Row],[Progres Pemasangan
(%)]]*Table1[[#This Row],[Nilai RAB Jaringan
(file pa aji)]],0)</f>
        <v>0</v>
      </c>
      <c r="CT148" s="66">
        <f>IFERROR(Table1[[#This Row],[Progres Perizinan
(%)]]*Table1[[#This Row],[Nilai RAB Jaringan
(file pa aji)]],0)</f>
        <v>0</v>
      </c>
      <c r="CU148" s="329">
        <v>52651885369</v>
      </c>
      <c r="CV148" s="329">
        <v>52651885369</v>
      </c>
      <c r="CW148" s="583">
        <v>52651885369</v>
      </c>
      <c r="CX148" s="329">
        <v>52651885369</v>
      </c>
      <c r="CY148" s="47"/>
      <c r="CZ148" s="330">
        <v>45530</v>
      </c>
      <c r="DA148" s="330">
        <v>45557</v>
      </c>
      <c r="DB148" s="331">
        <v>45553</v>
      </c>
      <c r="DC148" s="316" t="s">
        <v>1051</v>
      </c>
      <c r="DD148" s="67">
        <v>101248487072</v>
      </c>
      <c r="DE14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8" s="331">
        <v>45565</v>
      </c>
      <c r="DG148" s="316" t="s">
        <v>1052</v>
      </c>
      <c r="DH148" s="67">
        <v>101248487072</v>
      </c>
      <c r="DI14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8" s="330">
        <v>45558</v>
      </c>
      <c r="DK148" s="330">
        <v>45627</v>
      </c>
      <c r="DL148" s="331">
        <v>45618</v>
      </c>
      <c r="DM148" s="316" t="s">
        <v>1053</v>
      </c>
      <c r="DN14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8" s="331">
        <v>45645</v>
      </c>
      <c r="DP148" s="316" t="s">
        <v>1054</v>
      </c>
      <c r="DQ148" s="338" t="s">
        <v>762</v>
      </c>
      <c r="DR14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8" s="330">
        <v>45558</v>
      </c>
      <c r="DT148" s="330" t="e">
        <v>#N/A</v>
      </c>
      <c r="DU148" s="330">
        <v>45599</v>
      </c>
      <c r="DV148" s="330" t="e">
        <v>#N/A</v>
      </c>
      <c r="DW148" s="331">
        <v>45993</v>
      </c>
      <c r="DX148" s="316" t="s">
        <v>1055</v>
      </c>
      <c r="DY148" s="334"/>
      <c r="DZ148" s="334"/>
      <c r="EA14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8" s="331">
        <v>45980</v>
      </c>
      <c r="EC148" s="332"/>
      <c r="ED148" s="332"/>
      <c r="EE148" s="330" t="s">
        <v>1056</v>
      </c>
      <c r="EF148" s="35">
        <v>1</v>
      </c>
      <c r="EG148" s="337">
        <v>1</v>
      </c>
      <c r="EH148" s="316" t="str">
        <f>IF(Table1[[#This Row],[PO Material Aktual 
(%)]]&gt;=100%,"Selesai PO = 100%",IF(Table1[[#This Row],[PO Material Aktual 
(%)]]&gt;=50%,"Proses PO &gt; 100%",IF(Table1[[#This Row],[PO Material Aktual 
(%)]]&gt;0%,"Proses PO &gt; 50%",IF(Table1[[#This Row],[PO Material Aktual 
(%)]]=0,"Belum PO = 0%"))))</f>
        <v>Selesai PO = 100%</v>
      </c>
      <c r="EI14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8" s="330">
        <v>45600</v>
      </c>
      <c r="EK148" s="330" t="e">
        <v>#N/A</v>
      </c>
      <c r="EL148" s="330">
        <v>45711</v>
      </c>
      <c r="EM148" s="330" t="e">
        <v>#N/A</v>
      </c>
      <c r="EN148" s="331">
        <v>46093</v>
      </c>
      <c r="EO148" s="332"/>
      <c r="EP148" s="332"/>
      <c r="EQ148" s="87">
        <v>1</v>
      </c>
      <c r="ER148" s="87">
        <v>1</v>
      </c>
      <c r="ES148" s="316" t="str">
        <f>IF(Table1[[#This Row],[Progres MOS]]&gt;=100%,"Selesai MOS = 100%",IF(Table1[[#This Row],[Progres MOS]]&gt;=50%,"Proses MOS &gt; 100%",IF(Table1[[#This Row],[Progres MOS]]&gt;0%,"Proses MOS &gt; 50%",IF(Table1[[#This Row],[Progres MOS]]=0,"Belum MOS = 0%"))))</f>
        <v>Selesai MOS = 100%</v>
      </c>
      <c r="ET14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8" s="47"/>
      <c r="EV148" s="330">
        <v>45558</v>
      </c>
      <c r="EW148" s="330" t="e">
        <v>#N/A</v>
      </c>
      <c r="EX148" s="330">
        <v>45655</v>
      </c>
      <c r="EY148" s="330" t="e">
        <v>#N/A</v>
      </c>
      <c r="EZ148" s="352" t="s">
        <v>259</v>
      </c>
      <c r="FA148" s="336" t="s">
        <v>259</v>
      </c>
      <c r="FB148" s="330" t="s">
        <v>260</v>
      </c>
      <c r="FC148" s="330" t="s">
        <v>282</v>
      </c>
      <c r="FD148" s="330" t="s">
        <v>282</v>
      </c>
      <c r="FE148" s="330" t="s">
        <v>282</v>
      </c>
      <c r="FF148" s="330" t="s">
        <v>282</v>
      </c>
      <c r="FG148" s="330" t="s">
        <v>282</v>
      </c>
      <c r="FH148" s="330" t="s">
        <v>282</v>
      </c>
      <c r="FI148" s="330" t="s">
        <v>282</v>
      </c>
      <c r="FJ148" s="330" t="s">
        <v>282</v>
      </c>
      <c r="FK148" s="330" t="s">
        <v>283</v>
      </c>
      <c r="FL148" s="336" t="s">
        <v>259</v>
      </c>
      <c r="FM148" s="352" t="s">
        <v>282</v>
      </c>
      <c r="FN148" s="338" t="e">
        <f>IF(Table1[[#This Row],[Tanggal Pengajuan Dokumen]]="","",Table1[[#This Row],[PLAN PERMIT
start]]-Table1[[#This Row],[Tanggal Pengajuan Dokumen]])</f>
        <v>#VALUE!</v>
      </c>
      <c r="FO148" s="437">
        <v>45672</v>
      </c>
      <c r="FP148" s="316"/>
      <c r="FQ148" s="338"/>
      <c r="FR148" s="338"/>
      <c r="FS148" s="338" t="str">
        <f t="shared" si="9"/>
        <v>Sudah Terbit</v>
      </c>
      <c r="FT14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8" s="344">
        <f ca="1">IF(Table1[[#This Row],[Status Izin]]="Selesai",Table1[[#This Row],[PLAN PERMIT
finish]]-Table1[[#This Row],[Tanggal Terbit/ Target Izin Terbit]],ROUNDUP(Table1[[#This Row],[PLAN PERMIT
finish]]-NOW(),0))</f>
        <v>-17</v>
      </c>
      <c r="FV14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8" s="344"/>
      <c r="FX148" s="47"/>
      <c r="FY148" s="340"/>
      <c r="FZ148" s="341">
        <v>45582</v>
      </c>
      <c r="GA14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8" s="330">
        <v>45629</v>
      </c>
      <c r="GC148" s="352">
        <v>45635</v>
      </c>
      <c r="GD14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8" s="330">
        <v>45636</v>
      </c>
      <c r="GF148" s="352">
        <v>45635</v>
      </c>
      <c r="GG14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8" s="330">
        <v>45642</v>
      </c>
      <c r="GI148" s="330">
        <v>45648</v>
      </c>
      <c r="GJ148" s="352">
        <v>45671</v>
      </c>
      <c r="GK14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8" s="330">
        <v>45656</v>
      </c>
      <c r="GM148" s="330" t="e">
        <v>#N/A</v>
      </c>
      <c r="GN148" s="330">
        <v>45788</v>
      </c>
      <c r="GO148" s="330" t="e">
        <v>#N/A</v>
      </c>
      <c r="GP148" s="316"/>
      <c r="GQ14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8" s="330" t="s">
        <v>261</v>
      </c>
      <c r="GS148" s="330" t="s">
        <v>261</v>
      </c>
      <c r="GT148" s="354">
        <v>45880</v>
      </c>
      <c r="GU148" s="344" t="str">
        <f>IF(Table1[[#This Row],[Hydro Tes Actual
(tanggal)]]&lt;&gt;"","Sudah","Belum")</f>
        <v>Sudah</v>
      </c>
      <c r="GV148" s="330" t="s">
        <v>261</v>
      </c>
      <c r="GW148" s="330" t="s">
        <v>261</v>
      </c>
      <c r="GX148" s="331">
        <v>45926</v>
      </c>
      <c r="GY148" s="344" t="str">
        <f>IF(Table1[[#This Row],[Interkoneksi Actual
(tanggal)]]&lt;&gt;"","Sudah","Belum")</f>
        <v>Sudah</v>
      </c>
      <c r="GZ148" s="330" t="s">
        <v>261</v>
      </c>
      <c r="HA148" s="330" t="s">
        <v>261</v>
      </c>
      <c r="HB148" s="331">
        <v>45940</v>
      </c>
      <c r="HC148" s="344" t="str">
        <f>IF(Table1[[#This Row],[Flushing Actual
(tanggal)]]&lt;&gt;"","Sudah","Belum")</f>
        <v>Sudah</v>
      </c>
      <c r="HD148" s="330">
        <v>45754</v>
      </c>
      <c r="HE148" s="330" t="e">
        <v>#N/A</v>
      </c>
      <c r="HF148" s="330">
        <v>45774</v>
      </c>
      <c r="HG148" s="352">
        <v>45973</v>
      </c>
      <c r="HH14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8" s="330" t="s">
        <v>261</v>
      </c>
      <c r="HJ148" s="330" t="s">
        <v>261</v>
      </c>
      <c r="HK148" s="331"/>
      <c r="HL148" s="316"/>
      <c r="HM148" s="330">
        <v>45793</v>
      </c>
      <c r="HN148" s="330">
        <v>45793</v>
      </c>
      <c r="HO148" s="330" t="e">
        <v>#N/A</v>
      </c>
      <c r="HP148" s="331">
        <v>45986</v>
      </c>
      <c r="HQ14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48" s="330">
        <v>45800</v>
      </c>
      <c r="HS148" s="330"/>
      <c r="HT148" s="330">
        <v>45800</v>
      </c>
      <c r="HU148" s="527"/>
      <c r="HV148" s="330">
        <v>46024</v>
      </c>
      <c r="HW14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48" s="47"/>
      <c r="HY148" s="352"/>
      <c r="HZ148" s="352"/>
      <c r="IB148" s="618">
        <f>IFERROR(ROUND((Table1[[#This Row],[PLAN TC
finish]]-Table1[[#This Row],[PLAN MC-0
start]])/30,2),"")</f>
        <v>4.4000000000000004</v>
      </c>
      <c r="IC148">
        <f>DATEDIF(Table1[[#This Row],[PLAN MC-0
start]],Table1[[#This Row],[PLAN TC
finish]],"m")</f>
        <v>4</v>
      </c>
    </row>
    <row r="149" spans="2:237" s="4" customFormat="1" ht="15" hidden="1" customHeight="1" x14ac:dyDescent="0.2">
      <c r="B149" s="311">
        <f>SUBTOTAL(3,$D$5:D149)</f>
        <v>84</v>
      </c>
      <c r="C149" s="348">
        <v>145</v>
      </c>
      <c r="D149" s="338" t="s">
        <v>629</v>
      </c>
      <c r="E149" s="338" t="s">
        <v>1057</v>
      </c>
      <c r="F149" s="338" t="s">
        <v>1058</v>
      </c>
      <c r="G149" s="349">
        <v>45935</v>
      </c>
      <c r="H149" s="314" t="s">
        <v>247</v>
      </c>
      <c r="I149" s="338" t="s">
        <v>278</v>
      </c>
      <c r="J149" s="315"/>
      <c r="K149" s="338" t="s">
        <v>915</v>
      </c>
      <c r="L149" s="316" t="s">
        <v>250</v>
      </c>
      <c r="M149" s="316" t="s">
        <v>269</v>
      </c>
      <c r="N149" s="107">
        <v>14552</v>
      </c>
      <c r="O149" s="131" t="s">
        <v>252</v>
      </c>
      <c r="P14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9" s="35" t="e">
        <v>#N/A</v>
      </c>
      <c r="S149" s="35">
        <v>1</v>
      </c>
      <c r="T149" s="35">
        <f>Table1[[#This Row],[Progres Total Aktual
(%)]]</f>
        <v>1</v>
      </c>
      <c r="U149" s="124">
        <f>Table1[[#This Row],[Progres Aktual
(%)]]-Table1[[#This Row],[Target Progres
(%)]]</f>
        <v>0</v>
      </c>
      <c r="V149" s="350">
        <f>Table1[[#This Row],["Volume
BA MC-0"]]</f>
        <v>14433</v>
      </c>
      <c r="W149" s="351">
        <f>Table1[[#This Row],[Total Panjang Pipa Aktual
(Sum-&gt;)3]]</f>
        <v>14560</v>
      </c>
      <c r="X149" s="47"/>
      <c r="Y149" s="67" t="s">
        <v>1059</v>
      </c>
      <c r="Z149" s="67">
        <v>28681401111</v>
      </c>
      <c r="AA149" s="67">
        <f>Table1[[#This Row],[Nilai RAB Jaringan
(file pa aji)]]</f>
        <v>28681401111</v>
      </c>
      <c r="AB149" s="320">
        <f>SUM(Table1[[#This Row],[RAB Kegiatan Umum]:[RAB Perizinan]])</f>
        <v>0</v>
      </c>
      <c r="AC149" s="320"/>
      <c r="AD149" s="320"/>
      <c r="AE149" s="320"/>
      <c r="AF149" s="320"/>
      <c r="AG149" s="436">
        <v>2594854748</v>
      </c>
      <c r="AH149" s="35" t="e">
        <f>SUM(Table1[[#This Row],[Bobot Keg Umum]:[Bobot Perizinan]])</f>
        <v>#DIV/0!</v>
      </c>
      <c r="AI149" s="35" t="e">
        <f>Table1[[#This Row],[RAB Kegiatan Umum]]/Table1[[#This Row],[Nilai RAB Jaringan
(Exclude Ppn)]]</f>
        <v>#DIV/0!</v>
      </c>
      <c r="AJ149" s="35" t="e">
        <f>Table1[[#This Row],[RAB Pemasangan]]/Table1[[#This Row],[Nilai RAB Jaringan
(Exclude Ppn)]]</f>
        <v>#DIV/0!</v>
      </c>
      <c r="AK149" s="35" t="e">
        <f>Table1[[#This Row],[RAB Pengadaan]]/Table1[[#This Row],[Nilai RAB Jaringan
(Exclude Ppn)]]</f>
        <v>#DIV/0!</v>
      </c>
      <c r="AL149" s="35" t="e">
        <f>Table1[[#This Row],[RAB Perizinan]]/Table1[[#This Row],[Nilai RAB Jaringan
(Exclude Ppn)]]</f>
        <v>#DIV/0!</v>
      </c>
      <c r="AM149" s="47"/>
      <c r="AN149" s="285">
        <v>14433</v>
      </c>
      <c r="AO149" s="285">
        <f>SUM(Table1[[#This Row],[Pipa 63 mm]:[Pipa 1,800 mm]])</f>
        <v>14433</v>
      </c>
      <c r="AP149" s="285">
        <v>7911</v>
      </c>
      <c r="AQ149" s="285">
        <v>3418</v>
      </c>
      <c r="AR149" s="285">
        <v>1321</v>
      </c>
      <c r="AS149" s="285">
        <v>1003</v>
      </c>
      <c r="AT149" s="285">
        <v>753</v>
      </c>
      <c r="AU149" s="285">
        <v>27</v>
      </c>
      <c r="AV149" s="285"/>
      <c r="AW149" s="285"/>
      <c r="AX149" s="285"/>
      <c r="AY149" s="285"/>
      <c r="AZ149" s="285"/>
      <c r="BA149" s="285"/>
      <c r="BB149" s="285"/>
      <c r="BC149" s="285"/>
      <c r="BD149" s="285"/>
      <c r="BE149" s="285"/>
      <c r="BF149" s="285"/>
      <c r="BG149" s="285"/>
      <c r="BH149" s="285"/>
      <c r="BI149" s="285"/>
      <c r="BJ149" s="36">
        <f>SUM(Table1[[#This Row],[Pipa 63 mm2]:[Pipa 1,800 mm21]])</f>
        <v>14560</v>
      </c>
      <c r="BK149" s="32">
        <v>7670</v>
      </c>
      <c r="BL149" s="32">
        <v>3476</v>
      </c>
      <c r="BM149" s="32">
        <v>1606</v>
      </c>
      <c r="BN149" s="32">
        <v>1017</v>
      </c>
      <c r="BO149" s="32">
        <v>760</v>
      </c>
      <c r="BP149" s="32">
        <v>31</v>
      </c>
      <c r="BQ149" s="32"/>
      <c r="BR149" s="32"/>
      <c r="BS149" s="32"/>
      <c r="BT149" s="32"/>
      <c r="BU149" s="32"/>
      <c r="BV149" s="32"/>
      <c r="BW149" s="32"/>
      <c r="BX149" s="32"/>
      <c r="BY149" s="32"/>
      <c r="BZ149" s="32"/>
      <c r="CA149" s="32"/>
      <c r="CB149" s="32"/>
      <c r="CC149" s="32"/>
      <c r="CD149" s="32"/>
      <c r="CE149" s="32">
        <v>0</v>
      </c>
      <c r="CF149" s="32">
        <v>300</v>
      </c>
      <c r="CG149" s="32">
        <v>0</v>
      </c>
      <c r="CH149" s="32">
        <v>0</v>
      </c>
      <c r="CI149" s="32">
        <f t="shared" si="10"/>
        <v>300</v>
      </c>
      <c r="CJ149" s="65">
        <f>IF((Table1[[#This Row],["Volume
BA MC-0"]]-Table1[[#This Row],[Total Panjang Pipa Aktual
(Sum-&gt;)3]]-Table1[[#This Row],[Total Volume
tidak dapat dipasang]])&gt;=0,Table1[[#This Row],["Volume
BA MC-0"]]-Table1[[#This Row],[Total Panjang Pipa Aktual
(Sum-&gt;)3]]-Table1[[#This Row],[Total Volume
tidak dapat dipasang]],0)</f>
        <v>0</v>
      </c>
      <c r="CK149" s="47"/>
      <c r="CL149" s="131"/>
      <c r="CM149" s="35"/>
      <c r="CN149" s="131"/>
      <c r="CO149" s="131"/>
      <c r="CP14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9" s="66">
        <f>IFERROR(Table1[[#This Row],[Progres Keg. Umum
(%)]]*Table1[[#This Row],[Nilai RAB Jaringan
(file pa aji)]],0)</f>
        <v>0</v>
      </c>
      <c r="CR149" s="66">
        <f>IFERROR(Table1[[#This Row],[Progres MOS
(%)]]*Table1[[#This Row],[Nilai RAB Jaringan
(file pa aji)]],0)</f>
        <v>0</v>
      </c>
      <c r="CS149" s="66">
        <f>IFERROR(Table1[[#This Row],[Progres Pemasangan
(%)]]*Table1[[#This Row],[Nilai RAB Jaringan
(file pa aji)]],0)</f>
        <v>0</v>
      </c>
      <c r="CT149" s="66">
        <f>IFERROR(Table1[[#This Row],[Progres Perizinan
(%)]]*Table1[[#This Row],[Nilai RAB Jaringan
(file pa aji)]],0)</f>
        <v>0</v>
      </c>
      <c r="CU149" s="329">
        <v>19864134680</v>
      </c>
      <c r="CV149" s="329">
        <v>19864134680</v>
      </c>
      <c r="CW149" s="583">
        <v>19864134680</v>
      </c>
      <c r="CX149" s="329">
        <v>19864134680</v>
      </c>
      <c r="CY149" s="47"/>
      <c r="CZ149" s="330">
        <v>45530</v>
      </c>
      <c r="DA149" s="330">
        <v>45557</v>
      </c>
      <c r="DB149" s="331">
        <v>45553</v>
      </c>
      <c r="DC149" s="316" t="s">
        <v>1060</v>
      </c>
      <c r="DD149" s="67">
        <v>31577752768</v>
      </c>
      <c r="DE14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9" s="331">
        <v>45565</v>
      </c>
      <c r="DG149" s="316" t="s">
        <v>1061</v>
      </c>
      <c r="DH149" s="67">
        <v>31577752768</v>
      </c>
      <c r="DI14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9" s="330">
        <v>45558</v>
      </c>
      <c r="DK149" s="330">
        <v>45627</v>
      </c>
      <c r="DL149" s="331">
        <v>45621</v>
      </c>
      <c r="DM149" s="316" t="s">
        <v>1062</v>
      </c>
      <c r="DN14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9" s="331">
        <v>45636</v>
      </c>
      <c r="DP149" s="316" t="s">
        <v>1063</v>
      </c>
      <c r="DQ149" s="338" t="s">
        <v>560</v>
      </c>
      <c r="DR14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9" s="330">
        <v>45558</v>
      </c>
      <c r="DT149" s="330" t="e">
        <v>#N/A</v>
      </c>
      <c r="DU149" s="330">
        <v>45599</v>
      </c>
      <c r="DV149" s="330" t="e">
        <v>#N/A</v>
      </c>
      <c r="DW149" s="331">
        <v>45911</v>
      </c>
      <c r="DX149" t="s">
        <v>1064</v>
      </c>
      <c r="DY149"/>
      <c r="DZ149"/>
      <c r="EA14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9" s="331">
        <v>45926</v>
      </c>
      <c r="EC149" s="332"/>
      <c r="ED149" s="332"/>
      <c r="EE149" s="330" t="s">
        <v>1065</v>
      </c>
      <c r="EF149" s="35">
        <v>1</v>
      </c>
      <c r="EG149" s="337">
        <v>1</v>
      </c>
      <c r="EH149" s="316" t="str">
        <f>IF(Table1[[#This Row],[PO Material Aktual 
(%)]]&gt;=100%,"Selesai PO = 100%",IF(Table1[[#This Row],[PO Material Aktual 
(%)]]&gt;=50%,"Proses PO &gt; 100%",IF(Table1[[#This Row],[PO Material Aktual 
(%)]]&gt;0%,"Proses PO &gt; 50%",IF(Table1[[#This Row],[PO Material Aktual 
(%)]]=0,"Belum PO = 0%"))))</f>
        <v>Selesai PO = 100%</v>
      </c>
      <c r="EI14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9" s="330">
        <v>45600</v>
      </c>
      <c r="EK149" s="330" t="e">
        <v>#N/A</v>
      </c>
      <c r="EL149" s="330">
        <v>45711</v>
      </c>
      <c r="EM149" s="330" t="e">
        <v>#N/A</v>
      </c>
      <c r="EN149" s="331">
        <v>45945</v>
      </c>
      <c r="EO149" s="332"/>
      <c r="EP149" s="332"/>
      <c r="EQ149" s="87">
        <v>1</v>
      </c>
      <c r="ER149" s="87">
        <v>1</v>
      </c>
      <c r="ES149" s="316" t="str">
        <f>IF(Table1[[#This Row],[Progres MOS]]&gt;=100%,"Selesai MOS = 100%",IF(Table1[[#This Row],[Progres MOS]]&gt;=50%,"Proses MOS &gt; 100%",IF(Table1[[#This Row],[Progres MOS]]&gt;0%,"Proses MOS &gt; 50%",IF(Table1[[#This Row],[Progres MOS]]=0,"Belum MOS = 0%"))))</f>
        <v>Selesai MOS = 100%</v>
      </c>
      <c r="ET14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9" s="47"/>
      <c r="EV149" s="330">
        <v>45558</v>
      </c>
      <c r="EW149" s="330" t="e">
        <v>#N/A</v>
      </c>
      <c r="EX149" s="330">
        <v>45655</v>
      </c>
      <c r="EY149" s="330" t="e">
        <v>#N/A</v>
      </c>
      <c r="EZ149" s="352" t="s">
        <v>259</v>
      </c>
      <c r="FA149" s="336" t="s">
        <v>259</v>
      </c>
      <c r="FB149" s="330" t="s">
        <v>260</v>
      </c>
      <c r="FC149" s="330" t="s">
        <v>282</v>
      </c>
      <c r="FD149" s="330" t="s">
        <v>282</v>
      </c>
      <c r="FE149" s="330" t="s">
        <v>282</v>
      </c>
      <c r="FF149" s="330" t="s">
        <v>282</v>
      </c>
      <c r="FG149" s="330" t="s">
        <v>282</v>
      </c>
      <c r="FH149" s="330" t="s">
        <v>282</v>
      </c>
      <c r="FI149" s="330" t="s">
        <v>282</v>
      </c>
      <c r="FJ149" s="330" t="s">
        <v>282</v>
      </c>
      <c r="FK149" s="330" t="s">
        <v>283</v>
      </c>
      <c r="FL149" s="336" t="s">
        <v>259</v>
      </c>
      <c r="FM149" s="352" t="s">
        <v>282</v>
      </c>
      <c r="FN149" s="338" t="e">
        <f>IF(Table1[[#This Row],[Tanggal Pengajuan Dokumen]]="","",Table1[[#This Row],[PLAN PERMIT
start]]-Table1[[#This Row],[Tanggal Pengajuan Dokumen]])</f>
        <v>#VALUE!</v>
      </c>
      <c r="FO149" s="437">
        <v>45672</v>
      </c>
      <c r="FP149" s="316"/>
      <c r="FQ149" s="338"/>
      <c r="FR149" s="338"/>
      <c r="FS149" s="338" t="str">
        <f t="shared" si="9"/>
        <v>Sudah Terbit</v>
      </c>
      <c r="FT14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9" s="344">
        <f ca="1">IF(Table1[[#This Row],[Status Izin]]="Selesai",Table1[[#This Row],[PLAN PERMIT
finish]]-Table1[[#This Row],[Tanggal Terbit/ Target Izin Terbit]],ROUNDUP(Table1[[#This Row],[PLAN PERMIT
finish]]-NOW(),0))</f>
        <v>-17</v>
      </c>
      <c r="FV14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9" s="344"/>
      <c r="FX149" s="47"/>
      <c r="FY149" s="340"/>
      <c r="FZ149" s="341">
        <v>45582</v>
      </c>
      <c r="GA14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9" s="330">
        <v>45629</v>
      </c>
      <c r="GC149" s="352">
        <v>45635</v>
      </c>
      <c r="GD14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9" s="330">
        <v>45636</v>
      </c>
      <c r="GF149" s="352">
        <v>45635</v>
      </c>
      <c r="GG14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9" s="330">
        <v>45642</v>
      </c>
      <c r="GI149" s="330">
        <v>45648</v>
      </c>
      <c r="GJ149" s="352">
        <v>45719</v>
      </c>
      <c r="GK14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9" s="330">
        <v>45656</v>
      </c>
      <c r="GM149" s="330" t="e">
        <v>#N/A</v>
      </c>
      <c r="GN149" s="330">
        <v>45788</v>
      </c>
      <c r="GO149" s="330" t="e">
        <v>#N/A</v>
      </c>
      <c r="GP149" s="316"/>
      <c r="GQ14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9" s="330" t="s">
        <v>261</v>
      </c>
      <c r="GS149" s="330" t="s">
        <v>261</v>
      </c>
      <c r="GT149" s="354">
        <v>45784</v>
      </c>
      <c r="GU149" s="344" t="str">
        <f>IF(Table1[[#This Row],[Hydro Tes Actual
(tanggal)]]&lt;&gt;"","Sudah","Belum")</f>
        <v>Sudah</v>
      </c>
      <c r="GV149" s="330" t="s">
        <v>261</v>
      </c>
      <c r="GW149" s="330" t="s">
        <v>261</v>
      </c>
      <c r="GX149" s="331">
        <v>45836</v>
      </c>
      <c r="GY149" s="344" t="str">
        <f>IF(Table1[[#This Row],[Interkoneksi Actual
(tanggal)]]&lt;&gt;"","Sudah","Belum")</f>
        <v>Sudah</v>
      </c>
      <c r="GZ149" s="330" t="s">
        <v>261</v>
      </c>
      <c r="HA149" s="330" t="s">
        <v>261</v>
      </c>
      <c r="HB149" s="331">
        <v>45859</v>
      </c>
      <c r="HC149" s="344" t="str">
        <f>IF(Table1[[#This Row],[Flushing Actual
(tanggal)]]&lt;&gt;"","Sudah","Belum")</f>
        <v>Sudah</v>
      </c>
      <c r="HD149" s="330">
        <v>45754</v>
      </c>
      <c r="HE149" s="330" t="e">
        <v>#N/A</v>
      </c>
      <c r="HF149" s="330">
        <v>45774</v>
      </c>
      <c r="HG149" s="352">
        <v>45926</v>
      </c>
      <c r="HH14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9" s="330" t="s">
        <v>261</v>
      </c>
      <c r="HJ149" s="330" t="s">
        <v>261</v>
      </c>
      <c r="HK149" s="331"/>
      <c r="HL149" s="316"/>
      <c r="HM149" s="330">
        <v>45793</v>
      </c>
      <c r="HN149" s="330">
        <v>45793</v>
      </c>
      <c r="HO149" s="330" t="e">
        <v>#N/A</v>
      </c>
      <c r="HP149" s="331">
        <v>45933</v>
      </c>
      <c r="HQ14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49" s="330">
        <v>45800</v>
      </c>
      <c r="HS149" s="330"/>
      <c r="HT149" s="330">
        <v>45800</v>
      </c>
      <c r="HU149" s="527"/>
      <c r="HV149" s="330">
        <v>45934</v>
      </c>
      <c r="HW14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49" s="47"/>
      <c r="HY149" s="352"/>
      <c r="HZ149" s="352"/>
      <c r="IB149" s="618">
        <f>IFERROR(ROUND((Table1[[#This Row],[PLAN TC
finish]]-Table1[[#This Row],[PLAN MC-0
start]])/30,2),"")</f>
        <v>4.4000000000000004</v>
      </c>
      <c r="IC149">
        <f>DATEDIF(Table1[[#This Row],[PLAN MC-0
start]],Table1[[#This Row],[PLAN TC
finish]],"m")</f>
        <v>4</v>
      </c>
    </row>
    <row r="150" spans="2:237" s="4" customFormat="1" ht="15" hidden="1" customHeight="1" x14ac:dyDescent="0.2">
      <c r="B150" s="311">
        <f>SUBTOTAL(3,$D$5:D150)</f>
        <v>84</v>
      </c>
      <c r="C150" s="348">
        <v>146</v>
      </c>
      <c r="D150" s="338" t="s">
        <v>629</v>
      </c>
      <c r="E150" s="338" t="s">
        <v>1066</v>
      </c>
      <c r="F150" s="338" t="s">
        <v>1067</v>
      </c>
      <c r="G150" s="349">
        <v>45935</v>
      </c>
      <c r="H150" s="314" t="s">
        <v>247</v>
      </c>
      <c r="I150" s="338" t="s">
        <v>278</v>
      </c>
      <c r="J150" s="315" t="s">
        <v>943</v>
      </c>
      <c r="K150" s="338" t="s">
        <v>915</v>
      </c>
      <c r="L150" s="316" t="s">
        <v>250</v>
      </c>
      <c r="M150" s="316" t="s">
        <v>269</v>
      </c>
      <c r="N150" s="107">
        <v>16606</v>
      </c>
      <c r="O150" s="131" t="s">
        <v>252</v>
      </c>
      <c r="P15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0" s="35" t="e">
        <v>#N/A</v>
      </c>
      <c r="S150" s="35">
        <v>1</v>
      </c>
      <c r="T150" s="35">
        <f>Table1[[#This Row],[Progres Total Aktual
(%)]]</f>
        <v>0.68948038974857362</v>
      </c>
      <c r="U150" s="124">
        <f>Table1[[#This Row],[Progres Aktual
(%)]]-Table1[[#This Row],[Target Progres
(%)]]</f>
        <v>-0.31051961025142638</v>
      </c>
      <c r="V150" s="350">
        <f>Table1[[#This Row],["Volume
BA MC-0"]]</f>
        <v>16592</v>
      </c>
      <c r="W150" s="351">
        <f>Table1[[#This Row],[Total Panjang Pipa Aktual
(Sum-&gt;)3]]</f>
        <v>8710</v>
      </c>
      <c r="X150" s="47"/>
      <c r="Y150" s="67" t="s">
        <v>1068</v>
      </c>
      <c r="Z150" s="67">
        <v>27025525055</v>
      </c>
      <c r="AA150" s="67">
        <v>27025525055</v>
      </c>
      <c r="AB150" s="320">
        <f>SUM(Table1[[#This Row],[RAB Kegiatan Umum]:[RAB Perizinan]])</f>
        <v>0</v>
      </c>
      <c r="AC150" s="320"/>
      <c r="AD150" s="320"/>
      <c r="AE150" s="320"/>
      <c r="AF150" s="320"/>
      <c r="AG150" s="436">
        <v>6491236167</v>
      </c>
      <c r="AH150" s="35" t="e">
        <f>SUM(Table1[[#This Row],[Bobot Keg Umum]:[Bobot Perizinan]])</f>
        <v>#DIV/0!</v>
      </c>
      <c r="AI150" s="35" t="e">
        <f>Table1[[#This Row],[RAB Kegiatan Umum]]/Table1[[#This Row],[Nilai RAB Jaringan
(Exclude Ppn)]]</f>
        <v>#DIV/0!</v>
      </c>
      <c r="AJ150" s="35" t="e">
        <f>Table1[[#This Row],[RAB Pemasangan]]/Table1[[#This Row],[Nilai RAB Jaringan
(Exclude Ppn)]]</f>
        <v>#DIV/0!</v>
      </c>
      <c r="AK150" s="35" t="e">
        <f>Table1[[#This Row],[RAB Pengadaan]]/Table1[[#This Row],[Nilai RAB Jaringan
(Exclude Ppn)]]</f>
        <v>#DIV/0!</v>
      </c>
      <c r="AL150" s="35" t="e">
        <f>Table1[[#This Row],[RAB Perizinan]]/Table1[[#This Row],[Nilai RAB Jaringan
(Exclude Ppn)]]</f>
        <v>#DIV/0!</v>
      </c>
      <c r="AM150" s="47"/>
      <c r="AN150" s="285">
        <v>16592</v>
      </c>
      <c r="AO150" s="285">
        <f>SUM(Table1[[#This Row],[Pipa 63 mm]:[Pipa 1,800 mm]])</f>
        <v>16592</v>
      </c>
      <c r="AP150" s="285">
        <v>6312</v>
      </c>
      <c r="AQ150" s="285">
        <v>5269</v>
      </c>
      <c r="AR150" s="285">
        <v>3066</v>
      </c>
      <c r="AS150" s="285">
        <v>439</v>
      </c>
      <c r="AT150" s="285">
        <v>1433</v>
      </c>
      <c r="AU150" s="285">
        <v>73</v>
      </c>
      <c r="AV150" s="285"/>
      <c r="AW150" s="285"/>
      <c r="AX150" s="285"/>
      <c r="AY150" s="285"/>
      <c r="AZ150" s="285"/>
      <c r="BA150" s="285"/>
      <c r="BB150" s="285"/>
      <c r="BC150" s="285"/>
      <c r="BD150" s="285"/>
      <c r="BE150" s="285"/>
      <c r="BF150" s="285"/>
      <c r="BG150" s="285"/>
      <c r="BH150" s="285"/>
      <c r="BI150" s="285"/>
      <c r="BJ150" s="36">
        <f>SUM(Table1[[#This Row],[Pipa 63 mm2]:[Pipa 1,800 mm21]])</f>
        <v>8710</v>
      </c>
      <c r="BK150" s="32">
        <v>3096</v>
      </c>
      <c r="BL150" s="32">
        <v>2508</v>
      </c>
      <c r="BM150" s="32">
        <v>1344</v>
      </c>
      <c r="BN150" s="32">
        <v>386</v>
      </c>
      <c r="BO150" s="32">
        <v>1316</v>
      </c>
      <c r="BP150" s="32">
        <v>60</v>
      </c>
      <c r="BQ150" s="32"/>
      <c r="BR150" s="32"/>
      <c r="BS150" s="32"/>
      <c r="BT150" s="32"/>
      <c r="BU150" s="32"/>
      <c r="BV150" s="32"/>
      <c r="BW150" s="32"/>
      <c r="BX150" s="32"/>
      <c r="BY150" s="32"/>
      <c r="BZ150" s="32"/>
      <c r="CA150" s="32"/>
      <c r="CB150" s="32"/>
      <c r="CC150" s="32"/>
      <c r="CD150" s="32"/>
      <c r="CE150" s="32">
        <v>7034</v>
      </c>
      <c r="CF150" s="32">
        <v>0</v>
      </c>
      <c r="CG150" s="32">
        <v>0</v>
      </c>
      <c r="CH150" s="32">
        <v>0</v>
      </c>
      <c r="CI150" s="32">
        <f t="shared" si="10"/>
        <v>7034</v>
      </c>
      <c r="CJ150" s="65">
        <f>IF((Table1[[#This Row],["Volume
BA MC-0"]]-Table1[[#This Row],[Total Panjang Pipa Aktual
(Sum-&gt;)3]]-Table1[[#This Row],[Total Volume
tidak dapat dipasang]])&gt;=0,Table1[[#This Row],["Volume
BA MC-0"]]-Table1[[#This Row],[Total Panjang Pipa Aktual
(Sum-&gt;)3]]-Table1[[#This Row],[Total Volume
tidak dapat dipasang]],0)</f>
        <v>848</v>
      </c>
      <c r="CK150" s="47"/>
      <c r="CL150" s="131"/>
      <c r="CM150" s="35"/>
      <c r="CN150" s="131"/>
      <c r="CO150" s="131"/>
      <c r="CP15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0.68948038974857362</v>
      </c>
      <c r="CQ150" s="66">
        <f>IFERROR(Table1[[#This Row],[Progres Keg. Umum
(%)]]*Table1[[#This Row],[Nilai RAB Jaringan
(file pa aji)]],0)</f>
        <v>0</v>
      </c>
      <c r="CR150" s="66">
        <f>IFERROR(Table1[[#This Row],[Progres MOS
(%)]]*Table1[[#This Row],[Nilai RAB Jaringan
(file pa aji)]],0)</f>
        <v>0</v>
      </c>
      <c r="CS150" s="66">
        <f>IFERROR(Table1[[#This Row],[Progres Pemasangan
(%)]]*Table1[[#This Row],[Nilai RAB Jaringan
(file pa aji)]],0)</f>
        <v>0</v>
      </c>
      <c r="CT150" s="66">
        <f>IFERROR(Table1[[#This Row],[Progres Perizinan
(%)]]*Table1[[#This Row],[Nilai RAB Jaringan
(file pa aji)]],0)</f>
        <v>0</v>
      </c>
      <c r="CU150" s="329">
        <v>18633569548.081242</v>
      </c>
      <c r="CV150" s="329">
        <v>18633569548.081242</v>
      </c>
      <c r="CW150" s="583">
        <v>0</v>
      </c>
      <c r="CX150" s="329">
        <v>0</v>
      </c>
      <c r="CY150" s="47"/>
      <c r="CZ150" s="330">
        <v>45530</v>
      </c>
      <c r="DA150" s="330">
        <v>45557</v>
      </c>
      <c r="DB150" s="331">
        <v>45531</v>
      </c>
      <c r="DC150" s="316" t="s">
        <v>1069</v>
      </c>
      <c r="DD150" s="67">
        <v>30619040272</v>
      </c>
      <c r="DE15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0" s="331">
        <v>45540</v>
      </c>
      <c r="DG150" s="316" t="s">
        <v>1070</v>
      </c>
      <c r="DH150" s="67">
        <v>30619040272</v>
      </c>
      <c r="DI15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0" s="330">
        <v>45558</v>
      </c>
      <c r="DK150" s="330">
        <v>45627</v>
      </c>
      <c r="DL150" s="331">
        <v>45593</v>
      </c>
      <c r="DM150" s="316" t="s">
        <v>1071</v>
      </c>
      <c r="DN15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0" s="331">
        <v>45604</v>
      </c>
      <c r="DP150" s="316" t="s">
        <v>1072</v>
      </c>
      <c r="DQ150" s="338" t="s">
        <v>344</v>
      </c>
      <c r="DR15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50" s="330">
        <v>45558</v>
      </c>
      <c r="DT150" s="330" t="e">
        <v>#N/A</v>
      </c>
      <c r="DU150" s="330">
        <v>45599</v>
      </c>
      <c r="DV150" s="330" t="e">
        <v>#N/A</v>
      </c>
      <c r="DW150" s="331">
        <v>45989</v>
      </c>
      <c r="DX150" s="316" t="s">
        <v>1073</v>
      </c>
      <c r="DY150" s="334"/>
      <c r="DZ150" s="334"/>
      <c r="EA15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0" s="331">
        <v>46001</v>
      </c>
      <c r="EC150" s="332"/>
      <c r="ED150" s="332"/>
      <c r="EE150" s="330" t="s">
        <v>1074</v>
      </c>
      <c r="EF150" s="35">
        <v>1</v>
      </c>
      <c r="EG150" s="337">
        <v>1</v>
      </c>
      <c r="EH150" s="316" t="str">
        <f>IF(Table1[[#This Row],[PO Material Aktual 
(%)]]&gt;=100%,"Selesai PO = 100%",IF(Table1[[#This Row],[PO Material Aktual 
(%)]]&gt;=50%,"Proses PO &gt; 100%",IF(Table1[[#This Row],[PO Material Aktual 
(%)]]&gt;0%,"Proses PO &gt; 50%",IF(Table1[[#This Row],[PO Material Aktual 
(%)]]=0,"Belum PO = 0%"))))</f>
        <v>Selesai PO = 100%</v>
      </c>
      <c r="EI15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0" s="330">
        <v>45600</v>
      </c>
      <c r="EK150" s="330" t="e">
        <v>#N/A</v>
      </c>
      <c r="EL150" s="330">
        <v>45711</v>
      </c>
      <c r="EM150" s="330" t="e">
        <v>#N/A</v>
      </c>
      <c r="EN150" s="331"/>
      <c r="EO150" s="332"/>
      <c r="EP150" s="332"/>
      <c r="EQ150" s="87">
        <v>0.891156462585034</v>
      </c>
      <c r="ER150" s="87">
        <v>0.891156462585034</v>
      </c>
      <c r="ES150" s="316" t="str">
        <f>IF(Table1[[#This Row],[Progres MOS]]&gt;=100%,"Selesai MOS = 100%",IF(Table1[[#This Row],[Progres MOS]]&gt;=50%,"Proses MOS &gt; 100%",IF(Table1[[#This Row],[Progres MOS]]&gt;0%,"Proses MOS &gt; 50%",IF(Table1[[#This Row],[Progres MOS]]=0,"Belum MOS = 0%"))))</f>
        <v>Proses MOS &gt; 100%</v>
      </c>
      <c r="ET15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50" s="47"/>
      <c r="EV150" s="330">
        <v>45558</v>
      </c>
      <c r="EW150" s="330" t="e">
        <v>#N/A</v>
      </c>
      <c r="EX150" s="330">
        <v>45655</v>
      </c>
      <c r="EY150" s="330" t="e">
        <v>#N/A</v>
      </c>
      <c r="EZ150" s="352" t="s">
        <v>298</v>
      </c>
      <c r="FA150" s="336" t="s">
        <v>259</v>
      </c>
      <c r="FB150" s="330" t="s">
        <v>260</v>
      </c>
      <c r="FC150" s="330">
        <v>45631</v>
      </c>
      <c r="FD150" s="330" t="s">
        <v>260</v>
      </c>
      <c r="FE150" s="330">
        <v>45722</v>
      </c>
      <c r="FF150" s="330">
        <v>45804</v>
      </c>
      <c r="FG150" s="330" t="s">
        <v>260</v>
      </c>
      <c r="FH150" s="330" t="s">
        <v>260</v>
      </c>
      <c r="FI150" s="330">
        <v>46022</v>
      </c>
      <c r="FJ150" s="330" t="s">
        <v>260</v>
      </c>
      <c r="FK150" s="330">
        <v>46119</v>
      </c>
      <c r="FL150" s="336" t="s">
        <v>298</v>
      </c>
      <c r="FM150" s="352">
        <v>45631</v>
      </c>
      <c r="FN150" s="338">
        <f>IF(Table1[[#This Row],[Tanggal Pengajuan Dokumen]]="","",Table1[[#This Row],[PLAN PERMIT
start]]-Table1[[#This Row],[Tanggal Pengajuan Dokumen]])</f>
        <v>-73</v>
      </c>
      <c r="FO150" s="437">
        <v>46086</v>
      </c>
      <c r="FP150" s="316" t="s">
        <v>175</v>
      </c>
      <c r="FQ150" s="338"/>
      <c r="FR150" s="338"/>
      <c r="FS150" s="338" t="str">
        <f t="shared" si="9"/>
        <v>On Going</v>
      </c>
      <c r="FT15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50" s="344">
        <f ca="1">IF(Table1[[#This Row],[Status Izin]]="Selesai",Table1[[#This Row],[PLAN PERMIT
finish]]-Table1[[#This Row],[Tanggal Terbit/ Target Izin Terbit]],ROUNDUP(Table1[[#This Row],[PLAN PERMIT
finish]]-NOW(),0))</f>
        <v>-536</v>
      </c>
      <c r="FV15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0" s="344"/>
      <c r="FX150" s="47"/>
      <c r="FY150" s="340"/>
      <c r="FZ150" s="341">
        <v>45582</v>
      </c>
      <c r="GA15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0" s="330">
        <v>45629</v>
      </c>
      <c r="GC150" s="352">
        <v>45597</v>
      </c>
      <c r="GD15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0" s="330">
        <v>45636</v>
      </c>
      <c r="GF150" s="352">
        <v>45597</v>
      </c>
      <c r="GG15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0" s="330">
        <v>45642</v>
      </c>
      <c r="GI150" s="330">
        <v>45648</v>
      </c>
      <c r="GJ150" s="352">
        <v>45607</v>
      </c>
      <c r="GK15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0" s="330">
        <v>45656</v>
      </c>
      <c r="GM150" s="330" t="e">
        <v>#N/A</v>
      </c>
      <c r="GN150" s="330">
        <v>45788</v>
      </c>
      <c r="GO150" s="330" t="e">
        <v>#N/A</v>
      </c>
      <c r="GP150" s="316"/>
      <c r="GQ15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0" s="330" t="s">
        <v>261</v>
      </c>
      <c r="GS150" s="330" t="s">
        <v>261</v>
      </c>
      <c r="GT150" s="354">
        <v>46074</v>
      </c>
      <c r="GU150" s="344" t="str">
        <f>IF(Table1[[#This Row],[Hydro Tes Actual
(tanggal)]]&lt;&gt;"","Sudah","Belum")</f>
        <v>Sudah</v>
      </c>
      <c r="GV150" s="330" t="s">
        <v>261</v>
      </c>
      <c r="GW150" s="330" t="s">
        <v>261</v>
      </c>
      <c r="GX150" s="331">
        <v>46063</v>
      </c>
      <c r="GY150" s="344" t="str">
        <f>IF(Table1[[#This Row],[Interkoneksi Actual
(tanggal)]]&lt;&gt;"","Sudah","Belum")</f>
        <v>Sudah</v>
      </c>
      <c r="GZ150" s="330" t="s">
        <v>261</v>
      </c>
      <c r="HA150" s="330" t="s">
        <v>261</v>
      </c>
      <c r="HB150" s="331">
        <v>46087</v>
      </c>
      <c r="HC150" s="344" t="str">
        <f>IF(Table1[[#This Row],[Flushing Actual
(tanggal)]]&lt;&gt;"","Sudah","Belum")</f>
        <v>Sudah</v>
      </c>
      <c r="HD150" s="330">
        <v>45754</v>
      </c>
      <c r="HE150" s="330" t="e">
        <v>#N/A</v>
      </c>
      <c r="HF150" s="330">
        <v>45774</v>
      </c>
      <c r="HG150" s="352">
        <v>46098</v>
      </c>
      <c r="HH15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0" s="330" t="s">
        <v>261</v>
      </c>
      <c r="HJ150" s="330" t="s">
        <v>261</v>
      </c>
      <c r="HK150" s="331"/>
      <c r="HL150" s="316"/>
      <c r="HM150" s="330">
        <v>45793</v>
      </c>
      <c r="HN150" s="330">
        <v>45793</v>
      </c>
      <c r="HO150" s="421" t="e">
        <v>#N/A</v>
      </c>
      <c r="HP150" s="331">
        <v>46176</v>
      </c>
      <c r="HQ15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50" s="330">
        <v>45800</v>
      </c>
      <c r="HS150" s="330"/>
      <c r="HT150" s="330">
        <v>45800</v>
      </c>
      <c r="HU150" s="330"/>
      <c r="HV150" s="330">
        <f>IF(Table1[[#This Row],[MC-100 Aktual
(tanggal)]]&lt;&gt;"",Table1[[#This Row],[MC-100 Aktual
(tanggal)]]+5,"")</f>
        <v>46181</v>
      </c>
      <c r="HW15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50" s="47"/>
      <c r="HY150" s="352"/>
      <c r="HZ150" s="352"/>
      <c r="IB150" s="618">
        <f>IFERROR(ROUND((Table1[[#This Row],[PLAN TC
finish]]-Table1[[#This Row],[PLAN MC-0
start]])/30,2),"")</f>
        <v>4.4000000000000004</v>
      </c>
      <c r="IC150">
        <f>DATEDIF(Table1[[#This Row],[PLAN MC-0
start]],Table1[[#This Row],[PLAN TC
finish]],"m")</f>
        <v>4</v>
      </c>
    </row>
    <row r="151" spans="2:237" s="4" customFormat="1" ht="15" hidden="1" customHeight="1" x14ac:dyDescent="0.2">
      <c r="B151" s="311">
        <f>SUBTOTAL(3,$D$5:D151)</f>
        <v>84</v>
      </c>
      <c r="C151" s="348">
        <v>147</v>
      </c>
      <c r="D151" s="338" t="s">
        <v>629</v>
      </c>
      <c r="E151" s="338" t="s">
        <v>1075</v>
      </c>
      <c r="F151" s="338" t="s">
        <v>1076</v>
      </c>
      <c r="G151" s="349">
        <v>45935</v>
      </c>
      <c r="H151" s="314" t="s">
        <v>247</v>
      </c>
      <c r="I151" s="338" t="s">
        <v>278</v>
      </c>
      <c r="J151" s="315" t="s">
        <v>943</v>
      </c>
      <c r="K151" s="338" t="s">
        <v>915</v>
      </c>
      <c r="L151" s="316" t="s">
        <v>250</v>
      </c>
      <c r="M151" s="316" t="s">
        <v>269</v>
      </c>
      <c r="N151" s="107">
        <v>22228</v>
      </c>
      <c r="O151" s="131" t="s">
        <v>252</v>
      </c>
      <c r="P15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151" s="35" t="e">
        <v>#N/A</v>
      </c>
      <c r="S151" s="35">
        <v>1</v>
      </c>
      <c r="T151" s="35">
        <f>Table1[[#This Row],[Progres Total Aktual
(%)]]</f>
        <v>0.78923650574282911</v>
      </c>
      <c r="U151" s="124">
        <f>Table1[[#This Row],[Progres Aktual
(%)]]-Table1[[#This Row],[Target Progres
(%)]]</f>
        <v>-0.21076349425717089</v>
      </c>
      <c r="V151" s="350">
        <f>Table1[[#This Row],["Volume
BA MC-0"]]</f>
        <v>22219</v>
      </c>
      <c r="W151" s="351">
        <f>Table1[[#This Row],[Total Panjang Pipa Aktual
(Sum-&gt;)3]]</f>
        <v>12914</v>
      </c>
      <c r="X151" s="47"/>
      <c r="Y151" s="67" t="s">
        <v>1077</v>
      </c>
      <c r="Z151" s="67">
        <v>36514112749</v>
      </c>
      <c r="AA151" s="67">
        <f>Table1[[#This Row],[Nilai RAB Jaringan
(file pa aji)]]</f>
        <v>36514112749</v>
      </c>
      <c r="AB151" s="320">
        <f>SUM(Table1[[#This Row],[RAB Kegiatan Umum]:[RAB Perizinan]])</f>
        <v>0</v>
      </c>
      <c r="AC151" s="320"/>
      <c r="AD151" s="320"/>
      <c r="AE151" s="320"/>
      <c r="AF151" s="320"/>
      <c r="AG151" s="436">
        <v>12056031301</v>
      </c>
      <c r="AH151" s="35" t="e">
        <f>SUM(Table1[[#This Row],[Bobot Keg Umum]:[Bobot Perizinan]])</f>
        <v>#DIV/0!</v>
      </c>
      <c r="AI151" s="35" t="e">
        <f>Table1[[#This Row],[RAB Kegiatan Umum]]/Table1[[#This Row],[Nilai RAB Jaringan
(Exclude Ppn)]]</f>
        <v>#DIV/0!</v>
      </c>
      <c r="AJ151" s="35" t="e">
        <f>Table1[[#This Row],[RAB Pemasangan]]/Table1[[#This Row],[Nilai RAB Jaringan
(Exclude Ppn)]]</f>
        <v>#DIV/0!</v>
      </c>
      <c r="AK151" s="35" t="e">
        <f>Table1[[#This Row],[RAB Pengadaan]]/Table1[[#This Row],[Nilai RAB Jaringan
(Exclude Ppn)]]</f>
        <v>#DIV/0!</v>
      </c>
      <c r="AL151" s="35" t="e">
        <f>Table1[[#This Row],[RAB Perizinan]]/Table1[[#This Row],[Nilai RAB Jaringan
(Exclude Ppn)]]</f>
        <v>#DIV/0!</v>
      </c>
      <c r="AM151" s="47"/>
      <c r="AN151" s="285">
        <v>22219</v>
      </c>
      <c r="AO151" s="285">
        <f>SUM(Table1[[#This Row],[Pipa 63 mm]:[Pipa 1,800 mm]])</f>
        <v>22219</v>
      </c>
      <c r="AP151" s="285">
        <v>8438</v>
      </c>
      <c r="AQ151" s="285">
        <v>9692</v>
      </c>
      <c r="AR151" s="285">
        <v>2134</v>
      </c>
      <c r="AS151" s="285">
        <v>951</v>
      </c>
      <c r="AT151" s="285">
        <v>344</v>
      </c>
      <c r="AU151" s="285">
        <v>499</v>
      </c>
      <c r="AV151" s="285">
        <v>161</v>
      </c>
      <c r="AW151" s="285"/>
      <c r="AX151" s="285"/>
      <c r="AY151" s="285"/>
      <c r="AZ151" s="285"/>
      <c r="BA151" s="285"/>
      <c r="BB151" s="285"/>
      <c r="BC151" s="285"/>
      <c r="BD151" s="285"/>
      <c r="BE151" s="285"/>
      <c r="BF151" s="285"/>
      <c r="BG151" s="285"/>
      <c r="BH151" s="285"/>
      <c r="BI151" s="285"/>
      <c r="BJ151" s="36">
        <f>SUM(Table1[[#This Row],[Pipa 63 mm2]:[Pipa 1,800 mm21]])</f>
        <v>12914</v>
      </c>
      <c r="BK151" s="32">
        <v>3571</v>
      </c>
      <c r="BL151" s="32">
        <v>5921</v>
      </c>
      <c r="BM151" s="32">
        <v>1471</v>
      </c>
      <c r="BN151" s="32">
        <v>993</v>
      </c>
      <c r="BO151" s="32">
        <v>265</v>
      </c>
      <c r="BP151" s="32">
        <v>507</v>
      </c>
      <c r="BQ151" s="32">
        <f>186</f>
        <v>186</v>
      </c>
      <c r="BR151" s="32"/>
      <c r="BS151" s="32"/>
      <c r="BT151" s="32"/>
      <c r="BU151" s="32"/>
      <c r="BV151" s="32"/>
      <c r="BW151" s="32"/>
      <c r="BX151" s="32"/>
      <c r="BY151" s="32"/>
      <c r="BZ151" s="32"/>
      <c r="CA151" s="32"/>
      <c r="CB151" s="32"/>
      <c r="CC151" s="32"/>
      <c r="CD151" s="32"/>
      <c r="CE151" s="32">
        <v>9045</v>
      </c>
      <c r="CF151" s="32">
        <v>0</v>
      </c>
      <c r="CG151" s="32">
        <v>0</v>
      </c>
      <c r="CH151" s="32">
        <v>0</v>
      </c>
      <c r="CI151" s="32">
        <f t="shared" si="10"/>
        <v>9045</v>
      </c>
      <c r="CJ151" s="65">
        <f>IF((Table1[[#This Row],["Volume
BA MC-0"]]-Table1[[#This Row],[Total Panjang Pipa Aktual
(Sum-&gt;)3]]-Table1[[#This Row],[Total Volume
tidak dapat dipasang]])&gt;=0,Table1[[#This Row],["Volume
BA MC-0"]]-Table1[[#This Row],[Total Panjang Pipa Aktual
(Sum-&gt;)3]]-Table1[[#This Row],[Total Volume
tidak dapat dipasang]],0)</f>
        <v>260</v>
      </c>
      <c r="CK151" s="47"/>
      <c r="CL151" s="131"/>
      <c r="CM151" s="35"/>
      <c r="CN151" s="131"/>
      <c r="CO151" s="131"/>
      <c r="CP15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0.78923650574282911</v>
      </c>
      <c r="CQ151" s="66">
        <f>IFERROR(Table1[[#This Row],[Progres Keg. Umum
(%)]]*Table1[[#This Row],[Nilai RAB Jaringan
(file pa aji)]],0)</f>
        <v>0</v>
      </c>
      <c r="CR151" s="66">
        <f>IFERROR(Table1[[#This Row],[Progres MOS
(%)]]*Table1[[#This Row],[Nilai RAB Jaringan
(file pa aji)]],0)</f>
        <v>0</v>
      </c>
      <c r="CS151" s="66">
        <f>IFERROR(Table1[[#This Row],[Progres Pemasangan
(%)]]*Table1[[#This Row],[Nilai RAB Jaringan
(file pa aji)]],0)</f>
        <v>0</v>
      </c>
      <c r="CT151" s="66">
        <f>IFERROR(Table1[[#This Row],[Progres Perizinan
(%)]]*Table1[[#This Row],[Nilai RAB Jaringan
(file pa aji)]],0)</f>
        <v>0</v>
      </c>
      <c r="CU151" s="329">
        <v>28818270756.32045</v>
      </c>
      <c r="CV151" s="329">
        <v>28818270756.32045</v>
      </c>
      <c r="CW151" s="583">
        <v>0</v>
      </c>
      <c r="CX151" s="329">
        <v>0</v>
      </c>
      <c r="CY151" s="47"/>
      <c r="CZ151" s="330">
        <v>45530</v>
      </c>
      <c r="DA151" s="330">
        <v>45557</v>
      </c>
      <c r="DB151" s="331">
        <v>45531</v>
      </c>
      <c r="DC151" s="316" t="s">
        <v>1078</v>
      </c>
      <c r="DD151" s="67">
        <v>41901010077</v>
      </c>
      <c r="DE15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1" s="331">
        <v>45540</v>
      </c>
      <c r="DG151" s="316" t="s">
        <v>1079</v>
      </c>
      <c r="DH151" s="67">
        <v>41901010077</v>
      </c>
      <c r="DI15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1" s="330">
        <v>45558</v>
      </c>
      <c r="DK151" s="330">
        <v>45627</v>
      </c>
      <c r="DL151" s="331">
        <v>45939</v>
      </c>
      <c r="DM151" s="316" t="s">
        <v>1080</v>
      </c>
      <c r="DN15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51" s="331">
        <v>45953</v>
      </c>
      <c r="DP151" s="316" t="s">
        <v>1081</v>
      </c>
      <c r="DQ151" s="338" t="s">
        <v>365</v>
      </c>
      <c r="DR15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1" s="330">
        <v>45558</v>
      </c>
      <c r="DT151" s="330" t="e">
        <v>#N/A</v>
      </c>
      <c r="DU151" s="330">
        <v>45599</v>
      </c>
      <c r="DV151" s="330" t="e">
        <v>#N/A</v>
      </c>
      <c r="DW151" s="331">
        <v>45992</v>
      </c>
      <c r="DX151" s="316" t="s">
        <v>1082</v>
      </c>
      <c r="DY151" s="334"/>
      <c r="DZ151" s="334"/>
      <c r="EA15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1" s="331">
        <v>46001</v>
      </c>
      <c r="EC151" s="332"/>
      <c r="ED151" s="332"/>
      <c r="EE151" s="330" t="s">
        <v>1074</v>
      </c>
      <c r="EF151" s="35">
        <v>0.99375000000000002</v>
      </c>
      <c r="EG151" s="337">
        <v>0.99375000000000002</v>
      </c>
      <c r="EH151" s="316" t="str">
        <f>IF(Table1[[#This Row],[PO Material Aktual 
(%)]]&gt;=100%,"Selesai PO = 100%",IF(Table1[[#This Row],[PO Material Aktual 
(%)]]&gt;=50%,"Proses PO &gt; 100%",IF(Table1[[#This Row],[PO Material Aktual 
(%)]]&gt;0%,"Proses PO &gt; 50%",IF(Table1[[#This Row],[PO Material Aktual 
(%)]]=0,"Belum PO = 0%"))))</f>
        <v>Proses PO &gt; 100%</v>
      </c>
      <c r="EI15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1" s="330">
        <v>45600</v>
      </c>
      <c r="EK151" s="330" t="e">
        <v>#N/A</v>
      </c>
      <c r="EL151" s="330">
        <v>45711</v>
      </c>
      <c r="EM151" s="330" t="e">
        <v>#N/A</v>
      </c>
      <c r="EN151" s="331"/>
      <c r="EO151" s="332"/>
      <c r="EP151" s="332"/>
      <c r="EQ151" s="87">
        <v>0.9375</v>
      </c>
      <c r="ER151" s="87">
        <v>0.9375</v>
      </c>
      <c r="ES151" s="316" t="str">
        <f>IF(Table1[[#This Row],[Progres MOS]]&gt;=100%,"Selesai MOS = 100%",IF(Table1[[#This Row],[Progres MOS]]&gt;=50%,"Proses MOS &gt; 100%",IF(Table1[[#This Row],[Progres MOS]]&gt;0%,"Proses MOS &gt; 50%",IF(Table1[[#This Row],[Progres MOS]]=0,"Belum MOS = 0%"))))</f>
        <v>Proses MOS &gt; 100%</v>
      </c>
      <c r="ET15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51" s="47"/>
      <c r="EV151" s="330">
        <v>45558</v>
      </c>
      <c r="EW151" s="330" t="e">
        <v>#N/A</v>
      </c>
      <c r="EX151" s="330">
        <v>45655</v>
      </c>
      <c r="EY151" s="330" t="e">
        <v>#N/A</v>
      </c>
      <c r="EZ151" s="352" t="s">
        <v>298</v>
      </c>
      <c r="FA151" s="336" t="s">
        <v>259</v>
      </c>
      <c r="FB151" s="330" t="s">
        <v>260</v>
      </c>
      <c r="FC151" s="330">
        <v>45631</v>
      </c>
      <c r="FD151" s="330" t="s">
        <v>260</v>
      </c>
      <c r="FE151" s="330">
        <v>45713</v>
      </c>
      <c r="FF151" s="330">
        <v>45784</v>
      </c>
      <c r="FG151" s="330" t="s">
        <v>260</v>
      </c>
      <c r="FH151" s="330" t="s">
        <v>260</v>
      </c>
      <c r="FI151" s="330">
        <v>45954</v>
      </c>
      <c r="FJ151" s="330" t="s">
        <v>260</v>
      </c>
      <c r="FK151" s="330">
        <v>46093</v>
      </c>
      <c r="FL151" s="336" t="s">
        <v>298</v>
      </c>
      <c r="FM151" s="352">
        <v>45631</v>
      </c>
      <c r="FN151" s="338">
        <f>IF(Table1[[#This Row],[Tanggal Pengajuan Dokumen]]="","",Table1[[#This Row],[PLAN PERMIT
start]]-Table1[[#This Row],[Tanggal Pengajuan Dokumen]])</f>
        <v>-73</v>
      </c>
      <c r="FO151" s="437">
        <v>46064</v>
      </c>
      <c r="FP151" s="316" t="s">
        <v>172</v>
      </c>
      <c r="FQ151" s="338"/>
      <c r="FR151" s="338"/>
      <c r="FS151" s="338" t="str">
        <f t="shared" si="9"/>
        <v>On Going</v>
      </c>
      <c r="FT15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51" s="344">
        <f ca="1">IF(Table1[[#This Row],[Status Izin]]="Selesai",Table1[[#This Row],[PLAN PERMIT
finish]]-Table1[[#This Row],[Tanggal Terbit/ Target Izin Terbit]],ROUNDUP(Table1[[#This Row],[PLAN PERMIT
finish]]-NOW(),0))</f>
        <v>-536</v>
      </c>
      <c r="FV15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1" s="344"/>
      <c r="FX151" s="47"/>
      <c r="FY151" s="340"/>
      <c r="FZ151" s="341">
        <v>45582</v>
      </c>
      <c r="GA15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1" s="330">
        <v>45629</v>
      </c>
      <c r="GC151" s="352">
        <v>45597</v>
      </c>
      <c r="GD15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1" s="330">
        <v>45636</v>
      </c>
      <c r="GF151" s="352">
        <v>45597</v>
      </c>
      <c r="GG15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1" s="330">
        <v>45642</v>
      </c>
      <c r="GI151" s="330">
        <v>45648</v>
      </c>
      <c r="GJ151" s="352">
        <v>45608</v>
      </c>
      <c r="GK15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1" s="330">
        <v>45656</v>
      </c>
      <c r="GM151" s="330" t="e">
        <v>#N/A</v>
      </c>
      <c r="GN151" s="330">
        <v>45788</v>
      </c>
      <c r="GO151" s="330" t="e">
        <v>#N/A</v>
      </c>
      <c r="GP151" s="316"/>
      <c r="GQ15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1" s="330" t="s">
        <v>261</v>
      </c>
      <c r="GS151" s="330" t="s">
        <v>261</v>
      </c>
      <c r="GT151" s="354">
        <v>46076</v>
      </c>
      <c r="GU151" s="344" t="str">
        <f>IF(Table1[[#This Row],[Hydro Tes Actual
(tanggal)]]&lt;&gt;"","Sudah","Belum")</f>
        <v>Sudah</v>
      </c>
      <c r="GV151" s="330" t="s">
        <v>261</v>
      </c>
      <c r="GW151" s="330" t="s">
        <v>261</v>
      </c>
      <c r="GX151" s="331">
        <v>46090</v>
      </c>
      <c r="GY151" s="344" t="str">
        <f>IF(Table1[[#This Row],[Interkoneksi Actual
(tanggal)]]&lt;&gt;"","Sudah","Belum")</f>
        <v>Sudah</v>
      </c>
      <c r="GZ151" s="330" t="s">
        <v>261</v>
      </c>
      <c r="HA151" s="330" t="s">
        <v>261</v>
      </c>
      <c r="HB151" s="331">
        <v>46093</v>
      </c>
      <c r="HC151" s="344" t="str">
        <f>IF(Table1[[#This Row],[Flushing Actual
(tanggal)]]&lt;&gt;"","Sudah","Belum")</f>
        <v>Sudah</v>
      </c>
      <c r="HD151" s="330">
        <v>45754</v>
      </c>
      <c r="HE151" s="330" t="e">
        <v>#N/A</v>
      </c>
      <c r="HF151" s="330">
        <v>45774</v>
      </c>
      <c r="HG151" s="352">
        <v>46111</v>
      </c>
      <c r="HH15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1" s="330" t="s">
        <v>261</v>
      </c>
      <c r="HJ151" s="330" t="s">
        <v>261</v>
      </c>
      <c r="HK151" s="331"/>
      <c r="HL151" s="316"/>
      <c r="HM151" s="330">
        <v>45793</v>
      </c>
      <c r="HN151" s="330">
        <v>45793</v>
      </c>
      <c r="HO151" s="421" t="e">
        <v>#N/A</v>
      </c>
      <c r="HP151" s="331"/>
      <c r="HQ15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51" s="330">
        <v>45800</v>
      </c>
      <c r="HS151" s="330"/>
      <c r="HT151" s="330">
        <v>45800</v>
      </c>
      <c r="HU151" s="330"/>
      <c r="HV151" s="330"/>
      <c r="HW15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51" s="47"/>
      <c r="HY151" s="352"/>
      <c r="HZ151" s="352"/>
      <c r="IB151" s="618">
        <f>IFERROR(ROUND((Table1[[#This Row],[PLAN TC
finish]]-Table1[[#This Row],[PLAN MC-0
start]])/30,2),"")</f>
        <v>4.4000000000000004</v>
      </c>
      <c r="IC151">
        <f>DATEDIF(Table1[[#This Row],[PLAN MC-0
start]],Table1[[#This Row],[PLAN TC
finish]],"m")</f>
        <v>4</v>
      </c>
    </row>
    <row r="152" spans="2:237" s="4" customFormat="1" ht="15" hidden="1" customHeight="1" x14ac:dyDescent="0.2">
      <c r="B152" s="311">
        <f>SUBTOTAL(3,$D$5:D152)</f>
        <v>84</v>
      </c>
      <c r="C152" s="348">
        <v>148</v>
      </c>
      <c r="D152" s="338" t="s">
        <v>629</v>
      </c>
      <c r="E152" s="338" t="s">
        <v>1083</v>
      </c>
      <c r="F152" s="338" t="s">
        <v>1084</v>
      </c>
      <c r="G152" s="349">
        <v>45935</v>
      </c>
      <c r="H152" s="338" t="s">
        <v>681</v>
      </c>
      <c r="I152" s="338" t="s">
        <v>278</v>
      </c>
      <c r="J152" s="315"/>
      <c r="K152" s="338" t="s">
        <v>915</v>
      </c>
      <c r="L152" s="316" t="s">
        <v>250</v>
      </c>
      <c r="M152" s="316" t="s">
        <v>269</v>
      </c>
      <c r="N152" s="107">
        <v>169</v>
      </c>
      <c r="O152" s="31" t="s">
        <v>252</v>
      </c>
      <c r="P15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2" s="35" t="e">
        <v>#N/A</v>
      </c>
      <c r="S152" s="35">
        <v>1</v>
      </c>
      <c r="T152" s="35">
        <f>Table1[[#This Row],[Progres Total Aktual
(%)]]</f>
        <v>1</v>
      </c>
      <c r="U152" s="124">
        <f>Table1[[#This Row],[Progres Aktual
(%)]]-Table1[[#This Row],[Target Progres
(%)]]</f>
        <v>0</v>
      </c>
      <c r="V152" s="350">
        <f>Table1[[#This Row],["Volume
BA MC-0"]]</f>
        <v>171</v>
      </c>
      <c r="W152" s="351">
        <f>Table1[[#This Row],[Total Panjang Pipa Aktual
(Sum-&gt;)3]]</f>
        <v>171.8</v>
      </c>
      <c r="X152" s="47"/>
      <c r="Y152" s="67" t="s">
        <v>1085</v>
      </c>
      <c r="Z152" s="67">
        <v>271031623</v>
      </c>
      <c r="AA152" s="67">
        <f>Table1[[#This Row],[Nilai RAB Jaringan
(file pa aji)]]</f>
        <v>271031623</v>
      </c>
      <c r="AB152" s="320">
        <f>SUM(Table1[[#This Row],[RAB Kegiatan Umum]:[RAB Perizinan]])</f>
        <v>0</v>
      </c>
      <c r="AC152" s="320"/>
      <c r="AD152" s="320"/>
      <c r="AE152" s="320"/>
      <c r="AF152" s="320"/>
      <c r="AG152" s="436">
        <v>20496483</v>
      </c>
      <c r="AH152" s="35" t="e">
        <f>SUM(Table1[[#This Row],[Bobot Keg Umum]:[Bobot Perizinan]])</f>
        <v>#DIV/0!</v>
      </c>
      <c r="AI152" s="35" t="e">
        <f>Table1[[#This Row],[RAB Kegiatan Umum]]/Table1[[#This Row],[Nilai RAB Jaringan
(Exclude Ppn)]]</f>
        <v>#DIV/0!</v>
      </c>
      <c r="AJ152" s="35" t="e">
        <f>Table1[[#This Row],[RAB Pemasangan]]/Table1[[#This Row],[Nilai RAB Jaringan
(Exclude Ppn)]]</f>
        <v>#DIV/0!</v>
      </c>
      <c r="AK152" s="35" t="e">
        <f>Table1[[#This Row],[RAB Pengadaan]]/Table1[[#This Row],[Nilai RAB Jaringan
(Exclude Ppn)]]</f>
        <v>#DIV/0!</v>
      </c>
      <c r="AL152" s="35" t="e">
        <f>Table1[[#This Row],[RAB Perizinan]]/Table1[[#This Row],[Nilai RAB Jaringan
(Exclude Ppn)]]</f>
        <v>#DIV/0!</v>
      </c>
      <c r="AM152" s="47"/>
      <c r="AN152" s="285">
        <v>171</v>
      </c>
      <c r="AO152" s="285">
        <f>SUM(Table1[[#This Row],[Pipa 63 mm]:[Pipa 1,800 mm]])</f>
        <v>171</v>
      </c>
      <c r="AP152" s="285">
        <v>171</v>
      </c>
      <c r="AQ152" s="285"/>
      <c r="AR152" s="285"/>
      <c r="AS152" s="285"/>
      <c r="AT152" s="285"/>
      <c r="AU152" s="285"/>
      <c r="AV152" s="285"/>
      <c r="AW152" s="285"/>
      <c r="AX152" s="285"/>
      <c r="AY152" s="285"/>
      <c r="AZ152" s="285"/>
      <c r="BA152" s="285"/>
      <c r="BB152" s="285"/>
      <c r="BC152" s="285"/>
      <c r="BD152" s="285"/>
      <c r="BE152" s="285"/>
      <c r="BF152" s="285"/>
      <c r="BG152" s="285"/>
      <c r="BH152" s="285"/>
      <c r="BI152" s="285"/>
      <c r="BJ152" s="36">
        <f>SUM(Table1[[#This Row],[Pipa 63 mm2]:[Pipa 1,800 mm21]])</f>
        <v>171.8</v>
      </c>
      <c r="BK152" s="32">
        <v>171.8</v>
      </c>
      <c r="BL152" s="32"/>
      <c r="BM152" s="32"/>
      <c r="BN152" s="32"/>
      <c r="BO152" s="32"/>
      <c r="BP152" s="32"/>
      <c r="BQ152" s="32"/>
      <c r="BR152" s="32"/>
      <c r="BS152" s="32"/>
      <c r="BT152" s="32"/>
      <c r="BU152" s="32"/>
      <c r="BV152" s="32"/>
      <c r="BW152" s="32"/>
      <c r="BX152" s="32"/>
      <c r="BY152" s="32"/>
      <c r="BZ152" s="32"/>
      <c r="CA152" s="32"/>
      <c r="CB152" s="32"/>
      <c r="CC152" s="32"/>
      <c r="CD152" s="32"/>
      <c r="CE152" s="32">
        <v>0</v>
      </c>
      <c r="CF152" s="32">
        <v>0</v>
      </c>
      <c r="CG152" s="32">
        <v>0</v>
      </c>
      <c r="CH152" s="32">
        <v>0</v>
      </c>
      <c r="CI152" s="32">
        <f t="shared" si="10"/>
        <v>0</v>
      </c>
      <c r="CJ152" s="65">
        <f>IF((Table1[[#This Row],["Volume
BA MC-0"]]-Table1[[#This Row],[Total Panjang Pipa Aktual
(Sum-&gt;)3]]-Table1[[#This Row],[Total Volume
tidak dapat dipasang]])&gt;=0,Table1[[#This Row],["Volume
BA MC-0"]]-Table1[[#This Row],[Total Panjang Pipa Aktual
(Sum-&gt;)3]]-Table1[[#This Row],[Total Volume
tidak dapat dipasang]],0)</f>
        <v>0</v>
      </c>
      <c r="CK152" s="47"/>
      <c r="CL152" s="131"/>
      <c r="CM152" s="35"/>
      <c r="CN152" s="131"/>
      <c r="CO152" s="131"/>
      <c r="CP15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2" s="66">
        <f>IFERROR(Table1[[#This Row],[Progres Keg. Umum
(%)]]*Table1[[#This Row],[Nilai RAB Jaringan
(file pa aji)]],0)</f>
        <v>0</v>
      </c>
      <c r="CR152" s="66">
        <f>IFERROR(Table1[[#This Row],[Progres MOS
(%)]]*Table1[[#This Row],[Nilai RAB Jaringan
(file pa aji)]],0)</f>
        <v>0</v>
      </c>
      <c r="CS152" s="66">
        <f>IFERROR(Table1[[#This Row],[Progres Pemasangan
(%)]]*Table1[[#This Row],[Nilai RAB Jaringan
(file pa aji)]],0)</f>
        <v>0</v>
      </c>
      <c r="CT152" s="66">
        <f>IFERROR(Table1[[#This Row],[Progres Perizinan
(%)]]*Table1[[#This Row],[Nilai RAB Jaringan
(file pa aji)]],0)</f>
        <v>0</v>
      </c>
      <c r="CU152" s="329">
        <v>208698182</v>
      </c>
      <c r="CV152" s="329">
        <v>208698182</v>
      </c>
      <c r="CW152" s="583">
        <v>208698182</v>
      </c>
      <c r="CX152" s="329">
        <v>208698182</v>
      </c>
      <c r="CY152" s="47"/>
      <c r="CZ152" s="330">
        <v>45593</v>
      </c>
      <c r="DA152" s="330">
        <v>45606</v>
      </c>
      <c r="DB152" s="331">
        <v>45621</v>
      </c>
      <c r="DC152" s="316" t="s">
        <v>1086</v>
      </c>
      <c r="DD152" s="67">
        <v>271031622</v>
      </c>
      <c r="DE15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52" s="331">
        <v>45625</v>
      </c>
      <c r="DG152" s="316" t="s">
        <v>1087</v>
      </c>
      <c r="DH152" s="67">
        <v>271031622</v>
      </c>
      <c r="DI15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52" s="330">
        <v>45607</v>
      </c>
      <c r="DK152" s="330">
        <v>45655</v>
      </c>
      <c r="DL152" s="331">
        <v>45650</v>
      </c>
      <c r="DM152" s="316" t="s">
        <v>1088</v>
      </c>
      <c r="DN15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2" s="331">
        <v>45667</v>
      </c>
      <c r="DP152" s="316" t="s">
        <v>1089</v>
      </c>
      <c r="DQ152" s="338" t="s">
        <v>371</v>
      </c>
      <c r="DR15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2" s="330">
        <v>45607</v>
      </c>
      <c r="DT152" s="330" t="e">
        <v>#N/A</v>
      </c>
      <c r="DU152" s="330">
        <v>45634</v>
      </c>
      <c r="DV152" s="330" t="e">
        <v>#N/A</v>
      </c>
      <c r="DW152" s="331">
        <v>45916</v>
      </c>
      <c r="DX152" s="316" t="s">
        <v>1090</v>
      </c>
      <c r="DY152" s="334"/>
      <c r="DZ152" s="334"/>
      <c r="EA15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2" s="331">
        <v>45924</v>
      </c>
      <c r="EC152" s="332"/>
      <c r="ED152" s="332"/>
      <c r="EE152" s="330" t="s">
        <v>1091</v>
      </c>
      <c r="EF152" s="35">
        <v>1</v>
      </c>
      <c r="EG152" s="337">
        <v>1</v>
      </c>
      <c r="EH152" s="316" t="str">
        <f>IF(Table1[[#This Row],[PO Material Aktual 
(%)]]&gt;=100%,"Selesai PO = 100%",IF(Table1[[#This Row],[PO Material Aktual 
(%)]]&gt;=50%,"Proses PO &gt; 100%",IF(Table1[[#This Row],[PO Material Aktual 
(%)]]&gt;0%,"Proses PO &gt; 50%",IF(Table1[[#This Row],[PO Material Aktual 
(%)]]=0,"Belum PO = 0%"))))</f>
        <v>Selesai PO = 100%</v>
      </c>
      <c r="EI15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2" s="330">
        <v>45635</v>
      </c>
      <c r="EK152" s="330" t="e">
        <v>#N/A</v>
      </c>
      <c r="EL152" s="330">
        <v>45683</v>
      </c>
      <c r="EM152" s="330" t="e">
        <v>#N/A</v>
      </c>
      <c r="EN152" s="331">
        <v>45932</v>
      </c>
      <c r="EO152" s="332"/>
      <c r="EP152" s="332"/>
      <c r="EQ152" s="87">
        <v>1</v>
      </c>
      <c r="ER152" s="87">
        <v>1</v>
      </c>
      <c r="ES152" s="316" t="str">
        <f>IF(Table1[[#This Row],[Progres MOS]]&gt;=100%,"Selesai MOS = 100%",IF(Table1[[#This Row],[Progres MOS]]&gt;=50%,"Proses MOS &gt; 100%",IF(Table1[[#This Row],[Progres MOS]]&gt;0%,"Proses MOS &gt; 50%",IF(Table1[[#This Row],[Progres MOS]]=0,"Belum MOS = 0%"))))</f>
        <v>Selesai MOS = 100%</v>
      </c>
      <c r="ET15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2" s="47"/>
      <c r="EV152" s="330">
        <v>45607</v>
      </c>
      <c r="EW152" s="330" t="e">
        <v>#N/A</v>
      </c>
      <c r="EX152" s="330">
        <v>45683</v>
      </c>
      <c r="EY152" s="330" t="e">
        <v>#N/A</v>
      </c>
      <c r="EZ152" s="352" t="s">
        <v>298</v>
      </c>
      <c r="FA152" s="336" t="s">
        <v>259</v>
      </c>
      <c r="FB152" s="330" t="s">
        <v>260</v>
      </c>
      <c r="FC152" s="330">
        <v>45840</v>
      </c>
      <c r="FD152" s="330" t="s">
        <v>260</v>
      </c>
      <c r="FE152" s="330">
        <v>45919</v>
      </c>
      <c r="FF152" s="330">
        <v>45937</v>
      </c>
      <c r="FG152" s="330" t="s">
        <v>260</v>
      </c>
      <c r="FH152" s="330" t="s">
        <v>260</v>
      </c>
      <c r="FI152" s="330">
        <v>46003</v>
      </c>
      <c r="FJ152" s="330" t="s">
        <v>260</v>
      </c>
      <c r="FK152" s="330">
        <v>46134</v>
      </c>
      <c r="FL152" s="336" t="s">
        <v>298</v>
      </c>
      <c r="FM152" s="352">
        <v>45840</v>
      </c>
      <c r="FN152" s="338">
        <f>IF(Table1[[#This Row],[Tanggal Pengajuan Dokumen]]="","",Table1[[#This Row],[PLAN PERMIT
start]]-Table1[[#This Row],[Tanggal Pengajuan Dokumen]])</f>
        <v>-233</v>
      </c>
      <c r="FO152" s="437">
        <v>46086</v>
      </c>
      <c r="FP152" s="316"/>
      <c r="FQ152" s="338"/>
      <c r="FR152" s="338"/>
      <c r="FS152" s="338" t="str">
        <f t="shared" si="9"/>
        <v>Sudah Terbit</v>
      </c>
      <c r="FT15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2" s="344">
        <f ca="1">IF(Table1[[#This Row],[Status Izin]]="Selesai",Table1[[#This Row],[PLAN PERMIT
finish]]-Table1[[#This Row],[Tanggal Terbit/ Target Izin Terbit]],ROUNDUP(Table1[[#This Row],[PLAN PERMIT
finish]]-NOW(),0))</f>
        <v>-403</v>
      </c>
      <c r="FV15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2" s="344"/>
      <c r="FX152" s="47"/>
      <c r="FY152" s="340"/>
      <c r="FZ152" s="341">
        <v>45582</v>
      </c>
      <c r="GA15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2" s="330">
        <v>45657</v>
      </c>
      <c r="GC152" s="352">
        <v>45870</v>
      </c>
      <c r="GD15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52" s="330">
        <v>45664</v>
      </c>
      <c r="GF152" s="352">
        <v>45870</v>
      </c>
      <c r="GG15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52" s="330">
        <v>45670</v>
      </c>
      <c r="GI152" s="330">
        <v>45676</v>
      </c>
      <c r="GJ152" s="352">
        <v>45643</v>
      </c>
      <c r="GK15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2" s="330">
        <v>45684</v>
      </c>
      <c r="GM152" s="330" t="e">
        <v>#N/A</v>
      </c>
      <c r="GN152" s="330">
        <v>45704</v>
      </c>
      <c r="GO152" s="330" t="e">
        <v>#N/A</v>
      </c>
      <c r="GP152" s="316"/>
      <c r="GQ15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2" s="330" t="s">
        <v>261</v>
      </c>
      <c r="GS152" s="330" t="s">
        <v>261</v>
      </c>
      <c r="GT152" s="354">
        <v>45679</v>
      </c>
      <c r="GU152" s="344" t="str">
        <f>IF(Table1[[#This Row],[Hydro Tes Actual
(tanggal)]]&lt;&gt;"","Sudah","Belum")</f>
        <v>Sudah</v>
      </c>
      <c r="GV152" s="330" t="s">
        <v>261</v>
      </c>
      <c r="GW152" s="330" t="s">
        <v>261</v>
      </c>
      <c r="GX152" s="331">
        <v>45700</v>
      </c>
      <c r="GY152" s="344" t="str">
        <f>IF(Table1[[#This Row],[Interkoneksi Actual
(tanggal)]]&lt;&gt;"","Sudah","Belum")</f>
        <v>Sudah</v>
      </c>
      <c r="GZ152" s="330" t="s">
        <v>261</v>
      </c>
      <c r="HA152" s="330" t="s">
        <v>261</v>
      </c>
      <c r="HB152" s="331">
        <v>45709</v>
      </c>
      <c r="HC152" s="344" t="str">
        <f>IF(Table1[[#This Row],[Flushing Actual
(tanggal)]]&lt;&gt;"","Sudah","Belum")</f>
        <v>Sudah</v>
      </c>
      <c r="HD152" s="330">
        <v>45695</v>
      </c>
      <c r="HE152" s="330" t="e">
        <v>#N/A</v>
      </c>
      <c r="HF152" s="330">
        <v>45704</v>
      </c>
      <c r="HG152" s="352">
        <v>45846</v>
      </c>
      <c r="HH15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2" s="330" t="s">
        <v>261</v>
      </c>
      <c r="HJ152" s="330" t="s">
        <v>261</v>
      </c>
      <c r="HK152" s="331"/>
      <c r="HL152" s="316"/>
      <c r="HM152" s="330">
        <v>45709</v>
      </c>
      <c r="HN152" s="330">
        <v>45709</v>
      </c>
      <c r="HO152" s="330" t="e">
        <v>#N/A</v>
      </c>
      <c r="HP152" s="331">
        <v>45922</v>
      </c>
      <c r="HQ15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52" s="330">
        <v>45716</v>
      </c>
      <c r="HS152" s="330"/>
      <c r="HT152" s="330">
        <v>45716</v>
      </c>
      <c r="HU152" s="527"/>
      <c r="HV152" s="330">
        <v>45931</v>
      </c>
      <c r="HW15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52" s="47"/>
      <c r="HY152" s="352"/>
      <c r="HZ152" s="352"/>
      <c r="IB152" s="618">
        <f>IFERROR(ROUND((Table1[[#This Row],[PLAN TC
finish]]-Table1[[#This Row],[PLAN MC-0
start]])/30,2),"")</f>
        <v>1.1299999999999999</v>
      </c>
      <c r="IC152">
        <f>DATEDIF(Table1[[#This Row],[PLAN MC-0
start]],Table1[[#This Row],[PLAN TC
finish]],"m")</f>
        <v>1</v>
      </c>
    </row>
    <row r="153" spans="2:237" s="4" customFormat="1" ht="15" hidden="1" customHeight="1" x14ac:dyDescent="0.2">
      <c r="B153" s="311">
        <f>SUBTOTAL(3,$D$5:D153)</f>
        <v>84</v>
      </c>
      <c r="C153" s="348">
        <v>149</v>
      </c>
      <c r="D153" s="338" t="s">
        <v>629</v>
      </c>
      <c r="E153" s="338" t="s">
        <v>1092</v>
      </c>
      <c r="F153" s="338" t="s">
        <v>1093</v>
      </c>
      <c r="G153" s="349">
        <v>45935</v>
      </c>
      <c r="H153" s="338" t="s">
        <v>681</v>
      </c>
      <c r="I153" s="338" t="s">
        <v>278</v>
      </c>
      <c r="J153" s="315"/>
      <c r="K153" s="338" t="s">
        <v>915</v>
      </c>
      <c r="L153" s="316" t="s">
        <v>250</v>
      </c>
      <c r="M153" s="316" t="s">
        <v>269</v>
      </c>
      <c r="N153" s="107">
        <v>84</v>
      </c>
      <c r="O153" s="31" t="s">
        <v>252</v>
      </c>
      <c r="P15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3" s="35" t="e">
        <v>#N/A</v>
      </c>
      <c r="S153" s="35">
        <v>1</v>
      </c>
      <c r="T153" s="35">
        <f>Table1[[#This Row],[Progres Total Aktual
(%)]]</f>
        <v>1</v>
      </c>
      <c r="U153" s="124">
        <f>Table1[[#This Row],[Progres Aktual
(%)]]-Table1[[#This Row],[Target Progres
(%)]]</f>
        <v>0</v>
      </c>
      <c r="V153" s="350">
        <f>Table1[[#This Row],["Volume
BA MC-0"]]</f>
        <v>94</v>
      </c>
      <c r="W153" s="351">
        <f>Table1[[#This Row],[Total Panjang Pipa Aktual
(Sum-&gt;)3]]</f>
        <v>93</v>
      </c>
      <c r="X153" s="47"/>
      <c r="Y153" s="67" t="s">
        <v>1094</v>
      </c>
      <c r="Z153" s="67">
        <v>162142314</v>
      </c>
      <c r="AA153" s="67">
        <f>Table1[[#This Row],[Nilai RAB Jaringan
(file pa aji)]]</f>
        <v>162142314</v>
      </c>
      <c r="AB153" s="320">
        <f>SUM(Table1[[#This Row],[RAB Kegiatan Umum]:[RAB Perizinan]])</f>
        <v>0</v>
      </c>
      <c r="AC153" s="320"/>
      <c r="AD153" s="320"/>
      <c r="AE153" s="320"/>
      <c r="AF153" s="320"/>
      <c r="AG153" s="436">
        <v>51241208</v>
      </c>
      <c r="AH153" s="35" t="e">
        <f>SUM(Table1[[#This Row],[Bobot Keg Umum]:[Bobot Perizinan]])</f>
        <v>#DIV/0!</v>
      </c>
      <c r="AI153" s="35" t="e">
        <f>Table1[[#This Row],[RAB Kegiatan Umum]]/Table1[[#This Row],[Nilai RAB Jaringan
(Exclude Ppn)]]</f>
        <v>#DIV/0!</v>
      </c>
      <c r="AJ153" s="35" t="e">
        <f>Table1[[#This Row],[RAB Pemasangan]]/Table1[[#This Row],[Nilai RAB Jaringan
(Exclude Ppn)]]</f>
        <v>#DIV/0!</v>
      </c>
      <c r="AK153" s="35" t="e">
        <f>Table1[[#This Row],[RAB Pengadaan]]/Table1[[#This Row],[Nilai RAB Jaringan
(Exclude Ppn)]]</f>
        <v>#DIV/0!</v>
      </c>
      <c r="AL153" s="35" t="e">
        <f>Table1[[#This Row],[RAB Perizinan]]/Table1[[#This Row],[Nilai RAB Jaringan
(Exclude Ppn)]]</f>
        <v>#DIV/0!</v>
      </c>
      <c r="AM153" s="47"/>
      <c r="AN153" s="285">
        <v>94</v>
      </c>
      <c r="AO153" s="285">
        <f>SUM(Table1[[#This Row],[Pipa 63 mm]:[Pipa 1,800 mm]])</f>
        <v>94</v>
      </c>
      <c r="AP153" s="285">
        <v>94</v>
      </c>
      <c r="AQ153" s="285"/>
      <c r="AR153" s="285"/>
      <c r="AS153" s="285"/>
      <c r="AT153" s="285"/>
      <c r="AU153" s="285"/>
      <c r="AV153" s="285"/>
      <c r="AW153" s="285"/>
      <c r="AX153" s="285"/>
      <c r="AY153" s="285"/>
      <c r="AZ153" s="285"/>
      <c r="BA153" s="285"/>
      <c r="BB153" s="285"/>
      <c r="BC153" s="285"/>
      <c r="BD153" s="285"/>
      <c r="BE153" s="285"/>
      <c r="BF153" s="285"/>
      <c r="BG153" s="285"/>
      <c r="BH153" s="285"/>
      <c r="BI153" s="285"/>
      <c r="BJ153" s="36">
        <f>SUM(Table1[[#This Row],[Pipa 63 mm2]:[Pipa 1,800 mm21]])</f>
        <v>93</v>
      </c>
      <c r="BK153" s="32">
        <v>93</v>
      </c>
      <c r="BL153" s="32"/>
      <c r="BM153" s="32"/>
      <c r="BN153" s="32"/>
      <c r="BO153" s="32"/>
      <c r="BP153" s="32"/>
      <c r="BQ153" s="32"/>
      <c r="BR153" s="32"/>
      <c r="BS153" s="32"/>
      <c r="BT153" s="32"/>
      <c r="BU153" s="32"/>
      <c r="BV153" s="32"/>
      <c r="BW153" s="32"/>
      <c r="BX153" s="32"/>
      <c r="BY153" s="32"/>
      <c r="BZ153" s="32"/>
      <c r="CA153" s="32"/>
      <c r="CB153" s="32"/>
      <c r="CC153" s="32"/>
      <c r="CD153" s="32"/>
      <c r="CE153" s="32">
        <v>0</v>
      </c>
      <c r="CF153" s="32">
        <v>0</v>
      </c>
      <c r="CG153" s="32">
        <v>0</v>
      </c>
      <c r="CH153" s="32">
        <v>0</v>
      </c>
      <c r="CI153" s="32">
        <f t="shared" si="10"/>
        <v>0</v>
      </c>
      <c r="CJ153" s="65">
        <f>IF((Table1[[#This Row],["Volume
BA MC-0"]]-Table1[[#This Row],[Total Panjang Pipa Aktual
(Sum-&gt;)3]]-Table1[[#This Row],[Total Volume
tidak dapat dipasang]])&gt;=0,Table1[[#This Row],["Volume
BA MC-0"]]-Table1[[#This Row],[Total Panjang Pipa Aktual
(Sum-&gt;)3]]-Table1[[#This Row],[Total Volume
tidak dapat dipasang]],0)</f>
        <v>1</v>
      </c>
      <c r="CK153" s="47"/>
      <c r="CL153" s="131"/>
      <c r="CM153" s="35"/>
      <c r="CN153" s="131"/>
      <c r="CO153" s="131"/>
      <c r="CP15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3" s="66">
        <f>IFERROR(Table1[[#This Row],[Progres Keg. Umum
(%)]]*Table1[[#This Row],[Nilai RAB Jaringan
(file pa aji)]],0)</f>
        <v>0</v>
      </c>
      <c r="CR153" s="66">
        <f>IFERROR(Table1[[#This Row],[Progres MOS
(%)]]*Table1[[#This Row],[Nilai RAB Jaringan
(file pa aji)]],0)</f>
        <v>0</v>
      </c>
      <c r="CS153" s="66">
        <f>IFERROR(Table1[[#This Row],[Progres Pemasangan
(%)]]*Table1[[#This Row],[Nilai RAB Jaringan
(file pa aji)]],0)</f>
        <v>0</v>
      </c>
      <c r="CT153" s="66">
        <f>IFERROR(Table1[[#This Row],[Progres Perizinan
(%)]]*Table1[[#This Row],[Nilai RAB Jaringan
(file pa aji)]],0)</f>
        <v>0</v>
      </c>
      <c r="CU153" s="329">
        <v>134885270</v>
      </c>
      <c r="CV153" s="329">
        <v>134885270</v>
      </c>
      <c r="CW153" s="583">
        <v>134885270</v>
      </c>
      <c r="CX153" s="329">
        <v>134885270</v>
      </c>
      <c r="CY153" s="47"/>
      <c r="CZ153" s="330">
        <v>45656</v>
      </c>
      <c r="DA153" s="330">
        <v>45669</v>
      </c>
      <c r="DB153" s="331">
        <v>45394</v>
      </c>
      <c r="DC153" s="316" t="s">
        <v>1095</v>
      </c>
      <c r="DD153" s="67">
        <v>162142313</v>
      </c>
      <c r="DE15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3" s="331">
        <v>45635</v>
      </c>
      <c r="DG153" s="316" t="s">
        <v>1096</v>
      </c>
      <c r="DH153" s="67">
        <v>161302313</v>
      </c>
      <c r="DI15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3" s="330">
        <v>45670</v>
      </c>
      <c r="DK153" s="330">
        <v>45718</v>
      </c>
      <c r="DL153" s="331">
        <v>45650</v>
      </c>
      <c r="DM153" s="316" t="s">
        <v>1097</v>
      </c>
      <c r="DN15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3" s="331">
        <v>45677</v>
      </c>
      <c r="DP153" s="316" t="s">
        <v>1098</v>
      </c>
      <c r="DQ153" s="338" t="s">
        <v>371</v>
      </c>
      <c r="DR15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53" s="330">
        <v>45670</v>
      </c>
      <c r="DT153" s="330" t="e">
        <v>#N/A</v>
      </c>
      <c r="DU153" s="330">
        <v>45697</v>
      </c>
      <c r="DV153" s="330" t="e">
        <v>#N/A</v>
      </c>
      <c r="DW153" s="331">
        <v>45738</v>
      </c>
      <c r="DX153" s="316" t="s">
        <v>1099</v>
      </c>
      <c r="DY153" s="334"/>
      <c r="DZ153" s="334"/>
      <c r="EA15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3" s="331">
        <v>45833</v>
      </c>
      <c r="EC153" s="332"/>
      <c r="ED153" s="332"/>
      <c r="EE153" s="330" t="s">
        <v>1100</v>
      </c>
      <c r="EF153" s="35">
        <v>1</v>
      </c>
      <c r="EG153" s="337">
        <v>1</v>
      </c>
      <c r="EH153" s="316" t="str">
        <f>IF(Table1[[#This Row],[PO Material Aktual 
(%)]]&gt;=100%,"Selesai PO = 100%",IF(Table1[[#This Row],[PO Material Aktual 
(%)]]&gt;=50%,"Proses PO &gt; 100%",IF(Table1[[#This Row],[PO Material Aktual 
(%)]]&gt;0%,"Proses PO &gt; 50%",IF(Table1[[#This Row],[PO Material Aktual 
(%)]]=0,"Belum PO = 0%"))))</f>
        <v>Selesai PO = 100%</v>
      </c>
      <c r="EI15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3" s="330">
        <v>45698</v>
      </c>
      <c r="EK153" s="330" t="e">
        <v>#N/A</v>
      </c>
      <c r="EL153" s="330">
        <v>45746</v>
      </c>
      <c r="EM153" s="330" t="e">
        <v>#N/A</v>
      </c>
      <c r="EN153" s="331">
        <v>45930</v>
      </c>
      <c r="EO153" s="332"/>
      <c r="EP153" s="332"/>
      <c r="EQ153" s="87">
        <v>1</v>
      </c>
      <c r="ER153" s="87">
        <v>1</v>
      </c>
      <c r="ES153" s="316" t="str">
        <f>IF(Table1[[#This Row],[Progres MOS]]&gt;=100%,"Selesai MOS = 100%",IF(Table1[[#This Row],[Progres MOS]]&gt;=50%,"Proses MOS &gt; 100%",IF(Table1[[#This Row],[Progres MOS]]&gt;0%,"Proses MOS &gt; 50%",IF(Table1[[#This Row],[Progres MOS]]=0,"Belum MOS = 0%"))))</f>
        <v>Selesai MOS = 100%</v>
      </c>
      <c r="ET15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3" s="47"/>
      <c r="EV153" s="330">
        <v>45670</v>
      </c>
      <c r="EW153" s="330" t="e">
        <v>#N/A</v>
      </c>
      <c r="EX153" s="330">
        <v>45746</v>
      </c>
      <c r="EY153" s="330" t="e">
        <v>#N/A</v>
      </c>
      <c r="EZ153" s="352" t="s">
        <v>298</v>
      </c>
      <c r="FA153" s="336" t="s">
        <v>259</v>
      </c>
      <c r="FB153" s="330" t="s">
        <v>260</v>
      </c>
      <c r="FC153" s="330">
        <v>45840</v>
      </c>
      <c r="FD153" s="330" t="s">
        <v>260</v>
      </c>
      <c r="FE153" s="330">
        <v>45919</v>
      </c>
      <c r="FF153" s="330">
        <v>45937</v>
      </c>
      <c r="FG153" s="330" t="s">
        <v>260</v>
      </c>
      <c r="FH153" s="330" t="s">
        <v>260</v>
      </c>
      <c r="FI153" s="330">
        <v>46003</v>
      </c>
      <c r="FJ153" s="330" t="s">
        <v>260</v>
      </c>
      <c r="FK153" s="330">
        <v>46134</v>
      </c>
      <c r="FL153" s="336" t="s">
        <v>298</v>
      </c>
      <c r="FM153" s="352">
        <v>45840</v>
      </c>
      <c r="FN153" s="338">
        <f>IF(Table1[[#This Row],[Tanggal Pengajuan Dokumen]]="","",Table1[[#This Row],[PLAN PERMIT
start]]-Table1[[#This Row],[Tanggal Pengajuan Dokumen]])</f>
        <v>-170</v>
      </c>
      <c r="FO153" s="437">
        <v>46086</v>
      </c>
      <c r="FP153" s="316"/>
      <c r="FQ153" s="338"/>
      <c r="FR153" s="338"/>
      <c r="FS153" s="338" t="str">
        <f t="shared" si="9"/>
        <v>Sudah Terbit</v>
      </c>
      <c r="FT15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3" s="344">
        <f ca="1">IF(Table1[[#This Row],[Status Izin]]="Selesai",Table1[[#This Row],[PLAN PERMIT
finish]]-Table1[[#This Row],[Tanggal Terbit/ Target Izin Terbit]],ROUNDUP(Table1[[#This Row],[PLAN PERMIT
finish]]-NOW(),0))</f>
        <v>-340</v>
      </c>
      <c r="FV15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3" s="344"/>
      <c r="FX153" s="47"/>
      <c r="FY153" s="340"/>
      <c r="FZ153" s="341">
        <v>45582</v>
      </c>
      <c r="GA15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3" s="330">
        <v>45720</v>
      </c>
      <c r="GC153" s="352">
        <v>45635</v>
      </c>
      <c r="GD15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3" s="330">
        <v>45727</v>
      </c>
      <c r="GF153" s="352">
        <v>45635</v>
      </c>
      <c r="GG15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3" s="330">
        <v>45733</v>
      </c>
      <c r="GI153" s="330">
        <v>45739</v>
      </c>
      <c r="GJ153" s="352">
        <v>46008</v>
      </c>
      <c r="GK15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53" s="330">
        <v>45747</v>
      </c>
      <c r="GM153" s="330" t="e">
        <v>#N/A</v>
      </c>
      <c r="GN153" s="330">
        <v>45760</v>
      </c>
      <c r="GO153" s="330" t="e">
        <v>#N/A</v>
      </c>
      <c r="GP153" s="316"/>
      <c r="GQ15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3" s="330" t="s">
        <v>261</v>
      </c>
      <c r="GS153" s="330" t="s">
        <v>261</v>
      </c>
      <c r="GT153" s="354">
        <v>45733</v>
      </c>
      <c r="GU153" s="344" t="str">
        <f>IF(Table1[[#This Row],[Hydro Tes Actual
(tanggal)]]&lt;&gt;"","Sudah","Belum")</f>
        <v>Sudah</v>
      </c>
      <c r="GV153" s="330" t="s">
        <v>261</v>
      </c>
      <c r="GW153" s="330" t="s">
        <v>261</v>
      </c>
      <c r="GX153" s="331">
        <v>45734</v>
      </c>
      <c r="GY153" s="344" t="str">
        <f>IF(Table1[[#This Row],[Interkoneksi Actual
(tanggal)]]&lt;&gt;"","Sudah","Belum")</f>
        <v>Sudah</v>
      </c>
      <c r="GZ153" s="330" t="s">
        <v>261</v>
      </c>
      <c r="HA153" s="330" t="s">
        <v>261</v>
      </c>
      <c r="HB153" s="331">
        <v>45828</v>
      </c>
      <c r="HC153" s="344" t="str">
        <f>IF(Table1[[#This Row],[Flushing Actual
(tanggal)]]&lt;&gt;"","Sudah","Belum")</f>
        <v>Sudah</v>
      </c>
      <c r="HD153" s="330">
        <v>45751</v>
      </c>
      <c r="HE153" s="330" t="e">
        <v>#N/A</v>
      </c>
      <c r="HF153" s="330">
        <v>45760</v>
      </c>
      <c r="HG153" s="352">
        <v>45849</v>
      </c>
      <c r="HH15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3" s="330" t="s">
        <v>261</v>
      </c>
      <c r="HJ153" s="330" t="s">
        <v>261</v>
      </c>
      <c r="HK153" s="331"/>
      <c r="HL153" s="316"/>
      <c r="HM153" s="330">
        <v>45765</v>
      </c>
      <c r="HN153" s="330">
        <v>45765</v>
      </c>
      <c r="HO153" s="330" t="e">
        <v>#N/A</v>
      </c>
      <c r="HP153" s="331">
        <v>45922</v>
      </c>
      <c r="HQ15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53" s="330">
        <v>45772</v>
      </c>
      <c r="HS153" s="330"/>
      <c r="HT153" s="330">
        <v>45772</v>
      </c>
      <c r="HU153" s="527"/>
      <c r="HV153" s="330">
        <v>45931</v>
      </c>
      <c r="HW15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53" s="47"/>
      <c r="HY153" s="352"/>
      <c r="HZ153" s="352"/>
      <c r="IB153" s="618">
        <f>IFERROR(ROUND((Table1[[#This Row],[PLAN TC
finish]]-Table1[[#This Row],[PLAN MC-0
start]])/30,2),"")</f>
        <v>0.9</v>
      </c>
      <c r="IC153">
        <f>DATEDIF(Table1[[#This Row],[PLAN MC-0
start]],Table1[[#This Row],[PLAN TC
finish]],"m")</f>
        <v>0</v>
      </c>
    </row>
    <row r="154" spans="2:237" s="4" customFormat="1" ht="15" hidden="1" customHeight="1" x14ac:dyDescent="0.2">
      <c r="B154" s="311">
        <f>SUBTOTAL(3,$D$5:D154)</f>
        <v>84</v>
      </c>
      <c r="C154" s="348">
        <v>150</v>
      </c>
      <c r="D154" s="338" t="s">
        <v>629</v>
      </c>
      <c r="E154" s="338" t="s">
        <v>1101</v>
      </c>
      <c r="F154" s="338" t="s">
        <v>1102</v>
      </c>
      <c r="G154" s="349">
        <v>45935</v>
      </c>
      <c r="H154" s="338" t="s">
        <v>681</v>
      </c>
      <c r="I154" s="338" t="s">
        <v>278</v>
      </c>
      <c r="J154" s="315"/>
      <c r="K154" s="338" t="s">
        <v>915</v>
      </c>
      <c r="L154" s="316" t="s">
        <v>250</v>
      </c>
      <c r="M154" s="316" t="s">
        <v>269</v>
      </c>
      <c r="N154" s="107">
        <v>95</v>
      </c>
      <c r="O154" s="31" t="s">
        <v>252</v>
      </c>
      <c r="P15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4" s="35" t="e">
        <v>#N/A</v>
      </c>
      <c r="S154" s="35">
        <v>1</v>
      </c>
      <c r="T154" s="35">
        <f>Table1[[#This Row],[Progres Total Aktual
(%)]]</f>
        <v>1</v>
      </c>
      <c r="U154" s="124">
        <f>Table1[[#This Row],[Progres Aktual
(%)]]-Table1[[#This Row],[Target Progres
(%)]]</f>
        <v>0</v>
      </c>
      <c r="V154" s="350">
        <f>Table1[[#This Row],["Volume
BA MC-0"]]</f>
        <v>93</v>
      </c>
      <c r="W154" s="351">
        <f>Table1[[#This Row],[Total Panjang Pipa Aktual
(Sum-&gt;)3]]</f>
        <v>80</v>
      </c>
      <c r="X154" s="47"/>
      <c r="Y154" s="67" t="s">
        <v>1103</v>
      </c>
      <c r="Z154" s="67">
        <v>213292967</v>
      </c>
      <c r="AA154" s="67">
        <f>Table1[[#This Row],[Nilai RAB Jaringan
(file pa aji)]]</f>
        <v>213292967</v>
      </c>
      <c r="AB154" s="320">
        <f>SUM(Table1[[#This Row],[RAB Kegiatan Umum]:[RAB Perizinan]])</f>
        <v>0</v>
      </c>
      <c r="AC154" s="320"/>
      <c r="AD154" s="320"/>
      <c r="AE154" s="320"/>
      <c r="AF154" s="320"/>
      <c r="AG154" s="436">
        <v>54783005</v>
      </c>
      <c r="AH154" s="35" t="e">
        <f>SUM(Table1[[#This Row],[Bobot Keg Umum]:[Bobot Perizinan]])</f>
        <v>#DIV/0!</v>
      </c>
      <c r="AI154" s="35" t="e">
        <f>Table1[[#This Row],[RAB Kegiatan Umum]]/Table1[[#This Row],[Nilai RAB Jaringan
(Exclude Ppn)]]</f>
        <v>#DIV/0!</v>
      </c>
      <c r="AJ154" s="35" t="e">
        <f>Table1[[#This Row],[RAB Pemasangan]]/Table1[[#This Row],[Nilai RAB Jaringan
(Exclude Ppn)]]</f>
        <v>#DIV/0!</v>
      </c>
      <c r="AK154" s="35" t="e">
        <f>Table1[[#This Row],[RAB Pengadaan]]/Table1[[#This Row],[Nilai RAB Jaringan
(Exclude Ppn)]]</f>
        <v>#DIV/0!</v>
      </c>
      <c r="AL154" s="35" t="e">
        <f>Table1[[#This Row],[RAB Perizinan]]/Table1[[#This Row],[Nilai RAB Jaringan
(Exclude Ppn)]]</f>
        <v>#DIV/0!</v>
      </c>
      <c r="AM154" s="47"/>
      <c r="AN154" s="285">
        <v>93</v>
      </c>
      <c r="AO154" s="285">
        <f>SUM(Table1[[#This Row],[Pipa 63 mm]:[Pipa 1,800 mm]])</f>
        <v>93</v>
      </c>
      <c r="AP154" s="285">
        <v>93</v>
      </c>
      <c r="AQ154" s="285"/>
      <c r="AR154" s="285"/>
      <c r="AS154" s="285"/>
      <c r="AT154" s="285"/>
      <c r="AU154" s="285"/>
      <c r="AV154" s="285"/>
      <c r="AW154" s="285"/>
      <c r="AX154" s="285"/>
      <c r="AY154" s="285"/>
      <c r="AZ154" s="285"/>
      <c r="BA154" s="285"/>
      <c r="BB154" s="285"/>
      <c r="BC154" s="285"/>
      <c r="BD154" s="285"/>
      <c r="BE154" s="285"/>
      <c r="BF154" s="285"/>
      <c r="BG154" s="285"/>
      <c r="BH154" s="285"/>
      <c r="BI154" s="285"/>
      <c r="BJ154" s="36">
        <f>SUM(Table1[[#This Row],[Pipa 63 mm2]:[Pipa 1,800 mm21]])</f>
        <v>80</v>
      </c>
      <c r="BK154" s="32">
        <v>80</v>
      </c>
      <c r="BL154" s="32"/>
      <c r="BM154" s="32"/>
      <c r="BN154" s="32"/>
      <c r="BO154" s="32"/>
      <c r="BP154" s="32"/>
      <c r="BQ154" s="32"/>
      <c r="BR154" s="32"/>
      <c r="BS154" s="32"/>
      <c r="BT154" s="32"/>
      <c r="BU154" s="32"/>
      <c r="BV154" s="32"/>
      <c r="BW154" s="32"/>
      <c r="BX154" s="32"/>
      <c r="BY154" s="32"/>
      <c r="BZ154" s="32"/>
      <c r="CA154" s="32"/>
      <c r="CB154" s="32"/>
      <c r="CC154" s="32"/>
      <c r="CD154" s="32"/>
      <c r="CE154" s="32">
        <v>0</v>
      </c>
      <c r="CF154" s="32">
        <v>0</v>
      </c>
      <c r="CG154" s="32">
        <v>0</v>
      </c>
      <c r="CH154" s="32">
        <v>0</v>
      </c>
      <c r="CI154" s="32">
        <f t="shared" si="10"/>
        <v>0</v>
      </c>
      <c r="CJ154" s="65">
        <f>IF((Table1[[#This Row],["Volume
BA MC-0"]]-Table1[[#This Row],[Total Panjang Pipa Aktual
(Sum-&gt;)3]]-Table1[[#This Row],[Total Volume
tidak dapat dipasang]])&gt;=0,Table1[[#This Row],["Volume
BA MC-0"]]-Table1[[#This Row],[Total Panjang Pipa Aktual
(Sum-&gt;)3]]-Table1[[#This Row],[Total Volume
tidak dapat dipasang]],0)</f>
        <v>13</v>
      </c>
      <c r="CK154" s="47"/>
      <c r="CL154" s="131"/>
      <c r="CM154" s="35"/>
      <c r="CN154" s="131"/>
      <c r="CO154" s="131"/>
      <c r="CP15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4" s="66">
        <f>IFERROR(Table1[[#This Row],[Progres Keg. Umum
(%)]]*Table1[[#This Row],[Nilai RAB Jaringan
(file pa aji)]],0)</f>
        <v>0</v>
      </c>
      <c r="CR154" s="66">
        <f>IFERROR(Table1[[#This Row],[Progres MOS
(%)]]*Table1[[#This Row],[Nilai RAB Jaringan
(file pa aji)]],0)</f>
        <v>0</v>
      </c>
      <c r="CS154" s="66">
        <f>IFERROR(Table1[[#This Row],[Progres Pemasangan
(%)]]*Table1[[#This Row],[Nilai RAB Jaringan
(file pa aji)]],0)</f>
        <v>0</v>
      </c>
      <c r="CT154" s="66">
        <f>IFERROR(Table1[[#This Row],[Progres Perizinan
(%)]]*Table1[[#This Row],[Nilai RAB Jaringan
(file pa aji)]],0)</f>
        <v>0</v>
      </c>
      <c r="CU154" s="329">
        <v>104716759</v>
      </c>
      <c r="CV154" s="329">
        <v>104716759</v>
      </c>
      <c r="CW154" s="583">
        <v>104716759</v>
      </c>
      <c r="CX154" s="329">
        <v>104716759</v>
      </c>
      <c r="CY154" s="47"/>
      <c r="CZ154" s="330">
        <v>45775</v>
      </c>
      <c r="DA154" s="330">
        <v>45802</v>
      </c>
      <c r="DB154" s="331">
        <v>45784</v>
      </c>
      <c r="DC154" s="316" t="s">
        <v>1104</v>
      </c>
      <c r="DD154" s="67">
        <v>213292967</v>
      </c>
      <c r="DE15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4" s="331">
        <v>45799</v>
      </c>
      <c r="DG154" s="316" t="s">
        <v>1105</v>
      </c>
      <c r="DH154" s="67">
        <v>213292967</v>
      </c>
      <c r="DI15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4" s="330">
        <v>45803</v>
      </c>
      <c r="DK154" s="330">
        <v>45872</v>
      </c>
      <c r="DL154" s="331">
        <v>45840</v>
      </c>
      <c r="DM154" s="316" t="s">
        <v>1106</v>
      </c>
      <c r="DN15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4" s="331">
        <v>45882</v>
      </c>
      <c r="DP154" s="316" t="s">
        <v>1107</v>
      </c>
      <c r="DQ154" s="338" t="s">
        <v>275</v>
      </c>
      <c r="DR15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4" s="330">
        <v>45803</v>
      </c>
      <c r="DT154" s="330" t="e">
        <v>#N/A</v>
      </c>
      <c r="DU154" s="330">
        <v>45844</v>
      </c>
      <c r="DV154" s="330" t="e">
        <v>#N/A</v>
      </c>
      <c r="DW154" s="331">
        <v>45840</v>
      </c>
      <c r="DX154" s="316" t="s">
        <v>1106</v>
      </c>
      <c r="DY154" s="334"/>
      <c r="DZ154" s="334"/>
      <c r="EA15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4" s="331">
        <v>45891</v>
      </c>
      <c r="EC154" s="332"/>
      <c r="ED154" s="332"/>
      <c r="EE154" s="330" t="s">
        <v>1108</v>
      </c>
      <c r="EF154" s="35">
        <v>1</v>
      </c>
      <c r="EG154" s="337">
        <v>1</v>
      </c>
      <c r="EH154" s="316" t="str">
        <f>IF(Table1[[#This Row],[PO Material Aktual 
(%)]]&gt;=100%,"Selesai PO = 100%",IF(Table1[[#This Row],[PO Material Aktual 
(%)]]&gt;=50%,"Proses PO &gt; 100%",IF(Table1[[#This Row],[PO Material Aktual 
(%)]]&gt;0%,"Proses PO &gt; 50%",IF(Table1[[#This Row],[PO Material Aktual 
(%)]]=0,"Belum PO = 0%"))))</f>
        <v>Selesai PO = 100%</v>
      </c>
      <c r="EI15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4" s="330">
        <v>45845</v>
      </c>
      <c r="EK154" s="330" t="e">
        <v>#N/A</v>
      </c>
      <c r="EL154" s="330">
        <v>45900</v>
      </c>
      <c r="EM154" s="330" t="e">
        <v>#N/A</v>
      </c>
      <c r="EN154" s="331">
        <v>46101</v>
      </c>
      <c r="EO154" s="332"/>
      <c r="EP154" s="332"/>
      <c r="EQ154" s="87">
        <v>1</v>
      </c>
      <c r="ER154" s="87">
        <v>1</v>
      </c>
      <c r="ES154" s="316" t="str">
        <f>IF(Table1[[#This Row],[Progres MOS]]&gt;=100%,"Selesai MOS = 100%",IF(Table1[[#This Row],[Progres MOS]]&gt;=50%,"Proses MOS &gt; 100%",IF(Table1[[#This Row],[Progres MOS]]&gt;0%,"Proses MOS &gt; 50%",IF(Table1[[#This Row],[Progres MOS]]=0,"Belum MOS = 0%"))))</f>
        <v>Selesai MOS = 100%</v>
      </c>
      <c r="ET15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4" s="47"/>
      <c r="EV154" s="330">
        <v>45803</v>
      </c>
      <c r="EW154" s="330" t="e">
        <v>#N/A</v>
      </c>
      <c r="EX154" s="330">
        <v>45900</v>
      </c>
      <c r="EY154" s="330" t="e">
        <v>#N/A</v>
      </c>
      <c r="EZ154" s="352" t="s">
        <v>298</v>
      </c>
      <c r="FA154" s="336" t="s">
        <v>259</v>
      </c>
      <c r="FB154" s="330" t="s">
        <v>260</v>
      </c>
      <c r="FC154" s="330">
        <v>45840</v>
      </c>
      <c r="FD154" s="330" t="s">
        <v>260</v>
      </c>
      <c r="FE154" s="330">
        <v>45919</v>
      </c>
      <c r="FF154" s="330">
        <v>45937</v>
      </c>
      <c r="FG154" s="330" t="s">
        <v>260</v>
      </c>
      <c r="FH154" s="330" t="s">
        <v>260</v>
      </c>
      <c r="FI154" s="330">
        <v>46003</v>
      </c>
      <c r="FJ154" s="330" t="s">
        <v>260</v>
      </c>
      <c r="FK154" s="330">
        <v>46134</v>
      </c>
      <c r="FL154" s="336" t="s">
        <v>298</v>
      </c>
      <c r="FM154" s="352">
        <v>45840</v>
      </c>
      <c r="FN154" s="338">
        <f>IF(Table1[[#This Row],[Tanggal Pengajuan Dokumen]]="","",Table1[[#This Row],[PLAN PERMIT
start]]-Table1[[#This Row],[Tanggal Pengajuan Dokumen]])</f>
        <v>-37</v>
      </c>
      <c r="FO154" s="437">
        <v>46086</v>
      </c>
      <c r="FP154" s="316"/>
      <c r="FQ154" s="338"/>
      <c r="FR154" s="338"/>
      <c r="FS154" s="338" t="str">
        <f t="shared" si="9"/>
        <v>Sudah Terbit</v>
      </c>
      <c r="FT15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4" s="344">
        <f ca="1">IF(Table1[[#This Row],[Status Izin]]="Selesai",Table1[[#This Row],[PLAN PERMIT
finish]]-Table1[[#This Row],[Tanggal Terbit/ Target Izin Terbit]],ROUNDUP(Table1[[#This Row],[PLAN PERMIT
finish]]-NOW(),0))</f>
        <v>-186</v>
      </c>
      <c r="FV15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4" s="344"/>
      <c r="FX154" s="47"/>
      <c r="FY154" s="340"/>
      <c r="FZ154" s="341">
        <v>45884</v>
      </c>
      <c r="GA15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4" s="330">
        <v>45874</v>
      </c>
      <c r="GC154" s="352">
        <v>45870</v>
      </c>
      <c r="GD15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4" s="330">
        <v>45881</v>
      </c>
      <c r="GF154" s="352">
        <v>45870</v>
      </c>
      <c r="GG15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4" s="330">
        <v>45887</v>
      </c>
      <c r="GI154" s="330">
        <v>45893</v>
      </c>
      <c r="GJ154" s="352">
        <v>45875</v>
      </c>
      <c r="GK15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4" s="330">
        <v>45901</v>
      </c>
      <c r="GM154" s="330" t="e">
        <v>#N/A</v>
      </c>
      <c r="GN154" s="330">
        <v>45914</v>
      </c>
      <c r="GO154" s="330" t="e">
        <v>#N/A</v>
      </c>
      <c r="GP154" s="316"/>
      <c r="GQ15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4" s="330" t="s">
        <v>261</v>
      </c>
      <c r="GS154" s="330" t="s">
        <v>261</v>
      </c>
      <c r="GT154" s="354">
        <v>45909</v>
      </c>
      <c r="GU154" s="344" t="str">
        <f>IF(Table1[[#This Row],[Hydro Tes Actual
(tanggal)]]&lt;&gt;"","Sudah","Belum")</f>
        <v>Sudah</v>
      </c>
      <c r="GV154" s="330" t="s">
        <v>261</v>
      </c>
      <c r="GW154" s="330" t="s">
        <v>261</v>
      </c>
      <c r="GX154" s="331">
        <v>45910</v>
      </c>
      <c r="GY154" s="344" t="str">
        <f>IF(Table1[[#This Row],[Interkoneksi Actual
(tanggal)]]&lt;&gt;"","Sudah","Belum")</f>
        <v>Sudah</v>
      </c>
      <c r="GZ154" s="330" t="s">
        <v>261</v>
      </c>
      <c r="HA154" s="330" t="s">
        <v>261</v>
      </c>
      <c r="HB154" s="331">
        <v>45915</v>
      </c>
      <c r="HC154" s="344" t="str">
        <f>IF(Table1[[#This Row],[Flushing Actual
(tanggal)]]&lt;&gt;"","Sudah","Belum")</f>
        <v>Sudah</v>
      </c>
      <c r="HD154" s="330">
        <v>45901</v>
      </c>
      <c r="HE154" s="330" t="e">
        <v>#N/A</v>
      </c>
      <c r="HF154" s="330">
        <v>45914</v>
      </c>
      <c r="HG154" s="352">
        <v>45919</v>
      </c>
      <c r="HH15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4" s="330" t="s">
        <v>261</v>
      </c>
      <c r="HJ154" s="330" t="s">
        <v>261</v>
      </c>
      <c r="HK154" s="331"/>
      <c r="HL154" s="316"/>
      <c r="HM154" s="330">
        <v>45919</v>
      </c>
      <c r="HN154" s="330">
        <v>45919</v>
      </c>
      <c r="HO154" s="330" t="e">
        <v>#N/A</v>
      </c>
      <c r="HP154" s="331">
        <v>45929</v>
      </c>
      <c r="HQ15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54" s="330">
        <v>45926</v>
      </c>
      <c r="HS154" s="330"/>
      <c r="HT154" s="330">
        <v>45926</v>
      </c>
      <c r="HU154" s="527"/>
      <c r="HV154" s="330">
        <v>45933</v>
      </c>
      <c r="HW15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54" s="47"/>
      <c r="HY154" s="352"/>
      <c r="HZ154" s="352"/>
      <c r="IB154" s="618">
        <f>IFERROR(ROUND((Table1[[#This Row],[PLAN TC
finish]]-Table1[[#This Row],[PLAN MC-0
start]])/30,2),"")</f>
        <v>0.9</v>
      </c>
      <c r="IC154">
        <f>DATEDIF(Table1[[#This Row],[PLAN MC-0
start]],Table1[[#This Row],[PLAN TC
finish]],"m")</f>
        <v>0</v>
      </c>
    </row>
    <row r="155" spans="2:237" s="4" customFormat="1" ht="15" hidden="1" customHeight="1" x14ac:dyDescent="0.2">
      <c r="B155" s="311">
        <f>SUBTOTAL(3,$D$5:D155)</f>
        <v>84</v>
      </c>
      <c r="C155" s="348">
        <v>151</v>
      </c>
      <c r="D155" s="338" t="s">
        <v>629</v>
      </c>
      <c r="E155" s="338" t="s">
        <v>1109</v>
      </c>
      <c r="F155" s="338" t="s">
        <v>1110</v>
      </c>
      <c r="G155" s="349">
        <v>45935</v>
      </c>
      <c r="H155" s="338" t="s">
        <v>681</v>
      </c>
      <c r="I155" s="338" t="s">
        <v>278</v>
      </c>
      <c r="J155" s="315"/>
      <c r="K155" s="338" t="s">
        <v>915</v>
      </c>
      <c r="L155" s="316" t="s">
        <v>250</v>
      </c>
      <c r="M155" s="316" t="s">
        <v>269</v>
      </c>
      <c r="N155" s="107">
        <v>254</v>
      </c>
      <c r="O155" s="31" t="s">
        <v>252</v>
      </c>
      <c r="P15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5" s="35" t="e">
        <v>#N/A</v>
      </c>
      <c r="S155" s="35">
        <v>1</v>
      </c>
      <c r="T155" s="35">
        <f>Table1[[#This Row],[Progres Total Aktual
(%)]]</f>
        <v>1</v>
      </c>
      <c r="U155" s="124">
        <f>Table1[[#This Row],[Progres Aktual
(%)]]-Table1[[#This Row],[Target Progres
(%)]]</f>
        <v>0</v>
      </c>
      <c r="V155" s="350">
        <f>Table1[[#This Row],["Volume
BA MC-0"]]</f>
        <v>210</v>
      </c>
      <c r="W155" s="351">
        <f>Table1[[#This Row],[Total Panjang Pipa Aktual
(Sum-&gt;)3]]</f>
        <v>210</v>
      </c>
      <c r="X155" s="47"/>
      <c r="Y155" s="67" t="s">
        <v>1111</v>
      </c>
      <c r="Z155" s="67">
        <v>362692214</v>
      </c>
      <c r="AA155" s="67">
        <f>Table1[[#This Row],[Nilai RAB Jaringan
(file pa aji)]]</f>
        <v>362692214</v>
      </c>
      <c r="AB155" s="320">
        <f>SUM(Table1[[#This Row],[RAB Kegiatan Umum]:[RAB Perizinan]])</f>
        <v>0</v>
      </c>
      <c r="AC155" s="320"/>
      <c r="AD155" s="320"/>
      <c r="AE155" s="320"/>
      <c r="AF155" s="320"/>
      <c r="AG155" s="436">
        <v>111673048</v>
      </c>
      <c r="AH155" s="35" t="e">
        <f>SUM(Table1[[#This Row],[Bobot Keg Umum]:[Bobot Perizinan]])</f>
        <v>#DIV/0!</v>
      </c>
      <c r="AI155" s="35" t="e">
        <f>Table1[[#This Row],[RAB Kegiatan Umum]]/Table1[[#This Row],[Nilai RAB Jaringan
(Exclude Ppn)]]</f>
        <v>#DIV/0!</v>
      </c>
      <c r="AJ155" s="35" t="e">
        <f>Table1[[#This Row],[RAB Pemasangan]]/Table1[[#This Row],[Nilai RAB Jaringan
(Exclude Ppn)]]</f>
        <v>#DIV/0!</v>
      </c>
      <c r="AK155" s="35" t="e">
        <f>Table1[[#This Row],[RAB Pengadaan]]/Table1[[#This Row],[Nilai RAB Jaringan
(Exclude Ppn)]]</f>
        <v>#DIV/0!</v>
      </c>
      <c r="AL155" s="35" t="e">
        <f>Table1[[#This Row],[RAB Perizinan]]/Table1[[#This Row],[Nilai RAB Jaringan
(Exclude Ppn)]]</f>
        <v>#DIV/0!</v>
      </c>
      <c r="AM155" s="47"/>
      <c r="AN155" s="285">
        <v>210</v>
      </c>
      <c r="AO155" s="285">
        <f>SUM(Table1[[#This Row],[Pipa 63 mm]:[Pipa 1,800 mm]])</f>
        <v>210</v>
      </c>
      <c r="AP155" s="285">
        <v>210</v>
      </c>
      <c r="AQ155" s="285"/>
      <c r="AR155" s="285"/>
      <c r="AS155" s="285"/>
      <c r="AT155" s="285"/>
      <c r="AU155" s="285"/>
      <c r="AV155" s="285"/>
      <c r="AW155" s="285"/>
      <c r="AX155" s="285"/>
      <c r="AY155" s="285"/>
      <c r="AZ155" s="285"/>
      <c r="BA155" s="285"/>
      <c r="BB155" s="285"/>
      <c r="BC155" s="285"/>
      <c r="BD155" s="285"/>
      <c r="BE155" s="285"/>
      <c r="BF155" s="285"/>
      <c r="BG155" s="285"/>
      <c r="BH155" s="285"/>
      <c r="BI155" s="285"/>
      <c r="BJ155" s="36">
        <f>SUM(Table1[[#This Row],[Pipa 63 mm2]:[Pipa 1,800 mm21]])</f>
        <v>210</v>
      </c>
      <c r="BK155" s="32">
        <v>210</v>
      </c>
      <c r="BL155" s="32"/>
      <c r="BM155" s="32"/>
      <c r="BN155" s="32"/>
      <c r="BO155" s="32"/>
      <c r="BP155" s="32"/>
      <c r="BQ155" s="32"/>
      <c r="BR155" s="32"/>
      <c r="BS155" s="32"/>
      <c r="BT155" s="32"/>
      <c r="BU155" s="32"/>
      <c r="BV155" s="32"/>
      <c r="BW155" s="32"/>
      <c r="BX155" s="32"/>
      <c r="BY155" s="32"/>
      <c r="BZ155" s="32"/>
      <c r="CA155" s="32"/>
      <c r="CB155" s="32"/>
      <c r="CC155" s="32"/>
      <c r="CD155" s="32"/>
      <c r="CE155" s="32">
        <v>0</v>
      </c>
      <c r="CF155" s="32">
        <v>0</v>
      </c>
      <c r="CG155" s="32">
        <v>0</v>
      </c>
      <c r="CH155" s="32">
        <v>0</v>
      </c>
      <c r="CI155" s="32">
        <f t="shared" si="10"/>
        <v>0</v>
      </c>
      <c r="CJ155" s="65">
        <f>IF((Table1[[#This Row],["Volume
BA MC-0"]]-Table1[[#This Row],[Total Panjang Pipa Aktual
(Sum-&gt;)3]]-Table1[[#This Row],[Total Volume
tidak dapat dipasang]])&gt;=0,Table1[[#This Row],["Volume
BA MC-0"]]-Table1[[#This Row],[Total Panjang Pipa Aktual
(Sum-&gt;)3]]-Table1[[#This Row],[Total Volume
tidak dapat dipasang]],0)</f>
        <v>0</v>
      </c>
      <c r="CK155" s="47"/>
      <c r="CL155" s="131"/>
      <c r="CM155" s="35"/>
      <c r="CN155" s="131"/>
      <c r="CO155" s="131"/>
      <c r="CP15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5" s="66">
        <f>IFERROR(Table1[[#This Row],[Progres Keg. Umum
(%)]]*Table1[[#This Row],[Nilai RAB Jaringan
(file pa aji)]],0)</f>
        <v>0</v>
      </c>
      <c r="CR155" s="66">
        <f>IFERROR(Table1[[#This Row],[Progres MOS
(%)]]*Table1[[#This Row],[Nilai RAB Jaringan
(file pa aji)]],0)</f>
        <v>0</v>
      </c>
      <c r="CS155" s="66">
        <f>IFERROR(Table1[[#This Row],[Progres Pemasangan
(%)]]*Table1[[#This Row],[Nilai RAB Jaringan
(file pa aji)]],0)</f>
        <v>0</v>
      </c>
      <c r="CT155" s="66">
        <f>IFERROR(Table1[[#This Row],[Progres Perizinan
(%)]]*Table1[[#This Row],[Nilai RAB Jaringan
(file pa aji)]],0)</f>
        <v>0</v>
      </c>
      <c r="CU155" s="329">
        <v>259186530</v>
      </c>
      <c r="CV155" s="329">
        <v>259186530</v>
      </c>
      <c r="CW155" s="583">
        <v>259186530</v>
      </c>
      <c r="CX155" s="329">
        <v>259186530</v>
      </c>
      <c r="CY155" s="47"/>
      <c r="CZ155" s="330">
        <v>45775</v>
      </c>
      <c r="DA155" s="330">
        <v>45802</v>
      </c>
      <c r="DB155" s="331">
        <v>45784</v>
      </c>
      <c r="DC155" s="316" t="s">
        <v>1112</v>
      </c>
      <c r="DD155" s="67">
        <v>362692215</v>
      </c>
      <c r="DE15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5" s="331">
        <v>45803</v>
      </c>
      <c r="DG155" s="316" t="s">
        <v>1113</v>
      </c>
      <c r="DH155" s="67">
        <v>362692215</v>
      </c>
      <c r="DI15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55" s="330">
        <v>45803</v>
      </c>
      <c r="DK155" s="330">
        <v>45872</v>
      </c>
      <c r="DL155" s="331">
        <v>45839</v>
      </c>
      <c r="DM155" s="316" t="s">
        <v>1114</v>
      </c>
      <c r="DN15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5" s="331">
        <v>45882</v>
      </c>
      <c r="DP155" s="316" t="s">
        <v>1115</v>
      </c>
      <c r="DQ155" s="338" t="s">
        <v>275</v>
      </c>
      <c r="DR15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5" s="330">
        <v>45803</v>
      </c>
      <c r="DT155" s="330" t="e">
        <v>#N/A</v>
      </c>
      <c r="DU155" s="330">
        <v>45844</v>
      </c>
      <c r="DV155" s="330" t="e">
        <v>#N/A</v>
      </c>
      <c r="DW155" s="331">
        <v>45839</v>
      </c>
      <c r="DX155" s="316" t="s">
        <v>1114</v>
      </c>
      <c r="DY155" s="334"/>
      <c r="DZ155" s="334"/>
      <c r="EA15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5" s="331">
        <v>45891</v>
      </c>
      <c r="EC155" s="332"/>
      <c r="ED155" s="332"/>
      <c r="EE155" s="330" t="s">
        <v>1116</v>
      </c>
      <c r="EF155" s="35">
        <v>1</v>
      </c>
      <c r="EG155" s="337">
        <v>1</v>
      </c>
      <c r="EH155" s="316" t="str">
        <f>IF(Table1[[#This Row],[PO Material Aktual 
(%)]]&gt;=100%,"Selesai PO = 100%",IF(Table1[[#This Row],[PO Material Aktual 
(%)]]&gt;=50%,"Proses PO &gt; 100%",IF(Table1[[#This Row],[PO Material Aktual 
(%)]]&gt;0%,"Proses PO &gt; 50%",IF(Table1[[#This Row],[PO Material Aktual 
(%)]]=0,"Belum PO = 0%"))))</f>
        <v>Selesai PO = 100%</v>
      </c>
      <c r="EI15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5" s="330">
        <v>45845</v>
      </c>
      <c r="EK155" s="330" t="e">
        <v>#N/A</v>
      </c>
      <c r="EL155" s="330">
        <v>45900</v>
      </c>
      <c r="EM155" s="330" t="e">
        <v>#N/A</v>
      </c>
      <c r="EN155" s="331">
        <v>46101</v>
      </c>
      <c r="EO155" s="332"/>
      <c r="EP155" s="332"/>
      <c r="EQ155" s="87">
        <v>1</v>
      </c>
      <c r="ER155" s="87">
        <v>1</v>
      </c>
      <c r="ES155" s="316" t="str">
        <f>IF(Table1[[#This Row],[Progres MOS]]&gt;=100%,"Selesai MOS = 100%",IF(Table1[[#This Row],[Progres MOS]]&gt;=50%,"Proses MOS &gt; 100%",IF(Table1[[#This Row],[Progres MOS]]&gt;0%,"Proses MOS &gt; 50%",IF(Table1[[#This Row],[Progres MOS]]=0,"Belum MOS = 0%"))))</f>
        <v>Selesai MOS = 100%</v>
      </c>
      <c r="ET15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5" s="47"/>
      <c r="EV155" s="330">
        <v>45803</v>
      </c>
      <c r="EW155" s="330" t="e">
        <v>#N/A</v>
      </c>
      <c r="EX155" s="330">
        <v>45900</v>
      </c>
      <c r="EY155" s="330" t="e">
        <v>#N/A</v>
      </c>
      <c r="EZ155" s="352" t="s">
        <v>298</v>
      </c>
      <c r="FA155" s="336" t="s">
        <v>259</v>
      </c>
      <c r="FB155" s="330" t="s">
        <v>260</v>
      </c>
      <c r="FC155" s="330">
        <v>45840</v>
      </c>
      <c r="FD155" s="330" t="s">
        <v>260</v>
      </c>
      <c r="FE155" s="330">
        <v>45919</v>
      </c>
      <c r="FF155" s="330">
        <v>45937</v>
      </c>
      <c r="FG155" s="330" t="s">
        <v>260</v>
      </c>
      <c r="FH155" s="330" t="s">
        <v>260</v>
      </c>
      <c r="FI155" s="330">
        <v>46003</v>
      </c>
      <c r="FJ155" s="330" t="s">
        <v>260</v>
      </c>
      <c r="FK155" s="330">
        <v>46134</v>
      </c>
      <c r="FL155" s="336" t="s">
        <v>298</v>
      </c>
      <c r="FM155" s="352">
        <v>45840</v>
      </c>
      <c r="FN155" s="338">
        <f>IF(Table1[[#This Row],[Tanggal Pengajuan Dokumen]]="","",Table1[[#This Row],[PLAN PERMIT
start]]-Table1[[#This Row],[Tanggal Pengajuan Dokumen]])</f>
        <v>-37</v>
      </c>
      <c r="FO155" s="437">
        <v>46086</v>
      </c>
      <c r="FP155" s="316"/>
      <c r="FQ155" s="338"/>
      <c r="FR155" s="338"/>
      <c r="FS155" s="338" t="str">
        <f t="shared" si="9"/>
        <v>Sudah Terbit</v>
      </c>
      <c r="FT15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5" s="344">
        <f ca="1">IF(Table1[[#This Row],[Status Izin]]="Selesai",Table1[[#This Row],[PLAN PERMIT
finish]]-Table1[[#This Row],[Tanggal Terbit/ Target Izin Terbit]],ROUNDUP(Table1[[#This Row],[PLAN PERMIT
finish]]-NOW(),0))</f>
        <v>-186</v>
      </c>
      <c r="FV15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5" s="344"/>
      <c r="FX155" s="47"/>
      <c r="FY155" s="340"/>
      <c r="FZ155" s="341">
        <v>45884</v>
      </c>
      <c r="GA15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5" s="330">
        <v>45874</v>
      </c>
      <c r="GC155" s="352">
        <v>45870</v>
      </c>
      <c r="GD15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5" s="330">
        <v>45881</v>
      </c>
      <c r="GF155" s="352">
        <v>45870</v>
      </c>
      <c r="GG15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5" s="330">
        <v>45887</v>
      </c>
      <c r="GI155" s="330">
        <v>45893</v>
      </c>
      <c r="GJ155" s="352">
        <v>45874</v>
      </c>
      <c r="GK15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5" s="330">
        <v>45901</v>
      </c>
      <c r="GM155" s="330" t="e">
        <v>#N/A</v>
      </c>
      <c r="GN155" s="330">
        <v>45914</v>
      </c>
      <c r="GO155" s="330" t="e">
        <v>#N/A</v>
      </c>
      <c r="GP155" s="316"/>
      <c r="GQ15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5" s="330" t="s">
        <v>261</v>
      </c>
      <c r="GS155" s="330" t="s">
        <v>261</v>
      </c>
      <c r="GT155" s="354">
        <v>45909</v>
      </c>
      <c r="GU155" s="344" t="str">
        <f>IF(Table1[[#This Row],[Hydro Tes Actual
(tanggal)]]&lt;&gt;"","Sudah","Belum")</f>
        <v>Sudah</v>
      </c>
      <c r="GV155" s="330" t="s">
        <v>261</v>
      </c>
      <c r="GW155" s="330" t="s">
        <v>261</v>
      </c>
      <c r="GX155" s="331">
        <v>45910</v>
      </c>
      <c r="GY155" s="344" t="str">
        <f>IF(Table1[[#This Row],[Interkoneksi Actual
(tanggal)]]&lt;&gt;"","Sudah","Belum")</f>
        <v>Sudah</v>
      </c>
      <c r="GZ155" s="330" t="s">
        <v>261</v>
      </c>
      <c r="HA155" s="330" t="s">
        <v>261</v>
      </c>
      <c r="HB155" s="331">
        <v>45915</v>
      </c>
      <c r="HC155" s="344" t="str">
        <f>IF(Table1[[#This Row],[Flushing Actual
(tanggal)]]&lt;&gt;"","Sudah","Belum")</f>
        <v>Sudah</v>
      </c>
      <c r="HD155" s="330">
        <v>45901</v>
      </c>
      <c r="HE155" s="330" t="e">
        <v>#N/A</v>
      </c>
      <c r="HF155" s="330">
        <v>45914</v>
      </c>
      <c r="HG155" s="352">
        <v>45919</v>
      </c>
      <c r="HH15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5" s="330" t="s">
        <v>261</v>
      </c>
      <c r="HJ155" s="330" t="s">
        <v>261</v>
      </c>
      <c r="HK155" s="331"/>
      <c r="HL155" s="316"/>
      <c r="HM155" s="330">
        <v>45919</v>
      </c>
      <c r="HN155" s="330">
        <v>45919</v>
      </c>
      <c r="HO155" s="330" t="e">
        <v>#N/A</v>
      </c>
      <c r="HP155" s="331">
        <v>45929</v>
      </c>
      <c r="HQ15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55" s="330">
        <v>45926</v>
      </c>
      <c r="HS155" s="330"/>
      <c r="HT155" s="330">
        <v>45926</v>
      </c>
      <c r="HU155" s="527"/>
      <c r="HV155" s="330">
        <v>45933</v>
      </c>
      <c r="HW15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55" s="47"/>
      <c r="HY155" s="352"/>
      <c r="HZ155" s="352"/>
      <c r="IB155" s="618">
        <f>IFERROR(ROUND((Table1[[#This Row],[PLAN TC
finish]]-Table1[[#This Row],[PLAN MC-0
start]])/30,2),"")</f>
        <v>0.9</v>
      </c>
      <c r="IC155">
        <f>DATEDIF(Table1[[#This Row],[PLAN MC-0
start]],Table1[[#This Row],[PLAN TC
finish]],"m")</f>
        <v>0</v>
      </c>
    </row>
    <row r="156" spans="2:237" s="4" customFormat="1" ht="15" hidden="1" customHeight="1" x14ac:dyDescent="0.2">
      <c r="B156" s="311">
        <f>SUBTOTAL(3,$D$5:D156)</f>
        <v>84</v>
      </c>
      <c r="C156" s="348">
        <v>152</v>
      </c>
      <c r="D156" s="338" t="s">
        <v>629</v>
      </c>
      <c r="E156" s="338" t="s">
        <v>1117</v>
      </c>
      <c r="F156" s="338" t="s">
        <v>1118</v>
      </c>
      <c r="G156" s="349">
        <v>45935</v>
      </c>
      <c r="H156" s="338" t="s">
        <v>681</v>
      </c>
      <c r="I156" s="338" t="s">
        <v>278</v>
      </c>
      <c r="J156" s="315" t="s">
        <v>882</v>
      </c>
      <c r="K156" s="338" t="s">
        <v>915</v>
      </c>
      <c r="L156" s="316" t="s">
        <v>250</v>
      </c>
      <c r="M156" s="316" t="s">
        <v>269</v>
      </c>
      <c r="N156" s="107">
        <v>264</v>
      </c>
      <c r="O156" s="31" t="s">
        <v>252</v>
      </c>
      <c r="P15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6" s="35" t="e">
        <v>#N/A</v>
      </c>
      <c r="S156" s="35">
        <v>1</v>
      </c>
      <c r="T156" s="35">
        <f>Table1[[#This Row],[Progres Total Aktual
(%)]]</f>
        <v>1</v>
      </c>
      <c r="U156" s="124">
        <f>Table1[[#This Row],[Progres Aktual
(%)]]-Table1[[#This Row],[Target Progres
(%)]]</f>
        <v>0</v>
      </c>
      <c r="V156" s="350">
        <f>Table1[[#This Row],["Volume
BA MC-0"]]</f>
        <v>254</v>
      </c>
      <c r="W156" s="351">
        <f>Table1[[#This Row],[Total Panjang Pipa Aktual
(Sum-&gt;)3]]</f>
        <v>263.2</v>
      </c>
      <c r="X156" s="47"/>
      <c r="Y156" s="67" t="s">
        <v>1119</v>
      </c>
      <c r="Z156" s="67">
        <v>358218320</v>
      </c>
      <c r="AA156" s="67">
        <f>Table1[[#This Row],[Nilai RAB Jaringan
(file pa aji)]]</f>
        <v>358218320</v>
      </c>
      <c r="AB156" s="320">
        <f>SUM(Table1[[#This Row],[RAB Kegiatan Umum]:[RAB Perizinan]])</f>
        <v>0</v>
      </c>
      <c r="AC156" s="320"/>
      <c r="AD156" s="320"/>
      <c r="AE156" s="320"/>
      <c r="AF156" s="320"/>
      <c r="AG156" s="436">
        <v>21070387</v>
      </c>
      <c r="AH156" s="35" t="e">
        <f>SUM(Table1[[#This Row],[Bobot Keg Umum]:[Bobot Perizinan]])</f>
        <v>#DIV/0!</v>
      </c>
      <c r="AI156" s="35" t="e">
        <f>Table1[[#This Row],[RAB Kegiatan Umum]]/Table1[[#This Row],[Nilai RAB Jaringan
(Exclude Ppn)]]</f>
        <v>#DIV/0!</v>
      </c>
      <c r="AJ156" s="35" t="e">
        <f>Table1[[#This Row],[RAB Pemasangan]]/Table1[[#This Row],[Nilai RAB Jaringan
(Exclude Ppn)]]</f>
        <v>#DIV/0!</v>
      </c>
      <c r="AK156" s="35" t="e">
        <f>Table1[[#This Row],[RAB Pengadaan]]/Table1[[#This Row],[Nilai RAB Jaringan
(Exclude Ppn)]]</f>
        <v>#DIV/0!</v>
      </c>
      <c r="AL156" s="35" t="e">
        <f>Table1[[#This Row],[RAB Perizinan]]/Table1[[#This Row],[Nilai RAB Jaringan
(Exclude Ppn)]]</f>
        <v>#DIV/0!</v>
      </c>
      <c r="AM156" s="47"/>
      <c r="AN156" s="285">
        <v>254</v>
      </c>
      <c r="AO156" s="285">
        <f>SUM(Table1[[#This Row],[Pipa 63 mm]:[Pipa 1,800 mm]])</f>
        <v>254</v>
      </c>
      <c r="AP156" s="285">
        <f>225+29</f>
        <v>254</v>
      </c>
      <c r="AQ156" s="285"/>
      <c r="AR156" s="285"/>
      <c r="AS156" s="285"/>
      <c r="AT156" s="285"/>
      <c r="AU156" s="285"/>
      <c r="AV156" s="285"/>
      <c r="AW156" s="285"/>
      <c r="AX156" s="285"/>
      <c r="AY156" s="285"/>
      <c r="AZ156" s="285"/>
      <c r="BA156" s="285"/>
      <c r="BB156" s="285"/>
      <c r="BC156" s="285"/>
      <c r="BD156" s="285"/>
      <c r="BE156" s="285"/>
      <c r="BF156" s="285"/>
      <c r="BG156" s="285"/>
      <c r="BH156" s="285"/>
      <c r="BI156" s="285"/>
      <c r="BJ156" s="36">
        <f>SUM(Table1[[#This Row],[Pipa 63 mm2]:[Pipa 1,800 mm21]])</f>
        <v>263.2</v>
      </c>
      <c r="BK156" s="32">
        <v>263.2</v>
      </c>
      <c r="BL156" s="32"/>
      <c r="BM156" s="32"/>
      <c r="BN156" s="32"/>
      <c r="BO156" s="32"/>
      <c r="BP156" s="32"/>
      <c r="BQ156" s="32"/>
      <c r="BR156" s="32"/>
      <c r="BS156" s="32"/>
      <c r="BT156" s="32"/>
      <c r="BU156" s="32"/>
      <c r="BV156" s="32"/>
      <c r="BW156" s="32"/>
      <c r="BX156" s="32"/>
      <c r="BY156" s="32"/>
      <c r="BZ156" s="32"/>
      <c r="CA156" s="32"/>
      <c r="CB156" s="32"/>
      <c r="CC156" s="32"/>
      <c r="CD156" s="32"/>
      <c r="CE156" s="32">
        <v>0</v>
      </c>
      <c r="CF156" s="32">
        <v>0</v>
      </c>
      <c r="CG156" s="32">
        <v>0</v>
      </c>
      <c r="CH156" s="32">
        <v>0</v>
      </c>
      <c r="CI156" s="32">
        <f t="shared" si="10"/>
        <v>0</v>
      </c>
      <c r="CJ156" s="65">
        <f>IF((Table1[[#This Row],["Volume
BA MC-0"]]-Table1[[#This Row],[Total Panjang Pipa Aktual
(Sum-&gt;)3]]-Table1[[#This Row],[Total Volume
tidak dapat dipasang]])&gt;=0,Table1[[#This Row],["Volume
BA MC-0"]]-Table1[[#This Row],[Total Panjang Pipa Aktual
(Sum-&gt;)3]]-Table1[[#This Row],[Total Volume
tidak dapat dipasang]],0)</f>
        <v>0</v>
      </c>
      <c r="CK156" s="47"/>
      <c r="CL156" s="131"/>
      <c r="CM156" s="35"/>
      <c r="CN156" s="131"/>
      <c r="CO156" s="131"/>
      <c r="CP15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6" s="66">
        <f>IFERROR(Table1[[#This Row],[Progres Keg. Umum
(%)]]*Table1[[#This Row],[Nilai RAB Jaringan
(file pa aji)]],0)</f>
        <v>0</v>
      </c>
      <c r="CR156" s="66">
        <f>IFERROR(Table1[[#This Row],[Progres MOS
(%)]]*Table1[[#This Row],[Nilai RAB Jaringan
(file pa aji)]],0)</f>
        <v>0</v>
      </c>
      <c r="CS156" s="66">
        <f>IFERROR(Table1[[#This Row],[Progres Pemasangan
(%)]]*Table1[[#This Row],[Nilai RAB Jaringan
(file pa aji)]],0)</f>
        <v>0</v>
      </c>
      <c r="CT156" s="66">
        <f>IFERROR(Table1[[#This Row],[Progres Perizinan
(%)]]*Table1[[#This Row],[Nilai RAB Jaringan
(file pa aji)]],0)</f>
        <v>0</v>
      </c>
      <c r="CU156" s="329">
        <v>351638883</v>
      </c>
      <c r="CV156" s="329">
        <v>351638883</v>
      </c>
      <c r="CW156" s="583">
        <v>351638883</v>
      </c>
      <c r="CX156" s="329">
        <v>351638883</v>
      </c>
      <c r="CY156" s="47"/>
      <c r="CZ156" s="330">
        <v>45775</v>
      </c>
      <c r="DA156" s="330">
        <v>45802</v>
      </c>
      <c r="DB156" s="331">
        <v>45784</v>
      </c>
      <c r="DC156" s="316" t="s">
        <v>1120</v>
      </c>
      <c r="DD156" s="67">
        <v>358218320</v>
      </c>
      <c r="DE15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6" s="331">
        <v>45803</v>
      </c>
      <c r="DG156" s="316" t="s">
        <v>1121</v>
      </c>
      <c r="DH156" s="67">
        <v>358218320</v>
      </c>
      <c r="DI15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56" s="330">
        <v>45803</v>
      </c>
      <c r="DK156" s="330">
        <v>45872</v>
      </c>
      <c r="DL156" s="331">
        <v>45840</v>
      </c>
      <c r="DM156" s="316" t="s">
        <v>1122</v>
      </c>
      <c r="DN15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6" s="331">
        <v>45882</v>
      </c>
      <c r="DP156" s="316" t="s">
        <v>1123</v>
      </c>
      <c r="DQ156" s="338" t="s">
        <v>275</v>
      </c>
      <c r="DR15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6" s="330">
        <v>45803</v>
      </c>
      <c r="DT156" s="330" t="e">
        <v>#N/A</v>
      </c>
      <c r="DU156" s="330">
        <v>45844</v>
      </c>
      <c r="DV156" s="330" t="e">
        <v>#N/A</v>
      </c>
      <c r="DW156" s="331">
        <v>45840</v>
      </c>
      <c r="DX156" s="316" t="s">
        <v>1122</v>
      </c>
      <c r="DY156" s="334"/>
      <c r="DZ156" s="334"/>
      <c r="EA15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6" s="331">
        <v>45891</v>
      </c>
      <c r="EC156" s="332"/>
      <c r="ED156" s="332"/>
      <c r="EE156" s="330" t="s">
        <v>1124</v>
      </c>
      <c r="EF156" s="35">
        <v>1</v>
      </c>
      <c r="EG156" s="337">
        <v>1</v>
      </c>
      <c r="EH156" s="316" t="str">
        <f>IF(Table1[[#This Row],[PO Material Aktual 
(%)]]&gt;=100%,"Selesai PO = 100%",IF(Table1[[#This Row],[PO Material Aktual 
(%)]]&gt;=50%,"Proses PO &gt; 100%",IF(Table1[[#This Row],[PO Material Aktual 
(%)]]&gt;0%,"Proses PO &gt; 50%",IF(Table1[[#This Row],[PO Material Aktual 
(%)]]=0,"Belum PO = 0%"))))</f>
        <v>Selesai PO = 100%</v>
      </c>
      <c r="EI15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6" s="330">
        <v>45845</v>
      </c>
      <c r="EK156" s="330" t="e">
        <v>#N/A</v>
      </c>
      <c r="EL156" s="330">
        <v>45900</v>
      </c>
      <c r="EM156" s="330" t="e">
        <v>#N/A</v>
      </c>
      <c r="EN156" s="331">
        <v>46036</v>
      </c>
      <c r="EO156" s="332"/>
      <c r="EP156" s="332"/>
      <c r="EQ156" s="87">
        <v>1</v>
      </c>
      <c r="ER156" s="87">
        <v>1</v>
      </c>
      <c r="ES156" s="316" t="str">
        <f>IF(Table1[[#This Row],[Progres MOS]]&gt;=100%,"Selesai MOS = 100%",IF(Table1[[#This Row],[Progres MOS]]&gt;=50%,"Proses MOS &gt; 100%",IF(Table1[[#This Row],[Progres MOS]]&gt;0%,"Proses MOS &gt; 50%",IF(Table1[[#This Row],[Progres MOS]]=0,"Belum MOS = 0%"))))</f>
        <v>Selesai MOS = 100%</v>
      </c>
      <c r="ET15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6" s="47"/>
      <c r="EV156" s="330">
        <v>45803</v>
      </c>
      <c r="EW156" s="330" t="e">
        <v>#N/A</v>
      </c>
      <c r="EX156" s="330">
        <v>45900</v>
      </c>
      <c r="EY156" s="330" t="e">
        <v>#N/A</v>
      </c>
      <c r="EZ156" s="352" t="s">
        <v>298</v>
      </c>
      <c r="FA156" s="336" t="s">
        <v>259</v>
      </c>
      <c r="FB156" s="330" t="s">
        <v>260</v>
      </c>
      <c r="FC156" s="330">
        <v>45840</v>
      </c>
      <c r="FD156" s="330" t="s">
        <v>260</v>
      </c>
      <c r="FE156" s="330">
        <v>45919</v>
      </c>
      <c r="FF156" s="330">
        <v>45937</v>
      </c>
      <c r="FG156" s="330" t="s">
        <v>260</v>
      </c>
      <c r="FH156" s="330" t="s">
        <v>260</v>
      </c>
      <c r="FI156" s="330">
        <v>46003</v>
      </c>
      <c r="FJ156" s="330" t="s">
        <v>260</v>
      </c>
      <c r="FK156" s="330">
        <v>46134</v>
      </c>
      <c r="FL156" s="336" t="s">
        <v>298</v>
      </c>
      <c r="FM156" s="352">
        <v>45840</v>
      </c>
      <c r="FN156" s="338">
        <f>IF(Table1[[#This Row],[Tanggal Pengajuan Dokumen]]="","",Table1[[#This Row],[PLAN PERMIT
start]]-Table1[[#This Row],[Tanggal Pengajuan Dokumen]])</f>
        <v>-37</v>
      </c>
      <c r="FO156" s="437">
        <v>46086</v>
      </c>
      <c r="FP156" s="316"/>
      <c r="FQ156" s="338"/>
      <c r="FR156" s="338"/>
      <c r="FS156" s="338" t="str">
        <f t="shared" si="9"/>
        <v>Sudah Terbit</v>
      </c>
      <c r="FT15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6" s="344">
        <f ca="1">IF(Table1[[#This Row],[Status Izin]]="Selesai",Table1[[#This Row],[PLAN PERMIT
finish]]-Table1[[#This Row],[Tanggal Terbit/ Target Izin Terbit]],ROUNDUP(Table1[[#This Row],[PLAN PERMIT
finish]]-NOW(),0))</f>
        <v>-186</v>
      </c>
      <c r="FV15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6" s="344"/>
      <c r="FX156" s="47"/>
      <c r="FY156" s="340"/>
      <c r="FZ156" s="341">
        <v>45884</v>
      </c>
      <c r="GA15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6" s="330">
        <v>45874</v>
      </c>
      <c r="GC156" s="352">
        <v>45870</v>
      </c>
      <c r="GD15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6" s="330">
        <v>45881</v>
      </c>
      <c r="GF156" s="352">
        <v>45870</v>
      </c>
      <c r="GG15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6" s="330">
        <v>45887</v>
      </c>
      <c r="GI156" s="330">
        <v>45893</v>
      </c>
      <c r="GJ156" s="352">
        <v>45877</v>
      </c>
      <c r="GK15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6" s="330">
        <v>45901</v>
      </c>
      <c r="GM156" s="330" t="e">
        <v>#N/A</v>
      </c>
      <c r="GN156" s="330">
        <v>45914</v>
      </c>
      <c r="GO156" s="330" t="e">
        <v>#N/A</v>
      </c>
      <c r="GP156" s="316"/>
      <c r="GQ15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6" s="330" t="s">
        <v>261</v>
      </c>
      <c r="GS156" s="330" t="s">
        <v>261</v>
      </c>
      <c r="GT156" s="354">
        <v>45937</v>
      </c>
      <c r="GU156" s="344" t="str">
        <f>IF(Table1[[#This Row],[Hydro Tes Actual
(tanggal)]]&lt;&gt;"","Sudah","Belum")</f>
        <v>Sudah</v>
      </c>
      <c r="GV156" s="330" t="s">
        <v>261</v>
      </c>
      <c r="GW156" s="330" t="s">
        <v>261</v>
      </c>
      <c r="GX156" s="331">
        <v>45943</v>
      </c>
      <c r="GY156" s="344" t="str">
        <f>IF(Table1[[#This Row],[Interkoneksi Actual
(tanggal)]]&lt;&gt;"","Sudah","Belum")</f>
        <v>Sudah</v>
      </c>
      <c r="GZ156" s="330" t="s">
        <v>261</v>
      </c>
      <c r="HA156" s="330" t="s">
        <v>261</v>
      </c>
      <c r="HB156" s="331">
        <v>45944</v>
      </c>
      <c r="HC156" s="344" t="str">
        <f>IF(Table1[[#This Row],[Flushing Actual
(tanggal)]]&lt;&gt;"","Sudah","Belum")</f>
        <v>Sudah</v>
      </c>
      <c r="HD156" s="330">
        <v>45901</v>
      </c>
      <c r="HE156" s="330" t="e">
        <v>#N/A</v>
      </c>
      <c r="HF156" s="330">
        <v>45914</v>
      </c>
      <c r="HG156" s="352">
        <v>45945</v>
      </c>
      <c r="HH15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6" s="330" t="s">
        <v>261</v>
      </c>
      <c r="HJ156" s="330" t="s">
        <v>261</v>
      </c>
      <c r="HK156" s="331"/>
      <c r="HL156" s="316"/>
      <c r="HM156" s="330">
        <v>45919</v>
      </c>
      <c r="HN156" s="330">
        <v>45919</v>
      </c>
      <c r="HO156" s="330" t="e">
        <v>#N/A</v>
      </c>
      <c r="HP156" s="331">
        <v>45958</v>
      </c>
      <c r="HQ15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56" s="330">
        <v>45926</v>
      </c>
      <c r="HS156" s="330"/>
      <c r="HT156" s="330">
        <v>45926</v>
      </c>
      <c r="HU156" s="527"/>
      <c r="HV156" s="330">
        <v>45978</v>
      </c>
      <c r="HW15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56" s="47"/>
      <c r="HY156" s="352"/>
      <c r="HZ156" s="352"/>
      <c r="IB156" s="618">
        <f>IFERROR(ROUND((Table1[[#This Row],[PLAN TC
finish]]-Table1[[#This Row],[PLAN MC-0
start]])/30,2),"")</f>
        <v>0.9</v>
      </c>
      <c r="IC156">
        <f>DATEDIF(Table1[[#This Row],[PLAN MC-0
start]],Table1[[#This Row],[PLAN TC
finish]],"m")</f>
        <v>0</v>
      </c>
    </row>
    <row r="157" spans="2:237" s="4" customFormat="1" ht="15" hidden="1" customHeight="1" x14ac:dyDescent="0.2">
      <c r="B157" s="311">
        <f>SUBTOTAL(3,$D$5:D157)</f>
        <v>84</v>
      </c>
      <c r="C157" s="348">
        <v>153</v>
      </c>
      <c r="D157" s="338" t="s">
        <v>629</v>
      </c>
      <c r="E157" s="338" t="s">
        <v>1125</v>
      </c>
      <c r="F157" s="338" t="s">
        <v>1126</v>
      </c>
      <c r="G157" s="349">
        <v>45935</v>
      </c>
      <c r="H157" s="338" t="s">
        <v>681</v>
      </c>
      <c r="I157" s="338" t="s">
        <v>278</v>
      </c>
      <c r="J157" s="315" t="s">
        <v>882</v>
      </c>
      <c r="K157" s="338" t="s">
        <v>915</v>
      </c>
      <c r="L157" s="316" t="s">
        <v>250</v>
      </c>
      <c r="M157" s="316" t="s">
        <v>269</v>
      </c>
      <c r="N157" s="107">
        <v>338</v>
      </c>
      <c r="O157" s="31" t="s">
        <v>252</v>
      </c>
      <c r="P15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7" s="35" t="e">
        <v>#N/A</v>
      </c>
      <c r="S157" s="35">
        <v>1</v>
      </c>
      <c r="T157" s="35">
        <f>Table1[[#This Row],[Progres Total Aktual
(%)]]</f>
        <v>1</v>
      </c>
      <c r="U157" s="124">
        <f>Table1[[#This Row],[Progres Aktual
(%)]]-Table1[[#This Row],[Target Progres
(%)]]</f>
        <v>0</v>
      </c>
      <c r="V157" s="350">
        <f>Table1[[#This Row],["Volume
BA MC-0"]]</f>
        <v>338</v>
      </c>
      <c r="W157" s="351">
        <f>Table1[[#This Row],[Total Panjang Pipa Aktual
(Sum-&gt;)3]]</f>
        <v>343</v>
      </c>
      <c r="X157" s="47"/>
      <c r="Y157" s="67" t="s">
        <v>1127</v>
      </c>
      <c r="Z157" s="67">
        <v>570095705</v>
      </c>
      <c r="AA157" s="67">
        <f>Table1[[#This Row],[Nilai RAB Jaringan
(file pa aji)]]</f>
        <v>570095705</v>
      </c>
      <c r="AB157" s="320">
        <f>SUM(Table1[[#This Row],[RAB Kegiatan Umum]:[RAB Perizinan]])</f>
        <v>0</v>
      </c>
      <c r="AC157" s="320"/>
      <c r="AD157" s="320"/>
      <c r="AE157" s="320"/>
      <c r="AF157" s="320"/>
      <c r="AG157" s="436">
        <v>31605580</v>
      </c>
      <c r="AH157" s="35" t="e">
        <f>SUM(Table1[[#This Row],[Bobot Keg Umum]:[Bobot Perizinan]])</f>
        <v>#DIV/0!</v>
      </c>
      <c r="AI157" s="35" t="e">
        <f>Table1[[#This Row],[RAB Kegiatan Umum]]/Table1[[#This Row],[Nilai RAB Jaringan
(Exclude Ppn)]]</f>
        <v>#DIV/0!</v>
      </c>
      <c r="AJ157" s="35" t="e">
        <f>Table1[[#This Row],[RAB Pemasangan]]/Table1[[#This Row],[Nilai RAB Jaringan
(Exclude Ppn)]]</f>
        <v>#DIV/0!</v>
      </c>
      <c r="AK157" s="35" t="e">
        <f>Table1[[#This Row],[RAB Pengadaan]]/Table1[[#This Row],[Nilai RAB Jaringan
(Exclude Ppn)]]</f>
        <v>#DIV/0!</v>
      </c>
      <c r="AL157" s="35" t="e">
        <f>Table1[[#This Row],[RAB Perizinan]]/Table1[[#This Row],[Nilai RAB Jaringan
(Exclude Ppn)]]</f>
        <v>#DIV/0!</v>
      </c>
      <c r="AM157" s="47"/>
      <c r="AN157" s="285">
        <v>338</v>
      </c>
      <c r="AO157" s="285">
        <f>SUM(Table1[[#This Row],[Pipa 63 mm]:[Pipa 1,800 mm]])</f>
        <v>338</v>
      </c>
      <c r="AP157" s="285"/>
      <c r="AQ157" s="285"/>
      <c r="AR157" s="285">
        <v>338</v>
      </c>
      <c r="AS157" s="285"/>
      <c r="AT157" s="285"/>
      <c r="AU157" s="285"/>
      <c r="AV157" s="285"/>
      <c r="AW157" s="285"/>
      <c r="AX157" s="285"/>
      <c r="AY157" s="285"/>
      <c r="AZ157" s="285"/>
      <c r="BA157" s="285"/>
      <c r="BB157" s="285"/>
      <c r="BC157" s="285"/>
      <c r="BD157" s="285"/>
      <c r="BE157" s="285"/>
      <c r="BF157" s="285"/>
      <c r="BG157" s="285"/>
      <c r="BH157" s="285"/>
      <c r="BI157" s="285"/>
      <c r="BJ157" s="36">
        <f>SUM(Table1[[#This Row],[Pipa 63 mm2]:[Pipa 1,800 mm21]])</f>
        <v>343</v>
      </c>
      <c r="BK157" s="32"/>
      <c r="BL157" s="32"/>
      <c r="BM157" s="32">
        <v>343</v>
      </c>
      <c r="BN157" s="32"/>
      <c r="BO157" s="32"/>
      <c r="BP157" s="32"/>
      <c r="BQ157" s="32"/>
      <c r="BR157" s="32"/>
      <c r="BS157" s="32"/>
      <c r="BT157" s="32"/>
      <c r="BU157" s="32"/>
      <c r="BV157" s="32"/>
      <c r="BW157" s="32"/>
      <c r="BX157" s="32"/>
      <c r="BY157" s="32"/>
      <c r="BZ157" s="32"/>
      <c r="CA157" s="32"/>
      <c r="CB157" s="32"/>
      <c r="CC157" s="32"/>
      <c r="CD157" s="32"/>
      <c r="CE157" s="32">
        <v>0</v>
      </c>
      <c r="CF157" s="32">
        <v>0</v>
      </c>
      <c r="CG157" s="32">
        <v>0</v>
      </c>
      <c r="CH157" s="32">
        <v>0</v>
      </c>
      <c r="CI157" s="32">
        <f t="shared" si="10"/>
        <v>0</v>
      </c>
      <c r="CJ157" s="65">
        <f>IF((Table1[[#This Row],["Volume
BA MC-0"]]-Table1[[#This Row],[Total Panjang Pipa Aktual
(Sum-&gt;)3]]-Table1[[#This Row],[Total Volume
tidak dapat dipasang]])&gt;=0,Table1[[#This Row],["Volume
BA MC-0"]]-Table1[[#This Row],[Total Panjang Pipa Aktual
(Sum-&gt;)3]]-Table1[[#This Row],[Total Volume
tidak dapat dipasang]],0)</f>
        <v>0</v>
      </c>
      <c r="CK157" s="47"/>
      <c r="CL157" s="131"/>
      <c r="CM157" s="35"/>
      <c r="CN157" s="131"/>
      <c r="CO157" s="131"/>
      <c r="CP15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7" s="66">
        <f>IFERROR(Table1[[#This Row],[Progres Keg. Umum
(%)]]*Table1[[#This Row],[Nilai RAB Jaringan
(file pa aji)]],0)</f>
        <v>0</v>
      </c>
      <c r="CR157" s="66">
        <f>IFERROR(Table1[[#This Row],[Progres MOS
(%)]]*Table1[[#This Row],[Nilai RAB Jaringan
(file pa aji)]],0)</f>
        <v>0</v>
      </c>
      <c r="CS157" s="66">
        <f>IFERROR(Table1[[#This Row],[Progres Pemasangan
(%)]]*Table1[[#This Row],[Nilai RAB Jaringan
(file pa aji)]],0)</f>
        <v>0</v>
      </c>
      <c r="CT157" s="66">
        <f>IFERROR(Table1[[#This Row],[Progres Perizinan
(%)]]*Table1[[#This Row],[Nilai RAB Jaringan
(file pa aji)]],0)</f>
        <v>0</v>
      </c>
      <c r="CU157" s="329">
        <v>456520097</v>
      </c>
      <c r="CV157" s="329">
        <v>456520097</v>
      </c>
      <c r="CW157" s="583">
        <v>456520097</v>
      </c>
      <c r="CX157" s="329">
        <v>456520097</v>
      </c>
      <c r="CY157" s="47"/>
      <c r="CZ157" s="330">
        <v>45775</v>
      </c>
      <c r="DA157" s="330">
        <v>45802</v>
      </c>
      <c r="DB157" s="331">
        <v>45784</v>
      </c>
      <c r="DC157" s="316" t="s">
        <v>1128</v>
      </c>
      <c r="DD157" s="67">
        <v>570095706</v>
      </c>
      <c r="DE15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7" s="331">
        <v>45799</v>
      </c>
      <c r="DG157" s="316" t="s">
        <v>1129</v>
      </c>
      <c r="DH157" s="67">
        <v>570095706</v>
      </c>
      <c r="DI15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7" s="330">
        <v>45803</v>
      </c>
      <c r="DK157" s="330">
        <v>45872</v>
      </c>
      <c r="DL157" s="331">
        <v>45840</v>
      </c>
      <c r="DM157" s="316" t="s">
        <v>1130</v>
      </c>
      <c r="DN15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7" s="331">
        <v>45882</v>
      </c>
      <c r="DP157" s="316" t="s">
        <v>1131</v>
      </c>
      <c r="DQ157" s="338" t="s">
        <v>275</v>
      </c>
      <c r="DR15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7" s="330">
        <v>45803</v>
      </c>
      <c r="DT157" s="330" t="e">
        <v>#N/A</v>
      </c>
      <c r="DU157" s="330">
        <v>45844</v>
      </c>
      <c r="DV157" s="330" t="e">
        <v>#N/A</v>
      </c>
      <c r="DW157" s="331">
        <v>45840</v>
      </c>
      <c r="DX157" s="316" t="s">
        <v>1130</v>
      </c>
      <c r="DY157" s="334"/>
      <c r="DZ157" s="334"/>
      <c r="EA15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7" s="331">
        <v>45890</v>
      </c>
      <c r="EC157" s="332"/>
      <c r="ED157" s="332"/>
      <c r="EE157" s="330" t="s">
        <v>1132</v>
      </c>
      <c r="EF157" s="35">
        <v>1</v>
      </c>
      <c r="EG157" s="337">
        <v>1</v>
      </c>
      <c r="EH157" s="316" t="str">
        <f>IF(Table1[[#This Row],[PO Material Aktual 
(%)]]&gt;=100%,"Selesai PO = 100%",IF(Table1[[#This Row],[PO Material Aktual 
(%)]]&gt;=50%,"Proses PO &gt; 100%",IF(Table1[[#This Row],[PO Material Aktual 
(%)]]&gt;0%,"Proses PO &gt; 50%",IF(Table1[[#This Row],[PO Material Aktual 
(%)]]=0,"Belum PO = 0%"))))</f>
        <v>Selesai PO = 100%</v>
      </c>
      <c r="EI15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7" s="330">
        <v>45845</v>
      </c>
      <c r="EK157" s="330" t="e">
        <v>#N/A</v>
      </c>
      <c r="EL157" s="330">
        <v>45900</v>
      </c>
      <c r="EM157" s="330" t="e">
        <v>#N/A</v>
      </c>
      <c r="EN157" s="331">
        <v>46038</v>
      </c>
      <c r="EO157" s="332"/>
      <c r="EP157" s="332"/>
      <c r="EQ157" s="87">
        <v>1</v>
      </c>
      <c r="ER157" s="87">
        <v>1</v>
      </c>
      <c r="ES157" s="316" t="str">
        <f>IF(Table1[[#This Row],[Progres MOS]]&gt;=100%,"Selesai MOS = 100%",IF(Table1[[#This Row],[Progres MOS]]&gt;=50%,"Proses MOS &gt; 100%",IF(Table1[[#This Row],[Progres MOS]]&gt;0%,"Proses MOS &gt; 50%",IF(Table1[[#This Row],[Progres MOS]]=0,"Belum MOS = 0%"))))</f>
        <v>Selesai MOS = 100%</v>
      </c>
      <c r="ET15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7" s="47"/>
      <c r="EV157" s="330">
        <v>45803</v>
      </c>
      <c r="EW157" s="330" t="e">
        <v>#N/A</v>
      </c>
      <c r="EX157" s="330">
        <v>45900</v>
      </c>
      <c r="EY157" s="330" t="e">
        <v>#N/A</v>
      </c>
      <c r="EZ157" s="352" t="s">
        <v>298</v>
      </c>
      <c r="FA157" s="336" t="s">
        <v>259</v>
      </c>
      <c r="FB157" s="330" t="s">
        <v>260</v>
      </c>
      <c r="FC157" s="330">
        <v>45840</v>
      </c>
      <c r="FD157" s="330" t="s">
        <v>260</v>
      </c>
      <c r="FE157" s="330">
        <v>45919</v>
      </c>
      <c r="FF157" s="330">
        <v>45937</v>
      </c>
      <c r="FG157" s="330" t="s">
        <v>260</v>
      </c>
      <c r="FH157" s="330" t="s">
        <v>260</v>
      </c>
      <c r="FI157" s="330">
        <v>46003</v>
      </c>
      <c r="FJ157" s="330" t="s">
        <v>260</v>
      </c>
      <c r="FK157" s="330">
        <v>46134</v>
      </c>
      <c r="FL157" s="336" t="s">
        <v>298</v>
      </c>
      <c r="FM157" s="352">
        <v>45840</v>
      </c>
      <c r="FN157" s="338">
        <f>IF(Table1[[#This Row],[Tanggal Pengajuan Dokumen]]="","",Table1[[#This Row],[PLAN PERMIT
start]]-Table1[[#This Row],[Tanggal Pengajuan Dokumen]])</f>
        <v>-37</v>
      </c>
      <c r="FO157" s="437">
        <v>46086</v>
      </c>
      <c r="FP157" s="316"/>
      <c r="FQ157" s="338"/>
      <c r="FR157" s="338"/>
      <c r="FS157" s="338" t="str">
        <f t="shared" si="9"/>
        <v>Sudah Terbit</v>
      </c>
      <c r="FT15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7" s="344">
        <f ca="1">IF(Table1[[#This Row],[Status Izin]]="Selesai",Table1[[#This Row],[PLAN PERMIT
finish]]-Table1[[#This Row],[Tanggal Terbit/ Target Izin Terbit]],ROUNDUP(Table1[[#This Row],[PLAN PERMIT
finish]]-NOW(),0))</f>
        <v>-186</v>
      </c>
      <c r="FV15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7" s="344"/>
      <c r="FX157" s="47"/>
      <c r="FY157" s="340"/>
      <c r="FZ157" s="341">
        <v>45884</v>
      </c>
      <c r="GA15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7" s="330">
        <v>45874</v>
      </c>
      <c r="GC157" s="352">
        <v>45870</v>
      </c>
      <c r="GD15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7" s="330">
        <v>45881</v>
      </c>
      <c r="GF157" s="352">
        <v>45870</v>
      </c>
      <c r="GG15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7" s="330">
        <v>45887</v>
      </c>
      <c r="GI157" s="330">
        <v>45893</v>
      </c>
      <c r="GJ157" s="352">
        <v>45509</v>
      </c>
      <c r="GK15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7" s="330">
        <v>45901</v>
      </c>
      <c r="GM157" s="330" t="e">
        <v>#N/A</v>
      </c>
      <c r="GN157" s="330">
        <v>45914</v>
      </c>
      <c r="GO157" s="330" t="e">
        <v>#N/A</v>
      </c>
      <c r="GP157" s="316"/>
      <c r="GQ15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7" s="330" t="s">
        <v>261</v>
      </c>
      <c r="GS157" s="330" t="s">
        <v>261</v>
      </c>
      <c r="GT157" s="354">
        <v>45937</v>
      </c>
      <c r="GU157" s="344" t="str">
        <f>IF(Table1[[#This Row],[Hydro Tes Actual
(tanggal)]]&lt;&gt;"","Sudah","Belum")</f>
        <v>Sudah</v>
      </c>
      <c r="GV157" s="330" t="s">
        <v>261</v>
      </c>
      <c r="GW157" s="330" t="s">
        <v>261</v>
      </c>
      <c r="GX157" s="331">
        <v>45944</v>
      </c>
      <c r="GY157" s="344" t="str">
        <f>IF(Table1[[#This Row],[Interkoneksi Actual
(tanggal)]]&lt;&gt;"","Sudah","Belum")</f>
        <v>Sudah</v>
      </c>
      <c r="GZ157" s="330" t="s">
        <v>261</v>
      </c>
      <c r="HA157" s="330" t="s">
        <v>261</v>
      </c>
      <c r="HB157" s="331">
        <v>45944</v>
      </c>
      <c r="HC157" s="344" t="str">
        <f>IF(Table1[[#This Row],[Flushing Actual
(tanggal)]]&lt;&gt;"","Sudah","Belum")</f>
        <v>Sudah</v>
      </c>
      <c r="HD157" s="330">
        <v>45901</v>
      </c>
      <c r="HE157" s="330" t="e">
        <v>#N/A</v>
      </c>
      <c r="HF157" s="330">
        <v>45914</v>
      </c>
      <c r="HG157" s="352">
        <v>45945</v>
      </c>
      <c r="HH15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7" s="330" t="s">
        <v>261</v>
      </c>
      <c r="HJ157" s="330" t="s">
        <v>261</v>
      </c>
      <c r="HK157" s="331"/>
      <c r="HL157" s="316"/>
      <c r="HM157" s="330">
        <v>45919</v>
      </c>
      <c r="HN157" s="330">
        <v>45919</v>
      </c>
      <c r="HO157" s="330" t="e">
        <v>#N/A</v>
      </c>
      <c r="HP157" s="331">
        <v>45958</v>
      </c>
      <c r="HQ15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57" s="330">
        <v>45926</v>
      </c>
      <c r="HS157" s="330"/>
      <c r="HT157" s="330">
        <v>45926</v>
      </c>
      <c r="HU157" s="527"/>
      <c r="HV157" s="330">
        <v>45978</v>
      </c>
      <c r="HW15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57" s="47"/>
      <c r="HY157" s="352"/>
      <c r="HZ157" s="352"/>
      <c r="IB157" s="618">
        <f>IFERROR(ROUND((Table1[[#This Row],[PLAN TC
finish]]-Table1[[#This Row],[PLAN MC-0
start]])/30,2),"")</f>
        <v>0.9</v>
      </c>
      <c r="IC157">
        <f>DATEDIF(Table1[[#This Row],[PLAN MC-0
start]],Table1[[#This Row],[PLAN TC
finish]],"m")</f>
        <v>0</v>
      </c>
    </row>
    <row r="158" spans="2:237" s="4" customFormat="1" ht="15" hidden="1" customHeight="1" x14ac:dyDescent="0.2">
      <c r="B158" s="311">
        <f>SUBTOTAL(3,$D$5:D158)</f>
        <v>84</v>
      </c>
      <c r="C158" s="348">
        <v>154</v>
      </c>
      <c r="D158" s="338" t="s">
        <v>629</v>
      </c>
      <c r="E158" s="338" t="s">
        <v>1133</v>
      </c>
      <c r="F158" s="338" t="s">
        <v>1134</v>
      </c>
      <c r="G158" s="349">
        <v>45935</v>
      </c>
      <c r="H158" s="338" t="s">
        <v>681</v>
      </c>
      <c r="I158" s="338" t="s">
        <v>278</v>
      </c>
      <c r="J158" s="315" t="s">
        <v>882</v>
      </c>
      <c r="K158" s="338" t="s">
        <v>915</v>
      </c>
      <c r="L158" s="316" t="s">
        <v>250</v>
      </c>
      <c r="M158" s="316" t="s">
        <v>269</v>
      </c>
      <c r="N158" s="107">
        <v>684</v>
      </c>
      <c r="O158" s="31" t="s">
        <v>252</v>
      </c>
      <c r="P15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8" s="35" t="e">
        <v>#N/A</v>
      </c>
      <c r="S158" s="35">
        <v>1</v>
      </c>
      <c r="T158" s="35">
        <f>Table1[[#This Row],[Progres Total Aktual
(%)]]</f>
        <v>1</v>
      </c>
      <c r="U158" s="124">
        <f>Table1[[#This Row],[Progres Aktual
(%)]]-Table1[[#This Row],[Target Progres
(%)]]</f>
        <v>0</v>
      </c>
      <c r="V158" s="350">
        <f>Table1[[#This Row],["Volume
BA MC-0"]]</f>
        <v>669</v>
      </c>
      <c r="W158" s="351">
        <f>Table1[[#This Row],[Total Panjang Pipa Aktual
(Sum-&gt;)3]]</f>
        <v>667.59999999999991</v>
      </c>
      <c r="X158" s="47"/>
      <c r="Y158" s="67" t="s">
        <v>1135</v>
      </c>
      <c r="Z158" s="67">
        <v>1241472727</v>
      </c>
      <c r="AA158" s="67">
        <f>Table1[[#This Row],[Nilai RAB Jaringan
(file pa aji)]]</f>
        <v>1241472727</v>
      </c>
      <c r="AB158" s="320">
        <f>SUM(Table1[[#This Row],[RAB Kegiatan Umum]:[RAB Perizinan]])</f>
        <v>0</v>
      </c>
      <c r="AC158" s="320"/>
      <c r="AD158" s="320"/>
      <c r="AE158" s="320"/>
      <c r="AF158" s="320"/>
      <c r="AG158" s="436">
        <v>252844636</v>
      </c>
      <c r="AH158" s="35" t="e">
        <f>SUM(Table1[[#This Row],[Bobot Keg Umum]:[Bobot Perizinan]])</f>
        <v>#DIV/0!</v>
      </c>
      <c r="AI158" s="35" t="e">
        <f>Table1[[#This Row],[RAB Kegiatan Umum]]/Table1[[#This Row],[Nilai RAB Jaringan
(Exclude Ppn)]]</f>
        <v>#DIV/0!</v>
      </c>
      <c r="AJ158" s="35" t="e">
        <f>Table1[[#This Row],[RAB Pemasangan]]/Table1[[#This Row],[Nilai RAB Jaringan
(Exclude Ppn)]]</f>
        <v>#DIV/0!</v>
      </c>
      <c r="AK158" s="35" t="e">
        <f>Table1[[#This Row],[RAB Pengadaan]]/Table1[[#This Row],[Nilai RAB Jaringan
(Exclude Ppn)]]</f>
        <v>#DIV/0!</v>
      </c>
      <c r="AL158" s="35" t="e">
        <f>Table1[[#This Row],[RAB Perizinan]]/Table1[[#This Row],[Nilai RAB Jaringan
(Exclude Ppn)]]</f>
        <v>#DIV/0!</v>
      </c>
      <c r="AM158" s="47"/>
      <c r="AN158" s="285">
        <v>669</v>
      </c>
      <c r="AO158" s="285">
        <f>SUM(Table1[[#This Row],[Pipa 63 mm]:[Pipa 1,800 mm]])</f>
        <v>669</v>
      </c>
      <c r="AP158" s="285">
        <v>526</v>
      </c>
      <c r="AQ158" s="285">
        <v>143</v>
      </c>
      <c r="AR158" s="285"/>
      <c r="AS158" s="285"/>
      <c r="AT158" s="285"/>
      <c r="AU158" s="285"/>
      <c r="AV158" s="285"/>
      <c r="AW158" s="285"/>
      <c r="AX158" s="285"/>
      <c r="AY158" s="285"/>
      <c r="AZ158" s="285"/>
      <c r="BA158" s="285"/>
      <c r="BB158" s="285"/>
      <c r="BC158" s="285"/>
      <c r="BD158" s="285"/>
      <c r="BE158" s="285"/>
      <c r="BF158" s="285"/>
      <c r="BG158" s="285"/>
      <c r="BH158" s="285"/>
      <c r="BI158" s="285"/>
      <c r="BJ158" s="36">
        <f>SUM(Table1[[#This Row],[Pipa 63 mm2]:[Pipa 1,800 mm21]])</f>
        <v>667.59999999999991</v>
      </c>
      <c r="BK158" s="32">
        <v>532.9</v>
      </c>
      <c r="BL158" s="32">
        <v>134.69999999999999</v>
      </c>
      <c r="BM158" s="32"/>
      <c r="BN158" s="32"/>
      <c r="BO158" s="32"/>
      <c r="BP158" s="32"/>
      <c r="BQ158" s="32"/>
      <c r="BR158" s="32"/>
      <c r="BS158" s="32"/>
      <c r="BT158" s="32"/>
      <c r="BU158" s="32"/>
      <c r="BV158" s="32"/>
      <c r="BW158" s="32"/>
      <c r="BX158" s="32"/>
      <c r="BY158" s="32"/>
      <c r="BZ158" s="32"/>
      <c r="CA158" s="32"/>
      <c r="CB158" s="32"/>
      <c r="CC158" s="32"/>
      <c r="CD158" s="32"/>
      <c r="CE158" s="32">
        <v>0</v>
      </c>
      <c r="CF158" s="32">
        <v>0</v>
      </c>
      <c r="CG158" s="32">
        <v>0</v>
      </c>
      <c r="CH158" s="32">
        <v>0</v>
      </c>
      <c r="CI158" s="32">
        <f t="shared" si="10"/>
        <v>0</v>
      </c>
      <c r="CJ158" s="65">
        <f>IF((Table1[[#This Row],["Volume
BA MC-0"]]-Table1[[#This Row],[Total Panjang Pipa Aktual
(Sum-&gt;)3]]-Table1[[#This Row],[Total Volume
tidak dapat dipasang]])&gt;=0,Table1[[#This Row],["Volume
BA MC-0"]]-Table1[[#This Row],[Total Panjang Pipa Aktual
(Sum-&gt;)3]]-Table1[[#This Row],[Total Volume
tidak dapat dipasang]],0)</f>
        <v>1.4000000000000909</v>
      </c>
      <c r="CK158" s="47"/>
      <c r="CL158" s="131"/>
      <c r="CM158" s="35"/>
      <c r="CN158" s="131"/>
      <c r="CO158" s="131"/>
      <c r="CP15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8" s="66">
        <f>IFERROR(Table1[[#This Row],[Progres Keg. Umum
(%)]]*Table1[[#This Row],[Nilai RAB Jaringan
(file pa aji)]],0)</f>
        <v>0</v>
      </c>
      <c r="CR158" s="66">
        <f>IFERROR(Table1[[#This Row],[Progres MOS
(%)]]*Table1[[#This Row],[Nilai RAB Jaringan
(file pa aji)]],0)</f>
        <v>0</v>
      </c>
      <c r="CS158" s="66">
        <f>IFERROR(Table1[[#This Row],[Progres Pemasangan
(%)]]*Table1[[#This Row],[Nilai RAB Jaringan
(file pa aji)]],0)</f>
        <v>0</v>
      </c>
      <c r="CT158" s="66">
        <f>IFERROR(Table1[[#This Row],[Progres Perizinan
(%)]]*Table1[[#This Row],[Nilai RAB Jaringan
(file pa aji)]],0)</f>
        <v>0</v>
      </c>
      <c r="CU158" s="329">
        <v>870940104</v>
      </c>
      <c r="CV158" s="329">
        <v>870940104</v>
      </c>
      <c r="CW158" s="583">
        <v>870940104</v>
      </c>
      <c r="CX158" s="329">
        <v>870940104</v>
      </c>
      <c r="CY158" s="47"/>
      <c r="CZ158" s="330">
        <v>45747</v>
      </c>
      <c r="DA158" s="330">
        <v>45774</v>
      </c>
      <c r="DB158" s="331">
        <v>45757</v>
      </c>
      <c r="DC158" s="316" t="s">
        <v>1136</v>
      </c>
      <c r="DD158" s="67">
        <v>1241472727</v>
      </c>
      <c r="DE15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8" s="331">
        <v>45763</v>
      </c>
      <c r="DG158" s="316" t="s">
        <v>1137</v>
      </c>
      <c r="DH158" s="67">
        <v>1241472727</v>
      </c>
      <c r="DI15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8" s="330">
        <v>45775</v>
      </c>
      <c r="DK158" s="330">
        <v>45837</v>
      </c>
      <c r="DL158" s="331">
        <v>45785</v>
      </c>
      <c r="DM158" s="316" t="s">
        <v>1138</v>
      </c>
      <c r="DN15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8" s="331">
        <v>45847</v>
      </c>
      <c r="DP158" s="316" t="s">
        <v>1139</v>
      </c>
      <c r="DQ158" s="338" t="s">
        <v>275</v>
      </c>
      <c r="DR15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8" s="330">
        <v>45775</v>
      </c>
      <c r="DT158" s="330" t="e">
        <v>#N/A</v>
      </c>
      <c r="DU158" s="330">
        <v>45816</v>
      </c>
      <c r="DV158" s="330" t="e">
        <v>#N/A</v>
      </c>
      <c r="DW158" s="331">
        <v>45785</v>
      </c>
      <c r="DX158" s="316" t="s">
        <v>1138</v>
      </c>
      <c r="DY158" s="334"/>
      <c r="DZ158" s="334"/>
      <c r="EA15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8" s="331">
        <v>45931</v>
      </c>
      <c r="EC158" s="332"/>
      <c r="ED158" s="332"/>
      <c r="EE158" s="330" t="s">
        <v>1140</v>
      </c>
      <c r="EF158" s="35">
        <v>1</v>
      </c>
      <c r="EG158" s="337">
        <v>1</v>
      </c>
      <c r="EH158" s="316" t="str">
        <f>IF(Table1[[#This Row],[PO Material Aktual 
(%)]]&gt;=100%,"Selesai PO = 100%",IF(Table1[[#This Row],[PO Material Aktual 
(%)]]&gt;=50%,"Proses PO &gt; 100%",IF(Table1[[#This Row],[PO Material Aktual 
(%)]]&gt;0%,"Proses PO &gt; 50%",IF(Table1[[#This Row],[PO Material Aktual 
(%)]]=0,"Belum PO = 0%"))))</f>
        <v>Selesai PO = 100%</v>
      </c>
      <c r="EI15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8" s="330">
        <v>45817</v>
      </c>
      <c r="EK158" s="330" t="e">
        <v>#N/A</v>
      </c>
      <c r="EL158" s="330">
        <v>45879</v>
      </c>
      <c r="EM158" s="330" t="e">
        <v>#N/A</v>
      </c>
      <c r="EN158" s="331">
        <v>46036</v>
      </c>
      <c r="EO158" s="332"/>
      <c r="EP158" s="332"/>
      <c r="EQ158" s="87">
        <v>1</v>
      </c>
      <c r="ER158" s="87">
        <v>1</v>
      </c>
      <c r="ES158" s="316" t="str">
        <f>IF(Table1[[#This Row],[Progres MOS]]&gt;=100%,"Selesai MOS = 100%",IF(Table1[[#This Row],[Progres MOS]]&gt;=50%,"Proses MOS &gt; 100%",IF(Table1[[#This Row],[Progres MOS]]&gt;0%,"Proses MOS &gt; 50%",IF(Table1[[#This Row],[Progres MOS]]=0,"Belum MOS = 0%"))))</f>
        <v>Selesai MOS = 100%</v>
      </c>
      <c r="ET15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8" s="47"/>
      <c r="EV158" s="330">
        <v>45775</v>
      </c>
      <c r="EW158" s="330" t="e">
        <v>#N/A</v>
      </c>
      <c r="EX158" s="330">
        <v>45865</v>
      </c>
      <c r="EY158" s="330" t="e">
        <v>#N/A</v>
      </c>
      <c r="EZ158" s="352" t="s">
        <v>298</v>
      </c>
      <c r="FA158" s="336" t="s">
        <v>298</v>
      </c>
      <c r="FB158" s="330" t="s">
        <v>260</v>
      </c>
      <c r="FC158" s="330">
        <v>45891</v>
      </c>
      <c r="FD158" s="330" t="s">
        <v>260</v>
      </c>
      <c r="FE158" s="330" t="s">
        <v>1141</v>
      </c>
      <c r="FF158" s="330">
        <v>45968</v>
      </c>
      <c r="FG158" s="330" t="s">
        <v>260</v>
      </c>
      <c r="FH158" s="330" t="s">
        <v>260</v>
      </c>
      <c r="FI158" s="330">
        <v>46003</v>
      </c>
      <c r="FJ158" s="330" t="s">
        <v>260</v>
      </c>
      <c r="FK158" s="330"/>
      <c r="FL158" s="336" t="s">
        <v>298</v>
      </c>
      <c r="FM158" s="352">
        <v>45891</v>
      </c>
      <c r="FN158" s="338">
        <f>IF(Table1[[#This Row],[Tanggal Pengajuan Dokumen]]="","",Table1[[#This Row],[PLAN PERMIT
start]]-Table1[[#This Row],[Tanggal Pengajuan Dokumen]])</f>
        <v>-116</v>
      </c>
      <c r="FO158" s="437">
        <v>46086</v>
      </c>
      <c r="FP158" s="316"/>
      <c r="FQ158" s="338"/>
      <c r="FR158" s="338"/>
      <c r="FS158" s="338" t="str">
        <f t="shared" si="9"/>
        <v>On Going</v>
      </c>
      <c r="FT15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58" s="344">
        <f ca="1">IF(Table1[[#This Row],[Status Izin]]="Selesai",Table1[[#This Row],[PLAN PERMIT
finish]]-Table1[[#This Row],[Tanggal Terbit/ Target Izin Terbit]],ROUNDUP(Table1[[#This Row],[PLAN PERMIT
finish]]-NOW(),0))</f>
        <v>-326</v>
      </c>
      <c r="FV15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8" s="344"/>
      <c r="FX158" s="47"/>
      <c r="FY158" s="340"/>
      <c r="FZ158" s="341">
        <v>45884</v>
      </c>
      <c r="GA15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8" s="330">
        <v>45839</v>
      </c>
      <c r="GC158" s="352">
        <v>45870</v>
      </c>
      <c r="GD15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58" s="330">
        <v>45846</v>
      </c>
      <c r="GF158" s="352">
        <v>45870</v>
      </c>
      <c r="GG15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58" s="330">
        <v>45852</v>
      </c>
      <c r="GI158" s="330">
        <v>45858</v>
      </c>
      <c r="GJ158" s="352">
        <v>45874</v>
      </c>
      <c r="GK15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58" s="330">
        <v>45866</v>
      </c>
      <c r="GM158" s="330" t="e">
        <v>#N/A</v>
      </c>
      <c r="GN158" s="330">
        <v>45914</v>
      </c>
      <c r="GO158" s="330" t="e">
        <v>#N/A</v>
      </c>
      <c r="GP158" s="316"/>
      <c r="GQ15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8" s="330" t="s">
        <v>261</v>
      </c>
      <c r="GS158" s="330" t="s">
        <v>261</v>
      </c>
      <c r="GT158" s="354">
        <v>45909</v>
      </c>
      <c r="GU158" s="344" t="str">
        <f>IF(Table1[[#This Row],[Hydro Tes Actual
(tanggal)]]&lt;&gt;"","Sudah","Belum")</f>
        <v>Sudah</v>
      </c>
      <c r="GV158" s="330" t="s">
        <v>261</v>
      </c>
      <c r="GW158" s="330" t="s">
        <v>261</v>
      </c>
      <c r="GX158" s="331">
        <v>45958</v>
      </c>
      <c r="GY158" s="344" t="str">
        <f>IF(Table1[[#This Row],[Interkoneksi Actual
(tanggal)]]&lt;&gt;"","Sudah","Belum")</f>
        <v>Sudah</v>
      </c>
      <c r="GZ158" s="330" t="s">
        <v>261</v>
      </c>
      <c r="HA158" s="330" t="s">
        <v>261</v>
      </c>
      <c r="HB158" s="331">
        <v>45964</v>
      </c>
      <c r="HC158" s="344" t="str">
        <f>IF(Table1[[#This Row],[Flushing Actual
(tanggal)]]&lt;&gt;"","Sudah","Belum")</f>
        <v>Sudah</v>
      </c>
      <c r="HD158" s="330">
        <v>45894</v>
      </c>
      <c r="HE158" s="330" t="e">
        <v>#N/A</v>
      </c>
      <c r="HF158" s="330">
        <v>45907</v>
      </c>
      <c r="HG158" s="352">
        <v>45996</v>
      </c>
      <c r="HH15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8" s="330" t="s">
        <v>261</v>
      </c>
      <c r="HJ158" s="330" t="s">
        <v>261</v>
      </c>
      <c r="HK158" s="331"/>
      <c r="HL158" s="316"/>
      <c r="HM158" s="330">
        <v>45919</v>
      </c>
      <c r="HN158" s="330">
        <v>45919</v>
      </c>
      <c r="HO158" s="330" t="e">
        <v>#N/A</v>
      </c>
      <c r="HP158" s="331">
        <v>46001</v>
      </c>
      <c r="HQ15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58" s="330">
        <v>45926</v>
      </c>
      <c r="HS158" s="330"/>
      <c r="HT158" s="330">
        <v>45926</v>
      </c>
      <c r="HU158" s="527"/>
      <c r="HV158" s="330">
        <v>46021</v>
      </c>
      <c r="HW15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58" s="47"/>
      <c r="HY158" s="352"/>
      <c r="HZ158" s="352"/>
      <c r="IB158" s="618">
        <f>IFERROR(ROUND((Table1[[#This Row],[PLAN TC
finish]]-Table1[[#This Row],[PLAN MC-0
start]])/30,2),"")</f>
        <v>1.83</v>
      </c>
      <c r="IC158">
        <f>DATEDIF(Table1[[#This Row],[PLAN MC-0
start]],Table1[[#This Row],[PLAN TC
finish]],"m")</f>
        <v>1</v>
      </c>
    </row>
    <row r="159" spans="2:237" s="4" customFormat="1" ht="15" hidden="1" customHeight="1" x14ac:dyDescent="0.2">
      <c r="B159" s="311">
        <f>SUBTOTAL(3,$D$5:D159)</f>
        <v>84</v>
      </c>
      <c r="C159" s="348">
        <v>155</v>
      </c>
      <c r="D159" s="338" t="s">
        <v>244</v>
      </c>
      <c r="E159" s="338" t="s">
        <v>1142</v>
      </c>
      <c r="F159" s="338" t="s">
        <v>1143</v>
      </c>
      <c r="G159" s="349">
        <v>45935</v>
      </c>
      <c r="H159" s="314" t="s">
        <v>247</v>
      </c>
      <c r="I159" s="338" t="s">
        <v>248</v>
      </c>
      <c r="J159" s="315" t="s">
        <v>882</v>
      </c>
      <c r="K159" s="338" t="s">
        <v>249</v>
      </c>
      <c r="L159" s="316" t="s">
        <v>250</v>
      </c>
      <c r="M159" s="316" t="s">
        <v>251</v>
      </c>
      <c r="N159" s="107">
        <v>5684</v>
      </c>
      <c r="O159" s="131" t="s">
        <v>252</v>
      </c>
      <c r="P15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9" s="35" t="e">
        <v>#N/A</v>
      </c>
      <c r="S159" s="35">
        <v>1</v>
      </c>
      <c r="T159" s="35">
        <f>Table1[[#This Row],[Progres Total Aktual
(%)]]</f>
        <v>1</v>
      </c>
      <c r="U159" s="124">
        <f>Table1[[#This Row],[Progres Aktual
(%)]]-Table1[[#This Row],[Target Progres
(%)]]</f>
        <v>0</v>
      </c>
      <c r="V159" s="350">
        <f>Table1[[#This Row],["Volume
BA MC-0"]]</f>
        <v>5440</v>
      </c>
      <c r="W159" s="351">
        <f>Table1[[#This Row],[Total Panjang Pipa Aktual
(Sum-&gt;)3]]</f>
        <v>5649.0300000000007</v>
      </c>
      <c r="X159" s="47"/>
      <c r="Y159" s="67" t="s">
        <v>253</v>
      </c>
      <c r="Z159" s="67">
        <v>363985840579</v>
      </c>
      <c r="AA159" s="67">
        <f>Table1[[#This Row],[Nilai RAB Jaringan
(file pa aji)]]</f>
        <v>363985840579</v>
      </c>
      <c r="AB159" s="320">
        <f>SUM(Table1[[#This Row],[RAB Kegiatan Umum]:[RAB Perizinan]])</f>
        <v>0</v>
      </c>
      <c r="AC159" s="320"/>
      <c r="AD159" s="320"/>
      <c r="AE159" s="320"/>
      <c r="AF159" s="320"/>
      <c r="AG159" s="436">
        <v>0</v>
      </c>
      <c r="AH159" s="35" t="e">
        <f>SUM(Table1[[#This Row],[Bobot Keg Umum]:[Bobot Perizinan]])</f>
        <v>#DIV/0!</v>
      </c>
      <c r="AI159" s="35" t="e">
        <f>Table1[[#This Row],[RAB Kegiatan Umum]]/Table1[[#This Row],[Nilai RAB Jaringan
(Exclude Ppn)]]</f>
        <v>#DIV/0!</v>
      </c>
      <c r="AJ159" s="35" t="e">
        <f>Table1[[#This Row],[RAB Pemasangan]]/Table1[[#This Row],[Nilai RAB Jaringan
(Exclude Ppn)]]</f>
        <v>#DIV/0!</v>
      </c>
      <c r="AK159" s="35" t="e">
        <f>Table1[[#This Row],[RAB Pengadaan]]/Table1[[#This Row],[Nilai RAB Jaringan
(Exclude Ppn)]]</f>
        <v>#DIV/0!</v>
      </c>
      <c r="AL159" s="35" t="e">
        <f>Table1[[#This Row],[RAB Perizinan]]/Table1[[#This Row],[Nilai RAB Jaringan
(Exclude Ppn)]]</f>
        <v>#DIV/0!</v>
      </c>
      <c r="AM159" s="47"/>
      <c r="AN159" s="285">
        <v>5440</v>
      </c>
      <c r="AO159" s="285">
        <f>SUM(Table1[[#This Row],[Pipa 63 mm]:[Pipa 1,800 mm]])</f>
        <v>0</v>
      </c>
      <c r="AP159" s="285"/>
      <c r="AQ159" s="285"/>
      <c r="AR159" s="285"/>
      <c r="AS159" s="285"/>
      <c r="AT159" s="285"/>
      <c r="AU159" s="285"/>
      <c r="AV159" s="285"/>
      <c r="AW159" s="285"/>
      <c r="AX159" s="285"/>
      <c r="AY159" s="285"/>
      <c r="AZ159" s="285"/>
      <c r="BA159" s="285"/>
      <c r="BB159" s="285"/>
      <c r="BC159" s="285"/>
      <c r="BD159" s="285"/>
      <c r="BE159" s="285"/>
      <c r="BF159" s="285"/>
      <c r="BG159" s="285"/>
      <c r="BH159" s="285"/>
      <c r="BI159" s="285"/>
      <c r="BJ159" s="36">
        <f>SUM(Table1[[#This Row],[Pipa 63 mm2]:[Pipa 1,800 mm21]])</f>
        <v>5649.0300000000007</v>
      </c>
      <c r="BK159" s="32"/>
      <c r="BL159" s="32"/>
      <c r="BM159" s="32"/>
      <c r="BN159" s="32"/>
      <c r="BO159" s="32"/>
      <c r="BP159" s="32"/>
      <c r="BQ159" s="32"/>
      <c r="BR159" s="32"/>
      <c r="BS159" s="32">
        <v>53</v>
      </c>
      <c r="BT159" s="32">
        <v>174</v>
      </c>
      <c r="BU159" s="32"/>
      <c r="BV159" s="32"/>
      <c r="BW159" s="32">
        <f>36+10.12</f>
        <v>46.12</v>
      </c>
      <c r="BX159" s="32"/>
      <c r="BY159" s="32"/>
      <c r="BZ159" s="32"/>
      <c r="CA159" s="32">
        <f>6+4.1</f>
        <v>10.1</v>
      </c>
      <c r="CB159" s="32">
        <f>5015.5+137.21+213.1</f>
        <v>5365.81</v>
      </c>
      <c r="CC159" s="32"/>
      <c r="CD159" s="32"/>
      <c r="CE159" s="32">
        <v>0</v>
      </c>
      <c r="CF159" s="32">
        <v>0</v>
      </c>
      <c r="CG159" s="32">
        <v>0</v>
      </c>
      <c r="CH159" s="32">
        <v>0</v>
      </c>
      <c r="CI159" s="32">
        <f t="shared" si="10"/>
        <v>0</v>
      </c>
      <c r="CJ159" s="65">
        <f>IF((Table1[[#This Row],["Volume
BA MC-0"]]-Table1[[#This Row],[Total Panjang Pipa Aktual
(Sum-&gt;)3]]-Table1[[#This Row],[Total Volume
tidak dapat dipasang]])&gt;=0,Table1[[#This Row],["Volume
BA MC-0"]]-Table1[[#This Row],[Total Panjang Pipa Aktual
(Sum-&gt;)3]]-Table1[[#This Row],[Total Volume
tidak dapat dipasang]],0)</f>
        <v>0</v>
      </c>
      <c r="CK159" s="47"/>
      <c r="CL159" s="131"/>
      <c r="CM159" s="35"/>
      <c r="CN159" s="131"/>
      <c r="CO159" s="131"/>
      <c r="CP15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9" s="66">
        <f>IFERROR(Table1[[#This Row],[Progres Keg. Umum
(%)]]*Table1[[#This Row],[Nilai RAB Jaringan
(file pa aji)]],0)</f>
        <v>0</v>
      </c>
      <c r="CR159" s="66">
        <f>IFERROR(Table1[[#This Row],[Progres MOS
(%)]]*Table1[[#This Row],[Nilai RAB Jaringan
(file pa aji)]],0)</f>
        <v>0</v>
      </c>
      <c r="CS159" s="66">
        <f>IFERROR(Table1[[#This Row],[Progres Pemasangan
(%)]]*Table1[[#This Row],[Nilai RAB Jaringan
(file pa aji)]],0)</f>
        <v>0</v>
      </c>
      <c r="CT159" s="66">
        <f>IFERROR(Table1[[#This Row],[Progres Perizinan
(%)]]*Table1[[#This Row],[Nilai RAB Jaringan
(file pa aji)]],0)</f>
        <v>0</v>
      </c>
      <c r="CU159" s="329">
        <v>338409885061</v>
      </c>
      <c r="CV159" s="329">
        <v>338409885061</v>
      </c>
      <c r="CW159" s="583">
        <v>338409885061</v>
      </c>
      <c r="CX159" s="329">
        <v>338409885061</v>
      </c>
      <c r="CY159" s="47"/>
      <c r="CZ159" s="330">
        <v>45348</v>
      </c>
      <c r="DA159" s="330">
        <v>45382</v>
      </c>
      <c r="DB159" s="331">
        <v>45240</v>
      </c>
      <c r="DC159" s="316" t="s">
        <v>254</v>
      </c>
      <c r="DD159" s="67">
        <v>537590677279</v>
      </c>
      <c r="DE15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9" s="331">
        <v>45250</v>
      </c>
      <c r="DG159" s="316" t="s">
        <v>255</v>
      </c>
      <c r="DH159" s="67">
        <v>537590677279</v>
      </c>
      <c r="DI15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9" s="330">
        <v>45383</v>
      </c>
      <c r="DK159" s="330">
        <v>45536</v>
      </c>
      <c r="DL159" s="331">
        <v>45520</v>
      </c>
      <c r="DM159" s="357" t="s">
        <v>256</v>
      </c>
      <c r="DN15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9" s="331">
        <v>45657</v>
      </c>
      <c r="DP159" s="316" t="s">
        <v>257</v>
      </c>
      <c r="DQ159" s="338" t="s">
        <v>258</v>
      </c>
      <c r="DR15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9" s="330">
        <v>45383</v>
      </c>
      <c r="DT159" s="330" t="e">
        <v>#N/A</v>
      </c>
      <c r="DU159" s="330">
        <v>45431</v>
      </c>
      <c r="DV159" s="330" t="e">
        <v>#N/A</v>
      </c>
      <c r="DW159" s="331">
        <v>45974</v>
      </c>
      <c r="DX159" s="316" t="s">
        <v>1144</v>
      </c>
      <c r="DY159" s="334"/>
      <c r="DZ159" s="334"/>
      <c r="EA15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9" s="331">
        <v>46002</v>
      </c>
      <c r="EC159" s="332"/>
      <c r="ED159" s="332"/>
      <c r="EE159" s="330" t="s">
        <v>1145</v>
      </c>
      <c r="EF159" s="35">
        <v>1</v>
      </c>
      <c r="EG159" s="337">
        <v>1</v>
      </c>
      <c r="EH159" s="316" t="str">
        <f>IF(Table1[[#This Row],[PO Material Aktual 
(%)]]&gt;=100%,"Selesai PO = 100%",IF(Table1[[#This Row],[PO Material Aktual 
(%)]]&gt;=50%,"Proses PO &gt; 100%",IF(Table1[[#This Row],[PO Material Aktual 
(%)]]&gt;0%,"Proses PO &gt; 50%",IF(Table1[[#This Row],[PO Material Aktual 
(%)]]=0,"Belum PO = 0%"))))</f>
        <v>Selesai PO = 100%</v>
      </c>
      <c r="EI15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9" s="330">
        <v>45432</v>
      </c>
      <c r="EK159" s="330" t="e">
        <v>#N/A</v>
      </c>
      <c r="EL159" s="330">
        <v>45620</v>
      </c>
      <c r="EM159" s="330" t="e">
        <v>#N/A</v>
      </c>
      <c r="EN159" s="331">
        <v>46149</v>
      </c>
      <c r="EO159" s="332"/>
      <c r="EP159" s="332"/>
      <c r="EQ159" s="87">
        <v>1</v>
      </c>
      <c r="ER159" s="87">
        <v>1</v>
      </c>
      <c r="ES159" s="316" t="str">
        <f>IF(Table1[[#This Row],[Progres MOS]]&gt;=100%,"Selesai MOS = 100%",IF(Table1[[#This Row],[Progres MOS]]&gt;=50%,"Proses MOS &gt; 100%",IF(Table1[[#This Row],[Progres MOS]]&gt;0%,"Proses MOS &gt; 50%",IF(Table1[[#This Row],[Progres MOS]]=0,"Belum MOS = 0%"))))</f>
        <v>Selesai MOS = 100%</v>
      </c>
      <c r="ET15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9" s="47"/>
      <c r="EV159" s="330">
        <v>45383</v>
      </c>
      <c r="EW159" s="330" t="e">
        <v>#N/A</v>
      </c>
      <c r="EX159" s="330">
        <v>45564</v>
      </c>
      <c r="EY159" s="330" t="e">
        <v>#N/A</v>
      </c>
      <c r="EZ159" s="352" t="s">
        <v>259</v>
      </c>
      <c r="FA159" s="336" t="s">
        <v>259</v>
      </c>
      <c r="FB159" s="330" t="s">
        <v>260</v>
      </c>
      <c r="FC159" s="330">
        <v>45014</v>
      </c>
      <c r="FD159" s="330" t="s">
        <v>260</v>
      </c>
      <c r="FE159" s="330"/>
      <c r="FF159" s="330">
        <v>45100</v>
      </c>
      <c r="FG159" s="330" t="s">
        <v>260</v>
      </c>
      <c r="FH159" s="330" t="s">
        <v>260</v>
      </c>
      <c r="FI159" s="330">
        <v>45187</v>
      </c>
      <c r="FJ159" s="330" t="s">
        <v>260</v>
      </c>
      <c r="FK159" s="330">
        <v>45434</v>
      </c>
      <c r="FL159" s="336" t="s">
        <v>259</v>
      </c>
      <c r="FM159" s="352">
        <v>45014</v>
      </c>
      <c r="FN159" s="338">
        <f>IF(Table1[[#This Row],[Tanggal Pengajuan Dokumen]]="","",Table1[[#This Row],[PLAN PERMIT
start]]-Table1[[#This Row],[Tanggal Pengajuan Dokumen]])</f>
        <v>369</v>
      </c>
      <c r="FO159" s="437">
        <v>45439</v>
      </c>
      <c r="FP159" s="316"/>
      <c r="FQ159" s="338"/>
      <c r="FR159" s="338"/>
      <c r="FS159" s="338" t="str">
        <f t="shared" si="9"/>
        <v>Sudah Terbit</v>
      </c>
      <c r="FT15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9" s="344">
        <f ca="1">IF(Table1[[#This Row],[Status Izin]]="Selesai",Table1[[#This Row],[PLAN PERMIT
finish]]-Table1[[#This Row],[Tanggal Terbit/ Target Izin Terbit]],ROUNDUP(Table1[[#This Row],[PLAN PERMIT
finish]]-NOW(),0))</f>
        <v>125</v>
      </c>
      <c r="FV15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59" s="344"/>
      <c r="FX159" s="47"/>
      <c r="FY159" s="340"/>
      <c r="FZ159" s="341"/>
      <c r="GA15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59" s="330">
        <v>45538</v>
      </c>
      <c r="GC159" s="352">
        <v>45414</v>
      </c>
      <c r="GD15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9" s="330">
        <v>45545</v>
      </c>
      <c r="GF159" s="352">
        <v>45414</v>
      </c>
      <c r="GG15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9" s="330">
        <v>45551</v>
      </c>
      <c r="GI159" s="330">
        <v>45557</v>
      </c>
      <c r="GJ159" s="352">
        <v>45565</v>
      </c>
      <c r="GK15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59" s="330">
        <v>45565</v>
      </c>
      <c r="GM159" s="330" t="e">
        <v>#N/A</v>
      </c>
      <c r="GN159" s="330">
        <v>45739</v>
      </c>
      <c r="GO159" s="330" t="e">
        <v>#N/A</v>
      </c>
      <c r="GP159" s="316"/>
      <c r="GQ15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9" s="330" t="s">
        <v>261</v>
      </c>
      <c r="GS159" s="330" t="s">
        <v>261</v>
      </c>
      <c r="GT159" s="354" t="s">
        <v>1146</v>
      </c>
      <c r="GU159" s="344" t="str">
        <f>IF(Table1[[#This Row],[Hydro Tes Actual
(tanggal)]]&lt;&gt;"","Sudah","Belum")</f>
        <v>Sudah</v>
      </c>
      <c r="GV159" s="330" t="s">
        <v>261</v>
      </c>
      <c r="GW159" s="330" t="s">
        <v>261</v>
      </c>
      <c r="GX159" s="331">
        <v>45899</v>
      </c>
      <c r="GY159" s="344" t="str">
        <f>IF(Table1[[#This Row],[Interkoneksi Actual
(tanggal)]]&lt;&gt;"","Sudah","Belum")</f>
        <v>Sudah</v>
      </c>
      <c r="GZ159" s="330" t="s">
        <v>261</v>
      </c>
      <c r="HA159" s="330" t="s">
        <v>261</v>
      </c>
      <c r="HB159" s="331">
        <v>45958</v>
      </c>
      <c r="HC159" s="344" t="str">
        <f>IF(Table1[[#This Row],[Flushing Actual
(tanggal)]]&lt;&gt;"","Sudah","Belum")</f>
        <v>Sudah</v>
      </c>
      <c r="HD159" s="330">
        <v>45698</v>
      </c>
      <c r="HE159" s="330" t="e">
        <v>#N/A</v>
      </c>
      <c r="HF159" s="330">
        <v>45718</v>
      </c>
      <c r="HG159" s="331">
        <v>45960</v>
      </c>
      <c r="HH15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9" s="330" t="s">
        <v>261</v>
      </c>
      <c r="HJ159" s="330" t="s">
        <v>261</v>
      </c>
      <c r="HK159" s="331"/>
      <c r="HL159" s="316"/>
      <c r="HM159" s="330">
        <v>45737</v>
      </c>
      <c r="HN159" s="330">
        <v>45737</v>
      </c>
      <c r="HO159" s="330" t="e">
        <v>#N/A</v>
      </c>
      <c r="HP159" s="331">
        <v>45964</v>
      </c>
      <c r="HQ15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59" s="330">
        <v>45744</v>
      </c>
      <c r="HS159" s="330"/>
      <c r="HT159" s="330">
        <v>45744</v>
      </c>
      <c r="HU159" s="527"/>
      <c r="HV159" s="331">
        <v>45993</v>
      </c>
      <c r="HW15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59" s="47"/>
      <c r="HY159" s="352"/>
      <c r="HZ159" s="352"/>
      <c r="IB159" s="618">
        <f>IFERROR(ROUND((Table1[[#This Row],[PLAN TC
finish]]-Table1[[#This Row],[PLAN MC-0
start]])/30,2),"")</f>
        <v>5.57</v>
      </c>
      <c r="IC159">
        <f>DATEDIF(Table1[[#This Row],[PLAN MC-0
start]],Table1[[#This Row],[PLAN TC
finish]],"m")</f>
        <v>5</v>
      </c>
    </row>
    <row r="160" spans="2:237" s="4" customFormat="1" ht="15" hidden="1" customHeight="1" x14ac:dyDescent="0.2">
      <c r="B160" s="311">
        <f>SUBTOTAL(3,$D$5:D160)</f>
        <v>84</v>
      </c>
      <c r="C160" s="348">
        <v>156</v>
      </c>
      <c r="D160" s="338" t="s">
        <v>244</v>
      </c>
      <c r="E160" s="338" t="s">
        <v>1147</v>
      </c>
      <c r="F160" s="338" t="s">
        <v>1148</v>
      </c>
      <c r="G160" s="349">
        <v>45935</v>
      </c>
      <c r="H160" s="314" t="s">
        <v>247</v>
      </c>
      <c r="I160" s="338" t="s">
        <v>248</v>
      </c>
      <c r="J160" s="315" t="s">
        <v>882</v>
      </c>
      <c r="K160" s="338" t="s">
        <v>249</v>
      </c>
      <c r="L160" s="316" t="s">
        <v>250</v>
      </c>
      <c r="M160" s="316" t="s">
        <v>251</v>
      </c>
      <c r="N160" s="107">
        <v>2664</v>
      </c>
      <c r="O160" s="131" t="s">
        <v>252</v>
      </c>
      <c r="P16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0" s="35" t="e">
        <v>#N/A</v>
      </c>
      <c r="S160" s="35">
        <v>1</v>
      </c>
      <c r="T160" s="35">
        <f>Table1[[#This Row],[Progres Total Aktual
(%)]]</f>
        <v>1</v>
      </c>
      <c r="U160" s="124">
        <f>Table1[[#This Row],[Progres Aktual
(%)]]-Table1[[#This Row],[Target Progres
(%)]]</f>
        <v>0</v>
      </c>
      <c r="V160" s="350">
        <f>Table1[[#This Row],["Volume
BA MC-0"]]</f>
        <v>2200</v>
      </c>
      <c r="W160" s="351">
        <f>Table1[[#This Row],[Total Panjang Pipa Aktual
(Sum-&gt;)3]]</f>
        <v>2315.4549999999999</v>
      </c>
      <c r="X160" s="47"/>
      <c r="Y160" s="67" t="s">
        <v>1149</v>
      </c>
      <c r="Z160" s="67">
        <v>114246425234</v>
      </c>
      <c r="AA160" s="67">
        <f>Table1[[#This Row],[Nilai RAB Jaringan
(file pa aji)]]</f>
        <v>114246425234</v>
      </c>
      <c r="AB160" s="320">
        <f>SUM(Table1[[#This Row],[RAB Kegiatan Umum]:[RAB Perizinan]])</f>
        <v>0</v>
      </c>
      <c r="AC160" s="320"/>
      <c r="AD160" s="320"/>
      <c r="AE160" s="320"/>
      <c r="AF160" s="320"/>
      <c r="AG160" s="436">
        <v>0</v>
      </c>
      <c r="AH160" s="35" t="e">
        <f>SUM(Table1[[#This Row],[Bobot Keg Umum]:[Bobot Perizinan]])</f>
        <v>#DIV/0!</v>
      </c>
      <c r="AI160" s="35" t="e">
        <f>Table1[[#This Row],[RAB Kegiatan Umum]]/Table1[[#This Row],[Nilai RAB Jaringan
(Exclude Ppn)]]</f>
        <v>#DIV/0!</v>
      </c>
      <c r="AJ160" s="35" t="e">
        <f>Table1[[#This Row],[RAB Pemasangan]]/Table1[[#This Row],[Nilai RAB Jaringan
(Exclude Ppn)]]</f>
        <v>#DIV/0!</v>
      </c>
      <c r="AK160" s="35" t="e">
        <f>Table1[[#This Row],[RAB Pengadaan]]/Table1[[#This Row],[Nilai RAB Jaringan
(Exclude Ppn)]]</f>
        <v>#DIV/0!</v>
      </c>
      <c r="AL160" s="35" t="e">
        <f>Table1[[#This Row],[RAB Perizinan]]/Table1[[#This Row],[Nilai RAB Jaringan
(Exclude Ppn)]]</f>
        <v>#DIV/0!</v>
      </c>
      <c r="AM160" s="47"/>
      <c r="AN160" s="285">
        <v>2200</v>
      </c>
      <c r="AO160" s="285">
        <f>SUM(Table1[[#This Row],[Pipa 63 mm]:[Pipa 1,800 mm]])</f>
        <v>0</v>
      </c>
      <c r="AP160" s="285"/>
      <c r="AQ160" s="285"/>
      <c r="AR160" s="285"/>
      <c r="AS160" s="285"/>
      <c r="AT160" s="285"/>
      <c r="AU160" s="285"/>
      <c r="AV160" s="285"/>
      <c r="AW160" s="285"/>
      <c r="AX160" s="285"/>
      <c r="AY160" s="285"/>
      <c r="AZ160" s="285"/>
      <c r="BA160" s="285"/>
      <c r="BB160" s="285"/>
      <c r="BC160" s="285"/>
      <c r="BD160" s="285"/>
      <c r="BE160" s="285"/>
      <c r="BF160" s="285"/>
      <c r="BG160" s="285"/>
      <c r="BH160" s="285"/>
      <c r="BI160" s="285"/>
      <c r="BJ160" s="36">
        <f>SUM(Table1[[#This Row],[Pipa 63 mm2]:[Pipa 1,800 mm21]])</f>
        <v>2315.4549999999999</v>
      </c>
      <c r="BK160" s="32"/>
      <c r="BL160" s="32"/>
      <c r="BM160" s="32"/>
      <c r="BN160" s="32"/>
      <c r="BO160" s="32"/>
      <c r="BP160" s="32"/>
      <c r="BQ160" s="32">
        <v>5.5</v>
      </c>
      <c r="BR160" s="32"/>
      <c r="BS160" s="32">
        <v>24.93</v>
      </c>
      <c r="BT160" s="32"/>
      <c r="BU160" s="32"/>
      <c r="BV160" s="32"/>
      <c r="BW160" s="32"/>
      <c r="BX160" s="32"/>
      <c r="BY160" s="32">
        <f>1198.4+1012.43+74.195</f>
        <v>2285.0250000000001</v>
      </c>
      <c r="BZ160" s="32"/>
      <c r="CA160" s="32"/>
      <c r="CB160" s="32"/>
      <c r="CC160" s="32"/>
      <c r="CD160" s="32"/>
      <c r="CE160" s="32">
        <v>0</v>
      </c>
      <c r="CF160" s="32">
        <v>0</v>
      </c>
      <c r="CG160" s="32">
        <v>0</v>
      </c>
      <c r="CH160" s="32">
        <v>0</v>
      </c>
      <c r="CI160" s="32">
        <f t="shared" si="10"/>
        <v>0</v>
      </c>
      <c r="CJ160" s="65">
        <f>IF((Table1[[#This Row],["Volume
BA MC-0"]]-Table1[[#This Row],[Total Panjang Pipa Aktual
(Sum-&gt;)3]]-Table1[[#This Row],[Total Volume
tidak dapat dipasang]])&gt;=0,Table1[[#This Row],["Volume
BA MC-0"]]-Table1[[#This Row],[Total Panjang Pipa Aktual
(Sum-&gt;)3]]-Table1[[#This Row],[Total Volume
tidak dapat dipasang]],0)</f>
        <v>0</v>
      </c>
      <c r="CK160" s="47"/>
      <c r="CL160" s="131"/>
      <c r="CM160" s="35"/>
      <c r="CN160" s="131"/>
      <c r="CO160" s="131"/>
      <c r="CP16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0" s="66">
        <f>IFERROR(Table1[[#This Row],[Progres Keg. Umum
(%)]]*Table1[[#This Row],[Nilai RAB Jaringan
(file pa aji)]],0)</f>
        <v>0</v>
      </c>
      <c r="CR160" s="66">
        <f>IFERROR(Table1[[#This Row],[Progres MOS
(%)]]*Table1[[#This Row],[Nilai RAB Jaringan
(file pa aji)]],0)</f>
        <v>0</v>
      </c>
      <c r="CS160" s="66">
        <f>IFERROR(Table1[[#This Row],[Progres Pemasangan
(%)]]*Table1[[#This Row],[Nilai RAB Jaringan
(file pa aji)]],0)</f>
        <v>0</v>
      </c>
      <c r="CT160" s="66">
        <f>IFERROR(Table1[[#This Row],[Progres Perizinan
(%)]]*Table1[[#This Row],[Nilai RAB Jaringan
(file pa aji)]],0)</f>
        <v>0</v>
      </c>
      <c r="CU160" s="329">
        <v>103314635149</v>
      </c>
      <c r="CV160" s="329">
        <v>103314635149</v>
      </c>
      <c r="CW160" s="583">
        <v>103314635149</v>
      </c>
      <c r="CX160" s="329">
        <v>103314635149</v>
      </c>
      <c r="CY160" s="47"/>
      <c r="CZ160" s="330">
        <v>45565</v>
      </c>
      <c r="DA160" s="330">
        <v>45599</v>
      </c>
      <c r="DB160" s="331">
        <v>45240</v>
      </c>
      <c r="DC160" s="316" t="s">
        <v>254</v>
      </c>
      <c r="DD160" s="67">
        <v>114235820435</v>
      </c>
      <c r="DE16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0" s="331">
        <v>45250</v>
      </c>
      <c r="DG160" s="316" t="s">
        <v>255</v>
      </c>
      <c r="DH160" s="67">
        <v>114235820435</v>
      </c>
      <c r="DI16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0" s="330">
        <v>45600</v>
      </c>
      <c r="DK160" s="330">
        <v>45648</v>
      </c>
      <c r="DL160" s="331">
        <v>45317</v>
      </c>
      <c r="DM160" s="316" t="s">
        <v>1150</v>
      </c>
      <c r="DN16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0" s="331">
        <v>45320</v>
      </c>
      <c r="DP160" s="316" t="s">
        <v>1151</v>
      </c>
      <c r="DQ160" s="338" t="s">
        <v>258</v>
      </c>
      <c r="DR16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60" s="330">
        <v>45600</v>
      </c>
      <c r="DT160" s="330" t="e">
        <v>#N/A</v>
      </c>
      <c r="DU160" s="330">
        <v>45648</v>
      </c>
      <c r="DV160" s="330" t="e">
        <v>#N/A</v>
      </c>
      <c r="DW160" s="331">
        <v>45911</v>
      </c>
      <c r="DX160" s="316" t="s">
        <v>1152</v>
      </c>
      <c r="DY160" s="334"/>
      <c r="DZ160" s="334"/>
      <c r="EA16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0" s="331">
        <v>45903</v>
      </c>
      <c r="EC160" s="332"/>
      <c r="ED160" s="332"/>
      <c r="EE160" s="330" t="s">
        <v>1153</v>
      </c>
      <c r="EF160" s="35">
        <v>1</v>
      </c>
      <c r="EG160" s="337">
        <v>1</v>
      </c>
      <c r="EH160" s="316" t="str">
        <f>IF(Table1[[#This Row],[PO Material Aktual 
(%)]]&gt;=100%,"Selesai PO = 100%",IF(Table1[[#This Row],[PO Material Aktual 
(%)]]&gt;=50%,"Proses PO &gt; 100%",IF(Table1[[#This Row],[PO Material Aktual 
(%)]]&gt;0%,"Proses PO &gt; 50%",IF(Table1[[#This Row],[PO Material Aktual 
(%)]]=0,"Belum PO = 0%"))))</f>
        <v>Selesai PO = 100%</v>
      </c>
      <c r="EI16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0" s="330">
        <v>45649</v>
      </c>
      <c r="EK160" s="330" t="e">
        <v>#N/A</v>
      </c>
      <c r="EL160" s="330">
        <v>45837</v>
      </c>
      <c r="EM160" s="330" t="e">
        <v>#N/A</v>
      </c>
      <c r="EN160" s="331">
        <v>46151</v>
      </c>
      <c r="EO160" s="332"/>
      <c r="EP160" s="332"/>
      <c r="EQ160" s="87">
        <v>1</v>
      </c>
      <c r="ER160" s="87">
        <v>1</v>
      </c>
      <c r="ES160" s="316" t="str">
        <f>IF(Table1[[#This Row],[Progres MOS]]&gt;=100%,"Selesai MOS = 100%",IF(Table1[[#This Row],[Progres MOS]]&gt;=50%,"Proses MOS &gt; 100%",IF(Table1[[#This Row],[Progres MOS]]&gt;0%,"Proses MOS &gt; 50%",IF(Table1[[#This Row],[Progres MOS]]=0,"Belum MOS = 0%"))))</f>
        <v>Selesai MOS = 100%</v>
      </c>
      <c r="ET16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0" s="47"/>
      <c r="EV160" s="330">
        <v>45600</v>
      </c>
      <c r="EW160" s="330" t="e">
        <v>#N/A</v>
      </c>
      <c r="EX160" s="330">
        <v>45746</v>
      </c>
      <c r="EY160" s="330" t="e">
        <v>#N/A</v>
      </c>
      <c r="EZ160" s="352" t="s">
        <v>259</v>
      </c>
      <c r="FA160" s="352" t="s">
        <v>259</v>
      </c>
      <c r="FB160" s="331" t="s">
        <v>260</v>
      </c>
      <c r="FC160" s="330">
        <v>45013</v>
      </c>
      <c r="FD160" s="331" t="s">
        <v>260</v>
      </c>
      <c r="FE160" s="331"/>
      <c r="FF160" s="331">
        <v>45100</v>
      </c>
      <c r="FG160" s="331" t="s">
        <v>260</v>
      </c>
      <c r="FH160" s="331" t="s">
        <v>260</v>
      </c>
      <c r="FI160" s="331">
        <v>45169</v>
      </c>
      <c r="FJ160" s="331" t="s">
        <v>260</v>
      </c>
      <c r="FK160" s="331">
        <v>45301</v>
      </c>
      <c r="FL160" s="352" t="s">
        <v>259</v>
      </c>
      <c r="FM160" s="352">
        <v>45013</v>
      </c>
      <c r="FN160" s="338">
        <f>IF(Table1[[#This Row],[Tanggal Pengajuan Dokumen]]="","",Table1[[#This Row],[PLAN PERMIT
start]]-Table1[[#This Row],[Tanggal Pengajuan Dokumen]])</f>
        <v>587</v>
      </c>
      <c r="FO160" s="437">
        <v>45301</v>
      </c>
      <c r="FP160" s="316"/>
      <c r="FQ160" s="338"/>
      <c r="FR160" s="338"/>
      <c r="FS160" s="338" t="str">
        <f t="shared" si="9"/>
        <v>Sudah Terbit</v>
      </c>
      <c r="FT16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0" s="344">
        <f ca="1">IF(Table1[[#This Row],[Status Izin]]="Selesai",Table1[[#This Row],[PLAN PERMIT
finish]]-Table1[[#This Row],[Tanggal Terbit/ Target Izin Terbit]],ROUNDUP(Table1[[#This Row],[PLAN PERMIT
finish]]-NOW(),0))</f>
        <v>445</v>
      </c>
      <c r="FV16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60" s="344"/>
      <c r="FX160" s="47"/>
      <c r="FY160" s="340"/>
      <c r="FZ160" s="341"/>
      <c r="GA16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0" s="330">
        <v>45718</v>
      </c>
      <c r="GC160" s="352">
        <v>45611</v>
      </c>
      <c r="GD16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0" s="330">
        <v>45711</v>
      </c>
      <c r="GF160" s="352">
        <v>45625</v>
      </c>
      <c r="GG16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60" s="330">
        <v>45705</v>
      </c>
      <c r="GI160" s="330">
        <v>45711</v>
      </c>
      <c r="GJ160" s="352">
        <v>45615</v>
      </c>
      <c r="GK16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60" s="330">
        <v>45747</v>
      </c>
      <c r="GM160" s="330" t="e">
        <v>#N/A</v>
      </c>
      <c r="GN160" s="330">
        <v>45907</v>
      </c>
      <c r="GO160" s="330" t="e">
        <v>#N/A</v>
      </c>
      <c r="GP160" s="316"/>
      <c r="GQ16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0" s="330" t="s">
        <v>261</v>
      </c>
      <c r="GS160" s="330" t="s">
        <v>261</v>
      </c>
      <c r="GT160" s="354" t="s">
        <v>1154</v>
      </c>
      <c r="GU160" s="344" t="str">
        <f>IF(Table1[[#This Row],[Hydro Tes Actual
(tanggal)]]&lt;&gt;"","Sudah","Belum")</f>
        <v>Sudah</v>
      </c>
      <c r="GV160" s="330" t="s">
        <v>261</v>
      </c>
      <c r="GW160" s="330" t="s">
        <v>261</v>
      </c>
      <c r="GX160" s="331">
        <v>45755</v>
      </c>
      <c r="GY160" s="344" t="str">
        <f>IF(Table1[[#This Row],[Interkoneksi Actual
(tanggal)]]&lt;&gt;"","Sudah","Belum")</f>
        <v>Sudah</v>
      </c>
      <c r="GZ160" s="330" t="s">
        <v>261</v>
      </c>
      <c r="HA160" s="330" t="s">
        <v>261</v>
      </c>
      <c r="HB160" s="331">
        <v>45952</v>
      </c>
      <c r="HC160" s="344" t="str">
        <f>IF(Table1[[#This Row],[Flushing Actual
(tanggal)]]&lt;&gt;"","Sudah","Belum")</f>
        <v>Sudah</v>
      </c>
      <c r="HD160" s="330">
        <v>45889</v>
      </c>
      <c r="HE160" s="330" t="e">
        <v>#N/A</v>
      </c>
      <c r="HF160" s="330">
        <v>45898</v>
      </c>
      <c r="HG160" s="331">
        <v>45954</v>
      </c>
      <c r="HH16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0" s="330" t="s">
        <v>261</v>
      </c>
      <c r="HJ160" s="330" t="s">
        <v>261</v>
      </c>
      <c r="HK160" s="331"/>
      <c r="HL160" s="316"/>
      <c r="HM160" s="330">
        <v>45910</v>
      </c>
      <c r="HN160" s="330">
        <v>45910</v>
      </c>
      <c r="HO160" s="330" t="e">
        <v>#N/A</v>
      </c>
      <c r="HP160" s="331">
        <v>45955</v>
      </c>
      <c r="HQ16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60" s="330">
        <v>45926</v>
      </c>
      <c r="HS160" s="330"/>
      <c r="HT160" s="330">
        <v>45926</v>
      </c>
      <c r="HU160" s="527"/>
      <c r="HV160" s="331">
        <v>45980</v>
      </c>
      <c r="HW16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60" s="47"/>
      <c r="HY160" s="352"/>
      <c r="HZ160" s="352"/>
      <c r="IB160" s="618">
        <f>IFERROR(ROUND((Table1[[#This Row],[PLAN TC
finish]]-Table1[[#This Row],[PLAN MC-0
start]])/30,2),"")</f>
        <v>6.43</v>
      </c>
      <c r="IC160">
        <f>DATEDIF(Table1[[#This Row],[PLAN MC-0
start]],Table1[[#This Row],[PLAN TC
finish]],"m")</f>
        <v>6</v>
      </c>
    </row>
    <row r="161" spans="1:237" s="4" customFormat="1" ht="15" hidden="1" customHeight="1" x14ac:dyDescent="0.2">
      <c r="B161" s="311">
        <f>SUBTOTAL(3,$D$5:D161)</f>
        <v>84</v>
      </c>
      <c r="C161" s="348">
        <v>157</v>
      </c>
      <c r="D161" s="338" t="s">
        <v>244</v>
      </c>
      <c r="E161" s="338" t="s">
        <v>1155</v>
      </c>
      <c r="F161" s="338" t="s">
        <v>1156</v>
      </c>
      <c r="G161" s="349">
        <v>45935</v>
      </c>
      <c r="H161" s="314" t="s">
        <v>247</v>
      </c>
      <c r="I161" s="338" t="s">
        <v>248</v>
      </c>
      <c r="J161" s="315"/>
      <c r="K161" s="338" t="s">
        <v>249</v>
      </c>
      <c r="L161" s="316" t="s">
        <v>250</v>
      </c>
      <c r="M161" s="316" t="s">
        <v>251</v>
      </c>
      <c r="N161" s="107">
        <v>3331</v>
      </c>
      <c r="O161" s="131" t="s">
        <v>252</v>
      </c>
      <c r="P16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1" s="35" t="e">
        <v>#N/A</v>
      </c>
      <c r="S161" s="35">
        <v>1</v>
      </c>
      <c r="T161" s="35">
        <f>Table1[[#This Row],[Progres Total Aktual
(%)]]</f>
        <v>1</v>
      </c>
      <c r="U161" s="124">
        <f>Table1[[#This Row],[Progres Aktual
(%)]]-Table1[[#This Row],[Target Progres
(%)]]</f>
        <v>0</v>
      </c>
      <c r="V161" s="350">
        <f>Table1[[#This Row],["Volume
BA MC-0"]]</f>
        <v>3064.7</v>
      </c>
      <c r="W161" s="351">
        <f>Table1[[#This Row],[Total Panjang Pipa Aktual
(Sum-&gt;)3]]</f>
        <v>3213.5</v>
      </c>
      <c r="X161" s="47"/>
      <c r="Y161" s="67" t="s">
        <v>1157</v>
      </c>
      <c r="Z161" s="67">
        <v>186272869919</v>
      </c>
      <c r="AA161" s="67">
        <f>Table1[[#This Row],[Nilai RAB Jaringan
(file pa aji)]]</f>
        <v>186272869919</v>
      </c>
      <c r="AB161" s="320">
        <f>SUM(Table1[[#This Row],[RAB Kegiatan Umum]:[RAB Perizinan]])</f>
        <v>0</v>
      </c>
      <c r="AC161" s="320"/>
      <c r="AD161" s="320"/>
      <c r="AE161" s="320"/>
      <c r="AF161" s="320"/>
      <c r="AG161" s="436">
        <v>0</v>
      </c>
      <c r="AH161" s="35" t="e">
        <f>SUM(Table1[[#This Row],[Bobot Keg Umum]:[Bobot Perizinan]])</f>
        <v>#DIV/0!</v>
      </c>
      <c r="AI161" s="35" t="e">
        <f>Table1[[#This Row],[RAB Kegiatan Umum]]/Table1[[#This Row],[Nilai RAB Jaringan
(Exclude Ppn)]]</f>
        <v>#DIV/0!</v>
      </c>
      <c r="AJ161" s="35" t="e">
        <f>Table1[[#This Row],[RAB Pemasangan]]/Table1[[#This Row],[Nilai RAB Jaringan
(Exclude Ppn)]]</f>
        <v>#DIV/0!</v>
      </c>
      <c r="AK161" s="35" t="e">
        <f>Table1[[#This Row],[RAB Pengadaan]]/Table1[[#This Row],[Nilai RAB Jaringan
(Exclude Ppn)]]</f>
        <v>#DIV/0!</v>
      </c>
      <c r="AL161" s="35" t="e">
        <f>Table1[[#This Row],[RAB Perizinan]]/Table1[[#This Row],[Nilai RAB Jaringan
(Exclude Ppn)]]</f>
        <v>#DIV/0!</v>
      </c>
      <c r="AM161" s="47"/>
      <c r="AN161" s="285">
        <v>3064.7</v>
      </c>
      <c r="AO161" s="285">
        <f>SUM(Table1[[#This Row],[Pipa 63 mm]:[Pipa 1,800 mm]])</f>
        <v>0</v>
      </c>
      <c r="AP161" s="285"/>
      <c r="AQ161" s="285"/>
      <c r="AR161" s="285"/>
      <c r="AS161" s="285"/>
      <c r="AT161" s="285"/>
      <c r="AU161" s="285"/>
      <c r="AV161" s="285"/>
      <c r="AW161" s="285"/>
      <c r="AX161" s="285"/>
      <c r="AY161" s="285"/>
      <c r="AZ161" s="285"/>
      <c r="BA161" s="285"/>
      <c r="BB161" s="285"/>
      <c r="BC161" s="285"/>
      <c r="BD161" s="285"/>
      <c r="BE161" s="285"/>
      <c r="BF161" s="285"/>
      <c r="BG161" s="285"/>
      <c r="BH161" s="285"/>
      <c r="BI161" s="285"/>
      <c r="BJ161" s="36">
        <f>SUM(Table1[[#This Row],[Pipa 63 mm2]:[Pipa 1,800 mm21]])</f>
        <v>3213.5</v>
      </c>
      <c r="BK161" s="32"/>
      <c r="BL161" s="32"/>
      <c r="BM161" s="32"/>
      <c r="BN161" s="32"/>
      <c r="BO161" s="32"/>
      <c r="BP161" s="32"/>
      <c r="BQ161" s="32"/>
      <c r="BR161" s="32"/>
      <c r="BS161" s="32">
        <v>24</v>
      </c>
      <c r="BT161" s="32"/>
      <c r="BU161" s="32"/>
      <c r="BV161" s="32"/>
      <c r="BW161" s="32"/>
      <c r="BX161" s="32"/>
      <c r="BY161" s="32">
        <v>13</v>
      </c>
      <c r="BZ161" s="32">
        <f>2464+595+85.9+31.6</f>
        <v>3176.5</v>
      </c>
      <c r="CA161" s="32"/>
      <c r="CB161" s="32"/>
      <c r="CC161" s="32"/>
      <c r="CD161" s="32"/>
      <c r="CE161" s="32">
        <v>0</v>
      </c>
      <c r="CF161" s="32">
        <v>0</v>
      </c>
      <c r="CG161" s="32">
        <v>0</v>
      </c>
      <c r="CH161" s="32">
        <v>0</v>
      </c>
      <c r="CI161" s="32">
        <f t="shared" si="10"/>
        <v>0</v>
      </c>
      <c r="CJ161" s="65">
        <f>IF((Table1[[#This Row],["Volume
BA MC-0"]]-Table1[[#This Row],[Total Panjang Pipa Aktual
(Sum-&gt;)3]]-Table1[[#This Row],[Total Volume
tidak dapat dipasang]])&gt;=0,Table1[[#This Row],["Volume
BA MC-0"]]-Table1[[#This Row],[Total Panjang Pipa Aktual
(Sum-&gt;)3]]-Table1[[#This Row],[Total Volume
tidak dapat dipasang]],0)</f>
        <v>0</v>
      </c>
      <c r="CK161" s="47"/>
      <c r="CL161" s="131"/>
      <c r="CM161" s="35"/>
      <c r="CN161" s="131"/>
      <c r="CO161" s="131"/>
      <c r="CP16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1" s="66">
        <f>IFERROR(Table1[[#This Row],[Progres Keg. Umum
(%)]]*Table1[[#This Row],[Nilai RAB Jaringan
(file pa aji)]],0)</f>
        <v>0</v>
      </c>
      <c r="CR161" s="66">
        <f>IFERROR(Table1[[#This Row],[Progres MOS
(%)]]*Table1[[#This Row],[Nilai RAB Jaringan
(file pa aji)]],0)</f>
        <v>0</v>
      </c>
      <c r="CS161" s="66">
        <f>IFERROR(Table1[[#This Row],[Progres Pemasangan
(%)]]*Table1[[#This Row],[Nilai RAB Jaringan
(file pa aji)]],0)</f>
        <v>0</v>
      </c>
      <c r="CT161" s="66">
        <f>IFERROR(Table1[[#This Row],[Progres Perizinan
(%)]]*Table1[[#This Row],[Nilai RAB Jaringan
(file pa aji)]],0)</f>
        <v>0</v>
      </c>
      <c r="CU161" s="329">
        <v>160978046199</v>
      </c>
      <c r="CV161" s="329">
        <v>160978046199</v>
      </c>
      <c r="CW161" s="583">
        <v>160978046199</v>
      </c>
      <c r="CX161" s="329">
        <v>160978046199</v>
      </c>
      <c r="CY161" s="47"/>
      <c r="CZ161" s="330">
        <v>45565</v>
      </c>
      <c r="DA161" s="330">
        <v>45599</v>
      </c>
      <c r="DB161" s="331">
        <v>45274</v>
      </c>
      <c r="DC161" s="316" t="s">
        <v>1158</v>
      </c>
      <c r="DD161" s="67">
        <v>186278481398</v>
      </c>
      <c r="DE16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1" s="331">
        <v>45281</v>
      </c>
      <c r="DG161" s="316" t="s">
        <v>1159</v>
      </c>
      <c r="DH161" s="67">
        <v>186272869919</v>
      </c>
      <c r="DI16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1" s="330">
        <v>45600</v>
      </c>
      <c r="DK161" s="330">
        <v>45648</v>
      </c>
      <c r="DL161" s="331">
        <v>45317</v>
      </c>
      <c r="DM161" s="357" t="s">
        <v>1150</v>
      </c>
      <c r="DN16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1" s="331">
        <v>45320</v>
      </c>
      <c r="DP161" s="316" t="s">
        <v>1151</v>
      </c>
      <c r="DQ161" s="338" t="s">
        <v>258</v>
      </c>
      <c r="DR16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61" s="330">
        <v>45600</v>
      </c>
      <c r="DT161" s="330" t="e">
        <v>#N/A</v>
      </c>
      <c r="DU161" s="330">
        <v>45648</v>
      </c>
      <c r="DV161" s="330" t="e">
        <v>#N/A</v>
      </c>
      <c r="DW161" s="331">
        <v>45274</v>
      </c>
      <c r="DX161" s="316" t="s">
        <v>1160</v>
      </c>
      <c r="DY161" s="334"/>
      <c r="DZ161" s="334"/>
      <c r="EA16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61" s="331">
        <v>45937</v>
      </c>
      <c r="EC161" s="332"/>
      <c r="ED161" s="332"/>
      <c r="EE161" s="330" t="s">
        <v>1161</v>
      </c>
      <c r="EF161" s="35">
        <v>1</v>
      </c>
      <c r="EG161" s="337">
        <v>1</v>
      </c>
      <c r="EH161" s="316" t="str">
        <f>IF(Table1[[#This Row],[PO Material Aktual 
(%)]]&gt;=100%,"Selesai PO = 100%",IF(Table1[[#This Row],[PO Material Aktual 
(%)]]&gt;=50%,"Proses PO &gt; 100%",IF(Table1[[#This Row],[PO Material Aktual 
(%)]]&gt;0%,"Proses PO &gt; 50%",IF(Table1[[#This Row],[PO Material Aktual 
(%)]]=0,"Belum PO = 0%"))))</f>
        <v>Selesai PO = 100%</v>
      </c>
      <c r="EI16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1" s="330">
        <v>45649</v>
      </c>
      <c r="EK161" s="330" t="e">
        <v>#N/A</v>
      </c>
      <c r="EL161" s="330">
        <v>45837</v>
      </c>
      <c r="EM161" s="330" t="e">
        <v>#N/A</v>
      </c>
      <c r="EN161" s="331">
        <v>46156</v>
      </c>
      <c r="EO161" s="332"/>
      <c r="EP161" s="332"/>
      <c r="EQ161" s="87">
        <v>1</v>
      </c>
      <c r="ER161" s="87">
        <v>1</v>
      </c>
      <c r="ES161" s="316" t="str">
        <f>IF(Table1[[#This Row],[Progres MOS]]&gt;=100%,"Selesai MOS = 100%",IF(Table1[[#This Row],[Progres MOS]]&gt;=50%,"Proses MOS &gt; 100%",IF(Table1[[#This Row],[Progres MOS]]&gt;0%,"Proses MOS &gt; 50%",IF(Table1[[#This Row],[Progres MOS]]=0,"Belum MOS = 0%"))))</f>
        <v>Selesai MOS = 100%</v>
      </c>
      <c r="ET16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1" s="47"/>
      <c r="EV161" s="330">
        <v>45600</v>
      </c>
      <c r="EW161" s="330" t="e">
        <v>#N/A</v>
      </c>
      <c r="EX161" s="330">
        <v>45746</v>
      </c>
      <c r="EY161" s="330" t="e">
        <v>#N/A</v>
      </c>
      <c r="EZ161" s="352" t="s">
        <v>259</v>
      </c>
      <c r="FA161" s="352" t="s">
        <v>259</v>
      </c>
      <c r="FB161" s="331" t="s">
        <v>260</v>
      </c>
      <c r="FC161" s="330">
        <v>45012</v>
      </c>
      <c r="FD161" s="331" t="s">
        <v>260</v>
      </c>
      <c r="FE161" s="331"/>
      <c r="FF161" s="331">
        <v>45100</v>
      </c>
      <c r="FG161" s="331" t="s">
        <v>260</v>
      </c>
      <c r="FH161" s="331" t="s">
        <v>260</v>
      </c>
      <c r="FI161" s="331">
        <v>45189</v>
      </c>
      <c r="FJ161" s="331" t="s">
        <v>260</v>
      </c>
      <c r="FK161" s="331">
        <v>45301</v>
      </c>
      <c r="FL161" s="352" t="s">
        <v>259</v>
      </c>
      <c r="FM161" s="352">
        <v>45012</v>
      </c>
      <c r="FN161" s="338">
        <f>IF(Table1[[#This Row],[Tanggal Pengajuan Dokumen]]="","",Table1[[#This Row],[PLAN PERMIT
start]]-Table1[[#This Row],[Tanggal Pengajuan Dokumen]])</f>
        <v>588</v>
      </c>
      <c r="FO161" s="437">
        <v>45299</v>
      </c>
      <c r="FP161" s="316"/>
      <c r="FQ161" s="338"/>
      <c r="FR161" s="338"/>
      <c r="FS161" s="338" t="str">
        <f t="shared" si="9"/>
        <v>Sudah Terbit</v>
      </c>
      <c r="FT16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1" s="344">
        <f ca="1">IF(Table1[[#This Row],[Status Izin]]="Selesai",Table1[[#This Row],[PLAN PERMIT
finish]]-Table1[[#This Row],[Tanggal Terbit/ Target Izin Terbit]],ROUNDUP(Table1[[#This Row],[PLAN PERMIT
finish]]-NOW(),0))</f>
        <v>447</v>
      </c>
      <c r="FV16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61" s="344"/>
      <c r="FX161" s="47"/>
      <c r="FY161" s="340"/>
      <c r="FZ161" s="341"/>
      <c r="GA16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1" s="330">
        <v>45718</v>
      </c>
      <c r="GC161" s="352">
        <v>45611</v>
      </c>
      <c r="GD16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1" s="330">
        <v>45711</v>
      </c>
      <c r="GF161" s="352">
        <v>45625</v>
      </c>
      <c r="GG16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61" s="330">
        <v>45705</v>
      </c>
      <c r="GI161" s="330">
        <v>45711</v>
      </c>
      <c r="GJ161" s="352">
        <v>45615</v>
      </c>
      <c r="GK16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61" s="330">
        <v>45747</v>
      </c>
      <c r="GM161" s="330" t="e">
        <v>#N/A</v>
      </c>
      <c r="GN161" s="330">
        <v>45907</v>
      </c>
      <c r="GO161" s="330" t="e">
        <v>#N/A</v>
      </c>
      <c r="GP161" s="316"/>
      <c r="GQ16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1" s="330" t="s">
        <v>261</v>
      </c>
      <c r="GS161" s="330" t="s">
        <v>261</v>
      </c>
      <c r="GT161" s="354" t="s">
        <v>1162</v>
      </c>
      <c r="GU161" s="344" t="str">
        <f>IF(Table1[[#This Row],[Hydro Tes Actual
(tanggal)]]&lt;&gt;"","Sudah","Belum")</f>
        <v>Sudah</v>
      </c>
      <c r="GV161" s="330" t="s">
        <v>261</v>
      </c>
      <c r="GW161" s="330" t="s">
        <v>261</v>
      </c>
      <c r="GX161" s="331">
        <v>45904</v>
      </c>
      <c r="GY161" s="344" t="str">
        <f>IF(Table1[[#This Row],[Interkoneksi Actual
(tanggal)]]&lt;&gt;"","Sudah","Belum")</f>
        <v>Sudah</v>
      </c>
      <c r="GZ161" s="330" t="s">
        <v>261</v>
      </c>
      <c r="HA161" s="330" t="s">
        <v>261</v>
      </c>
      <c r="HB161" s="331">
        <v>45931</v>
      </c>
      <c r="HC161" s="344" t="str">
        <f>IF(Table1[[#This Row],[Flushing Actual
(tanggal)]]&lt;&gt;"","Sudah","Belum")</f>
        <v>Sudah</v>
      </c>
      <c r="HD161" s="330">
        <v>45889</v>
      </c>
      <c r="HE161" s="330" t="e">
        <v>#N/A</v>
      </c>
      <c r="HF161" s="330">
        <v>45898</v>
      </c>
      <c r="HG161" s="331">
        <v>45932</v>
      </c>
      <c r="HH16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1" s="330" t="s">
        <v>261</v>
      </c>
      <c r="HJ161" s="330" t="s">
        <v>261</v>
      </c>
      <c r="HK161" s="331"/>
      <c r="HL161" s="316"/>
      <c r="HM161" s="330">
        <v>45910</v>
      </c>
      <c r="HN161" s="330">
        <v>45910</v>
      </c>
      <c r="HO161" s="330" t="e">
        <v>#N/A</v>
      </c>
      <c r="HP161" s="331">
        <v>45934</v>
      </c>
      <c r="HQ16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61" s="330">
        <v>45926</v>
      </c>
      <c r="HS161" s="330"/>
      <c r="HT161" s="330">
        <v>45926</v>
      </c>
      <c r="HU161" s="527"/>
      <c r="HV161" s="331">
        <v>45934</v>
      </c>
      <c r="HW16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61" s="47"/>
      <c r="HY161" s="352"/>
      <c r="HZ161" s="352"/>
      <c r="IB161" s="618">
        <f>IFERROR(ROUND((Table1[[#This Row],[PLAN TC
finish]]-Table1[[#This Row],[PLAN MC-0
start]])/30,2),"")</f>
        <v>6.43</v>
      </c>
      <c r="IC161">
        <f>DATEDIF(Table1[[#This Row],[PLAN MC-0
start]],Table1[[#This Row],[PLAN TC
finish]],"m")</f>
        <v>6</v>
      </c>
    </row>
    <row r="162" spans="1:237" s="4" customFormat="1" ht="15" hidden="1" customHeight="1" x14ac:dyDescent="0.2">
      <c r="B162" s="311">
        <f>SUBTOTAL(3,$D$5:D162)</f>
        <v>84</v>
      </c>
      <c r="C162" s="348">
        <v>158</v>
      </c>
      <c r="D162" s="338" t="s">
        <v>244</v>
      </c>
      <c r="E162" s="338" t="s">
        <v>1163</v>
      </c>
      <c r="F162" s="338" t="s">
        <v>1164</v>
      </c>
      <c r="G162" s="349">
        <v>45935</v>
      </c>
      <c r="H162" s="314" t="s">
        <v>247</v>
      </c>
      <c r="I162" s="338" t="s">
        <v>248</v>
      </c>
      <c r="J162" s="315" t="s">
        <v>882</v>
      </c>
      <c r="K162" s="338" t="s">
        <v>1165</v>
      </c>
      <c r="L162" s="316" t="s">
        <v>250</v>
      </c>
      <c r="M162" s="316" t="s">
        <v>269</v>
      </c>
      <c r="N162" s="107">
        <v>250</v>
      </c>
      <c r="O162" s="131" t="s">
        <v>252</v>
      </c>
      <c r="P16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2" s="35" t="e">
        <v>#N/A</v>
      </c>
      <c r="S162" s="35">
        <v>1</v>
      </c>
      <c r="T162" s="35">
        <f>Table1[[#This Row],[Progres Total Aktual
(%)]]</f>
        <v>1</v>
      </c>
      <c r="U162" s="124">
        <f>Table1[[#This Row],[Progres Aktual
(%)]]-Table1[[#This Row],[Target Progres
(%)]]</f>
        <v>0</v>
      </c>
      <c r="V162" s="350">
        <f>Table1[[#This Row],["Volume
BA MC-0"]]</f>
        <v>260</v>
      </c>
      <c r="W162" s="351">
        <f>Table1[[#This Row],[Total Panjang Pipa Aktual
(Sum-&gt;)3]]</f>
        <v>255</v>
      </c>
      <c r="X162" s="47"/>
      <c r="Y162" s="67" t="s">
        <v>1166</v>
      </c>
      <c r="Z162" s="67">
        <v>5562221360</v>
      </c>
      <c r="AA162" s="67">
        <f>Table1[[#This Row],[Nilai RAB Jaringan
(file pa aji)]]</f>
        <v>5562221360</v>
      </c>
      <c r="AB162" s="320">
        <f>SUM(Table1[[#This Row],[RAB Kegiatan Umum]:[RAB Perizinan]])</f>
        <v>0</v>
      </c>
      <c r="AC162" s="320"/>
      <c r="AD162" s="320"/>
      <c r="AE162" s="320"/>
      <c r="AF162" s="320"/>
      <c r="AG162" s="436">
        <v>0</v>
      </c>
      <c r="AH162" s="35" t="e">
        <f>SUM(Table1[[#This Row],[Bobot Keg Umum]:[Bobot Perizinan]])</f>
        <v>#DIV/0!</v>
      </c>
      <c r="AI162" s="35" t="e">
        <f>Table1[[#This Row],[RAB Kegiatan Umum]]/Table1[[#This Row],[Nilai RAB Jaringan
(Exclude Ppn)]]</f>
        <v>#DIV/0!</v>
      </c>
      <c r="AJ162" s="35" t="e">
        <f>Table1[[#This Row],[RAB Pemasangan]]/Table1[[#This Row],[Nilai RAB Jaringan
(Exclude Ppn)]]</f>
        <v>#DIV/0!</v>
      </c>
      <c r="AK162" s="35" t="e">
        <f>Table1[[#This Row],[RAB Pengadaan]]/Table1[[#This Row],[Nilai RAB Jaringan
(Exclude Ppn)]]</f>
        <v>#DIV/0!</v>
      </c>
      <c r="AL162" s="35" t="e">
        <f>Table1[[#This Row],[RAB Perizinan]]/Table1[[#This Row],[Nilai RAB Jaringan
(Exclude Ppn)]]</f>
        <v>#DIV/0!</v>
      </c>
      <c r="AM162" s="47"/>
      <c r="AN162" s="285">
        <v>260</v>
      </c>
      <c r="AO162" s="285">
        <f>SUM(Table1[[#This Row],[Pipa 63 mm]:[Pipa 1,800 mm]])</f>
        <v>0</v>
      </c>
      <c r="AP162" s="285"/>
      <c r="AQ162" s="285"/>
      <c r="AR162" s="285"/>
      <c r="AS162" s="285"/>
      <c r="AT162" s="285"/>
      <c r="AU162" s="285"/>
      <c r="AV162" s="285"/>
      <c r="AW162" s="285"/>
      <c r="AX162" s="285"/>
      <c r="AY162" s="285"/>
      <c r="AZ162" s="285"/>
      <c r="BA162" s="285"/>
      <c r="BB162" s="285"/>
      <c r="BC162" s="285"/>
      <c r="BD162" s="285"/>
      <c r="BE162" s="285"/>
      <c r="BF162" s="285"/>
      <c r="BG162" s="285"/>
      <c r="BH162" s="285"/>
      <c r="BI162" s="285"/>
      <c r="BJ162" s="36">
        <f>SUM(Table1[[#This Row],[Pipa 63 mm2]:[Pipa 1,800 mm21]])</f>
        <v>255</v>
      </c>
      <c r="BK162" s="32"/>
      <c r="BL162" s="32"/>
      <c r="BM162" s="32"/>
      <c r="BN162" s="32"/>
      <c r="BO162" s="32"/>
      <c r="BP162" s="32"/>
      <c r="BQ162" s="32"/>
      <c r="BR162" s="32"/>
      <c r="BS162" s="32"/>
      <c r="BT162" s="32">
        <v>255</v>
      </c>
      <c r="BU162" s="32"/>
      <c r="BV162" s="32"/>
      <c r="BW162" s="32"/>
      <c r="BX162" s="32"/>
      <c r="BY162" s="32"/>
      <c r="BZ162" s="32"/>
      <c r="CA162" s="32"/>
      <c r="CB162" s="32"/>
      <c r="CC162" s="32"/>
      <c r="CD162" s="32"/>
      <c r="CE162" s="32">
        <v>0</v>
      </c>
      <c r="CF162" s="32">
        <v>0</v>
      </c>
      <c r="CG162" s="32">
        <v>0</v>
      </c>
      <c r="CH162" s="32">
        <v>0</v>
      </c>
      <c r="CI162" s="32">
        <f t="shared" si="10"/>
        <v>0</v>
      </c>
      <c r="CJ162" s="65">
        <f>IF((Table1[[#This Row],["Volume
BA MC-0"]]-Table1[[#This Row],[Total Panjang Pipa Aktual
(Sum-&gt;)3]]-Table1[[#This Row],[Total Volume
tidak dapat dipasang]])&gt;=0,Table1[[#This Row],["Volume
BA MC-0"]]-Table1[[#This Row],[Total Panjang Pipa Aktual
(Sum-&gt;)3]]-Table1[[#This Row],[Total Volume
tidak dapat dipasang]],0)</f>
        <v>5</v>
      </c>
      <c r="CK162" s="47"/>
      <c r="CL162" s="131"/>
      <c r="CM162" s="35"/>
      <c r="CN162" s="131"/>
      <c r="CO162" s="131"/>
      <c r="CP16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2" s="66">
        <f>IFERROR(Table1[[#This Row],[Progres Keg. Umum
(%)]]*Table1[[#This Row],[Nilai RAB Jaringan
(file pa aji)]],0)</f>
        <v>0</v>
      </c>
      <c r="CR162" s="66">
        <f>IFERROR(Table1[[#This Row],[Progres MOS
(%)]]*Table1[[#This Row],[Nilai RAB Jaringan
(file pa aji)]],0)</f>
        <v>0</v>
      </c>
      <c r="CS162" s="66">
        <f>IFERROR(Table1[[#This Row],[Progres Pemasangan
(%)]]*Table1[[#This Row],[Nilai RAB Jaringan
(file pa aji)]],0)</f>
        <v>0</v>
      </c>
      <c r="CT162" s="66">
        <f>IFERROR(Table1[[#This Row],[Progres Perizinan
(%)]]*Table1[[#This Row],[Nilai RAB Jaringan
(file pa aji)]],0)</f>
        <v>0</v>
      </c>
      <c r="CU162" s="329">
        <v>5103693634</v>
      </c>
      <c r="CV162" s="329">
        <v>5103693634</v>
      </c>
      <c r="CW162" s="583">
        <v>5103693634</v>
      </c>
      <c r="CX162" s="329">
        <v>5103693634</v>
      </c>
      <c r="CY162" s="47"/>
      <c r="CZ162" s="330">
        <v>45656</v>
      </c>
      <c r="DA162" s="330">
        <v>45683</v>
      </c>
      <c r="DB162" s="331">
        <v>45632</v>
      </c>
      <c r="DC162" s="316" t="s">
        <v>1167</v>
      </c>
      <c r="DD162" s="67">
        <v>5777723608.4500008</v>
      </c>
      <c r="DE16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2" s="331">
        <v>45666</v>
      </c>
      <c r="DG162" s="316" t="s">
        <v>1168</v>
      </c>
      <c r="DH162" s="67">
        <v>5770966008</v>
      </c>
      <c r="DI16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2" s="330">
        <v>45684</v>
      </c>
      <c r="DK162" s="330">
        <v>45725</v>
      </c>
      <c r="DL162" s="331">
        <v>45707</v>
      </c>
      <c r="DM162" s="316" t="s">
        <v>1169</v>
      </c>
      <c r="DN16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2" s="331">
        <v>45769</v>
      </c>
      <c r="DP162" s="316" t="s">
        <v>1170</v>
      </c>
      <c r="DQ162" s="338" t="s">
        <v>275</v>
      </c>
      <c r="DR16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2" s="330">
        <v>45684</v>
      </c>
      <c r="DT162" s="330" t="e">
        <v>#N/A</v>
      </c>
      <c r="DU162" s="330">
        <v>45725</v>
      </c>
      <c r="DV162" s="330" t="e">
        <v>#N/A</v>
      </c>
      <c r="DW162" s="331">
        <v>45917</v>
      </c>
      <c r="DX162" s="316" t="s">
        <v>1171</v>
      </c>
      <c r="DY162" s="334"/>
      <c r="DZ162" s="334"/>
      <c r="EA16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2" s="331">
        <v>45923</v>
      </c>
      <c r="EC162" s="332"/>
      <c r="ED162" s="332"/>
      <c r="EE162" s="330" t="s">
        <v>1172</v>
      </c>
      <c r="EF162" s="35">
        <v>1</v>
      </c>
      <c r="EG162" s="337">
        <v>1</v>
      </c>
      <c r="EH162" s="316" t="str">
        <f>IF(Table1[[#This Row],[PO Material Aktual 
(%)]]&gt;=100%,"Selesai PO = 100%",IF(Table1[[#This Row],[PO Material Aktual 
(%)]]&gt;=50%,"Proses PO &gt; 100%",IF(Table1[[#This Row],[PO Material Aktual 
(%)]]&gt;0%,"Proses PO &gt; 50%",IF(Table1[[#This Row],[PO Material Aktual 
(%)]]=0,"Belum PO = 0%"))))</f>
        <v>Selesai PO = 100%</v>
      </c>
      <c r="EI16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2" s="330">
        <v>45726</v>
      </c>
      <c r="EK162" s="330" t="e">
        <v>#N/A</v>
      </c>
      <c r="EL162" s="330">
        <v>45837</v>
      </c>
      <c r="EM162" s="330" t="e">
        <v>#N/A</v>
      </c>
      <c r="EN162" s="331">
        <v>46071</v>
      </c>
      <c r="EO162" s="332"/>
      <c r="EP162" s="332"/>
      <c r="EQ162" s="87">
        <v>1</v>
      </c>
      <c r="ER162" s="87">
        <v>1</v>
      </c>
      <c r="ES162" s="316" t="str">
        <f>IF(Table1[[#This Row],[Progres MOS]]&gt;=100%,"Selesai MOS = 100%",IF(Table1[[#This Row],[Progres MOS]]&gt;=50%,"Proses MOS &gt; 100%",IF(Table1[[#This Row],[Progres MOS]]&gt;0%,"Proses MOS &gt; 50%",IF(Table1[[#This Row],[Progres MOS]]=0,"Belum MOS = 0%"))))</f>
        <v>Selesai MOS = 100%</v>
      </c>
      <c r="ET16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2" s="47"/>
      <c r="EV162" s="330">
        <v>45684</v>
      </c>
      <c r="EW162" s="330" t="e">
        <v>#N/A</v>
      </c>
      <c r="EX162" s="330">
        <v>45774</v>
      </c>
      <c r="EY162" s="330" t="e">
        <v>#N/A</v>
      </c>
      <c r="EZ162" s="352" t="s">
        <v>298</v>
      </c>
      <c r="FA162" s="352" t="s">
        <v>259</v>
      </c>
      <c r="FB162" s="331" t="s">
        <v>260</v>
      </c>
      <c r="FC162" s="330">
        <v>45783</v>
      </c>
      <c r="FD162" s="331" t="s">
        <v>260</v>
      </c>
      <c r="FE162" s="331">
        <v>45880</v>
      </c>
      <c r="FF162" s="331">
        <v>45944</v>
      </c>
      <c r="FG162" s="331" t="s">
        <v>260</v>
      </c>
      <c r="FH162" s="331" t="s">
        <v>260</v>
      </c>
      <c r="FI162" s="331">
        <v>46013</v>
      </c>
      <c r="FJ162" s="331" t="s">
        <v>260</v>
      </c>
      <c r="FK162" s="331">
        <v>46094</v>
      </c>
      <c r="FL162" s="352" t="s">
        <v>298</v>
      </c>
      <c r="FM162" s="352">
        <v>45783</v>
      </c>
      <c r="FN162" s="338">
        <f>IF(Table1[[#This Row],[Tanggal Pengajuan Dokumen]]="","",Table1[[#This Row],[PLAN PERMIT
start]]-Table1[[#This Row],[Tanggal Pengajuan Dokumen]])</f>
        <v>-99</v>
      </c>
      <c r="FO162" s="437">
        <v>46086</v>
      </c>
      <c r="FP162" s="316"/>
      <c r="FQ162" s="338"/>
      <c r="FR162" s="338"/>
      <c r="FS162" s="338" t="str">
        <f t="shared" si="9"/>
        <v>Sudah Terbit</v>
      </c>
      <c r="FT16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2" s="344">
        <f ca="1">IF(Table1[[#This Row],[Status Izin]]="Selesai",Table1[[#This Row],[PLAN PERMIT
finish]]-Table1[[#This Row],[Tanggal Terbit/ Target Izin Terbit]],ROUNDUP(Table1[[#This Row],[PLAN PERMIT
finish]]-NOW(),0))</f>
        <v>-312</v>
      </c>
      <c r="FV16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2" s="344"/>
      <c r="FX162" s="47"/>
      <c r="FY162" s="340"/>
      <c r="FZ162" s="341"/>
      <c r="GA16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2" s="330">
        <v>45760</v>
      </c>
      <c r="GC162" s="352">
        <v>45777</v>
      </c>
      <c r="GD16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2" s="330">
        <v>45760</v>
      </c>
      <c r="GF162" s="352">
        <v>45768</v>
      </c>
      <c r="GG16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2" s="330">
        <v>45754</v>
      </c>
      <c r="GI162" s="330">
        <v>45760</v>
      </c>
      <c r="GJ162" s="352">
        <v>45791</v>
      </c>
      <c r="GK16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2" s="330">
        <v>45775</v>
      </c>
      <c r="GM162" s="330" t="e">
        <v>#N/A</v>
      </c>
      <c r="GN162" s="330">
        <v>45893</v>
      </c>
      <c r="GO162" s="330" t="e">
        <v>#N/A</v>
      </c>
      <c r="GP162" s="316"/>
      <c r="GQ16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2" s="330" t="s">
        <v>261</v>
      </c>
      <c r="GS162" s="330" t="s">
        <v>261</v>
      </c>
      <c r="GT162" s="354">
        <v>45929</v>
      </c>
      <c r="GU162" s="344" t="str">
        <f>IF(Table1[[#This Row],[Hydro Tes Actual
(tanggal)]]&lt;&gt;"","Sudah","Belum")</f>
        <v>Sudah</v>
      </c>
      <c r="GV162" s="330" t="s">
        <v>261</v>
      </c>
      <c r="GW162" s="330" t="s">
        <v>261</v>
      </c>
      <c r="GX162" s="331" t="s">
        <v>1173</v>
      </c>
      <c r="GY162" s="344" t="str">
        <f>IF(Table1[[#This Row],[Interkoneksi Actual
(tanggal)]]&lt;&gt;"","Sudah","Belum")</f>
        <v>Sudah</v>
      </c>
      <c r="GZ162" s="330" t="s">
        <v>261</v>
      </c>
      <c r="HA162" s="330" t="s">
        <v>261</v>
      </c>
      <c r="HB162" s="331">
        <v>45946</v>
      </c>
      <c r="HC162" s="344" t="str">
        <f>IF(Table1[[#This Row],[Flushing Actual
(tanggal)]]&lt;&gt;"","Sudah","Belum")</f>
        <v>Sudah</v>
      </c>
      <c r="HD162" s="330">
        <v>45875</v>
      </c>
      <c r="HE162" s="330" t="e">
        <v>#N/A</v>
      </c>
      <c r="HF162" s="330">
        <v>45884</v>
      </c>
      <c r="HG162" s="331">
        <v>45959</v>
      </c>
      <c r="HH16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2" s="330" t="s">
        <v>261</v>
      </c>
      <c r="HJ162" s="330" t="s">
        <v>261</v>
      </c>
      <c r="HK162" s="331"/>
      <c r="HL162" s="316"/>
      <c r="HM162" s="330">
        <v>45896</v>
      </c>
      <c r="HN162" s="330">
        <v>45896</v>
      </c>
      <c r="HO162" s="330" t="e">
        <v>#N/A</v>
      </c>
      <c r="HP162" s="331">
        <v>45961</v>
      </c>
      <c r="HQ16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62" s="330">
        <v>45912</v>
      </c>
      <c r="HS162" s="330"/>
      <c r="HT162" s="330">
        <v>45912</v>
      </c>
      <c r="HU162" s="527"/>
      <c r="HV162" s="331">
        <v>46000</v>
      </c>
      <c r="HW16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62" s="47"/>
      <c r="HY162" s="352"/>
      <c r="HZ162" s="352"/>
      <c r="IB162" s="618">
        <f>IFERROR(ROUND((Table1[[#This Row],[PLAN TC
finish]]-Table1[[#This Row],[PLAN MC-0
start]])/30,2),"")</f>
        <v>4.33</v>
      </c>
      <c r="IC162">
        <f>DATEDIF(Table1[[#This Row],[PLAN MC-0
start]],Table1[[#This Row],[PLAN TC
finish]],"m")</f>
        <v>4</v>
      </c>
    </row>
    <row r="163" spans="1:237" s="4" customFormat="1" ht="15" hidden="1" customHeight="1" x14ac:dyDescent="0.2">
      <c r="B163" s="311">
        <f>SUBTOTAL(3,$D$5:D163)</f>
        <v>84</v>
      </c>
      <c r="C163" s="348">
        <v>159</v>
      </c>
      <c r="D163" s="338" t="s">
        <v>244</v>
      </c>
      <c r="E163" s="338" t="s">
        <v>1174</v>
      </c>
      <c r="F163" s="338" t="s">
        <v>1175</v>
      </c>
      <c r="G163" s="349">
        <v>45935</v>
      </c>
      <c r="H163" s="314" t="s">
        <v>247</v>
      </c>
      <c r="I163" s="315" t="s">
        <v>325</v>
      </c>
      <c r="J163" s="315"/>
      <c r="K163" s="338" t="s">
        <v>1165</v>
      </c>
      <c r="L163" s="316" t="s">
        <v>326</v>
      </c>
      <c r="M163" s="316" t="s">
        <v>269</v>
      </c>
      <c r="N163" s="107">
        <v>1</v>
      </c>
      <c r="O163" s="131" t="s">
        <v>327</v>
      </c>
      <c r="P16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3" s="35" t="e">
        <v>#N/A</v>
      </c>
      <c r="S163" s="35">
        <v>1</v>
      </c>
      <c r="T163" s="35">
        <f>Table1[[#This Row],[Progres Total Aktual
(%)]]</f>
        <v>1</v>
      </c>
      <c r="U163" s="124">
        <f>Table1[[#This Row],[Progres Aktual
(%)]]-Table1[[#This Row],[Target Progres
(%)]]</f>
        <v>0</v>
      </c>
      <c r="V163" s="350">
        <f>Table1[[#This Row],["Volume
BA MC-0"]]</f>
        <v>0</v>
      </c>
      <c r="W163" s="351">
        <f>Table1[[#This Row],[Total Panjang Pipa Aktual
(Sum-&gt;)3]]</f>
        <v>1</v>
      </c>
      <c r="X163" s="47"/>
      <c r="Y163" s="67" t="s">
        <v>1176</v>
      </c>
      <c r="Z163" s="67">
        <v>14593095668</v>
      </c>
      <c r="AA163" s="67">
        <f>Table1[[#This Row],[Nilai RAB Jaringan
(file pa aji)]]</f>
        <v>14593095668</v>
      </c>
      <c r="AB163" s="320">
        <f>SUM(Table1[[#This Row],[RAB Kegiatan Umum]:[RAB Perizinan]])</f>
        <v>0</v>
      </c>
      <c r="AC163" s="320"/>
      <c r="AD163" s="320"/>
      <c r="AE163" s="320"/>
      <c r="AF163" s="320"/>
      <c r="AG163" s="436">
        <v>0</v>
      </c>
      <c r="AH163" s="35" t="e">
        <f>SUM(Table1[[#This Row],[Bobot Keg Umum]:[Bobot Perizinan]])</f>
        <v>#DIV/0!</v>
      </c>
      <c r="AI163" s="35" t="e">
        <f>Table1[[#This Row],[RAB Kegiatan Umum]]/Table1[[#This Row],[Nilai RAB Jaringan
(Exclude Ppn)]]</f>
        <v>#DIV/0!</v>
      </c>
      <c r="AJ163" s="35" t="e">
        <f>Table1[[#This Row],[RAB Pemasangan]]/Table1[[#This Row],[Nilai RAB Jaringan
(Exclude Ppn)]]</f>
        <v>#DIV/0!</v>
      </c>
      <c r="AK163" s="35" t="e">
        <f>Table1[[#This Row],[RAB Pengadaan]]/Table1[[#This Row],[Nilai RAB Jaringan
(Exclude Ppn)]]</f>
        <v>#DIV/0!</v>
      </c>
      <c r="AL163" s="35" t="e">
        <f>Table1[[#This Row],[RAB Perizinan]]/Table1[[#This Row],[Nilai RAB Jaringan
(Exclude Ppn)]]</f>
        <v>#DIV/0!</v>
      </c>
      <c r="AM163" s="47"/>
      <c r="AN163" s="285">
        <v>0</v>
      </c>
      <c r="AO163" s="285">
        <f>SUM(Table1[[#This Row],[Pipa 63 mm]:[Pipa 1,800 mm]])</f>
        <v>0</v>
      </c>
      <c r="AP163" s="285"/>
      <c r="AQ163" s="285"/>
      <c r="AR163" s="285"/>
      <c r="AS163" s="285"/>
      <c r="AT163" s="285"/>
      <c r="AU163" s="285"/>
      <c r="AV163" s="285"/>
      <c r="AW163" s="285"/>
      <c r="AX163" s="285"/>
      <c r="AY163" s="285"/>
      <c r="AZ163" s="285"/>
      <c r="BA163" s="285"/>
      <c r="BB163" s="285"/>
      <c r="BC163" s="285"/>
      <c r="BD163" s="285"/>
      <c r="BE163" s="285"/>
      <c r="BF163" s="285"/>
      <c r="BG163" s="285"/>
      <c r="BH163" s="285"/>
      <c r="BI163" s="285"/>
      <c r="BJ163" s="36">
        <v>1</v>
      </c>
      <c r="BK163" s="32"/>
      <c r="BL163" s="32"/>
      <c r="BM163" s="32"/>
      <c r="BN163" s="32"/>
      <c r="BO163" s="32"/>
      <c r="BP163" s="32"/>
      <c r="BQ163" s="32"/>
      <c r="BR163" s="32"/>
      <c r="BS163" s="32"/>
      <c r="BT163" s="32"/>
      <c r="BU163" s="32"/>
      <c r="BV163" s="32"/>
      <c r="BW163" s="32"/>
      <c r="BX163" s="32"/>
      <c r="BY163" s="32"/>
      <c r="BZ163" s="32"/>
      <c r="CA163" s="32"/>
      <c r="CB163" s="32"/>
      <c r="CC163" s="32"/>
      <c r="CD163" s="32"/>
      <c r="CE163" s="32">
        <v>0</v>
      </c>
      <c r="CF163" s="32">
        <v>0</v>
      </c>
      <c r="CG163" s="32">
        <v>0</v>
      </c>
      <c r="CH163" s="32">
        <v>0</v>
      </c>
      <c r="CI163" s="32">
        <f t="shared" si="10"/>
        <v>0</v>
      </c>
      <c r="CJ163" s="65">
        <f>IF((Table1[[#This Row],["Volume
BA MC-0"]]-Table1[[#This Row],[Total Panjang Pipa Aktual
(Sum-&gt;)3]]-Table1[[#This Row],[Total Volume
tidak dapat dipasang]])&gt;=0,Table1[[#This Row],["Volume
BA MC-0"]]-Table1[[#This Row],[Total Panjang Pipa Aktual
(Sum-&gt;)3]]-Table1[[#This Row],[Total Volume
tidak dapat dipasang]],0)</f>
        <v>0</v>
      </c>
      <c r="CK163" s="47"/>
      <c r="CL163" s="131"/>
      <c r="CM163" s="35"/>
      <c r="CN163" s="131"/>
      <c r="CO163" s="131"/>
      <c r="CP16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3" s="66">
        <f>IFERROR(Table1[[#This Row],[Progres Keg. Umum
(%)]]*Table1[[#This Row],[Nilai RAB Jaringan
(file pa aji)]],0)</f>
        <v>0</v>
      </c>
      <c r="CR163" s="66">
        <f>IFERROR(Table1[[#This Row],[Progres MOS
(%)]]*Table1[[#This Row],[Nilai RAB Jaringan
(file pa aji)]],0)</f>
        <v>0</v>
      </c>
      <c r="CS163" s="66">
        <f>IFERROR(Table1[[#This Row],[Progres Pemasangan
(%)]]*Table1[[#This Row],[Nilai RAB Jaringan
(file pa aji)]],0)</f>
        <v>0</v>
      </c>
      <c r="CT163" s="66">
        <f>IFERROR(Table1[[#This Row],[Progres Perizinan
(%)]]*Table1[[#This Row],[Nilai RAB Jaringan
(file pa aji)]],0)</f>
        <v>0</v>
      </c>
      <c r="CU163" s="329">
        <v>24521844475</v>
      </c>
      <c r="CV163" s="329">
        <v>24521844475</v>
      </c>
      <c r="CW163" s="583">
        <v>24521844475</v>
      </c>
      <c r="CX163" s="329">
        <v>24521844475</v>
      </c>
      <c r="CY163" s="47"/>
      <c r="CZ163" s="330">
        <v>45348</v>
      </c>
      <c r="DA163" s="330">
        <v>45382</v>
      </c>
      <c r="DB163" s="331">
        <v>45245</v>
      </c>
      <c r="DC163" s="316" t="s">
        <v>1177</v>
      </c>
      <c r="DD163" s="67">
        <v>5946912057</v>
      </c>
      <c r="DE16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3" s="331">
        <v>45254</v>
      </c>
      <c r="DG163" s="316" t="s">
        <v>1178</v>
      </c>
      <c r="DH163" s="67">
        <v>5946912057</v>
      </c>
      <c r="DI16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3" s="330">
        <v>45383</v>
      </c>
      <c r="DK163" s="330">
        <v>45536</v>
      </c>
      <c r="DL163" s="331">
        <v>45454</v>
      </c>
      <c r="DM163" s="357" t="s">
        <v>1179</v>
      </c>
      <c r="DN16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3" s="331">
        <v>45443</v>
      </c>
      <c r="DP163" s="316" t="s">
        <v>1180</v>
      </c>
      <c r="DQ163" s="338" t="s">
        <v>1181</v>
      </c>
      <c r="DR16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63" s="330">
        <v>45383</v>
      </c>
      <c r="DT163" s="330" t="e">
        <v>#N/A</v>
      </c>
      <c r="DU163" s="330">
        <v>45431</v>
      </c>
      <c r="DV163" s="330" t="e">
        <v>#N/A</v>
      </c>
      <c r="DW163" s="331">
        <v>45846</v>
      </c>
      <c r="DX163" s="316" t="s">
        <v>1182</v>
      </c>
      <c r="DY163" s="334"/>
      <c r="DZ163" s="334"/>
      <c r="EA16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3" s="331">
        <v>45873</v>
      </c>
      <c r="EC163" s="332"/>
      <c r="ED163" s="332"/>
      <c r="EE163" s="330" t="s">
        <v>1183</v>
      </c>
      <c r="EF163" s="35">
        <v>1</v>
      </c>
      <c r="EG163" s="337">
        <v>1</v>
      </c>
      <c r="EH163" s="316" t="str">
        <f>IF(Table1[[#This Row],[PO Material Aktual 
(%)]]&gt;=100%,"Selesai PO = 100%",IF(Table1[[#This Row],[PO Material Aktual 
(%)]]&gt;=50%,"Proses PO &gt; 100%",IF(Table1[[#This Row],[PO Material Aktual 
(%)]]&gt;0%,"Proses PO &gt; 50%",IF(Table1[[#This Row],[PO Material Aktual 
(%)]]=0,"Belum PO = 0%"))))</f>
        <v>Selesai PO = 100%</v>
      </c>
      <c r="EI16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3" s="330">
        <v>45432</v>
      </c>
      <c r="EK163" s="330" t="e">
        <v>#N/A</v>
      </c>
      <c r="EL163" s="330">
        <v>45620</v>
      </c>
      <c r="EM163" s="330" t="e">
        <v>#N/A</v>
      </c>
      <c r="EN163" s="331">
        <v>46140</v>
      </c>
      <c r="EO163" s="332"/>
      <c r="EP163" s="332"/>
      <c r="EQ163" s="87">
        <v>1</v>
      </c>
      <c r="ER163" s="87">
        <v>1</v>
      </c>
      <c r="ES163" s="316" t="str">
        <f>IF(Table1[[#This Row],[Progres MOS]]&gt;=100%,"Selesai MOS = 100%",IF(Table1[[#This Row],[Progres MOS]]&gt;=50%,"Proses MOS &gt; 100%",IF(Table1[[#This Row],[Progres MOS]]&gt;0%,"Proses MOS &gt; 50%",IF(Table1[[#This Row],[Progres MOS]]=0,"Belum MOS = 0%"))))</f>
        <v>Selesai MOS = 100%</v>
      </c>
      <c r="ET16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3" s="47"/>
      <c r="EV163" s="330">
        <v>45383</v>
      </c>
      <c r="EW163" s="330" t="e">
        <v>#N/A</v>
      </c>
      <c r="EX163" s="330">
        <v>45564</v>
      </c>
      <c r="EY163" s="330" t="e">
        <v>#N/A</v>
      </c>
      <c r="EZ163" s="352" t="s">
        <v>259</v>
      </c>
      <c r="FA163" s="384"/>
      <c r="FB163" s="330"/>
      <c r="FC163" s="330" t="s">
        <v>282</v>
      </c>
      <c r="FD163" s="330" t="s">
        <v>282</v>
      </c>
      <c r="FE163" s="330" t="s">
        <v>282</v>
      </c>
      <c r="FF163" s="330" t="s">
        <v>282</v>
      </c>
      <c r="FG163" s="330" t="s">
        <v>282</v>
      </c>
      <c r="FH163" s="330" t="s">
        <v>282</v>
      </c>
      <c r="FI163" s="330" t="s">
        <v>282</v>
      </c>
      <c r="FJ163" s="330" t="s">
        <v>282</v>
      </c>
      <c r="FK163" s="330" t="s">
        <v>283</v>
      </c>
      <c r="FL163" s="336" t="str">
        <f>Table1[[#This Row],[IPPJU]]</f>
        <v>10.Izin Terbit</v>
      </c>
      <c r="FM163" s="336"/>
      <c r="FN163" s="314" t="str">
        <f>IF(Table1[[#This Row],[Tanggal Pengajuan Dokumen]]="","",Table1[[#This Row],[PLAN PERMIT
start]]-Table1[[#This Row],[Tanggal Pengajuan Dokumen]])</f>
        <v/>
      </c>
      <c r="FO163" s="437">
        <v>45443</v>
      </c>
      <c r="FP163" s="316"/>
      <c r="FQ163" s="338"/>
      <c r="FR163" s="338"/>
      <c r="FS163" s="338" t="str">
        <f t="shared" si="9"/>
        <v>Sudah Terbit</v>
      </c>
      <c r="FT16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3" s="344">
        <f ca="1">IF(Table1[[#This Row],[Status Izin]]="Selesai",Table1[[#This Row],[PLAN PERMIT
finish]]-Table1[[#This Row],[Tanggal Terbit/ Target Izin Terbit]],ROUNDUP(Table1[[#This Row],[PLAN PERMIT
finish]]-NOW(),0))</f>
        <v>121</v>
      </c>
      <c r="FV16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3" s="344"/>
      <c r="FX163" s="47"/>
      <c r="FY163" s="340"/>
      <c r="FZ163" s="341"/>
      <c r="GA16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3" s="330">
        <v>45538</v>
      </c>
      <c r="GC163" s="352">
        <v>45387</v>
      </c>
      <c r="GD16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3" s="330">
        <v>45545</v>
      </c>
      <c r="GF163" s="352">
        <v>45553</v>
      </c>
      <c r="GG16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3" s="330">
        <v>45551</v>
      </c>
      <c r="GI163" s="330">
        <v>45557</v>
      </c>
      <c r="GJ163" s="352">
        <v>45737</v>
      </c>
      <c r="GK16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3" s="330">
        <v>45565</v>
      </c>
      <c r="GM163" s="330" t="e">
        <v>#N/A</v>
      </c>
      <c r="GN163" s="330">
        <v>45753</v>
      </c>
      <c r="GO163" s="330" t="e">
        <v>#N/A</v>
      </c>
      <c r="GP163" s="316"/>
      <c r="GQ16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3" s="330" t="s">
        <v>261</v>
      </c>
      <c r="GS163" s="330" t="s">
        <v>261</v>
      </c>
      <c r="GT163" s="354"/>
      <c r="GU163" s="344" t="str">
        <f>IF(Table1[[#This Row],[Hydro Tes Actual
(tanggal)]]&lt;&gt;"","Sudah","Belum")</f>
        <v>Belum</v>
      </c>
      <c r="GV163" s="330" t="s">
        <v>261</v>
      </c>
      <c r="GW163" s="330" t="s">
        <v>261</v>
      </c>
      <c r="GX163" s="331"/>
      <c r="GY163" s="344" t="str">
        <f>IF(Table1[[#This Row],[Interkoneksi Actual
(tanggal)]]&lt;&gt;"","Sudah","Belum")</f>
        <v>Belum</v>
      </c>
      <c r="GZ163" s="330" t="s">
        <v>261</v>
      </c>
      <c r="HA163" s="330" t="s">
        <v>261</v>
      </c>
      <c r="HB163" s="331"/>
      <c r="HC163" s="344" t="str">
        <f>IF(Table1[[#This Row],[Flushing Actual
(tanggal)]]&lt;&gt;"","Sudah","Belum")</f>
        <v>Belum</v>
      </c>
      <c r="HD163" s="330">
        <v>45726</v>
      </c>
      <c r="HE163" s="330" t="e">
        <v>#N/A</v>
      </c>
      <c r="HF163" s="330">
        <v>45746</v>
      </c>
      <c r="HG163" s="331">
        <v>45909</v>
      </c>
      <c r="HH16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3" s="330" t="s">
        <v>261</v>
      </c>
      <c r="HJ163" s="330" t="s">
        <v>261</v>
      </c>
      <c r="HK163" s="331"/>
      <c r="HL163" s="316"/>
      <c r="HM163" s="330">
        <v>45765</v>
      </c>
      <c r="HN163" s="330">
        <v>45765</v>
      </c>
      <c r="HO163" s="330" t="e">
        <v>#N/A</v>
      </c>
      <c r="HP163" s="331">
        <v>45934</v>
      </c>
      <c r="HQ16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63" s="330">
        <v>45772</v>
      </c>
      <c r="HS163" s="330"/>
      <c r="HT163" s="330">
        <v>45772</v>
      </c>
      <c r="HU163" s="527"/>
      <c r="HV163" s="331">
        <v>45934</v>
      </c>
      <c r="HW16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63" s="47"/>
      <c r="HY163" s="352"/>
      <c r="HZ163" s="352"/>
      <c r="IB163" s="618">
        <f>IFERROR(ROUND((Table1[[#This Row],[PLAN TC
finish]]-Table1[[#This Row],[PLAN MC-0
start]])/30,2),"")</f>
        <v>6.5</v>
      </c>
      <c r="IC163">
        <f>DATEDIF(Table1[[#This Row],[PLAN MC-0
start]],Table1[[#This Row],[PLAN TC
finish]],"m")</f>
        <v>6</v>
      </c>
    </row>
    <row r="164" spans="1:237" s="4" customFormat="1" ht="15" hidden="1" customHeight="1" x14ac:dyDescent="0.2">
      <c r="B164" s="311">
        <f>SUBTOTAL(3,$D$5:D164)</f>
        <v>84</v>
      </c>
      <c r="C164" s="348">
        <v>160</v>
      </c>
      <c r="D164" s="338" t="s">
        <v>244</v>
      </c>
      <c r="E164" s="338" t="s">
        <v>1184</v>
      </c>
      <c r="F164" s="338" t="s">
        <v>1185</v>
      </c>
      <c r="G164" s="349">
        <v>45935</v>
      </c>
      <c r="H164" s="314" t="s">
        <v>247</v>
      </c>
      <c r="I164" s="315" t="s">
        <v>325</v>
      </c>
      <c r="J164" s="315"/>
      <c r="K164" s="338" t="s">
        <v>1165</v>
      </c>
      <c r="L164" s="316" t="s">
        <v>326</v>
      </c>
      <c r="M164" s="316" t="s">
        <v>269</v>
      </c>
      <c r="N164" s="107">
        <v>1</v>
      </c>
      <c r="O164" s="131" t="s">
        <v>327</v>
      </c>
      <c r="P16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4" s="35" t="e">
        <v>#N/A</v>
      </c>
      <c r="S164" s="35">
        <v>1</v>
      </c>
      <c r="T164" s="35">
        <f>Table1[[#This Row],[Progres Total Aktual
(%)]]</f>
        <v>1</v>
      </c>
      <c r="U164" s="124">
        <f>Table1[[#This Row],[Progres Aktual
(%)]]-Table1[[#This Row],[Target Progres
(%)]]</f>
        <v>0</v>
      </c>
      <c r="V164" s="350">
        <f>Table1[[#This Row],["Volume
BA MC-0"]]</f>
        <v>0</v>
      </c>
      <c r="W164" s="351">
        <f>Table1[[#This Row],[Total Panjang Pipa Aktual
(Sum-&gt;)3]]</f>
        <v>1</v>
      </c>
      <c r="X164" s="47"/>
      <c r="Y164" s="67" t="s">
        <v>1176</v>
      </c>
      <c r="Z164" s="67">
        <v>8743980378</v>
      </c>
      <c r="AA164" s="67">
        <f>Table1[[#This Row],[Nilai RAB Jaringan
(file pa aji)]]</f>
        <v>8743980378</v>
      </c>
      <c r="AB164" s="320">
        <f>SUM(Table1[[#This Row],[RAB Kegiatan Umum]:[RAB Perizinan]])</f>
        <v>0</v>
      </c>
      <c r="AC164" s="320"/>
      <c r="AD164" s="320"/>
      <c r="AE164" s="320"/>
      <c r="AF164" s="320"/>
      <c r="AG164" s="436">
        <v>0</v>
      </c>
      <c r="AH164" s="35" t="e">
        <f>SUM(Table1[[#This Row],[Bobot Keg Umum]:[Bobot Perizinan]])</f>
        <v>#DIV/0!</v>
      </c>
      <c r="AI164" s="35" t="e">
        <f>Table1[[#This Row],[RAB Kegiatan Umum]]/Table1[[#This Row],[Nilai RAB Jaringan
(Exclude Ppn)]]</f>
        <v>#DIV/0!</v>
      </c>
      <c r="AJ164" s="35" t="e">
        <f>Table1[[#This Row],[RAB Pemasangan]]/Table1[[#This Row],[Nilai RAB Jaringan
(Exclude Ppn)]]</f>
        <v>#DIV/0!</v>
      </c>
      <c r="AK164" s="35" t="e">
        <f>Table1[[#This Row],[RAB Pengadaan]]/Table1[[#This Row],[Nilai RAB Jaringan
(Exclude Ppn)]]</f>
        <v>#DIV/0!</v>
      </c>
      <c r="AL164" s="35" t="e">
        <f>Table1[[#This Row],[RAB Perizinan]]/Table1[[#This Row],[Nilai RAB Jaringan
(Exclude Ppn)]]</f>
        <v>#DIV/0!</v>
      </c>
      <c r="AM164" s="47"/>
      <c r="AN164" s="285">
        <v>0</v>
      </c>
      <c r="AO164" s="285">
        <f>SUM(Table1[[#This Row],[Pipa 63 mm]:[Pipa 1,800 mm]])</f>
        <v>0</v>
      </c>
      <c r="AP164" s="285"/>
      <c r="AQ164" s="285"/>
      <c r="AR164" s="285"/>
      <c r="AS164" s="285"/>
      <c r="AT164" s="285"/>
      <c r="AU164" s="285"/>
      <c r="AV164" s="285"/>
      <c r="AW164" s="285"/>
      <c r="AX164" s="285"/>
      <c r="AY164" s="285"/>
      <c r="AZ164" s="285"/>
      <c r="BA164" s="285"/>
      <c r="BB164" s="285"/>
      <c r="BC164" s="285"/>
      <c r="BD164" s="285"/>
      <c r="BE164" s="285"/>
      <c r="BF164" s="285"/>
      <c r="BG164" s="285"/>
      <c r="BH164" s="285"/>
      <c r="BI164" s="285"/>
      <c r="BJ164" s="36">
        <v>1</v>
      </c>
      <c r="BK164" s="32"/>
      <c r="BL164" s="32"/>
      <c r="BM164" s="32"/>
      <c r="BN164" s="32"/>
      <c r="BO164" s="32"/>
      <c r="BP164" s="32"/>
      <c r="BQ164" s="32"/>
      <c r="BR164" s="32"/>
      <c r="BS164" s="32"/>
      <c r="BT164" s="32"/>
      <c r="BU164" s="32"/>
      <c r="BV164" s="32"/>
      <c r="BW164" s="32"/>
      <c r="BX164" s="32"/>
      <c r="BY164" s="32"/>
      <c r="BZ164" s="32"/>
      <c r="CA164" s="32"/>
      <c r="CB164" s="32"/>
      <c r="CC164" s="32"/>
      <c r="CD164" s="32"/>
      <c r="CE164" s="32">
        <v>0</v>
      </c>
      <c r="CF164" s="32">
        <v>0</v>
      </c>
      <c r="CG164" s="32">
        <v>0</v>
      </c>
      <c r="CH164" s="32">
        <v>0</v>
      </c>
      <c r="CI164" s="32">
        <f t="shared" si="10"/>
        <v>0</v>
      </c>
      <c r="CJ164" s="65">
        <f>IF((Table1[[#This Row],["Volume
BA MC-0"]]-Table1[[#This Row],[Total Panjang Pipa Aktual
(Sum-&gt;)3]]-Table1[[#This Row],[Total Volume
tidak dapat dipasang]])&gt;=0,Table1[[#This Row],["Volume
BA MC-0"]]-Table1[[#This Row],[Total Panjang Pipa Aktual
(Sum-&gt;)3]]-Table1[[#This Row],[Total Volume
tidak dapat dipasang]],0)</f>
        <v>0</v>
      </c>
      <c r="CK164" s="47"/>
      <c r="CL164" s="131"/>
      <c r="CM164" s="35"/>
      <c r="CN164" s="131"/>
      <c r="CO164" s="131"/>
      <c r="CP16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4" s="66">
        <f>IFERROR(Table1[[#This Row],[Progres Keg. Umum
(%)]]*Table1[[#This Row],[Nilai RAB Jaringan
(file pa aji)]],0)</f>
        <v>0</v>
      </c>
      <c r="CR164" s="66">
        <f>IFERROR(Table1[[#This Row],[Progres MOS
(%)]]*Table1[[#This Row],[Nilai RAB Jaringan
(file pa aji)]],0)</f>
        <v>0</v>
      </c>
      <c r="CS164" s="66">
        <f>IFERROR(Table1[[#This Row],[Progres Pemasangan
(%)]]*Table1[[#This Row],[Nilai RAB Jaringan
(file pa aji)]],0)</f>
        <v>0</v>
      </c>
      <c r="CT164" s="66">
        <f>IFERROR(Table1[[#This Row],[Progres Perizinan
(%)]]*Table1[[#This Row],[Nilai RAB Jaringan
(file pa aji)]],0)</f>
        <v>0</v>
      </c>
      <c r="CU164" s="329">
        <v>8327965574</v>
      </c>
      <c r="CV164" s="329">
        <v>8327965574</v>
      </c>
      <c r="CW164" s="583">
        <v>8327965574</v>
      </c>
      <c r="CX164" s="329">
        <v>8327965574</v>
      </c>
      <c r="CY164" s="47"/>
      <c r="CZ164" s="330">
        <v>45348</v>
      </c>
      <c r="DA164" s="330">
        <v>45382</v>
      </c>
      <c r="DB164" s="331">
        <v>45274</v>
      </c>
      <c r="DC164" s="316" t="s">
        <v>1186</v>
      </c>
      <c r="DD164" s="67">
        <v>8743980378</v>
      </c>
      <c r="DE16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4" s="331">
        <v>45281</v>
      </c>
      <c r="DG164" s="316" t="s">
        <v>1187</v>
      </c>
      <c r="DH164" s="67">
        <v>8743980378</v>
      </c>
      <c r="DI16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4" s="330">
        <v>45383</v>
      </c>
      <c r="DK164" s="330">
        <v>45536</v>
      </c>
      <c r="DL164" s="331">
        <v>45922</v>
      </c>
      <c r="DM164" s="316" t="s">
        <v>1188</v>
      </c>
      <c r="DN16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64" s="331">
        <v>45958</v>
      </c>
      <c r="DP164" s="316" t="s">
        <v>1189</v>
      </c>
      <c r="DQ164" s="338" t="s">
        <v>1190</v>
      </c>
      <c r="DR16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4" s="330">
        <v>45383</v>
      </c>
      <c r="DT164" s="330" t="e">
        <v>#N/A</v>
      </c>
      <c r="DU164" s="330">
        <v>45431</v>
      </c>
      <c r="DV164" s="330" t="e">
        <v>#N/A</v>
      </c>
      <c r="DW164" s="331">
        <v>45709</v>
      </c>
      <c r="DX164" s="316" t="s">
        <v>1191</v>
      </c>
      <c r="DY164" s="334"/>
      <c r="DZ164" s="334"/>
      <c r="EA16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4" s="331">
        <v>45721</v>
      </c>
      <c r="EC164" s="332"/>
      <c r="ED164" s="332"/>
      <c r="EE164" s="330" t="s">
        <v>1192</v>
      </c>
      <c r="EF164" s="35">
        <v>1</v>
      </c>
      <c r="EG164" s="337">
        <v>1</v>
      </c>
      <c r="EH164" s="316" t="str">
        <f>IF(Table1[[#This Row],[PO Material Aktual 
(%)]]&gt;=100%,"Selesai PO = 100%",IF(Table1[[#This Row],[PO Material Aktual 
(%)]]&gt;=50%,"Proses PO &gt; 100%",IF(Table1[[#This Row],[PO Material Aktual 
(%)]]&gt;0%,"Proses PO &gt; 50%",IF(Table1[[#This Row],[PO Material Aktual 
(%)]]=0,"Belum PO = 0%"))))</f>
        <v>Selesai PO = 100%</v>
      </c>
      <c r="EI16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4" s="330">
        <v>45432</v>
      </c>
      <c r="EK164" s="330" t="e">
        <v>#N/A</v>
      </c>
      <c r="EL164" s="330">
        <v>45620</v>
      </c>
      <c r="EM164" s="330" t="e">
        <v>#N/A</v>
      </c>
      <c r="EN164" s="331">
        <v>46066</v>
      </c>
      <c r="EO164" s="332"/>
      <c r="EP164" s="332"/>
      <c r="EQ164" s="87">
        <v>1</v>
      </c>
      <c r="ER164" s="87">
        <v>1</v>
      </c>
      <c r="ES164" s="316" t="str">
        <f>IF(Table1[[#This Row],[Progres MOS]]&gt;=100%,"Selesai MOS = 100%",IF(Table1[[#This Row],[Progres MOS]]&gt;=50%,"Proses MOS &gt; 100%",IF(Table1[[#This Row],[Progres MOS]]&gt;0%,"Proses MOS &gt; 50%",IF(Table1[[#This Row],[Progres MOS]]=0,"Belum MOS = 0%"))))</f>
        <v>Selesai MOS = 100%</v>
      </c>
      <c r="ET16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4" s="47"/>
      <c r="EV164" s="330">
        <v>45383</v>
      </c>
      <c r="EW164" s="330" t="e">
        <v>#N/A</v>
      </c>
      <c r="EX164" s="330">
        <v>45564</v>
      </c>
      <c r="EY164" s="330" t="e">
        <v>#N/A</v>
      </c>
      <c r="EZ164" s="352" t="s">
        <v>259</v>
      </c>
      <c r="FA164" s="384"/>
      <c r="FB164" s="330"/>
      <c r="FC164" s="330" t="s">
        <v>282</v>
      </c>
      <c r="FD164" s="330" t="s">
        <v>282</v>
      </c>
      <c r="FE164" s="330" t="s">
        <v>282</v>
      </c>
      <c r="FF164" s="330" t="s">
        <v>282</v>
      </c>
      <c r="FG164" s="330" t="s">
        <v>282</v>
      </c>
      <c r="FH164" s="330" t="s">
        <v>282</v>
      </c>
      <c r="FI164" s="330" t="s">
        <v>282</v>
      </c>
      <c r="FJ164" s="330" t="s">
        <v>282</v>
      </c>
      <c r="FK164" s="330" t="s">
        <v>283</v>
      </c>
      <c r="FL164" s="336" t="str">
        <f>Table1[[#This Row],[IPPJU]]</f>
        <v>10.Izin Terbit</v>
      </c>
      <c r="FM164" s="336"/>
      <c r="FN164" s="314" t="str">
        <f>IF(Table1[[#This Row],[Tanggal Pengajuan Dokumen]]="","",Table1[[#This Row],[PLAN PERMIT
start]]-Table1[[#This Row],[Tanggal Pengajuan Dokumen]])</f>
        <v/>
      </c>
      <c r="FO164" s="437">
        <v>45443</v>
      </c>
      <c r="FP164" s="316"/>
      <c r="FQ164" s="338"/>
      <c r="FR164" s="338"/>
      <c r="FS164" s="338" t="str">
        <f t="shared" si="9"/>
        <v>Sudah Terbit</v>
      </c>
      <c r="FT16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4" s="344">
        <f ca="1">IF(Table1[[#This Row],[Status Izin]]="Selesai",Table1[[#This Row],[PLAN PERMIT
finish]]-Table1[[#This Row],[Tanggal Terbit/ Target Izin Terbit]],ROUNDUP(Table1[[#This Row],[PLAN PERMIT
finish]]-NOW(),0))</f>
        <v>121</v>
      </c>
      <c r="FV16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4" s="344"/>
      <c r="FX164" s="47"/>
      <c r="FY164" s="340"/>
      <c r="FZ164" s="341"/>
      <c r="GA16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4" s="330">
        <v>45538</v>
      </c>
      <c r="GC164" s="352">
        <v>45387</v>
      </c>
      <c r="GD16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4" s="330">
        <v>45545</v>
      </c>
      <c r="GF164" s="352">
        <v>45553</v>
      </c>
      <c r="GG16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4" s="330">
        <v>45551</v>
      </c>
      <c r="GI164" s="330">
        <v>45557</v>
      </c>
      <c r="GJ164" s="352">
        <v>45737</v>
      </c>
      <c r="GK16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4" s="330">
        <v>45565</v>
      </c>
      <c r="GM164" s="330" t="e">
        <v>#N/A</v>
      </c>
      <c r="GN164" s="330">
        <v>45753</v>
      </c>
      <c r="GO164" s="330" t="e">
        <v>#N/A</v>
      </c>
      <c r="GP164" s="316"/>
      <c r="GQ16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4" s="330" t="s">
        <v>261</v>
      </c>
      <c r="GS164" s="330" t="s">
        <v>261</v>
      </c>
      <c r="GT164" s="354" t="s">
        <v>1193</v>
      </c>
      <c r="GU164" s="344" t="str">
        <f>IF(Table1[[#This Row],[Hydro Tes Actual
(tanggal)]]&lt;&gt;"","Sudah","Belum")</f>
        <v>Sudah</v>
      </c>
      <c r="GV164" s="330" t="s">
        <v>261</v>
      </c>
      <c r="GW164" s="330" t="s">
        <v>261</v>
      </c>
      <c r="GX164" s="331">
        <v>45999</v>
      </c>
      <c r="GY164" s="344" t="str">
        <f>IF(Table1[[#This Row],[Interkoneksi Actual
(tanggal)]]&lt;&gt;"","Sudah","Belum")</f>
        <v>Sudah</v>
      </c>
      <c r="GZ164" s="330" t="s">
        <v>261</v>
      </c>
      <c r="HA164" s="330" t="s">
        <v>261</v>
      </c>
      <c r="HB164" s="331"/>
      <c r="HC164" s="344" t="str">
        <f>IF(Table1[[#This Row],[Flushing Actual
(tanggal)]]&lt;&gt;"","Sudah","Belum")</f>
        <v>Belum</v>
      </c>
      <c r="HD164" s="330">
        <v>45726</v>
      </c>
      <c r="HE164" s="330" t="e">
        <v>#N/A</v>
      </c>
      <c r="HF164" s="330">
        <v>45746</v>
      </c>
      <c r="HG164" s="331">
        <v>45909</v>
      </c>
      <c r="HH16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4" s="330" t="s">
        <v>261</v>
      </c>
      <c r="HJ164" s="330" t="s">
        <v>261</v>
      </c>
      <c r="HK164" s="331"/>
      <c r="HL164" s="316"/>
      <c r="HM164" s="330">
        <v>45765</v>
      </c>
      <c r="HN164" s="330">
        <v>45765</v>
      </c>
      <c r="HO164" s="330" t="e">
        <v>#N/A</v>
      </c>
      <c r="HP164" s="331">
        <v>45934</v>
      </c>
      <c r="HQ16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64" s="330">
        <v>45772</v>
      </c>
      <c r="HS164" s="330"/>
      <c r="HT164" s="330">
        <v>45772</v>
      </c>
      <c r="HU164" s="527"/>
      <c r="HV164" s="331">
        <v>45934</v>
      </c>
      <c r="HW16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64" s="47"/>
      <c r="HY164" s="352"/>
      <c r="HZ164" s="352"/>
      <c r="IB164" s="618">
        <f>IFERROR(ROUND((Table1[[#This Row],[PLAN TC
finish]]-Table1[[#This Row],[PLAN MC-0
start]])/30,2),"")</f>
        <v>6.5</v>
      </c>
      <c r="IC164">
        <f>DATEDIF(Table1[[#This Row],[PLAN MC-0
start]],Table1[[#This Row],[PLAN TC
finish]],"m")</f>
        <v>6</v>
      </c>
    </row>
    <row r="165" spans="1:237" s="4" customFormat="1" ht="15" hidden="1" customHeight="1" x14ac:dyDescent="0.2">
      <c r="B165" s="311">
        <f>SUBTOTAL(3,$D$5:D165)</f>
        <v>84</v>
      </c>
      <c r="C165" s="348">
        <v>161</v>
      </c>
      <c r="D165" s="338" t="s">
        <v>244</v>
      </c>
      <c r="E165" s="338" t="s">
        <v>1194</v>
      </c>
      <c r="F165" s="338" t="s">
        <v>1195</v>
      </c>
      <c r="G165" s="349">
        <v>45935</v>
      </c>
      <c r="H165" s="314" t="s">
        <v>247</v>
      </c>
      <c r="I165" s="315" t="s">
        <v>325</v>
      </c>
      <c r="J165" s="315"/>
      <c r="K165" s="338" t="s">
        <v>1165</v>
      </c>
      <c r="L165" s="316" t="s">
        <v>326</v>
      </c>
      <c r="M165" s="316" t="s">
        <v>269</v>
      </c>
      <c r="N165" s="107">
        <v>1</v>
      </c>
      <c r="O165" s="131" t="s">
        <v>327</v>
      </c>
      <c r="P16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5" s="35" t="e">
        <v>#N/A</v>
      </c>
      <c r="S165" s="35">
        <v>1</v>
      </c>
      <c r="T165" s="35">
        <f>Table1[[#This Row],[Progres Total Aktual
(%)]]</f>
        <v>1</v>
      </c>
      <c r="U165" s="124">
        <f>Table1[[#This Row],[Progres Aktual
(%)]]-Table1[[#This Row],[Target Progres
(%)]]</f>
        <v>0</v>
      </c>
      <c r="V165" s="350">
        <f>Table1[[#This Row],["Volume
BA MC-0"]]</f>
        <v>0</v>
      </c>
      <c r="W165" s="351">
        <f>Table1[[#This Row],[Total Panjang Pipa Aktual
(Sum-&gt;)3]]</f>
        <v>1</v>
      </c>
      <c r="X165" s="47"/>
      <c r="Y165" s="67" t="s">
        <v>1176</v>
      </c>
      <c r="Z165" s="67">
        <v>11893824115</v>
      </c>
      <c r="AA165" s="67">
        <f>Table1[[#This Row],[Nilai RAB Jaringan
(file pa aji)]]</f>
        <v>11893824115</v>
      </c>
      <c r="AB165" s="320">
        <f>SUM(Table1[[#This Row],[RAB Kegiatan Umum]:[RAB Perizinan]])</f>
        <v>0</v>
      </c>
      <c r="AC165" s="320"/>
      <c r="AD165" s="320"/>
      <c r="AE165" s="320"/>
      <c r="AF165" s="320"/>
      <c r="AG165" s="436">
        <v>0</v>
      </c>
      <c r="AH165" s="35" t="e">
        <f>SUM(Table1[[#This Row],[Bobot Keg Umum]:[Bobot Perizinan]])</f>
        <v>#DIV/0!</v>
      </c>
      <c r="AI165" s="35" t="e">
        <f>Table1[[#This Row],[RAB Kegiatan Umum]]/Table1[[#This Row],[Nilai RAB Jaringan
(Exclude Ppn)]]</f>
        <v>#DIV/0!</v>
      </c>
      <c r="AJ165" s="35" t="e">
        <f>Table1[[#This Row],[RAB Pemasangan]]/Table1[[#This Row],[Nilai RAB Jaringan
(Exclude Ppn)]]</f>
        <v>#DIV/0!</v>
      </c>
      <c r="AK165" s="35" t="e">
        <f>Table1[[#This Row],[RAB Pengadaan]]/Table1[[#This Row],[Nilai RAB Jaringan
(Exclude Ppn)]]</f>
        <v>#DIV/0!</v>
      </c>
      <c r="AL165" s="35" t="e">
        <f>Table1[[#This Row],[RAB Perizinan]]/Table1[[#This Row],[Nilai RAB Jaringan
(Exclude Ppn)]]</f>
        <v>#DIV/0!</v>
      </c>
      <c r="AM165" s="47"/>
      <c r="AN165" s="285">
        <v>0</v>
      </c>
      <c r="AO165" s="285">
        <f>SUM(Table1[[#This Row],[Pipa 63 mm]:[Pipa 1,800 mm]])</f>
        <v>0</v>
      </c>
      <c r="AP165" s="285"/>
      <c r="AQ165" s="285"/>
      <c r="AR165" s="285"/>
      <c r="AS165" s="285"/>
      <c r="AT165" s="285"/>
      <c r="AU165" s="285"/>
      <c r="AV165" s="285"/>
      <c r="AW165" s="285"/>
      <c r="AX165" s="285"/>
      <c r="AY165" s="285"/>
      <c r="AZ165" s="285"/>
      <c r="BA165" s="285"/>
      <c r="BB165" s="285"/>
      <c r="BC165" s="285"/>
      <c r="BD165" s="285"/>
      <c r="BE165" s="285"/>
      <c r="BF165" s="285"/>
      <c r="BG165" s="285"/>
      <c r="BH165" s="285"/>
      <c r="BI165" s="285"/>
      <c r="BJ165" s="36">
        <v>1</v>
      </c>
      <c r="BK165" s="32"/>
      <c r="BL165" s="32"/>
      <c r="BM165" s="32"/>
      <c r="BN165" s="32"/>
      <c r="BO165" s="32"/>
      <c r="BP165" s="32"/>
      <c r="BQ165" s="32"/>
      <c r="BR165" s="32"/>
      <c r="BS165" s="32"/>
      <c r="BT165" s="32"/>
      <c r="BU165" s="32"/>
      <c r="BV165" s="32"/>
      <c r="BW165" s="32"/>
      <c r="BX165" s="32"/>
      <c r="BY165" s="32"/>
      <c r="BZ165" s="32"/>
      <c r="CA165" s="32"/>
      <c r="CB165" s="32"/>
      <c r="CC165" s="32"/>
      <c r="CD165" s="32"/>
      <c r="CE165" s="32">
        <v>0</v>
      </c>
      <c r="CF165" s="32">
        <v>0</v>
      </c>
      <c r="CG165" s="32">
        <v>0</v>
      </c>
      <c r="CH165" s="32">
        <v>0</v>
      </c>
      <c r="CI165" s="32">
        <f t="shared" si="10"/>
        <v>0</v>
      </c>
      <c r="CJ165" s="65">
        <f>IF((Table1[[#This Row],["Volume
BA MC-0"]]-Table1[[#This Row],[Total Panjang Pipa Aktual
(Sum-&gt;)3]]-Table1[[#This Row],[Total Volume
tidak dapat dipasang]])&gt;=0,Table1[[#This Row],["Volume
BA MC-0"]]-Table1[[#This Row],[Total Panjang Pipa Aktual
(Sum-&gt;)3]]-Table1[[#This Row],[Total Volume
tidak dapat dipasang]],0)</f>
        <v>0</v>
      </c>
      <c r="CK165" s="47"/>
      <c r="CL165" s="131"/>
      <c r="CM165" s="35"/>
      <c r="CN165" s="131"/>
      <c r="CO165" s="131"/>
      <c r="CP16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5" s="66">
        <f>IFERROR(Table1[[#This Row],[Progres Keg. Umum
(%)]]*Table1[[#This Row],[Nilai RAB Jaringan
(file pa aji)]],0)</f>
        <v>0</v>
      </c>
      <c r="CR165" s="66">
        <f>IFERROR(Table1[[#This Row],[Progres MOS
(%)]]*Table1[[#This Row],[Nilai RAB Jaringan
(file pa aji)]],0)</f>
        <v>0</v>
      </c>
      <c r="CS165" s="66">
        <f>IFERROR(Table1[[#This Row],[Progres Pemasangan
(%)]]*Table1[[#This Row],[Nilai RAB Jaringan
(file pa aji)]],0)</f>
        <v>0</v>
      </c>
      <c r="CT165" s="66">
        <f>IFERROR(Table1[[#This Row],[Progres Perizinan
(%)]]*Table1[[#This Row],[Nilai RAB Jaringan
(file pa aji)]],0)</f>
        <v>0</v>
      </c>
      <c r="CU165" s="329">
        <v>11893824115</v>
      </c>
      <c r="CV165" s="329">
        <v>11893824115</v>
      </c>
      <c r="CW165" s="583">
        <v>11893824115</v>
      </c>
      <c r="CX165" s="329">
        <v>11893824115</v>
      </c>
      <c r="CY165" s="47"/>
      <c r="CZ165" s="330">
        <v>45348</v>
      </c>
      <c r="DA165" s="330">
        <v>45382</v>
      </c>
      <c r="DB165" s="331">
        <v>45579</v>
      </c>
      <c r="DC165" s="316" t="s">
        <v>1196</v>
      </c>
      <c r="DD165" s="67">
        <v>11893824115</v>
      </c>
      <c r="DE16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65" s="331">
        <v>45588</v>
      </c>
      <c r="DG165" s="316" t="s">
        <v>1197</v>
      </c>
      <c r="DH165" s="67">
        <v>11893824115</v>
      </c>
      <c r="DI16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65" s="330">
        <v>45383</v>
      </c>
      <c r="DK165" s="330">
        <v>45536</v>
      </c>
      <c r="DL165" s="331">
        <v>45834</v>
      </c>
      <c r="DM165" s="316" t="s">
        <v>1198</v>
      </c>
      <c r="DN16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65" s="331">
        <v>45882</v>
      </c>
      <c r="DP165" s="316" t="s">
        <v>1199</v>
      </c>
      <c r="DQ165" s="338" t="s">
        <v>1200</v>
      </c>
      <c r="DR16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5" s="330">
        <v>45383</v>
      </c>
      <c r="DT165" s="330" t="e">
        <v>#N/A</v>
      </c>
      <c r="DU165" s="330">
        <v>45431</v>
      </c>
      <c r="DV165" s="330" t="e">
        <v>#N/A</v>
      </c>
      <c r="DW165" s="331">
        <v>45930</v>
      </c>
      <c r="DX165" s="316" t="s">
        <v>1201</v>
      </c>
      <c r="DY165" s="334"/>
      <c r="DZ165" s="334"/>
      <c r="EA16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5" s="331">
        <v>45971</v>
      </c>
      <c r="EC165" s="332"/>
      <c r="ED165" s="332"/>
      <c r="EE165" s="330" t="s">
        <v>1202</v>
      </c>
      <c r="EF165" s="35">
        <v>1</v>
      </c>
      <c r="EG165" s="337">
        <v>1</v>
      </c>
      <c r="EH165" s="316" t="str">
        <f>IF(Table1[[#This Row],[PO Material Aktual 
(%)]]&gt;=100%,"Selesai PO = 100%",IF(Table1[[#This Row],[PO Material Aktual 
(%)]]&gt;=50%,"Proses PO &gt; 100%",IF(Table1[[#This Row],[PO Material Aktual 
(%)]]&gt;0%,"Proses PO &gt; 50%",IF(Table1[[#This Row],[PO Material Aktual 
(%)]]=0,"Belum PO = 0%"))))</f>
        <v>Selesai PO = 100%</v>
      </c>
      <c r="EI16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5" s="330">
        <v>45432</v>
      </c>
      <c r="EK165" s="330" t="e">
        <v>#N/A</v>
      </c>
      <c r="EL165" s="330">
        <v>45620</v>
      </c>
      <c r="EM165" s="330" t="e">
        <v>#N/A</v>
      </c>
      <c r="EN165" s="331">
        <v>46031</v>
      </c>
      <c r="EO165" s="332"/>
      <c r="EP165" s="332"/>
      <c r="EQ165" s="87">
        <v>1</v>
      </c>
      <c r="ER165" s="87">
        <v>1</v>
      </c>
      <c r="ES165" s="316" t="str">
        <f>IF(Table1[[#This Row],[Progres MOS]]&gt;=100%,"Selesai MOS = 100%",IF(Table1[[#This Row],[Progres MOS]]&gt;=50%,"Proses MOS &gt; 100%",IF(Table1[[#This Row],[Progres MOS]]&gt;0%,"Proses MOS &gt; 50%",IF(Table1[[#This Row],[Progres MOS]]=0,"Belum MOS = 0%"))))</f>
        <v>Selesai MOS = 100%</v>
      </c>
      <c r="ET16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5" s="47"/>
      <c r="EV165" s="330">
        <v>45383</v>
      </c>
      <c r="EW165" s="330" t="e">
        <v>#N/A</v>
      </c>
      <c r="EX165" s="330">
        <v>45564</v>
      </c>
      <c r="EY165" s="330" t="e">
        <v>#N/A</v>
      </c>
      <c r="EZ165" s="352" t="s">
        <v>259</v>
      </c>
      <c r="FA165" s="384"/>
      <c r="FB165" s="330"/>
      <c r="FC165" s="330" t="s">
        <v>282</v>
      </c>
      <c r="FD165" s="330" t="s">
        <v>282</v>
      </c>
      <c r="FE165" s="330" t="s">
        <v>282</v>
      </c>
      <c r="FF165" s="330" t="s">
        <v>282</v>
      </c>
      <c r="FG165" s="330" t="s">
        <v>282</v>
      </c>
      <c r="FH165" s="330" t="s">
        <v>282</v>
      </c>
      <c r="FI165" s="330" t="s">
        <v>282</v>
      </c>
      <c r="FJ165" s="330" t="s">
        <v>282</v>
      </c>
      <c r="FK165" s="330" t="s">
        <v>283</v>
      </c>
      <c r="FL165" s="336" t="str">
        <f>Table1[[#This Row],[IPPJU]]</f>
        <v>10.Izin Terbit</v>
      </c>
      <c r="FM165" s="336"/>
      <c r="FN165" s="314" t="str">
        <f>IF(Table1[[#This Row],[Tanggal Pengajuan Dokumen]]="","",Table1[[#This Row],[PLAN PERMIT
start]]-Table1[[#This Row],[Tanggal Pengajuan Dokumen]])</f>
        <v/>
      </c>
      <c r="FO165" s="437">
        <v>45443</v>
      </c>
      <c r="FP165" s="316"/>
      <c r="FQ165" s="338"/>
      <c r="FR165" s="338"/>
      <c r="FS165" s="338" t="str">
        <f t="shared" si="9"/>
        <v>Sudah Terbit</v>
      </c>
      <c r="FT16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5" s="344">
        <f ca="1">IF(Table1[[#This Row],[Status Izin]]="Selesai",Table1[[#This Row],[PLAN PERMIT
finish]]-Table1[[#This Row],[Tanggal Terbit/ Target Izin Terbit]],ROUNDUP(Table1[[#This Row],[PLAN PERMIT
finish]]-NOW(),0))</f>
        <v>121</v>
      </c>
      <c r="FV16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5" s="344"/>
      <c r="FX165" s="47"/>
      <c r="FY165" s="340"/>
      <c r="FZ165" s="341"/>
      <c r="GA16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5" s="330">
        <v>45538</v>
      </c>
      <c r="GC165" s="352">
        <v>45387</v>
      </c>
      <c r="GD16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5" s="330">
        <v>45545</v>
      </c>
      <c r="GF165" s="352">
        <v>45553</v>
      </c>
      <c r="GG16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5" s="330">
        <v>45551</v>
      </c>
      <c r="GI165" s="330">
        <v>45557</v>
      </c>
      <c r="GJ165" s="352">
        <v>45372</v>
      </c>
      <c r="GK16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65" s="330">
        <v>45565</v>
      </c>
      <c r="GM165" s="330" t="e">
        <v>#N/A</v>
      </c>
      <c r="GN165" s="330">
        <v>45753</v>
      </c>
      <c r="GO165" s="330" t="e">
        <v>#N/A</v>
      </c>
      <c r="GP165" s="316"/>
      <c r="GQ16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5" s="330" t="s">
        <v>261</v>
      </c>
      <c r="GS165" s="330" t="s">
        <v>261</v>
      </c>
      <c r="GT165" s="354"/>
      <c r="GU165" s="344" t="str">
        <f>IF(Table1[[#This Row],[Hydro Tes Actual
(tanggal)]]&lt;&gt;"","Sudah","Belum")</f>
        <v>Belum</v>
      </c>
      <c r="GV165" s="330" t="s">
        <v>261</v>
      </c>
      <c r="GW165" s="330" t="s">
        <v>261</v>
      </c>
      <c r="GX165" s="331"/>
      <c r="GY165" s="344" t="str">
        <f>IF(Table1[[#This Row],[Interkoneksi Actual
(tanggal)]]&lt;&gt;"","Sudah","Belum")</f>
        <v>Belum</v>
      </c>
      <c r="GZ165" s="330" t="s">
        <v>261</v>
      </c>
      <c r="HA165" s="330" t="s">
        <v>261</v>
      </c>
      <c r="HB165" s="331"/>
      <c r="HC165" s="344" t="str">
        <f>IF(Table1[[#This Row],[Flushing Actual
(tanggal)]]&lt;&gt;"","Sudah","Belum")</f>
        <v>Belum</v>
      </c>
      <c r="HD165" s="330">
        <v>45726</v>
      </c>
      <c r="HE165" s="330" t="e">
        <v>#N/A</v>
      </c>
      <c r="HF165" s="330">
        <v>45746</v>
      </c>
      <c r="HG165" s="331">
        <v>45917</v>
      </c>
      <c r="HH16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5" s="330" t="s">
        <v>261</v>
      </c>
      <c r="HJ165" s="330" t="s">
        <v>261</v>
      </c>
      <c r="HK165" s="331"/>
      <c r="HL165" s="316"/>
      <c r="HM165" s="330">
        <v>45765</v>
      </c>
      <c r="HN165" s="330">
        <v>45765</v>
      </c>
      <c r="HO165" s="330" t="e">
        <v>#N/A</v>
      </c>
      <c r="HP165" s="331">
        <v>45934</v>
      </c>
      <c r="HQ16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65" s="330">
        <v>45772</v>
      </c>
      <c r="HS165" s="330"/>
      <c r="HT165" s="330">
        <v>45772</v>
      </c>
      <c r="HU165" s="527"/>
      <c r="HV165" s="331">
        <v>45934</v>
      </c>
      <c r="HW16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65" s="47"/>
      <c r="HY165" s="352"/>
      <c r="HZ165" s="352"/>
      <c r="IB165" s="618">
        <f>IFERROR(ROUND((Table1[[#This Row],[PLAN TC
finish]]-Table1[[#This Row],[PLAN MC-0
start]])/30,2),"")</f>
        <v>6.5</v>
      </c>
      <c r="IC165">
        <f>DATEDIF(Table1[[#This Row],[PLAN MC-0
start]],Table1[[#This Row],[PLAN TC
finish]],"m")</f>
        <v>6</v>
      </c>
    </row>
    <row r="166" spans="1:237" s="4" customFormat="1" ht="15" hidden="1" customHeight="1" x14ac:dyDescent="0.2">
      <c r="B166" s="311">
        <f>SUBTOTAL(3,$D$5:D166)</f>
        <v>84</v>
      </c>
      <c r="C166" s="348">
        <v>162</v>
      </c>
      <c r="D166" s="338" t="s">
        <v>244</v>
      </c>
      <c r="E166" s="338" t="s">
        <v>1203</v>
      </c>
      <c r="F166" s="400" t="s">
        <v>1204</v>
      </c>
      <c r="G166" s="349">
        <v>45935</v>
      </c>
      <c r="H166" s="314" t="s">
        <v>247</v>
      </c>
      <c r="I166" s="315" t="s">
        <v>325</v>
      </c>
      <c r="J166" s="315"/>
      <c r="K166" s="338" t="s">
        <v>1165</v>
      </c>
      <c r="L166" s="316" t="s">
        <v>326</v>
      </c>
      <c r="M166" s="316" t="s">
        <v>269</v>
      </c>
      <c r="N166" s="107">
        <v>1</v>
      </c>
      <c r="O166" s="131" t="s">
        <v>327</v>
      </c>
      <c r="P16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6" s="35" t="e">
        <v>#N/A</v>
      </c>
      <c r="S166" s="35">
        <v>1</v>
      </c>
      <c r="T166" s="35">
        <f>Table1[[#This Row],[Progres Total Aktual
(%)]]</f>
        <v>1</v>
      </c>
      <c r="U166" s="124">
        <f>Table1[[#This Row],[Progres Aktual
(%)]]-Table1[[#This Row],[Target Progres
(%)]]</f>
        <v>0</v>
      </c>
      <c r="V166" s="350">
        <f>Table1[[#This Row],["Volume
BA MC-0"]]</f>
        <v>0</v>
      </c>
      <c r="W166" s="351">
        <f>Table1[[#This Row],[Total Panjang Pipa Aktual
(Sum-&gt;)3]]</f>
        <v>1</v>
      </c>
      <c r="X166" s="47"/>
      <c r="Y166" s="67" t="s">
        <v>1176</v>
      </c>
      <c r="Z166" s="67">
        <v>666568323</v>
      </c>
      <c r="AA166" s="67">
        <f>Table1[[#This Row],[Nilai RAB Jaringan
(file pa aji)]]</f>
        <v>666568323</v>
      </c>
      <c r="AB166" s="320">
        <f>SUM(Table1[[#This Row],[RAB Kegiatan Umum]:[RAB Perizinan]])</f>
        <v>0</v>
      </c>
      <c r="AC166" s="320"/>
      <c r="AD166" s="320"/>
      <c r="AE166" s="320"/>
      <c r="AF166" s="320"/>
      <c r="AG166" s="436">
        <v>0</v>
      </c>
      <c r="AH166" s="35" t="e">
        <f>SUM(Table1[[#This Row],[Bobot Keg Umum]:[Bobot Perizinan]])</f>
        <v>#DIV/0!</v>
      </c>
      <c r="AI166" s="35" t="e">
        <f>Table1[[#This Row],[RAB Kegiatan Umum]]/Table1[[#This Row],[Nilai RAB Jaringan
(Exclude Ppn)]]</f>
        <v>#DIV/0!</v>
      </c>
      <c r="AJ166" s="35" t="e">
        <f>Table1[[#This Row],[RAB Pemasangan]]/Table1[[#This Row],[Nilai RAB Jaringan
(Exclude Ppn)]]</f>
        <v>#DIV/0!</v>
      </c>
      <c r="AK166" s="35" t="e">
        <f>Table1[[#This Row],[RAB Pengadaan]]/Table1[[#This Row],[Nilai RAB Jaringan
(Exclude Ppn)]]</f>
        <v>#DIV/0!</v>
      </c>
      <c r="AL166" s="35" t="e">
        <f>Table1[[#This Row],[RAB Perizinan]]/Table1[[#This Row],[Nilai RAB Jaringan
(Exclude Ppn)]]</f>
        <v>#DIV/0!</v>
      </c>
      <c r="AM166" s="47"/>
      <c r="AN166" s="285">
        <v>0</v>
      </c>
      <c r="AO166" s="285">
        <f>SUM(Table1[[#This Row],[Pipa 63 mm]:[Pipa 1,800 mm]])</f>
        <v>0</v>
      </c>
      <c r="AP166" s="285"/>
      <c r="AQ166" s="285"/>
      <c r="AR166" s="285"/>
      <c r="AS166" s="285"/>
      <c r="AT166" s="285"/>
      <c r="AU166" s="285"/>
      <c r="AV166" s="285"/>
      <c r="AW166" s="285"/>
      <c r="AX166" s="285"/>
      <c r="AY166" s="285"/>
      <c r="AZ166" s="285"/>
      <c r="BA166" s="285"/>
      <c r="BB166" s="285"/>
      <c r="BC166" s="285"/>
      <c r="BD166" s="285"/>
      <c r="BE166" s="285"/>
      <c r="BF166" s="285"/>
      <c r="BG166" s="285"/>
      <c r="BH166" s="285"/>
      <c r="BI166" s="285"/>
      <c r="BJ166" s="36">
        <v>1</v>
      </c>
      <c r="BK166" s="32"/>
      <c r="BL166" s="32"/>
      <c r="BM166" s="32"/>
      <c r="BN166" s="32"/>
      <c r="BO166" s="32"/>
      <c r="BP166" s="32"/>
      <c r="BQ166" s="32"/>
      <c r="BR166" s="32"/>
      <c r="BS166" s="32"/>
      <c r="BT166" s="32"/>
      <c r="BU166" s="32"/>
      <c r="BV166" s="32"/>
      <c r="BW166" s="32"/>
      <c r="BX166" s="32"/>
      <c r="BY166" s="32"/>
      <c r="BZ166" s="32"/>
      <c r="CA166" s="32"/>
      <c r="CB166" s="32"/>
      <c r="CC166" s="32"/>
      <c r="CD166" s="32"/>
      <c r="CE166" s="32">
        <v>0</v>
      </c>
      <c r="CF166" s="32">
        <v>0</v>
      </c>
      <c r="CG166" s="32">
        <v>0</v>
      </c>
      <c r="CH166" s="32">
        <v>0</v>
      </c>
      <c r="CI166" s="32">
        <f t="shared" si="10"/>
        <v>0</v>
      </c>
      <c r="CJ166" s="65">
        <f>IF((Table1[[#This Row],["Volume
BA MC-0"]]-Table1[[#This Row],[Total Panjang Pipa Aktual
(Sum-&gt;)3]]-Table1[[#This Row],[Total Volume
tidak dapat dipasang]])&gt;=0,Table1[[#This Row],["Volume
BA MC-0"]]-Table1[[#This Row],[Total Panjang Pipa Aktual
(Sum-&gt;)3]]-Table1[[#This Row],[Total Volume
tidak dapat dipasang]],0)</f>
        <v>0</v>
      </c>
      <c r="CK166" s="47"/>
      <c r="CL166" s="131"/>
      <c r="CM166" s="35"/>
      <c r="CN166" s="131"/>
      <c r="CO166" s="131"/>
      <c r="CP16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6" s="66">
        <f>IFERROR(Table1[[#This Row],[Progres Keg. Umum
(%)]]*Table1[[#This Row],[Nilai RAB Jaringan
(file pa aji)]],0)</f>
        <v>0</v>
      </c>
      <c r="CR166" s="66">
        <f>IFERROR(Table1[[#This Row],[Progres MOS
(%)]]*Table1[[#This Row],[Nilai RAB Jaringan
(file pa aji)]],0)</f>
        <v>0</v>
      </c>
      <c r="CS166" s="66">
        <f>IFERROR(Table1[[#This Row],[Progres Pemasangan
(%)]]*Table1[[#This Row],[Nilai RAB Jaringan
(file pa aji)]],0)</f>
        <v>0</v>
      </c>
      <c r="CT166" s="66">
        <f>IFERROR(Table1[[#This Row],[Progres Perizinan
(%)]]*Table1[[#This Row],[Nilai RAB Jaringan
(file pa aji)]],0)</f>
        <v>0</v>
      </c>
      <c r="CU166" s="329">
        <v>364577506</v>
      </c>
      <c r="CV166" s="329">
        <v>364577506</v>
      </c>
      <c r="CW166" s="583">
        <v>364577506</v>
      </c>
      <c r="CX166" s="329">
        <v>364577506</v>
      </c>
      <c r="CY166" s="47"/>
      <c r="CZ166" s="330">
        <v>45348</v>
      </c>
      <c r="DA166" s="330">
        <v>45382</v>
      </c>
      <c r="DB166" s="331">
        <v>45609</v>
      </c>
      <c r="DC166" s="316" t="s">
        <v>1205</v>
      </c>
      <c r="DD166" s="67">
        <v>666568323</v>
      </c>
      <c r="DE16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66" s="331">
        <v>45617</v>
      </c>
      <c r="DG166" s="316" t="s">
        <v>1206</v>
      </c>
      <c r="DH166" s="67">
        <v>666568322.63999999</v>
      </c>
      <c r="DI16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66" s="330">
        <v>45383</v>
      </c>
      <c r="DK166" s="330">
        <v>45536</v>
      </c>
      <c r="DL166" s="331">
        <v>45666</v>
      </c>
      <c r="DM166" s="316" t="s">
        <v>1207</v>
      </c>
      <c r="DN16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66" s="331">
        <v>45677</v>
      </c>
      <c r="DP166" s="316" t="s">
        <v>1208</v>
      </c>
      <c r="DQ166" s="338" t="s">
        <v>1209</v>
      </c>
      <c r="DR16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6" s="330">
        <v>45383</v>
      </c>
      <c r="DT166" s="330" t="e">
        <v>#N/A</v>
      </c>
      <c r="DU166" s="330">
        <v>45431</v>
      </c>
      <c r="DV166" s="330" t="e">
        <v>#N/A</v>
      </c>
      <c r="DW166" s="331">
        <v>45666</v>
      </c>
      <c r="DX166" s="316" t="s">
        <v>1207</v>
      </c>
      <c r="DY166" s="334"/>
      <c r="DZ166" s="334"/>
      <c r="EA16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6" s="331">
        <v>45677</v>
      </c>
      <c r="EC166" s="332"/>
      <c r="ED166" s="332"/>
      <c r="EE166" s="330" t="s">
        <v>1208</v>
      </c>
      <c r="EF166" s="35">
        <v>1</v>
      </c>
      <c r="EG166" s="337">
        <v>1</v>
      </c>
      <c r="EH166" s="316" t="str">
        <f>IF(Table1[[#This Row],[PO Material Aktual 
(%)]]&gt;=100%,"Selesai PO = 100%",IF(Table1[[#This Row],[PO Material Aktual 
(%)]]&gt;=50%,"Proses PO &gt; 100%",IF(Table1[[#This Row],[PO Material Aktual 
(%)]]&gt;0%,"Proses PO &gt; 50%",IF(Table1[[#This Row],[PO Material Aktual 
(%)]]=0,"Belum PO = 0%"))))</f>
        <v>Selesai PO = 100%</v>
      </c>
      <c r="EI16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6" s="330">
        <v>45432</v>
      </c>
      <c r="EK166" s="330" t="e">
        <v>#N/A</v>
      </c>
      <c r="EL166" s="330">
        <v>45620</v>
      </c>
      <c r="EM166" s="330" t="e">
        <v>#N/A</v>
      </c>
      <c r="EN166" s="331">
        <v>46031</v>
      </c>
      <c r="EO166" s="332"/>
      <c r="EP166" s="332"/>
      <c r="EQ166" s="87">
        <v>1</v>
      </c>
      <c r="ER166" s="87">
        <v>1</v>
      </c>
      <c r="ES166" s="316" t="str">
        <f>IF(Table1[[#This Row],[Progres MOS]]&gt;=100%,"Selesai MOS = 100%",IF(Table1[[#This Row],[Progres MOS]]&gt;=50%,"Proses MOS &gt; 100%",IF(Table1[[#This Row],[Progres MOS]]&gt;0%,"Proses MOS &gt; 50%",IF(Table1[[#This Row],[Progres MOS]]=0,"Belum MOS = 0%"))))</f>
        <v>Selesai MOS = 100%</v>
      </c>
      <c r="ET16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6" s="47"/>
      <c r="EV166" s="330">
        <v>45383</v>
      </c>
      <c r="EW166" s="330" t="e">
        <v>#N/A</v>
      </c>
      <c r="EX166" s="330">
        <v>45564</v>
      </c>
      <c r="EY166" s="330" t="e">
        <v>#N/A</v>
      </c>
      <c r="EZ166" s="352" t="s">
        <v>259</v>
      </c>
      <c r="FA166" s="384"/>
      <c r="FB166" s="330"/>
      <c r="FC166" s="330" t="s">
        <v>282</v>
      </c>
      <c r="FD166" s="330" t="s">
        <v>282</v>
      </c>
      <c r="FE166" s="330" t="s">
        <v>282</v>
      </c>
      <c r="FF166" s="330" t="s">
        <v>282</v>
      </c>
      <c r="FG166" s="330" t="s">
        <v>282</v>
      </c>
      <c r="FH166" s="330" t="s">
        <v>282</v>
      </c>
      <c r="FI166" s="330" t="s">
        <v>282</v>
      </c>
      <c r="FJ166" s="330" t="s">
        <v>282</v>
      </c>
      <c r="FK166" s="330" t="s">
        <v>283</v>
      </c>
      <c r="FL166" s="336" t="str">
        <f>Table1[[#This Row],[IPPJU]]</f>
        <v>10.Izin Terbit</v>
      </c>
      <c r="FM166" s="336"/>
      <c r="FN166" s="314" t="str">
        <f>IF(Table1[[#This Row],[Tanggal Pengajuan Dokumen]]="","",Table1[[#This Row],[PLAN PERMIT
start]]-Table1[[#This Row],[Tanggal Pengajuan Dokumen]])</f>
        <v/>
      </c>
      <c r="FO166" s="437">
        <v>45443</v>
      </c>
      <c r="FP166" s="316"/>
      <c r="FQ166" s="338"/>
      <c r="FR166" s="338"/>
      <c r="FS166" s="338" t="str">
        <f t="shared" si="9"/>
        <v>Sudah Terbit</v>
      </c>
      <c r="FT16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6" s="344">
        <f ca="1">IF(Table1[[#This Row],[Status Izin]]="Selesai",Table1[[#This Row],[PLAN PERMIT
finish]]-Table1[[#This Row],[Tanggal Terbit/ Target Izin Terbit]],ROUNDUP(Table1[[#This Row],[PLAN PERMIT
finish]]-NOW(),0))</f>
        <v>121</v>
      </c>
      <c r="FV16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6" s="344"/>
      <c r="FX166" s="47"/>
      <c r="FY166" s="340"/>
      <c r="FZ166" s="341"/>
      <c r="GA16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6" s="330">
        <v>45538</v>
      </c>
      <c r="GC166" s="352">
        <v>45387</v>
      </c>
      <c r="GD16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6" s="330">
        <v>45545</v>
      </c>
      <c r="GF166" s="352">
        <v>45553</v>
      </c>
      <c r="GG16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6" s="330">
        <v>45551</v>
      </c>
      <c r="GI166" s="330">
        <v>45557</v>
      </c>
      <c r="GJ166" s="352">
        <v>45737</v>
      </c>
      <c r="GK16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6" s="330">
        <v>45565</v>
      </c>
      <c r="GM166" s="330" t="e">
        <v>#N/A</v>
      </c>
      <c r="GN166" s="330">
        <v>45753</v>
      </c>
      <c r="GO166" s="330" t="e">
        <v>#N/A</v>
      </c>
      <c r="GP166" s="316"/>
      <c r="GQ16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6" s="330" t="s">
        <v>261</v>
      </c>
      <c r="GS166" s="330" t="s">
        <v>261</v>
      </c>
      <c r="GT166" s="354"/>
      <c r="GU166" s="344" t="str">
        <f>IF(Table1[[#This Row],[Hydro Tes Actual
(tanggal)]]&lt;&gt;"","Sudah","Belum")</f>
        <v>Belum</v>
      </c>
      <c r="GV166" s="330" t="s">
        <v>261</v>
      </c>
      <c r="GW166" s="330" t="s">
        <v>261</v>
      </c>
      <c r="GX166" s="331" t="s">
        <v>261</v>
      </c>
      <c r="GY166" s="344" t="str">
        <f>IF(Table1[[#This Row],[Interkoneksi Actual
(tanggal)]]&lt;&gt;"","Sudah","Belum")</f>
        <v>Sudah</v>
      </c>
      <c r="GZ166" s="330" t="s">
        <v>261</v>
      </c>
      <c r="HA166" s="330" t="s">
        <v>261</v>
      </c>
      <c r="HB166" s="331" t="s">
        <v>261</v>
      </c>
      <c r="HC166" s="344" t="str">
        <f>IF(Table1[[#This Row],[Flushing Actual
(tanggal)]]&lt;&gt;"","Sudah","Belum")</f>
        <v>Sudah</v>
      </c>
      <c r="HD166" s="330">
        <v>45726</v>
      </c>
      <c r="HE166" s="330" t="e">
        <v>#N/A</v>
      </c>
      <c r="HF166" s="330">
        <v>45746</v>
      </c>
      <c r="HG166" s="331">
        <v>45917</v>
      </c>
      <c r="HH16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6" s="330" t="s">
        <v>261</v>
      </c>
      <c r="HJ166" s="330" t="s">
        <v>261</v>
      </c>
      <c r="HK166" s="331"/>
      <c r="HL166" s="316"/>
      <c r="HM166" s="330">
        <v>45765</v>
      </c>
      <c r="HN166" s="330">
        <v>45765</v>
      </c>
      <c r="HO166" s="330" t="e">
        <v>#N/A</v>
      </c>
      <c r="HP166" s="331">
        <v>45934</v>
      </c>
      <c r="HQ16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66" s="330">
        <v>45772</v>
      </c>
      <c r="HS166" s="330"/>
      <c r="HT166" s="330">
        <v>45772</v>
      </c>
      <c r="HU166" s="527"/>
      <c r="HV166" s="331">
        <v>45934</v>
      </c>
      <c r="HW16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66" s="47"/>
      <c r="HY166" s="352"/>
      <c r="HZ166" s="352"/>
      <c r="IB166" s="618">
        <f>IFERROR(ROUND((Table1[[#This Row],[PLAN TC
finish]]-Table1[[#This Row],[PLAN MC-0
start]])/30,2),"")</f>
        <v>6.5</v>
      </c>
      <c r="IC166">
        <f>DATEDIF(Table1[[#This Row],[PLAN MC-0
start]],Table1[[#This Row],[PLAN TC
finish]],"m")</f>
        <v>6</v>
      </c>
    </row>
    <row r="167" spans="1:237" s="4" customFormat="1" ht="15" hidden="1" customHeight="1" x14ac:dyDescent="0.2">
      <c r="B167" s="311">
        <f>SUBTOTAL(3,$D$5:D167)</f>
        <v>84</v>
      </c>
      <c r="C167" s="348">
        <v>163</v>
      </c>
      <c r="D167" s="338" t="s">
        <v>244</v>
      </c>
      <c r="E167" s="338" t="s">
        <v>1210</v>
      </c>
      <c r="F167" s="338" t="s">
        <v>1211</v>
      </c>
      <c r="G167" s="349">
        <v>45935</v>
      </c>
      <c r="H167" s="314" t="s">
        <v>247</v>
      </c>
      <c r="I167" s="338" t="s">
        <v>1212</v>
      </c>
      <c r="J167" s="397" t="s">
        <v>943</v>
      </c>
      <c r="K167" s="338" t="s">
        <v>1165</v>
      </c>
      <c r="L167" s="316" t="s">
        <v>1213</v>
      </c>
      <c r="M167" s="316" t="s">
        <v>269</v>
      </c>
      <c r="N167" s="107">
        <v>1</v>
      </c>
      <c r="O167" s="131" t="s">
        <v>1214</v>
      </c>
      <c r="P16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167" s="35" t="e">
        <v>#N/A</v>
      </c>
      <c r="S167" s="35">
        <v>1</v>
      </c>
      <c r="T167" s="35">
        <f>Table1[[#This Row],[Progres Total Aktual
(%)]]</f>
        <v>7.0695829589043019E-3</v>
      </c>
      <c r="U167" s="124">
        <f>Table1[[#This Row],[Progres Aktual
(%)]]-Table1[[#This Row],[Target Progres
(%)]]</f>
        <v>-0.99293041704109575</v>
      </c>
      <c r="V167" s="350">
        <f>Table1[[#This Row],["Volume
BA MC-0"]]</f>
        <v>0</v>
      </c>
      <c r="W167" s="351">
        <f>Table1[[#This Row],[Total Panjang Pipa Aktual
(Sum-&gt;)3]]</f>
        <v>0</v>
      </c>
      <c r="X167" s="47"/>
      <c r="Y167" s="67" t="s">
        <v>1215</v>
      </c>
      <c r="Z167" s="67">
        <v>1094439768</v>
      </c>
      <c r="AA167" s="67">
        <f>Table1[[#This Row],[Nilai RAB Jaringan
(file pa aji)]]</f>
        <v>1094439768</v>
      </c>
      <c r="AB167" s="320">
        <f>SUM(Table1[[#This Row],[RAB Kegiatan Umum]:[RAB Perizinan]])</f>
        <v>0</v>
      </c>
      <c r="AC167" s="320"/>
      <c r="AD167" s="320"/>
      <c r="AE167" s="320"/>
      <c r="AF167" s="320"/>
      <c r="AG167" s="436">
        <v>0</v>
      </c>
      <c r="AH167" s="35" t="e">
        <f>SUM(Table1[[#This Row],[Bobot Keg Umum]:[Bobot Perizinan]])</f>
        <v>#DIV/0!</v>
      </c>
      <c r="AI167" s="35" t="e">
        <f>Table1[[#This Row],[RAB Kegiatan Umum]]/Table1[[#This Row],[Nilai RAB Jaringan
(Exclude Ppn)]]</f>
        <v>#DIV/0!</v>
      </c>
      <c r="AJ167" s="35" t="e">
        <f>Table1[[#This Row],[RAB Pemasangan]]/Table1[[#This Row],[Nilai RAB Jaringan
(Exclude Ppn)]]</f>
        <v>#DIV/0!</v>
      </c>
      <c r="AK167" s="35" t="e">
        <f>Table1[[#This Row],[RAB Pengadaan]]/Table1[[#This Row],[Nilai RAB Jaringan
(Exclude Ppn)]]</f>
        <v>#DIV/0!</v>
      </c>
      <c r="AL167" s="35" t="e">
        <f>Table1[[#This Row],[RAB Perizinan]]/Table1[[#This Row],[Nilai RAB Jaringan
(Exclude Ppn)]]</f>
        <v>#DIV/0!</v>
      </c>
      <c r="AM167" s="47"/>
      <c r="AN167" s="285">
        <v>0</v>
      </c>
      <c r="AO167" s="285">
        <f>SUM(Table1[[#This Row],[Pipa 63 mm]:[Pipa 1,800 mm]])</f>
        <v>0</v>
      </c>
      <c r="AP167" s="285"/>
      <c r="AQ167" s="285"/>
      <c r="AR167" s="285"/>
      <c r="AS167" s="285"/>
      <c r="AT167" s="285"/>
      <c r="AU167" s="285"/>
      <c r="AV167" s="285"/>
      <c r="AW167" s="285"/>
      <c r="AX167" s="285"/>
      <c r="AY167" s="285"/>
      <c r="AZ167" s="285"/>
      <c r="BA167" s="285"/>
      <c r="BB167" s="285"/>
      <c r="BC167" s="285"/>
      <c r="BD167" s="285"/>
      <c r="BE167" s="285"/>
      <c r="BF167" s="285"/>
      <c r="BG167" s="285"/>
      <c r="BH167" s="285"/>
      <c r="BI167" s="285"/>
      <c r="BJ167" s="36">
        <f>SUM(Table1[[#This Row],[Pipa 63 mm2]:[Pipa 1,800 mm21]])</f>
        <v>0</v>
      </c>
      <c r="BK167" s="32"/>
      <c r="BL167" s="32"/>
      <c r="BM167" s="32"/>
      <c r="BN167" s="32"/>
      <c r="BO167" s="32"/>
      <c r="BP167" s="32"/>
      <c r="BQ167" s="32"/>
      <c r="BR167" s="32"/>
      <c r="BS167" s="32"/>
      <c r="BT167" s="32"/>
      <c r="BU167" s="32"/>
      <c r="BV167" s="32"/>
      <c r="BW167" s="32"/>
      <c r="BX167" s="32"/>
      <c r="BY167" s="32"/>
      <c r="BZ167" s="32"/>
      <c r="CA167" s="32"/>
      <c r="CB167" s="32"/>
      <c r="CC167" s="32"/>
      <c r="CD167" s="32"/>
      <c r="CE167" s="32">
        <v>0</v>
      </c>
      <c r="CF167" s="32">
        <v>0</v>
      </c>
      <c r="CG167" s="32">
        <v>0</v>
      </c>
      <c r="CH167" s="32">
        <v>0</v>
      </c>
      <c r="CI167" s="32">
        <f t="shared" si="10"/>
        <v>0</v>
      </c>
      <c r="CJ167" s="65">
        <f>IF((Table1[[#This Row],["Volume
BA MC-0"]]-Table1[[#This Row],[Total Panjang Pipa Aktual
(Sum-&gt;)3]]-Table1[[#This Row],[Total Volume
tidak dapat dipasang]])&gt;=0,Table1[[#This Row],["Volume
BA MC-0"]]-Table1[[#This Row],[Total Panjang Pipa Aktual
(Sum-&gt;)3]]-Table1[[#This Row],[Total Volume
tidak dapat dipasang]],0)</f>
        <v>0</v>
      </c>
      <c r="CK167" s="47"/>
      <c r="CL167" s="131"/>
      <c r="CM167" s="35"/>
      <c r="CN167" s="131"/>
      <c r="CO167" s="131"/>
      <c r="CP16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7.0695829589043019E-3</v>
      </c>
      <c r="CQ167" s="66">
        <f>IFERROR(Table1[[#This Row],[Progres Keg. Umum
(%)]]*Table1[[#This Row],[Nilai RAB Jaringan
(file pa aji)]],0)</f>
        <v>0</v>
      </c>
      <c r="CR167" s="66">
        <f>IFERROR(Table1[[#This Row],[Progres MOS
(%)]]*Table1[[#This Row],[Nilai RAB Jaringan
(file pa aji)]],0)</f>
        <v>0</v>
      </c>
      <c r="CS167" s="66">
        <f>IFERROR(Table1[[#This Row],[Progres Pemasangan
(%)]]*Table1[[#This Row],[Nilai RAB Jaringan
(file pa aji)]],0)</f>
        <v>0</v>
      </c>
      <c r="CT167" s="66">
        <f>IFERROR(Table1[[#This Row],[Progres Perizinan
(%)]]*Table1[[#This Row],[Nilai RAB Jaringan
(file pa aji)]],0)</f>
        <v>0</v>
      </c>
      <c r="CU167" s="329">
        <v>7737232.7333999779</v>
      </c>
      <c r="CV167" s="329">
        <v>7737232.7333999779</v>
      </c>
      <c r="CW167" s="583">
        <v>0</v>
      </c>
      <c r="CX167" s="329">
        <v>0</v>
      </c>
      <c r="CY167" s="47"/>
      <c r="CZ167" s="330">
        <v>45747</v>
      </c>
      <c r="DA167" s="330">
        <v>45774</v>
      </c>
      <c r="DB167" s="331">
        <v>45709</v>
      </c>
      <c r="DC167" s="316" t="s">
        <v>1216</v>
      </c>
      <c r="DD167" s="67">
        <v>1195589587</v>
      </c>
      <c r="DE16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7" s="331">
        <v>45770</v>
      </c>
      <c r="DG167" s="316" t="s">
        <v>1217</v>
      </c>
      <c r="DH167" s="67">
        <v>1195589587</v>
      </c>
      <c r="DI16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7" s="330">
        <v>45775</v>
      </c>
      <c r="DK167" s="330">
        <v>45816</v>
      </c>
      <c r="DL167" s="331">
        <v>45793</v>
      </c>
      <c r="DM167" s="316" t="s">
        <v>1218</v>
      </c>
      <c r="DN16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7" s="331">
        <v>45832</v>
      </c>
      <c r="DP167" s="316" t="s">
        <v>1219</v>
      </c>
      <c r="DQ167" s="338" t="s">
        <v>275</v>
      </c>
      <c r="DR16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7" s="330">
        <v>45775</v>
      </c>
      <c r="DT167" s="330" t="e">
        <v>#N/A</v>
      </c>
      <c r="DU167" s="330">
        <v>45816</v>
      </c>
      <c r="DV167" s="330" t="e">
        <v>#N/A</v>
      </c>
      <c r="DW167" s="331">
        <v>45975</v>
      </c>
      <c r="DX167" t="s">
        <v>1220</v>
      </c>
      <c r="DY167"/>
      <c r="DZ167"/>
      <c r="EA16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7" s="331">
        <v>45995</v>
      </c>
      <c r="EC167" s="332"/>
      <c r="ED167" s="332"/>
      <c r="EE167" s="330" t="s">
        <v>1221</v>
      </c>
      <c r="EF167" s="35">
        <v>1</v>
      </c>
      <c r="EG167" s="337">
        <v>1</v>
      </c>
      <c r="EH167" s="316" t="str">
        <f>IF(Table1[[#This Row],[PO Material Aktual 
(%)]]&gt;=100%,"Selesai PO = 100%",IF(Table1[[#This Row],[PO Material Aktual 
(%)]]&gt;=50%,"Proses PO &gt; 100%",IF(Table1[[#This Row],[PO Material Aktual 
(%)]]&gt;0%,"Proses PO &gt; 50%",IF(Table1[[#This Row],[PO Material Aktual 
(%)]]=0,"Belum PO = 0%"))))</f>
        <v>Selesai PO = 100%</v>
      </c>
      <c r="EI16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7" s="330">
        <v>45782</v>
      </c>
      <c r="EK167" s="330" t="e">
        <v>#N/A</v>
      </c>
      <c r="EL167" s="330">
        <v>45872</v>
      </c>
      <c r="EM167" s="330" t="e">
        <v>#N/A</v>
      </c>
      <c r="EN167" s="331"/>
      <c r="EO167" s="332"/>
      <c r="EP167" s="332"/>
      <c r="EQ167" s="87">
        <v>0.77272727272727271</v>
      </c>
      <c r="ER167" s="87">
        <v>0.77272727272727271</v>
      </c>
      <c r="ES167" s="316" t="str">
        <f>IF(Table1[[#This Row],[Progres MOS]]&gt;=100%,"Selesai MOS = 100%",IF(Table1[[#This Row],[Progres MOS]]&gt;=50%,"Proses MOS &gt; 100%",IF(Table1[[#This Row],[Progres MOS]]&gt;0%,"Proses MOS &gt; 50%",IF(Table1[[#This Row],[Progres MOS]]=0,"Belum MOS = 0%"))))</f>
        <v>Proses MOS &gt; 100%</v>
      </c>
      <c r="ET16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7" s="47"/>
      <c r="EV167" s="330">
        <v>45775</v>
      </c>
      <c r="EW167" s="330" t="e">
        <v>#N/A</v>
      </c>
      <c r="EX167" s="330">
        <v>45837</v>
      </c>
      <c r="EY167" s="330" t="e">
        <v>#N/A</v>
      </c>
      <c r="EZ167" s="352" t="s">
        <v>298</v>
      </c>
      <c r="FA167" s="336" t="s">
        <v>259</v>
      </c>
      <c r="FB167" s="330" t="s">
        <v>260</v>
      </c>
      <c r="FC167" s="330">
        <v>45838</v>
      </c>
      <c r="FD167" s="330" t="s">
        <v>260</v>
      </c>
      <c r="FE167" s="330">
        <v>45888</v>
      </c>
      <c r="FF167" s="330">
        <v>45944</v>
      </c>
      <c r="FG167" s="330" t="s">
        <v>260</v>
      </c>
      <c r="FH167" s="330" t="s">
        <v>260</v>
      </c>
      <c r="FI167" s="330">
        <v>46010</v>
      </c>
      <c r="FJ167" s="330" t="s">
        <v>260</v>
      </c>
      <c r="FK167" s="330">
        <v>46113</v>
      </c>
      <c r="FL167" s="336" t="s">
        <v>298</v>
      </c>
      <c r="FM167" s="352">
        <v>45838</v>
      </c>
      <c r="FN167" s="338">
        <f>IF(Table1[[#This Row],[Tanggal Pengajuan Dokumen]]="","",Table1[[#This Row],[PLAN PERMIT
start]]-Table1[[#This Row],[Tanggal Pengajuan Dokumen]])</f>
        <v>-63</v>
      </c>
      <c r="FO167" s="437">
        <v>46086</v>
      </c>
      <c r="FP167" s="316"/>
      <c r="FQ167" s="338"/>
      <c r="FR167" s="338"/>
      <c r="FS167" s="338" t="str">
        <f t="shared" si="9"/>
        <v>Sudah Terbit</v>
      </c>
      <c r="FT16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7" s="344">
        <f ca="1">IF(Table1[[#This Row],[Status Izin]]="Selesai",Table1[[#This Row],[PLAN PERMIT
finish]]-Table1[[#This Row],[Tanggal Terbit/ Target Izin Terbit]],ROUNDUP(Table1[[#This Row],[PLAN PERMIT
finish]]-NOW(),0))</f>
        <v>-249</v>
      </c>
      <c r="FV16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7" s="344"/>
      <c r="FX167" s="47"/>
      <c r="FY167" s="340"/>
      <c r="FZ167" s="341"/>
      <c r="GA16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7" s="330">
        <v>45823</v>
      </c>
      <c r="GC167" s="352">
        <v>45828</v>
      </c>
      <c r="GD16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7" s="330">
        <v>45823</v>
      </c>
      <c r="GF167" s="352">
        <v>45842</v>
      </c>
      <c r="GG16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7" s="330">
        <v>45817</v>
      </c>
      <c r="GI167" s="330">
        <v>45823</v>
      </c>
      <c r="GJ167" s="352">
        <v>45834</v>
      </c>
      <c r="GK16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7" s="330">
        <v>45838</v>
      </c>
      <c r="GM167" s="330" t="e">
        <v>#N/A</v>
      </c>
      <c r="GN167" s="330">
        <v>45900</v>
      </c>
      <c r="GO167" s="330" t="e">
        <v>#N/A</v>
      </c>
      <c r="GP167" s="316"/>
      <c r="GQ16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7" s="330" t="s">
        <v>261</v>
      </c>
      <c r="GS167" s="330" t="s">
        <v>261</v>
      </c>
      <c r="GT167" s="354"/>
      <c r="GU167" s="344" t="str">
        <f>IF(Table1[[#This Row],[Hydro Tes Actual
(tanggal)]]&lt;&gt;"","Sudah","Belum")</f>
        <v>Belum</v>
      </c>
      <c r="GV167" s="330" t="s">
        <v>261</v>
      </c>
      <c r="GW167" s="330" t="s">
        <v>261</v>
      </c>
      <c r="GX167" s="331"/>
      <c r="GY167" s="344" t="str">
        <f>IF(Table1[[#This Row],[Interkoneksi Actual
(tanggal)]]&lt;&gt;"","Sudah","Belum")</f>
        <v>Belum</v>
      </c>
      <c r="GZ167" s="330" t="s">
        <v>261</v>
      </c>
      <c r="HA167" s="330" t="s">
        <v>261</v>
      </c>
      <c r="HB167" s="331"/>
      <c r="HC167" s="344" t="str">
        <f>IF(Table1[[#This Row],[Flushing Actual
(tanggal)]]&lt;&gt;"","Sudah","Belum")</f>
        <v>Belum</v>
      </c>
      <c r="HD167" s="330">
        <v>45898</v>
      </c>
      <c r="HE167" s="330" t="e">
        <v>#N/A</v>
      </c>
      <c r="HF167" s="330">
        <v>45907</v>
      </c>
      <c r="HG167" s="331"/>
      <c r="HH16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67" s="330" t="s">
        <v>261</v>
      </c>
      <c r="HJ167" s="330" t="s">
        <v>261</v>
      </c>
      <c r="HK167" s="331"/>
      <c r="HL167" s="316"/>
      <c r="HM167" s="330">
        <v>45919</v>
      </c>
      <c r="HN167" s="330">
        <v>45919</v>
      </c>
      <c r="HO167" s="421" t="e">
        <v>#N/A</v>
      </c>
      <c r="HP167" s="331"/>
      <c r="HQ16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67" s="330">
        <v>45926</v>
      </c>
      <c r="HS167" s="330"/>
      <c r="HT167" s="330">
        <v>45926</v>
      </c>
      <c r="HU167" s="330"/>
      <c r="HV167" s="331"/>
      <c r="HW16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67" s="47"/>
      <c r="HY167" s="352"/>
      <c r="HZ167" s="352"/>
      <c r="IB167" s="618">
        <f>IFERROR(ROUND((Table1[[#This Row],[PLAN TC
finish]]-Table1[[#This Row],[PLAN MC-0
start]])/30,2),"")</f>
        <v>3</v>
      </c>
      <c r="IC167">
        <f>DATEDIF(Table1[[#This Row],[PLAN MC-0
start]],Table1[[#This Row],[PLAN TC
finish]],"m")</f>
        <v>2</v>
      </c>
    </row>
    <row r="168" spans="1:237" s="252" customFormat="1" ht="15" hidden="1" customHeight="1" x14ac:dyDescent="0.2">
      <c r="B168" s="311">
        <f>SUBTOTAL(3,$D$5:D168)</f>
        <v>84</v>
      </c>
      <c r="C168" s="362">
        <v>164</v>
      </c>
      <c r="D168" s="400" t="s">
        <v>244</v>
      </c>
      <c r="E168" s="400" t="s">
        <v>1222</v>
      </c>
      <c r="F168" s="400" t="s">
        <v>1223</v>
      </c>
      <c r="G168" s="398">
        <v>45935</v>
      </c>
      <c r="H168" s="399" t="s">
        <v>247</v>
      </c>
      <c r="I168" s="366" t="s">
        <v>1212</v>
      </c>
      <c r="J168" s="320" t="s">
        <v>389</v>
      </c>
      <c r="K168" s="366" t="s">
        <v>1165</v>
      </c>
      <c r="L168" s="367" t="s">
        <v>1213</v>
      </c>
      <c r="M168" s="623" t="s">
        <v>269</v>
      </c>
      <c r="N168" s="253">
        <v>1</v>
      </c>
      <c r="O168" s="265" t="s">
        <v>1214</v>
      </c>
      <c r="P168"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8" s="320" t="s">
        <v>389</v>
      </c>
      <c r="R168" s="371" t="e">
        <v>#N/A</v>
      </c>
      <c r="S168" s="256">
        <v>1</v>
      </c>
      <c r="T168" s="256">
        <f>Table1[[#This Row],[Progres Total Aktual
(%)]]</f>
        <v>6.9718635567824136E-2</v>
      </c>
      <c r="U168" s="257">
        <f>Table1[[#This Row],[Progres Aktual
(%)]]-Table1[[#This Row],[Target Progres
(%)]]</f>
        <v>-0.93028136443217591</v>
      </c>
      <c r="V168" s="258">
        <f>Table1[[#This Row],["Volume
BA MC-0"]]</f>
        <v>0</v>
      </c>
      <c r="W168" s="259">
        <f>Table1[[#This Row],[Total Panjang Pipa Aktual
(Sum-&gt;)3]]</f>
        <v>0</v>
      </c>
      <c r="X168" s="267"/>
      <c r="Y168" s="375" t="s">
        <v>1224</v>
      </c>
      <c r="Z168" s="375">
        <v>961213480</v>
      </c>
      <c r="AA168" s="375">
        <f>Table1[[#This Row],[Nilai RAB Jaringan
(file pa aji)]]</f>
        <v>961213480</v>
      </c>
      <c r="AB168" s="370">
        <f>SUM(Table1[[#This Row],[RAB Kegiatan Umum]:[RAB Perizinan]])</f>
        <v>0</v>
      </c>
      <c r="AC168" s="370"/>
      <c r="AD168" s="370"/>
      <c r="AE168" s="370"/>
      <c r="AF168" s="370"/>
      <c r="AG168" s="439">
        <v>0</v>
      </c>
      <c r="AH168" s="371" t="e">
        <f>SUM(Table1[[#This Row],[Bobot Keg Umum]:[Bobot Perizinan]])</f>
        <v>#DIV/0!</v>
      </c>
      <c r="AI168" s="371" t="e">
        <f>Table1[[#This Row],[RAB Kegiatan Umum]]/Table1[[#This Row],[Nilai RAB Jaringan
(Exclude Ppn)]]</f>
        <v>#DIV/0!</v>
      </c>
      <c r="AJ168" s="371" t="e">
        <f>Table1[[#This Row],[RAB Pemasangan]]/Table1[[#This Row],[Nilai RAB Jaringan
(Exclude Ppn)]]</f>
        <v>#DIV/0!</v>
      </c>
      <c r="AK168" s="371" t="e">
        <f>Table1[[#This Row],[RAB Pengadaan]]/Table1[[#This Row],[Nilai RAB Jaringan
(Exclude Ppn)]]</f>
        <v>#DIV/0!</v>
      </c>
      <c r="AL168" s="371" t="e">
        <f>Table1[[#This Row],[RAB Perizinan]]/Table1[[#This Row],[Nilai RAB Jaringan
(Exclude Ppn)]]</f>
        <v>#DIV/0!</v>
      </c>
      <c r="AM168" s="47"/>
      <c r="AN168" s="376">
        <v>0</v>
      </c>
      <c r="AO168" s="376">
        <f>SUM(Table1[[#This Row],[Pipa 63 mm]:[Pipa 1,800 mm]])</f>
        <v>0</v>
      </c>
      <c r="AP168" s="376"/>
      <c r="AQ168" s="376"/>
      <c r="AR168" s="376"/>
      <c r="AS168" s="376"/>
      <c r="AT168" s="376"/>
      <c r="AU168" s="376"/>
      <c r="AV168" s="376"/>
      <c r="AW168" s="376"/>
      <c r="AX168" s="376"/>
      <c r="AY168" s="376"/>
      <c r="AZ168" s="376"/>
      <c r="BA168" s="376"/>
      <c r="BB168" s="376"/>
      <c r="BC168" s="376"/>
      <c r="BD168" s="376"/>
      <c r="BE168" s="376"/>
      <c r="BF168" s="376"/>
      <c r="BG168" s="376"/>
      <c r="BH168" s="376"/>
      <c r="BI168" s="376"/>
      <c r="BJ168" s="377">
        <f>SUM(Table1[[#This Row],[Pipa 63 mm2]:[Pipa 1,800 mm21]])</f>
        <v>0</v>
      </c>
      <c r="BK168" s="378"/>
      <c r="BL168" s="378"/>
      <c r="BM168" s="378"/>
      <c r="BN168" s="378"/>
      <c r="BO168" s="378"/>
      <c r="BP168" s="378"/>
      <c r="BQ168" s="378"/>
      <c r="BR168" s="378"/>
      <c r="BS168" s="378"/>
      <c r="BT168" s="378"/>
      <c r="BU168" s="378"/>
      <c r="BV168" s="378"/>
      <c r="BW168" s="378"/>
      <c r="BX168" s="378"/>
      <c r="BY168" s="378"/>
      <c r="BZ168" s="378"/>
      <c r="CA168" s="378"/>
      <c r="CB168" s="378"/>
      <c r="CC168" s="378"/>
      <c r="CD168" s="378"/>
      <c r="CE168" s="378">
        <v>0</v>
      </c>
      <c r="CF168" s="378">
        <v>0</v>
      </c>
      <c r="CG168" s="378">
        <v>0</v>
      </c>
      <c r="CH168" s="378">
        <v>0</v>
      </c>
      <c r="CI168" s="378">
        <f t="shared" si="10"/>
        <v>0</v>
      </c>
      <c r="CJ168" s="440">
        <f>IF((Table1[[#This Row],["Volume
BA MC-0"]]-Table1[[#This Row],[Total Panjang Pipa Aktual
(Sum-&gt;)3]]-Table1[[#This Row],[Total Volume
tidak dapat dipasang]])&gt;=0,Table1[[#This Row],["Volume
BA MC-0"]]-Table1[[#This Row],[Total Panjang Pipa Aktual
(Sum-&gt;)3]]-Table1[[#This Row],[Total Volume
tidak dapat dipasang]],0)</f>
        <v>0</v>
      </c>
      <c r="CK168" s="47"/>
      <c r="CL168" s="379"/>
      <c r="CM168" s="371"/>
      <c r="CN168" s="379"/>
      <c r="CO168" s="379"/>
      <c r="CP168"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6.9718635567824136E-2</v>
      </c>
      <c r="CQ168" s="380">
        <f>IFERROR(Table1[[#This Row],[Progres Keg. Umum
(%)]]*Table1[[#This Row],[Nilai RAB Jaringan
(file pa aji)]],0)</f>
        <v>0</v>
      </c>
      <c r="CR168" s="380">
        <f>IFERROR(Table1[[#This Row],[Progres MOS
(%)]]*Table1[[#This Row],[Nilai RAB Jaringan
(file pa aji)]],0)</f>
        <v>0</v>
      </c>
      <c r="CS168" s="380">
        <f>IFERROR(Table1[[#This Row],[Progres Pemasangan
(%)]]*Table1[[#This Row],[Nilai RAB Jaringan
(file pa aji)]],0)</f>
        <v>0</v>
      </c>
      <c r="CT168" s="380">
        <f>IFERROR(Table1[[#This Row],[Progres Perizinan
(%)]]*Table1[[#This Row],[Nilai RAB Jaringan
(file pa aji)]],0)</f>
        <v>0</v>
      </c>
      <c r="CU168" s="329">
        <v>67014492.315000013</v>
      </c>
      <c r="CV168" s="329">
        <v>67014492.315000013</v>
      </c>
      <c r="CW168" s="582">
        <v>0</v>
      </c>
      <c r="CX168" s="329">
        <v>0</v>
      </c>
      <c r="CY168" s="47"/>
      <c r="CZ168" s="386">
        <v>45747</v>
      </c>
      <c r="DA168" s="386">
        <v>45774</v>
      </c>
      <c r="DB168" s="388">
        <v>45712</v>
      </c>
      <c r="DC168" s="367" t="s">
        <v>1225</v>
      </c>
      <c r="DD168" s="375">
        <v>972118819</v>
      </c>
      <c r="DE16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8" s="388">
        <v>45733</v>
      </c>
      <c r="DG168" s="367" t="s">
        <v>1226</v>
      </c>
      <c r="DH168" s="375">
        <v>972118819</v>
      </c>
      <c r="DI168"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8" s="386">
        <v>45775</v>
      </c>
      <c r="DK168" s="386">
        <v>45816</v>
      </c>
      <c r="DL168" s="388">
        <v>45772</v>
      </c>
      <c r="DM168" s="367" t="s">
        <v>1227</v>
      </c>
      <c r="DN168" s="3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8" s="388">
        <v>45831</v>
      </c>
      <c r="DP168" s="367" t="s">
        <v>1228</v>
      </c>
      <c r="DQ168" s="366" t="s">
        <v>275</v>
      </c>
      <c r="DR168" s="3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8" s="386">
        <v>45775</v>
      </c>
      <c r="DT168" s="386" t="e">
        <v>#N/A</v>
      </c>
      <c r="DU168" s="386">
        <v>45816</v>
      </c>
      <c r="DV168" s="386" t="e">
        <v>#N/A</v>
      </c>
      <c r="DW168" s="388">
        <v>45891</v>
      </c>
      <c r="DX168" s="367" t="s">
        <v>1229</v>
      </c>
      <c r="DY168" s="382"/>
      <c r="DZ168" s="382"/>
      <c r="EA168" s="3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8" s="388">
        <v>46027.291666666664</v>
      </c>
      <c r="EC168" s="442"/>
      <c r="ED168" s="442"/>
      <c r="EE168" s="386" t="s">
        <v>1230</v>
      </c>
      <c r="EF168" s="371">
        <v>1</v>
      </c>
      <c r="EG168" s="383">
        <v>1</v>
      </c>
      <c r="EH168" s="367" t="str">
        <f>IF(Table1[[#This Row],[PO Material Aktual 
(%)]]&gt;=100%,"Selesai PO = 100%",IF(Table1[[#This Row],[PO Material Aktual 
(%)]]&gt;=50%,"Proses PO &gt; 100%",IF(Table1[[#This Row],[PO Material Aktual 
(%)]]&gt;0%,"Proses PO &gt; 50%",IF(Table1[[#This Row],[PO Material Aktual 
(%)]]=0,"Belum PO = 0%"))))</f>
        <v>Selesai PO = 100%</v>
      </c>
      <c r="EI168"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8" s="386">
        <v>45782</v>
      </c>
      <c r="EK168" s="386" t="e">
        <v>#N/A</v>
      </c>
      <c r="EL168" s="386">
        <v>45872</v>
      </c>
      <c r="EM168" s="386" t="e">
        <v>#N/A</v>
      </c>
      <c r="EN168" s="388"/>
      <c r="EO168" s="442"/>
      <c r="EP168" s="442"/>
      <c r="EQ168" s="88">
        <v>0.90476190476190477</v>
      </c>
      <c r="ER168" s="88">
        <v>0.90476190476190477</v>
      </c>
      <c r="ES168" s="367" t="str">
        <f>IF(Table1[[#This Row],[Progres MOS]]&gt;=100%,"Selesai MOS = 100%",IF(Table1[[#This Row],[Progres MOS]]&gt;=50%,"Proses MOS &gt; 100%",IF(Table1[[#This Row],[Progres MOS]]&gt;0%,"Proses MOS &gt; 50%",IF(Table1[[#This Row],[Progres MOS]]=0,"Belum MOS = 0%"))))</f>
        <v>Proses MOS &gt; 100%</v>
      </c>
      <c r="ET16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8" s="47"/>
      <c r="EV168" s="386">
        <v>45775</v>
      </c>
      <c r="EW168" s="386" t="e">
        <v>#N/A</v>
      </c>
      <c r="EX168" s="386">
        <v>45837</v>
      </c>
      <c r="EY168" s="386" t="e">
        <v>#N/A</v>
      </c>
      <c r="EZ168" s="384" t="s">
        <v>298</v>
      </c>
      <c r="FA168" s="443" t="s">
        <v>259</v>
      </c>
      <c r="FB168" s="386" t="s">
        <v>260</v>
      </c>
      <c r="FC168" s="330">
        <v>45838</v>
      </c>
      <c r="FD168" s="386" t="s">
        <v>260</v>
      </c>
      <c r="FE168" s="386">
        <v>45888</v>
      </c>
      <c r="FF168" s="386">
        <v>45944</v>
      </c>
      <c r="FG168" s="386" t="s">
        <v>260</v>
      </c>
      <c r="FH168" s="386" t="s">
        <v>260</v>
      </c>
      <c r="FI168" s="386">
        <v>46010</v>
      </c>
      <c r="FJ168" s="386" t="s">
        <v>260</v>
      </c>
      <c r="FK168" s="386">
        <v>46113</v>
      </c>
      <c r="FL168" s="443" t="s">
        <v>298</v>
      </c>
      <c r="FM168" s="384">
        <v>45838</v>
      </c>
      <c r="FN168" s="366">
        <f>IF(Table1[[#This Row],[Tanggal Pengajuan Dokumen]]="","",Table1[[#This Row],[PLAN PERMIT
start]]-Table1[[#This Row],[Tanggal Pengajuan Dokumen]])</f>
        <v>-63</v>
      </c>
      <c r="FO168" s="444">
        <v>46086</v>
      </c>
      <c r="FP168" s="367"/>
      <c r="FQ168" s="366"/>
      <c r="FR168" s="366"/>
      <c r="FS168" s="366" t="str">
        <f t="shared" si="9"/>
        <v>Sudah Terbit</v>
      </c>
      <c r="FT168"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8" s="387">
        <f ca="1">IF(Table1[[#This Row],[Status Izin]]="Selesai",Table1[[#This Row],[PLAN PERMIT
finish]]-Table1[[#This Row],[Tanggal Terbit/ Target Izin Terbit]],ROUNDUP(Table1[[#This Row],[PLAN PERMIT
finish]]-NOW(),0))</f>
        <v>-249</v>
      </c>
      <c r="FV168"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8" s="387"/>
      <c r="FX168" s="47"/>
      <c r="FY168" s="340"/>
      <c r="FZ168" s="341"/>
      <c r="GA16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8" s="403">
        <v>45823</v>
      </c>
      <c r="GC168" s="409">
        <v>45828</v>
      </c>
      <c r="GD168" s="623"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8" s="403">
        <v>45823</v>
      </c>
      <c r="GF168" s="409">
        <v>45842</v>
      </c>
      <c r="GG168" s="623"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8" s="403">
        <v>45817</v>
      </c>
      <c r="GI168" s="403">
        <v>45823</v>
      </c>
      <c r="GJ168" s="409">
        <v>45834</v>
      </c>
      <c r="GK168" s="623"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8" s="403">
        <v>45838</v>
      </c>
      <c r="GM168" s="403" t="e">
        <v>#N/A</v>
      </c>
      <c r="GN168" s="403">
        <v>45900</v>
      </c>
      <c r="GO168" s="403" t="e">
        <v>#N/A</v>
      </c>
      <c r="GP168" s="623"/>
      <c r="GQ168" s="623"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8" s="403" t="s">
        <v>261</v>
      </c>
      <c r="GS168" s="403" t="s">
        <v>261</v>
      </c>
      <c r="GT168" s="412"/>
      <c r="GU168" s="410" t="str">
        <f>IF(Table1[[#This Row],[Hydro Tes Actual
(tanggal)]]&lt;&gt;"","Sudah","Belum")</f>
        <v>Belum</v>
      </c>
      <c r="GV168" s="403" t="s">
        <v>261</v>
      </c>
      <c r="GW168" s="403" t="s">
        <v>261</v>
      </c>
      <c r="GX168" s="404"/>
      <c r="GY168" s="410" t="str">
        <f>IF(Table1[[#This Row],[Interkoneksi Actual
(tanggal)]]&lt;&gt;"","Sudah","Belum")</f>
        <v>Belum</v>
      </c>
      <c r="GZ168" s="403" t="s">
        <v>261</v>
      </c>
      <c r="HA168" s="403" t="s">
        <v>261</v>
      </c>
      <c r="HB168" s="404"/>
      <c r="HC168" s="410" t="str">
        <f>IF(Table1[[#This Row],[Flushing Actual
(tanggal)]]&lt;&gt;"","Sudah","Belum")</f>
        <v>Belum</v>
      </c>
      <c r="HD168" s="403">
        <v>45898</v>
      </c>
      <c r="HE168" s="403" t="e">
        <v>#N/A</v>
      </c>
      <c r="HF168" s="403">
        <v>45907</v>
      </c>
      <c r="HG168" s="404"/>
      <c r="HH168" s="623"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68" s="403" t="s">
        <v>261</v>
      </c>
      <c r="HJ168" s="403" t="s">
        <v>261</v>
      </c>
      <c r="HK168" s="404"/>
      <c r="HL168" s="623"/>
      <c r="HM168" s="403">
        <v>45919</v>
      </c>
      <c r="HN168" s="403">
        <v>45919</v>
      </c>
      <c r="HO168" s="611" t="e">
        <v>#N/A</v>
      </c>
      <c r="HP168" s="404"/>
      <c r="HQ168" s="414"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68" s="403">
        <v>45926</v>
      </c>
      <c r="HS168" s="403"/>
      <c r="HT168" s="403">
        <v>45926</v>
      </c>
      <c r="HU168" s="403"/>
      <c r="HV168" s="404"/>
      <c r="HW168" s="4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68" s="47"/>
      <c r="HY168" s="384"/>
      <c r="HZ168" s="384"/>
      <c r="IB168" s="618">
        <f>IFERROR(ROUND((Table1[[#This Row],[PLAN TC
finish]]-Table1[[#This Row],[PLAN MC-0
start]])/30,2),"")</f>
        <v>3</v>
      </c>
      <c r="IC168">
        <f>DATEDIF(Table1[[#This Row],[PLAN MC-0
start]],Table1[[#This Row],[PLAN TC
finish]],"m")</f>
        <v>2</v>
      </c>
    </row>
    <row r="169" spans="1:237" s="4" customFormat="1" ht="15" hidden="1" customHeight="1" x14ac:dyDescent="0.2">
      <c r="B169" s="311">
        <f>SUBTOTAL(3,$D$5:D169)</f>
        <v>84</v>
      </c>
      <c r="C169" s="348">
        <v>165</v>
      </c>
      <c r="D169" s="338" t="s">
        <v>244</v>
      </c>
      <c r="E169" s="338" t="s">
        <v>1231</v>
      </c>
      <c r="F169" s="338" t="s">
        <v>1232</v>
      </c>
      <c r="G169" s="349">
        <v>45935</v>
      </c>
      <c r="H169" s="314" t="s">
        <v>247</v>
      </c>
      <c r="I169" s="338" t="s">
        <v>1212</v>
      </c>
      <c r="J169" s="397" t="s">
        <v>943</v>
      </c>
      <c r="K169" s="338" t="s">
        <v>1165</v>
      </c>
      <c r="L169" s="316" t="s">
        <v>1213</v>
      </c>
      <c r="M169" s="316" t="s">
        <v>269</v>
      </c>
      <c r="N169" s="107">
        <v>1</v>
      </c>
      <c r="O169" s="131" t="s">
        <v>1214</v>
      </c>
      <c r="P16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69" s="35" t="e">
        <v>#N/A</v>
      </c>
      <c r="S169" s="35">
        <v>1</v>
      </c>
      <c r="T169" s="35">
        <f>Table1[[#This Row],[Progres Total Aktual
(%)]]</f>
        <v>7.215201302110584E-2</v>
      </c>
      <c r="U169" s="124">
        <f>Table1[[#This Row],[Progres Aktual
(%)]]-Table1[[#This Row],[Target Progres
(%)]]</f>
        <v>-0.92784798697889415</v>
      </c>
      <c r="V169" s="350">
        <f>Table1[[#This Row],["Volume
BA MC-0"]]</f>
        <v>0</v>
      </c>
      <c r="W169" s="351">
        <f>Table1[[#This Row],[Total Panjang Pipa Aktual
(Sum-&gt;)3]]</f>
        <v>1</v>
      </c>
      <c r="X169" s="47"/>
      <c r="Y169" s="67" t="s">
        <v>1233</v>
      </c>
      <c r="Z169" s="67">
        <v>4531446155</v>
      </c>
      <c r="AA169" s="67">
        <f>Table1[[#This Row],[Nilai RAB Jaringan
(file pa aji)]]</f>
        <v>4531446155</v>
      </c>
      <c r="AB169" s="320">
        <f>SUM(Table1[[#This Row],[RAB Kegiatan Umum]:[RAB Perizinan]])</f>
        <v>0</v>
      </c>
      <c r="AC169" s="320"/>
      <c r="AD169" s="320"/>
      <c r="AE169" s="320"/>
      <c r="AF169" s="320"/>
      <c r="AG169" s="436">
        <v>0</v>
      </c>
      <c r="AH169" s="35" t="e">
        <f>SUM(Table1[[#This Row],[Bobot Keg Umum]:[Bobot Perizinan]])</f>
        <v>#DIV/0!</v>
      </c>
      <c r="AI169" s="35" t="e">
        <f>Table1[[#This Row],[RAB Kegiatan Umum]]/Table1[[#This Row],[Nilai RAB Jaringan
(Exclude Ppn)]]</f>
        <v>#DIV/0!</v>
      </c>
      <c r="AJ169" s="35" t="e">
        <f>Table1[[#This Row],[RAB Pemasangan]]/Table1[[#This Row],[Nilai RAB Jaringan
(Exclude Ppn)]]</f>
        <v>#DIV/0!</v>
      </c>
      <c r="AK169" s="35" t="e">
        <f>Table1[[#This Row],[RAB Pengadaan]]/Table1[[#This Row],[Nilai RAB Jaringan
(Exclude Ppn)]]</f>
        <v>#DIV/0!</v>
      </c>
      <c r="AL169" s="35" t="e">
        <f>Table1[[#This Row],[RAB Perizinan]]/Table1[[#This Row],[Nilai RAB Jaringan
(Exclude Ppn)]]</f>
        <v>#DIV/0!</v>
      </c>
      <c r="AM169" s="47"/>
      <c r="AN169" s="285">
        <v>0</v>
      </c>
      <c r="AO169" s="285">
        <f>SUM(Table1[[#This Row],[Pipa 63 mm]:[Pipa 1,800 mm]])</f>
        <v>0</v>
      </c>
      <c r="AP169" s="285"/>
      <c r="AQ169" s="285"/>
      <c r="AR169" s="285"/>
      <c r="AS169" s="285"/>
      <c r="AT169" s="285"/>
      <c r="AU169" s="285"/>
      <c r="AV169" s="285"/>
      <c r="AW169" s="285"/>
      <c r="AX169" s="285"/>
      <c r="AY169" s="285"/>
      <c r="AZ169" s="285"/>
      <c r="BA169" s="285"/>
      <c r="BB169" s="285"/>
      <c r="BC169" s="285"/>
      <c r="BD169" s="285"/>
      <c r="BE169" s="285"/>
      <c r="BF169" s="285"/>
      <c r="BG169" s="285"/>
      <c r="BH169" s="285"/>
      <c r="BI169" s="285"/>
      <c r="BJ169" s="36">
        <f>SUM(Table1[[#This Row],[Pipa 63 mm2]:[Pipa 1,800 mm21]])</f>
        <v>1</v>
      </c>
      <c r="BK169" s="32">
        <v>1</v>
      </c>
      <c r="BL169" s="32"/>
      <c r="BM169" s="32"/>
      <c r="BN169" s="32"/>
      <c r="BO169" s="32"/>
      <c r="BP169" s="32"/>
      <c r="BQ169" s="32"/>
      <c r="BR169" s="32"/>
      <c r="BS169" s="32"/>
      <c r="BT169" s="32"/>
      <c r="BU169" s="32"/>
      <c r="BV169" s="32"/>
      <c r="BW169" s="32"/>
      <c r="BX169" s="32"/>
      <c r="BY169" s="32"/>
      <c r="BZ169" s="32"/>
      <c r="CA169" s="32"/>
      <c r="CB169" s="32"/>
      <c r="CC169" s="32"/>
      <c r="CD169" s="32"/>
      <c r="CE169" s="32">
        <v>0</v>
      </c>
      <c r="CF169" s="32">
        <v>0</v>
      </c>
      <c r="CG169" s="32">
        <v>0</v>
      </c>
      <c r="CH169" s="32">
        <v>0</v>
      </c>
      <c r="CI169" s="32">
        <f t="shared" si="10"/>
        <v>0</v>
      </c>
      <c r="CJ169" s="65">
        <f>IF((Table1[[#This Row],["Volume
BA MC-0"]]-Table1[[#This Row],[Total Panjang Pipa Aktual
(Sum-&gt;)3]]-Table1[[#This Row],[Total Volume
tidak dapat dipasang]])&gt;=0,Table1[[#This Row],["Volume
BA MC-0"]]-Table1[[#This Row],[Total Panjang Pipa Aktual
(Sum-&gt;)3]]-Table1[[#This Row],[Total Volume
tidak dapat dipasang]],0)</f>
        <v>0</v>
      </c>
      <c r="CK169" s="47"/>
      <c r="CL169" s="131"/>
      <c r="CM169" s="35"/>
      <c r="CN169" s="131"/>
      <c r="CO169" s="131"/>
      <c r="CP16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7.215201302110584E-2</v>
      </c>
      <c r="CQ169" s="66">
        <f>IFERROR(Table1[[#This Row],[Progres Keg. Umum
(%)]]*Table1[[#This Row],[Nilai RAB Jaringan
(file pa aji)]],0)</f>
        <v>0</v>
      </c>
      <c r="CR169" s="66">
        <f>IFERROR(Table1[[#This Row],[Progres MOS
(%)]]*Table1[[#This Row],[Nilai RAB Jaringan
(file pa aji)]],0)</f>
        <v>0</v>
      </c>
      <c r="CS169" s="66">
        <f>IFERROR(Table1[[#This Row],[Progres Pemasangan
(%)]]*Table1[[#This Row],[Nilai RAB Jaringan
(file pa aji)]],0)</f>
        <v>0</v>
      </c>
      <c r="CT169" s="66">
        <f>IFERROR(Table1[[#This Row],[Progres Perizinan
(%)]]*Table1[[#This Row],[Nilai RAB Jaringan
(file pa aji)]],0)</f>
        <v>0</v>
      </c>
      <c r="CU169" s="329">
        <v>326952961.98000002</v>
      </c>
      <c r="CV169" s="329">
        <v>326952961.98000002</v>
      </c>
      <c r="CW169" s="583">
        <v>0</v>
      </c>
      <c r="CX169" s="329">
        <v>0</v>
      </c>
      <c r="CY169" s="47"/>
      <c r="CZ169" s="330">
        <v>45747</v>
      </c>
      <c r="DA169" s="330">
        <v>45774</v>
      </c>
      <c r="DB169" s="331">
        <v>45712</v>
      </c>
      <c r="DC169" s="316" t="s">
        <v>1234</v>
      </c>
      <c r="DD169" s="67">
        <v>4768013342</v>
      </c>
      <c r="DE16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9" s="331">
        <v>45734</v>
      </c>
      <c r="DG169" s="316" t="s">
        <v>1235</v>
      </c>
      <c r="DH169" s="67">
        <v>4768013342</v>
      </c>
      <c r="DI16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9" s="330">
        <v>45775</v>
      </c>
      <c r="DK169" s="330">
        <v>45816</v>
      </c>
      <c r="DL169" s="331">
        <v>45773</v>
      </c>
      <c r="DM169" s="316" t="s">
        <v>1236</v>
      </c>
      <c r="DN16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9" s="331">
        <v>45832</v>
      </c>
      <c r="DP169" s="316" t="s">
        <v>1237</v>
      </c>
      <c r="DQ169" s="338" t="s">
        <v>275</v>
      </c>
      <c r="DR16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9" s="330">
        <v>45775</v>
      </c>
      <c r="DT169" s="330" t="e">
        <v>#N/A</v>
      </c>
      <c r="DU169" s="330">
        <v>45816</v>
      </c>
      <c r="DV169" s="330" t="e">
        <v>#N/A</v>
      </c>
      <c r="DW169" s="331">
        <v>45975</v>
      </c>
      <c r="DX169" s="316" t="s">
        <v>1238</v>
      </c>
      <c r="DY169" s="334"/>
      <c r="DZ169" s="334"/>
      <c r="EA16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9" s="331">
        <v>45993</v>
      </c>
      <c r="EC169" s="332"/>
      <c r="ED169" s="332"/>
      <c r="EE169" s="330" t="s">
        <v>1239</v>
      </c>
      <c r="EF169" s="35">
        <v>1</v>
      </c>
      <c r="EG169" s="337">
        <v>1</v>
      </c>
      <c r="EH169" s="316" t="str">
        <f>IF(Table1[[#This Row],[PO Material Aktual 
(%)]]&gt;=100%,"Selesai PO = 100%",IF(Table1[[#This Row],[PO Material Aktual 
(%)]]&gt;=50%,"Proses PO &gt; 100%",IF(Table1[[#This Row],[PO Material Aktual 
(%)]]&gt;0%,"Proses PO &gt; 50%",IF(Table1[[#This Row],[PO Material Aktual 
(%)]]=0,"Belum PO = 0%"))))</f>
        <v>Selesai PO = 100%</v>
      </c>
      <c r="EI16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9" s="330">
        <v>45782</v>
      </c>
      <c r="EK169" s="330" t="e">
        <v>#N/A</v>
      </c>
      <c r="EL169" s="330">
        <v>45872</v>
      </c>
      <c r="EM169" s="330" t="e">
        <v>#N/A</v>
      </c>
      <c r="EN169" s="331"/>
      <c r="EO169" s="332"/>
      <c r="EP169" s="332"/>
      <c r="EQ169" s="87">
        <v>0.72499999999999998</v>
      </c>
      <c r="ER169" s="87">
        <v>0.72499999999999998</v>
      </c>
      <c r="ES169" s="316" t="str">
        <f>IF(Table1[[#This Row],[Progres MOS]]&gt;=100%,"Selesai MOS = 100%",IF(Table1[[#This Row],[Progres MOS]]&gt;=50%,"Proses MOS &gt; 100%",IF(Table1[[#This Row],[Progres MOS]]&gt;0%,"Proses MOS &gt; 50%",IF(Table1[[#This Row],[Progres MOS]]=0,"Belum MOS = 0%"))))</f>
        <v>Proses MOS &gt; 100%</v>
      </c>
      <c r="ET16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9" s="47"/>
      <c r="EV169" s="330">
        <v>45775</v>
      </c>
      <c r="EW169" s="330" t="e">
        <v>#N/A</v>
      </c>
      <c r="EX169" s="330">
        <v>45837</v>
      </c>
      <c r="EY169" s="330" t="e">
        <v>#N/A</v>
      </c>
      <c r="EZ169" s="352" t="s">
        <v>298</v>
      </c>
      <c r="FA169" s="336" t="s">
        <v>298</v>
      </c>
      <c r="FB169" s="330" t="s">
        <v>260</v>
      </c>
      <c r="FC169" s="330">
        <v>45866</v>
      </c>
      <c r="FD169" s="330" t="s">
        <v>260</v>
      </c>
      <c r="FE169" s="330">
        <v>45895</v>
      </c>
      <c r="FF169" s="330">
        <v>45971</v>
      </c>
      <c r="FG169" s="330" t="s">
        <v>260</v>
      </c>
      <c r="FH169" s="330" t="s">
        <v>260</v>
      </c>
      <c r="FI169" s="330">
        <v>46013</v>
      </c>
      <c r="FJ169" s="330" t="s">
        <v>260</v>
      </c>
      <c r="FK169" s="330"/>
      <c r="FL169" s="336" t="s">
        <v>298</v>
      </c>
      <c r="FM169" s="352">
        <v>45866</v>
      </c>
      <c r="FN169" s="338">
        <f>IF(Table1[[#This Row],[Tanggal Pengajuan Dokumen]]="","",Table1[[#This Row],[PLAN PERMIT
start]]-Table1[[#This Row],[Tanggal Pengajuan Dokumen]])</f>
        <v>-91</v>
      </c>
      <c r="FO169" s="437">
        <v>46086</v>
      </c>
      <c r="FP169" s="316"/>
      <c r="FQ169" s="338"/>
      <c r="FR169" s="338"/>
      <c r="FS169" s="338" t="str">
        <f t="shared" si="9"/>
        <v>On Going</v>
      </c>
      <c r="FT16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69" s="344">
        <f ca="1">IF(Table1[[#This Row],[Status Izin]]="Selesai",Table1[[#This Row],[PLAN PERMIT
finish]]-Table1[[#This Row],[Tanggal Terbit/ Target Izin Terbit]],ROUNDUP(Table1[[#This Row],[PLAN PERMIT
finish]]-NOW(),0))</f>
        <v>-354</v>
      </c>
      <c r="FV16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9" s="344"/>
      <c r="FX169" s="47"/>
      <c r="FY169" s="340"/>
      <c r="FZ169" s="341"/>
      <c r="GA16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9" s="330">
        <v>45823</v>
      </c>
      <c r="GC169" s="352">
        <v>45828</v>
      </c>
      <c r="GD16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9" s="330">
        <v>45823</v>
      </c>
      <c r="GF169" s="352">
        <v>45842</v>
      </c>
      <c r="GG16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9" s="330">
        <v>45817</v>
      </c>
      <c r="GI169" s="330">
        <v>45823</v>
      </c>
      <c r="GJ169" s="352">
        <v>45834</v>
      </c>
      <c r="GK16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9" s="330">
        <v>45838</v>
      </c>
      <c r="GM169" s="330" t="e">
        <v>#N/A</v>
      </c>
      <c r="GN169" s="330">
        <v>45900</v>
      </c>
      <c r="GO169" s="330" t="e">
        <v>#N/A</v>
      </c>
      <c r="GP169" s="316"/>
      <c r="GQ16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9" s="330" t="s">
        <v>261</v>
      </c>
      <c r="GS169" s="330" t="s">
        <v>261</v>
      </c>
      <c r="GT169" s="354"/>
      <c r="GU169" s="344" t="str">
        <f>IF(Table1[[#This Row],[Hydro Tes Actual
(tanggal)]]&lt;&gt;"","Sudah","Belum")</f>
        <v>Belum</v>
      </c>
      <c r="GV169" s="330" t="s">
        <v>261</v>
      </c>
      <c r="GW169" s="330" t="s">
        <v>261</v>
      </c>
      <c r="GX169" s="331"/>
      <c r="GY169" s="344" t="str">
        <f>IF(Table1[[#This Row],[Interkoneksi Actual
(tanggal)]]&lt;&gt;"","Sudah","Belum")</f>
        <v>Belum</v>
      </c>
      <c r="GZ169" s="330" t="s">
        <v>261</v>
      </c>
      <c r="HA169" s="330" t="s">
        <v>261</v>
      </c>
      <c r="HB169" s="331"/>
      <c r="HC169" s="344" t="str">
        <f>IF(Table1[[#This Row],[Flushing Actual
(tanggal)]]&lt;&gt;"","Sudah","Belum")</f>
        <v>Belum</v>
      </c>
      <c r="HD169" s="330">
        <v>45898</v>
      </c>
      <c r="HE169" s="330" t="e">
        <v>#N/A</v>
      </c>
      <c r="HF169" s="330">
        <v>45907</v>
      </c>
      <c r="HG169" s="331"/>
      <c r="HH16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69" s="330" t="s">
        <v>261</v>
      </c>
      <c r="HJ169" s="330" t="s">
        <v>261</v>
      </c>
      <c r="HK169" s="331"/>
      <c r="HL169" s="316"/>
      <c r="HM169" s="330">
        <v>45919</v>
      </c>
      <c r="HN169" s="330">
        <v>45919</v>
      </c>
      <c r="HO169" s="421" t="e">
        <v>#N/A</v>
      </c>
      <c r="HP169" s="331"/>
      <c r="HQ16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69" s="330">
        <v>45926</v>
      </c>
      <c r="HS169" s="330"/>
      <c r="HT169" s="330">
        <v>45926</v>
      </c>
      <c r="HU169" s="330"/>
      <c r="HV169" s="331"/>
      <c r="HW16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69" s="47"/>
      <c r="HY169" s="352"/>
      <c r="HZ169" s="352"/>
      <c r="IB169" s="618">
        <f>IFERROR(ROUND((Table1[[#This Row],[PLAN TC
finish]]-Table1[[#This Row],[PLAN MC-0
start]])/30,2),"")</f>
        <v>3</v>
      </c>
      <c r="IC169">
        <f>DATEDIF(Table1[[#This Row],[PLAN MC-0
start]],Table1[[#This Row],[PLAN TC
finish]],"m")</f>
        <v>2</v>
      </c>
    </row>
    <row r="170" spans="1:237" s="4" customFormat="1" ht="15" hidden="1" customHeight="1" x14ac:dyDescent="0.2">
      <c r="B170" s="311">
        <f>SUBTOTAL(3,$D$5:D170)</f>
        <v>84</v>
      </c>
      <c r="C170" s="348">
        <v>166</v>
      </c>
      <c r="D170" s="338" t="s">
        <v>244</v>
      </c>
      <c r="E170" s="338" t="s">
        <v>1240</v>
      </c>
      <c r="F170" s="338" t="s">
        <v>1241</v>
      </c>
      <c r="G170" s="349">
        <v>45935</v>
      </c>
      <c r="H170" s="314" t="s">
        <v>247</v>
      </c>
      <c r="I170" s="338" t="s">
        <v>1212</v>
      </c>
      <c r="J170" s="397" t="s">
        <v>943</v>
      </c>
      <c r="K170" s="338" t="s">
        <v>1165</v>
      </c>
      <c r="L170" s="316" t="s">
        <v>1213</v>
      </c>
      <c r="M170" s="316" t="s">
        <v>269</v>
      </c>
      <c r="N170" s="107">
        <v>1</v>
      </c>
      <c r="O170" s="131" t="s">
        <v>1214</v>
      </c>
      <c r="P17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170" s="35" t="e">
        <v>#N/A</v>
      </c>
      <c r="S170" s="35">
        <v>1</v>
      </c>
      <c r="T170" s="35">
        <f>Table1[[#This Row],[Progres Total Aktual
(%)]]</f>
        <v>0.39781027917939266</v>
      </c>
      <c r="U170" s="124">
        <f>Table1[[#This Row],[Progres Aktual
(%)]]-Table1[[#This Row],[Target Progres
(%)]]</f>
        <v>-0.60218972082060729</v>
      </c>
      <c r="V170" s="350">
        <f>Table1[[#This Row],["Volume
BA MC-0"]]</f>
        <v>0</v>
      </c>
      <c r="W170" s="351">
        <f>Table1[[#This Row],[Total Panjang Pipa Aktual
(Sum-&gt;)3]]</f>
        <v>0</v>
      </c>
      <c r="X170" s="47"/>
      <c r="Y170" s="67" t="s">
        <v>1242</v>
      </c>
      <c r="Z170" s="67">
        <v>2595445749</v>
      </c>
      <c r="AA170" s="67">
        <f>Table1[[#This Row],[Nilai RAB Jaringan
(file pa aji)]]</f>
        <v>2595445749</v>
      </c>
      <c r="AB170" s="320">
        <f>SUM(Table1[[#This Row],[RAB Kegiatan Umum]:[RAB Perizinan]])</f>
        <v>0</v>
      </c>
      <c r="AC170" s="320"/>
      <c r="AD170" s="320"/>
      <c r="AE170" s="320"/>
      <c r="AF170" s="320"/>
      <c r="AG170" s="436">
        <v>0</v>
      </c>
      <c r="AH170" s="35" t="e">
        <f>SUM(Table1[[#This Row],[Bobot Keg Umum]:[Bobot Perizinan]])</f>
        <v>#DIV/0!</v>
      </c>
      <c r="AI170" s="35" t="e">
        <f>Table1[[#This Row],[RAB Kegiatan Umum]]/Table1[[#This Row],[Nilai RAB Jaringan
(Exclude Ppn)]]</f>
        <v>#DIV/0!</v>
      </c>
      <c r="AJ170" s="35" t="e">
        <f>Table1[[#This Row],[RAB Pemasangan]]/Table1[[#This Row],[Nilai RAB Jaringan
(Exclude Ppn)]]</f>
        <v>#DIV/0!</v>
      </c>
      <c r="AK170" s="35" t="e">
        <f>Table1[[#This Row],[RAB Pengadaan]]/Table1[[#This Row],[Nilai RAB Jaringan
(Exclude Ppn)]]</f>
        <v>#DIV/0!</v>
      </c>
      <c r="AL170" s="35" t="e">
        <f>Table1[[#This Row],[RAB Perizinan]]/Table1[[#This Row],[Nilai RAB Jaringan
(Exclude Ppn)]]</f>
        <v>#DIV/0!</v>
      </c>
      <c r="AM170" s="47"/>
      <c r="AN170" s="285">
        <v>0</v>
      </c>
      <c r="AO170" s="285">
        <f>SUM(Table1[[#This Row],[Pipa 63 mm]:[Pipa 1,800 mm]])</f>
        <v>0</v>
      </c>
      <c r="AP170" s="285"/>
      <c r="AQ170" s="285"/>
      <c r="AR170" s="285"/>
      <c r="AS170" s="285"/>
      <c r="AT170" s="285"/>
      <c r="AU170" s="285"/>
      <c r="AV170" s="285"/>
      <c r="AW170" s="285"/>
      <c r="AX170" s="285"/>
      <c r="AY170" s="285"/>
      <c r="AZ170" s="285"/>
      <c r="BA170" s="285"/>
      <c r="BB170" s="285"/>
      <c r="BC170" s="285"/>
      <c r="BD170" s="285"/>
      <c r="BE170" s="285"/>
      <c r="BF170" s="285"/>
      <c r="BG170" s="285"/>
      <c r="BH170" s="285"/>
      <c r="BI170" s="285"/>
      <c r="BJ170" s="36">
        <f>SUM(Table1[[#This Row],[Pipa 63 mm2]:[Pipa 1,800 mm21]])</f>
        <v>0</v>
      </c>
      <c r="BK170" s="32"/>
      <c r="BL170" s="32"/>
      <c r="BM170" s="32"/>
      <c r="BN170" s="32"/>
      <c r="BO170" s="32"/>
      <c r="BP170" s="32"/>
      <c r="BQ170" s="32"/>
      <c r="BR170" s="32"/>
      <c r="BS170" s="32"/>
      <c r="BT170" s="32"/>
      <c r="BU170" s="32"/>
      <c r="BV170" s="32"/>
      <c r="BW170" s="32"/>
      <c r="BX170" s="32"/>
      <c r="BY170" s="32"/>
      <c r="BZ170" s="32"/>
      <c r="CA170" s="32"/>
      <c r="CB170" s="32"/>
      <c r="CC170" s="32"/>
      <c r="CD170" s="32"/>
      <c r="CE170" s="32">
        <v>0</v>
      </c>
      <c r="CF170" s="32">
        <v>0</v>
      </c>
      <c r="CG170" s="32">
        <v>0</v>
      </c>
      <c r="CH170" s="32">
        <v>0</v>
      </c>
      <c r="CI170" s="32">
        <f t="shared" si="10"/>
        <v>0</v>
      </c>
      <c r="CJ170" s="65">
        <f>IF((Table1[[#This Row],["Volume
BA MC-0"]]-Table1[[#This Row],[Total Panjang Pipa Aktual
(Sum-&gt;)3]]-Table1[[#This Row],[Total Volume
tidak dapat dipasang]])&gt;=0,Table1[[#This Row],["Volume
BA MC-0"]]-Table1[[#This Row],[Total Panjang Pipa Aktual
(Sum-&gt;)3]]-Table1[[#This Row],[Total Volume
tidak dapat dipasang]],0)</f>
        <v>0</v>
      </c>
      <c r="CK170" s="47"/>
      <c r="CL170" s="131"/>
      <c r="CM170" s="35"/>
      <c r="CN170" s="131"/>
      <c r="CO170" s="131"/>
      <c r="CP17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0.39781027917939266</v>
      </c>
      <c r="CQ170" s="66">
        <f>IFERROR(Table1[[#This Row],[Progres Keg. Umum
(%)]]*Table1[[#This Row],[Nilai RAB Jaringan
(file pa aji)]],0)</f>
        <v>0</v>
      </c>
      <c r="CR170" s="66">
        <f>IFERROR(Table1[[#This Row],[Progres MOS
(%)]]*Table1[[#This Row],[Nilai RAB Jaringan
(file pa aji)]],0)</f>
        <v>0</v>
      </c>
      <c r="CS170" s="66">
        <f>IFERROR(Table1[[#This Row],[Progres Pemasangan
(%)]]*Table1[[#This Row],[Nilai RAB Jaringan
(file pa aji)]],0)</f>
        <v>0</v>
      </c>
      <c r="CT170" s="66">
        <f>IFERROR(Table1[[#This Row],[Progres Perizinan
(%)]]*Table1[[#This Row],[Nilai RAB Jaringan
(file pa aji)]],0)</f>
        <v>0</v>
      </c>
      <c r="CU170" s="329">
        <v>1032494998.0046579</v>
      </c>
      <c r="CV170" s="329">
        <v>1032494998.0046579</v>
      </c>
      <c r="CW170" s="583">
        <v>0</v>
      </c>
      <c r="CX170" s="329">
        <v>0</v>
      </c>
      <c r="CY170" s="47"/>
      <c r="CZ170" s="330">
        <v>45747</v>
      </c>
      <c r="DA170" s="330">
        <v>45774</v>
      </c>
      <c r="DB170" s="331">
        <v>45712</v>
      </c>
      <c r="DC170" s="316" t="s">
        <v>1243</v>
      </c>
      <c r="DD170" s="67">
        <v>1152775282</v>
      </c>
      <c r="DE17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0" s="331">
        <v>45770</v>
      </c>
      <c r="DG170" s="316" t="s">
        <v>1244</v>
      </c>
      <c r="DH170" s="67">
        <v>1152775282</v>
      </c>
      <c r="DI17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0" s="330">
        <v>45775</v>
      </c>
      <c r="DK170" s="330">
        <v>45816</v>
      </c>
      <c r="DL170" s="331">
        <v>45797</v>
      </c>
      <c r="DM170" s="316" t="s">
        <v>1245</v>
      </c>
      <c r="DN17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0" s="331">
        <v>45831</v>
      </c>
      <c r="DP170" s="316" t="s">
        <v>1246</v>
      </c>
      <c r="DQ170" s="338" t="s">
        <v>275</v>
      </c>
      <c r="DR17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0" s="330">
        <v>45775</v>
      </c>
      <c r="DT170" s="330" t="e">
        <v>#N/A</v>
      </c>
      <c r="DU170" s="330">
        <v>45816</v>
      </c>
      <c r="DV170" s="330" t="e">
        <v>#N/A</v>
      </c>
      <c r="DW170" s="331">
        <v>45975</v>
      </c>
      <c r="DX170" s="316" t="s">
        <v>1247</v>
      </c>
      <c r="DY170" s="334"/>
      <c r="DZ170" s="334"/>
      <c r="EA17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0" s="331"/>
      <c r="EC170" s="332"/>
      <c r="ED170" s="332"/>
      <c r="EE170" s="330"/>
      <c r="EF170" s="35">
        <v>0.59459459459459463</v>
      </c>
      <c r="EG170" s="337">
        <v>0.59459459459459463</v>
      </c>
      <c r="EH170" s="316" t="str">
        <f>IF(Table1[[#This Row],[PO Material Aktual 
(%)]]&gt;=100%,"Selesai PO = 100%",IF(Table1[[#This Row],[PO Material Aktual 
(%)]]&gt;=50%,"Proses PO &gt; 100%",IF(Table1[[#This Row],[PO Material Aktual 
(%)]]&gt;0%,"Proses PO &gt; 50%",IF(Table1[[#This Row],[PO Material Aktual 
(%)]]=0,"Belum PO = 0%"))))</f>
        <v>Proses PO &gt; 100%</v>
      </c>
      <c r="EI17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0" s="330">
        <v>45782</v>
      </c>
      <c r="EK170" s="330" t="e">
        <v>#N/A</v>
      </c>
      <c r="EL170" s="330">
        <v>45872</v>
      </c>
      <c r="EM170" s="330" t="e">
        <v>#N/A</v>
      </c>
      <c r="EN170" s="331"/>
      <c r="EO170" s="332"/>
      <c r="EP170" s="332"/>
      <c r="EQ170" s="87">
        <v>0.54054054054054057</v>
      </c>
      <c r="ER170" s="87">
        <v>0.54054054054054057</v>
      </c>
      <c r="ES170" s="316" t="str">
        <f>IF(Table1[[#This Row],[Progres MOS]]&gt;=100%,"Selesai MOS = 100%",IF(Table1[[#This Row],[Progres MOS]]&gt;=50%,"Proses MOS &gt; 100%",IF(Table1[[#This Row],[Progres MOS]]&gt;0%,"Proses MOS &gt; 50%",IF(Table1[[#This Row],[Progres MOS]]=0,"Belum MOS = 0%"))))</f>
        <v>Proses MOS &gt; 100%</v>
      </c>
      <c r="ET17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0" s="47"/>
      <c r="EV170" s="330">
        <v>45775</v>
      </c>
      <c r="EW170" s="330" t="e">
        <v>#N/A</v>
      </c>
      <c r="EX170" s="330">
        <v>45837</v>
      </c>
      <c r="EY170" s="330" t="e">
        <v>#N/A</v>
      </c>
      <c r="EZ170" s="352" t="s">
        <v>298</v>
      </c>
      <c r="FA170" s="336" t="s">
        <v>298</v>
      </c>
      <c r="FB170" s="330" t="s">
        <v>260</v>
      </c>
      <c r="FC170" s="330">
        <v>45866</v>
      </c>
      <c r="FD170" s="330" t="s">
        <v>260</v>
      </c>
      <c r="FE170" s="330">
        <v>45895</v>
      </c>
      <c r="FF170" s="330">
        <v>45971</v>
      </c>
      <c r="FG170" s="330" t="s">
        <v>260</v>
      </c>
      <c r="FH170" s="330" t="s">
        <v>260</v>
      </c>
      <c r="FI170" s="330">
        <v>46013</v>
      </c>
      <c r="FJ170" s="330" t="s">
        <v>260</v>
      </c>
      <c r="FK170" s="330"/>
      <c r="FL170" s="336" t="s">
        <v>298</v>
      </c>
      <c r="FM170" s="352">
        <v>45866</v>
      </c>
      <c r="FN170" s="338">
        <f>IF(Table1[[#This Row],[Tanggal Pengajuan Dokumen]]="","",Table1[[#This Row],[PLAN PERMIT
start]]-Table1[[#This Row],[Tanggal Pengajuan Dokumen]])</f>
        <v>-91</v>
      </c>
      <c r="FO170" s="437">
        <v>46086</v>
      </c>
      <c r="FP170" s="316"/>
      <c r="FQ170" s="338"/>
      <c r="FR170" s="338"/>
      <c r="FS170" s="338" t="str">
        <f t="shared" si="9"/>
        <v>On Going</v>
      </c>
      <c r="FT17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0" s="344">
        <f ca="1">IF(Table1[[#This Row],[Status Izin]]="Selesai",Table1[[#This Row],[PLAN PERMIT
finish]]-Table1[[#This Row],[Tanggal Terbit/ Target Izin Terbit]],ROUNDUP(Table1[[#This Row],[PLAN PERMIT
finish]]-NOW(),0))</f>
        <v>-354</v>
      </c>
      <c r="FV17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0" s="344"/>
      <c r="FX170" s="47"/>
      <c r="FY170" s="340"/>
      <c r="FZ170" s="341"/>
      <c r="GA17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0" s="330">
        <v>45823</v>
      </c>
      <c r="GC170" s="352">
        <v>45828</v>
      </c>
      <c r="GD17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0" s="330">
        <v>45823</v>
      </c>
      <c r="GF170" s="352">
        <v>45842</v>
      </c>
      <c r="GG17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0" s="330">
        <v>45817</v>
      </c>
      <c r="GI170" s="330">
        <v>45823</v>
      </c>
      <c r="GJ170" s="352">
        <v>45834</v>
      </c>
      <c r="GK17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0" s="330">
        <v>45838</v>
      </c>
      <c r="GM170" s="330" t="e">
        <v>#N/A</v>
      </c>
      <c r="GN170" s="330">
        <v>45900</v>
      </c>
      <c r="GO170" s="330" t="e">
        <v>#N/A</v>
      </c>
      <c r="GP170" s="316"/>
      <c r="GQ17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0" s="330" t="s">
        <v>261</v>
      </c>
      <c r="GS170" s="330" t="s">
        <v>261</v>
      </c>
      <c r="GT170" s="354"/>
      <c r="GU170" s="344" t="str">
        <f>IF(Table1[[#This Row],[Hydro Tes Actual
(tanggal)]]&lt;&gt;"","Sudah","Belum")</f>
        <v>Belum</v>
      </c>
      <c r="GV170" s="330" t="s">
        <v>261</v>
      </c>
      <c r="GW170" s="330" t="s">
        <v>261</v>
      </c>
      <c r="GX170" s="395" t="s">
        <v>1248</v>
      </c>
      <c r="GY170" s="344" t="str">
        <f>IF(Table1[[#This Row],[Interkoneksi Actual
(tanggal)]]&lt;&gt;"","Sudah","Belum")</f>
        <v>Sudah</v>
      </c>
      <c r="GZ170" s="330" t="s">
        <v>261</v>
      </c>
      <c r="HA170" s="330" t="s">
        <v>261</v>
      </c>
      <c r="HB170" s="331"/>
      <c r="HC170" s="344" t="str">
        <f>IF(Table1[[#This Row],[Flushing Actual
(tanggal)]]&lt;&gt;"","Sudah","Belum")</f>
        <v>Belum</v>
      </c>
      <c r="HD170" s="330">
        <v>45898</v>
      </c>
      <c r="HE170" s="330" t="e">
        <v>#N/A</v>
      </c>
      <c r="HF170" s="330">
        <v>45907</v>
      </c>
      <c r="HG170" s="331">
        <v>46164</v>
      </c>
      <c r="HH17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0" s="330" t="s">
        <v>261</v>
      </c>
      <c r="HJ170" s="330" t="s">
        <v>261</v>
      </c>
      <c r="HK170" s="331"/>
      <c r="HL170" s="316"/>
      <c r="HM170" s="330">
        <v>45919</v>
      </c>
      <c r="HN170" s="330">
        <v>45919</v>
      </c>
      <c r="HO170" s="421" t="e">
        <v>#N/A</v>
      </c>
      <c r="HP170" s="331"/>
      <c r="HQ17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70" s="330">
        <v>45926</v>
      </c>
      <c r="HS170" s="330"/>
      <c r="HT170" s="330">
        <v>45926</v>
      </c>
      <c r="HU170" s="330"/>
      <c r="HV170" s="331"/>
      <c r="HW17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70" s="47"/>
      <c r="HY170" s="352"/>
      <c r="HZ170" s="352"/>
      <c r="IB170" s="618">
        <f>IFERROR(ROUND((Table1[[#This Row],[PLAN TC
finish]]-Table1[[#This Row],[PLAN MC-0
start]])/30,2),"")</f>
        <v>3</v>
      </c>
      <c r="IC170">
        <f>DATEDIF(Table1[[#This Row],[PLAN MC-0
start]],Table1[[#This Row],[PLAN TC
finish]],"m")</f>
        <v>2</v>
      </c>
    </row>
    <row r="171" spans="1:237" s="4" customFormat="1" ht="15" hidden="1" customHeight="1" x14ac:dyDescent="0.2">
      <c r="B171" s="311">
        <f>SUBTOTAL(3,$D$5:D171)</f>
        <v>84</v>
      </c>
      <c r="C171" s="348">
        <v>167</v>
      </c>
      <c r="D171" s="338" t="s">
        <v>244</v>
      </c>
      <c r="E171" s="338" t="s">
        <v>1249</v>
      </c>
      <c r="F171" s="338" t="s">
        <v>1250</v>
      </c>
      <c r="G171" s="349">
        <v>45935</v>
      </c>
      <c r="H171" s="314" t="s">
        <v>247</v>
      </c>
      <c r="I171" s="338" t="s">
        <v>1212</v>
      </c>
      <c r="J171" s="397" t="s">
        <v>943</v>
      </c>
      <c r="K171" s="338" t="s">
        <v>1165</v>
      </c>
      <c r="L171" s="316" t="s">
        <v>1213</v>
      </c>
      <c r="M171" s="316" t="s">
        <v>269</v>
      </c>
      <c r="N171" s="107">
        <v>1</v>
      </c>
      <c r="O171" s="131" t="s">
        <v>1214</v>
      </c>
      <c r="P17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71" s="35" t="e">
        <v>#N/A</v>
      </c>
      <c r="S171" s="35">
        <v>1</v>
      </c>
      <c r="T171" s="35">
        <f>Table1[[#This Row],[Progres Total Aktual
(%)]]</f>
        <v>5.8714849903138903E-2</v>
      </c>
      <c r="U171" s="124">
        <f>Table1[[#This Row],[Progres Aktual
(%)]]-Table1[[#This Row],[Target Progres
(%)]]</f>
        <v>-0.94128515009686109</v>
      </c>
      <c r="V171" s="350">
        <f>Table1[[#This Row],["Volume
BA MC-0"]]</f>
        <v>0</v>
      </c>
      <c r="W171" s="351">
        <f>Table1[[#This Row],[Total Panjang Pipa Aktual
(Sum-&gt;)3]]</f>
        <v>1</v>
      </c>
      <c r="X171" s="47"/>
      <c r="Y171" s="67" t="s">
        <v>1251</v>
      </c>
      <c r="Z171" s="67">
        <v>3921389066</v>
      </c>
      <c r="AA171" s="67">
        <f>Table1[[#This Row],[Nilai RAB Jaringan
(file pa aji)]]</f>
        <v>3921389066</v>
      </c>
      <c r="AB171" s="320">
        <f>SUM(Table1[[#This Row],[RAB Kegiatan Umum]:[RAB Perizinan]])</f>
        <v>0</v>
      </c>
      <c r="AC171" s="320"/>
      <c r="AD171" s="320"/>
      <c r="AE171" s="320"/>
      <c r="AF171" s="320"/>
      <c r="AG171" s="436">
        <v>0</v>
      </c>
      <c r="AH171" s="35" t="e">
        <f>SUM(Table1[[#This Row],[Bobot Keg Umum]:[Bobot Perizinan]])</f>
        <v>#DIV/0!</v>
      </c>
      <c r="AI171" s="35" t="e">
        <f>Table1[[#This Row],[RAB Kegiatan Umum]]/Table1[[#This Row],[Nilai RAB Jaringan
(Exclude Ppn)]]</f>
        <v>#DIV/0!</v>
      </c>
      <c r="AJ171" s="35" t="e">
        <f>Table1[[#This Row],[RAB Pemasangan]]/Table1[[#This Row],[Nilai RAB Jaringan
(Exclude Ppn)]]</f>
        <v>#DIV/0!</v>
      </c>
      <c r="AK171" s="35" t="e">
        <f>Table1[[#This Row],[RAB Pengadaan]]/Table1[[#This Row],[Nilai RAB Jaringan
(Exclude Ppn)]]</f>
        <v>#DIV/0!</v>
      </c>
      <c r="AL171" s="35" t="e">
        <f>Table1[[#This Row],[RAB Perizinan]]/Table1[[#This Row],[Nilai RAB Jaringan
(Exclude Ppn)]]</f>
        <v>#DIV/0!</v>
      </c>
      <c r="AM171" s="47"/>
      <c r="AN171" s="285">
        <v>0</v>
      </c>
      <c r="AO171" s="285">
        <f>SUM(Table1[[#This Row],[Pipa 63 mm]:[Pipa 1,800 mm]])</f>
        <v>0</v>
      </c>
      <c r="AP171" s="285"/>
      <c r="AQ171" s="285"/>
      <c r="AR171" s="285"/>
      <c r="AS171" s="285"/>
      <c r="AT171" s="285"/>
      <c r="AU171" s="285"/>
      <c r="AV171" s="285"/>
      <c r="AW171" s="285"/>
      <c r="AX171" s="285"/>
      <c r="AY171" s="285"/>
      <c r="AZ171" s="285"/>
      <c r="BA171" s="285"/>
      <c r="BB171" s="285"/>
      <c r="BC171" s="285"/>
      <c r="BD171" s="285"/>
      <c r="BE171" s="285"/>
      <c r="BF171" s="285"/>
      <c r="BG171" s="285"/>
      <c r="BH171" s="285"/>
      <c r="BI171" s="285"/>
      <c r="BJ171" s="36">
        <f>SUM(Table1[[#This Row],[Pipa 63 mm2]:[Pipa 1,800 mm21]])</f>
        <v>1</v>
      </c>
      <c r="BK171" s="32">
        <v>1</v>
      </c>
      <c r="BL171" s="32"/>
      <c r="BM171" s="32"/>
      <c r="BN171" s="32"/>
      <c r="BO171" s="32"/>
      <c r="BP171" s="32"/>
      <c r="BQ171" s="32"/>
      <c r="BR171" s="32"/>
      <c r="BS171" s="32"/>
      <c r="BT171" s="32"/>
      <c r="BU171" s="32"/>
      <c r="BV171" s="32"/>
      <c r="BW171" s="32"/>
      <c r="BX171" s="32"/>
      <c r="BY171" s="32"/>
      <c r="BZ171" s="32"/>
      <c r="CA171" s="32"/>
      <c r="CB171" s="32"/>
      <c r="CC171" s="32"/>
      <c r="CD171" s="32"/>
      <c r="CE171" s="32">
        <v>0</v>
      </c>
      <c r="CF171" s="32">
        <v>0</v>
      </c>
      <c r="CG171" s="32">
        <v>0</v>
      </c>
      <c r="CH171" s="32">
        <v>0</v>
      </c>
      <c r="CI171" s="32">
        <f t="shared" si="10"/>
        <v>0</v>
      </c>
      <c r="CJ171" s="65">
        <f>IF((Table1[[#This Row],["Volume
BA MC-0"]]-Table1[[#This Row],[Total Panjang Pipa Aktual
(Sum-&gt;)3]]-Table1[[#This Row],[Total Volume
tidak dapat dipasang]])&gt;=0,Table1[[#This Row],["Volume
BA MC-0"]]-Table1[[#This Row],[Total Panjang Pipa Aktual
(Sum-&gt;)3]]-Table1[[#This Row],[Total Volume
tidak dapat dipasang]],0)</f>
        <v>0</v>
      </c>
      <c r="CK171" s="47"/>
      <c r="CL171" s="131"/>
      <c r="CM171" s="35"/>
      <c r="CN171" s="131"/>
      <c r="CO171" s="131"/>
      <c r="CP17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5.8714849903138903E-2</v>
      </c>
      <c r="CQ171" s="66">
        <f>IFERROR(Table1[[#This Row],[Progres Keg. Umum
(%)]]*Table1[[#This Row],[Nilai RAB Jaringan
(file pa aji)]],0)</f>
        <v>0</v>
      </c>
      <c r="CR171" s="66">
        <f>IFERROR(Table1[[#This Row],[Progres MOS
(%)]]*Table1[[#This Row],[Nilai RAB Jaringan
(file pa aji)]],0)</f>
        <v>0</v>
      </c>
      <c r="CS171" s="66">
        <f>IFERROR(Table1[[#This Row],[Progres Pemasangan
(%)]]*Table1[[#This Row],[Nilai RAB Jaringan
(file pa aji)]],0)</f>
        <v>0</v>
      </c>
      <c r="CT171" s="66">
        <f>IFERROR(Table1[[#This Row],[Progres Perizinan
(%)]]*Table1[[#This Row],[Nilai RAB Jaringan
(file pa aji)]],0)</f>
        <v>0</v>
      </c>
      <c r="CU171" s="329">
        <v>230243770.42200005</v>
      </c>
      <c r="CV171" s="329">
        <v>230243770.42200005</v>
      </c>
      <c r="CW171" s="583">
        <v>0</v>
      </c>
      <c r="CX171" s="329">
        <v>0</v>
      </c>
      <c r="CY171" s="47"/>
      <c r="CZ171" s="330">
        <v>45747</v>
      </c>
      <c r="DA171" s="330">
        <v>45774</v>
      </c>
      <c r="DB171" s="331">
        <v>45712</v>
      </c>
      <c r="DC171" s="316" t="s">
        <v>1252</v>
      </c>
      <c r="DD171" s="67">
        <v>4300429472</v>
      </c>
      <c r="DE17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1" s="331">
        <v>45734</v>
      </c>
      <c r="DG171" s="316" t="s">
        <v>1253</v>
      </c>
      <c r="DH171" s="67">
        <v>4300429472</v>
      </c>
      <c r="DI17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1" s="330">
        <v>45775</v>
      </c>
      <c r="DK171" s="330">
        <v>45816</v>
      </c>
      <c r="DL171" s="331">
        <v>45773</v>
      </c>
      <c r="DM171" s="316" t="s">
        <v>1254</v>
      </c>
      <c r="DN17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1" s="331">
        <v>45832</v>
      </c>
      <c r="DP171" s="316" t="s">
        <v>1255</v>
      </c>
      <c r="DQ171" s="338" t="s">
        <v>275</v>
      </c>
      <c r="DR17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1" s="330">
        <v>45775</v>
      </c>
      <c r="DT171" s="330" t="e">
        <v>#N/A</v>
      </c>
      <c r="DU171" s="330">
        <v>45816</v>
      </c>
      <c r="DV171" s="330" t="e">
        <v>#N/A</v>
      </c>
      <c r="DW171" s="331">
        <v>46050</v>
      </c>
      <c r="DX171" s="316" t="s">
        <v>1256</v>
      </c>
      <c r="DY171" s="334"/>
      <c r="DZ171" s="334"/>
      <c r="EA17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1" s="331"/>
      <c r="EC171" s="332"/>
      <c r="ED171" s="332"/>
      <c r="EE171" s="330"/>
      <c r="EF171" s="35">
        <v>0.73134328358208955</v>
      </c>
      <c r="EG171" s="337">
        <v>0.73134328358208955</v>
      </c>
      <c r="EH171" s="316" t="str">
        <f>IF(Table1[[#This Row],[PO Material Aktual 
(%)]]&gt;=100%,"Selesai PO = 100%",IF(Table1[[#This Row],[PO Material Aktual 
(%)]]&gt;=50%,"Proses PO &gt; 100%",IF(Table1[[#This Row],[PO Material Aktual 
(%)]]&gt;0%,"Proses PO &gt; 50%",IF(Table1[[#This Row],[PO Material Aktual 
(%)]]=0,"Belum PO = 0%"))))</f>
        <v>Proses PO &gt; 100%</v>
      </c>
      <c r="EI17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1" s="330">
        <v>45782</v>
      </c>
      <c r="EK171" s="330" t="e">
        <v>#N/A</v>
      </c>
      <c r="EL171" s="330">
        <v>45872</v>
      </c>
      <c r="EM171" s="330" t="e">
        <v>#N/A</v>
      </c>
      <c r="EN171" s="331"/>
      <c r="EO171" s="332"/>
      <c r="EP171" s="332"/>
      <c r="EQ171" s="87">
        <v>0.65671641791044777</v>
      </c>
      <c r="ER171" s="87">
        <v>0.65671641791044777</v>
      </c>
      <c r="ES171" s="316" t="str">
        <f>IF(Table1[[#This Row],[Progres MOS]]&gt;=100%,"Selesai MOS = 100%",IF(Table1[[#This Row],[Progres MOS]]&gt;=50%,"Proses MOS &gt; 100%",IF(Table1[[#This Row],[Progres MOS]]&gt;0%,"Proses MOS &gt; 50%",IF(Table1[[#This Row],[Progres MOS]]=0,"Belum MOS = 0%"))))</f>
        <v>Proses MOS &gt; 100%</v>
      </c>
      <c r="ET17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1" s="47"/>
      <c r="EV171" s="330">
        <v>45775</v>
      </c>
      <c r="EW171" s="330" t="e">
        <v>#N/A</v>
      </c>
      <c r="EX171" s="330">
        <v>45837</v>
      </c>
      <c r="EY171" s="330" t="e">
        <v>#N/A</v>
      </c>
      <c r="EZ171" s="352" t="s">
        <v>298</v>
      </c>
      <c r="FA171" s="336" t="s">
        <v>259</v>
      </c>
      <c r="FB171" s="330" t="s">
        <v>260</v>
      </c>
      <c r="FC171" s="330">
        <v>45840</v>
      </c>
      <c r="FD171" s="330" t="s">
        <v>260</v>
      </c>
      <c r="FE171" s="330">
        <v>45895</v>
      </c>
      <c r="FF171" s="330">
        <v>45919</v>
      </c>
      <c r="FG171" s="330" t="s">
        <v>260</v>
      </c>
      <c r="FH171" s="330" t="s">
        <v>260</v>
      </c>
      <c r="FI171" s="330">
        <v>46010</v>
      </c>
      <c r="FJ171" s="330" t="s">
        <v>260</v>
      </c>
      <c r="FK171" s="330">
        <v>46112</v>
      </c>
      <c r="FL171" s="336" t="s">
        <v>298</v>
      </c>
      <c r="FM171" s="352">
        <v>45840</v>
      </c>
      <c r="FN171" s="338">
        <f>IF(Table1[[#This Row],[Tanggal Pengajuan Dokumen]]="","",Table1[[#This Row],[PLAN PERMIT
start]]-Table1[[#This Row],[Tanggal Pengajuan Dokumen]])</f>
        <v>-65</v>
      </c>
      <c r="FO171" s="437">
        <v>46086</v>
      </c>
      <c r="FP171" s="316"/>
      <c r="FQ171" s="338"/>
      <c r="FR171" s="338"/>
      <c r="FS171" s="338" t="str">
        <f t="shared" si="9"/>
        <v>Sudah Terbit</v>
      </c>
      <c r="FT17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1" s="344">
        <f ca="1">IF(Table1[[#This Row],[Status Izin]]="Selesai",Table1[[#This Row],[PLAN PERMIT
finish]]-Table1[[#This Row],[Tanggal Terbit/ Target Izin Terbit]],ROUNDUP(Table1[[#This Row],[PLAN PERMIT
finish]]-NOW(),0))</f>
        <v>-249</v>
      </c>
      <c r="FV17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1" s="344"/>
      <c r="FX171" s="47"/>
      <c r="FY171" s="340"/>
      <c r="FZ171" s="341"/>
      <c r="GA17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1" s="330">
        <v>45823</v>
      </c>
      <c r="GC171" s="352">
        <v>45828</v>
      </c>
      <c r="GD17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1" s="330">
        <v>45823</v>
      </c>
      <c r="GF171" s="352">
        <v>45842</v>
      </c>
      <c r="GG17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1" s="330">
        <v>45817</v>
      </c>
      <c r="GI171" s="330">
        <v>45823</v>
      </c>
      <c r="GJ171" s="352">
        <v>45834</v>
      </c>
      <c r="GK17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1" s="330">
        <v>45838</v>
      </c>
      <c r="GM171" s="330" t="e">
        <v>#N/A</v>
      </c>
      <c r="GN171" s="330">
        <v>45900</v>
      </c>
      <c r="GO171" s="330" t="e">
        <v>#N/A</v>
      </c>
      <c r="GP171" s="316"/>
      <c r="GQ17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1" s="330" t="s">
        <v>261</v>
      </c>
      <c r="GS171" s="330" t="s">
        <v>261</v>
      </c>
      <c r="GT171" s="354"/>
      <c r="GU171" s="344" t="str">
        <f>IF(Table1[[#This Row],[Hydro Tes Actual
(tanggal)]]&lt;&gt;"","Sudah","Belum")</f>
        <v>Belum</v>
      </c>
      <c r="GV171" s="330" t="s">
        <v>261</v>
      </c>
      <c r="GW171" s="330" t="s">
        <v>261</v>
      </c>
      <c r="GX171" s="331"/>
      <c r="GY171" s="344" t="str">
        <f>IF(Table1[[#This Row],[Interkoneksi Actual
(tanggal)]]&lt;&gt;"","Sudah","Belum")</f>
        <v>Belum</v>
      </c>
      <c r="GZ171" s="330" t="s">
        <v>261</v>
      </c>
      <c r="HA171" s="330" t="s">
        <v>261</v>
      </c>
      <c r="HB171" s="331"/>
      <c r="HC171" s="344" t="str">
        <f>IF(Table1[[#This Row],[Flushing Actual
(tanggal)]]&lt;&gt;"","Sudah","Belum")</f>
        <v>Belum</v>
      </c>
      <c r="HD171" s="330">
        <v>45898</v>
      </c>
      <c r="HE171" s="330" t="e">
        <v>#N/A</v>
      </c>
      <c r="HF171" s="330">
        <v>45907</v>
      </c>
      <c r="HG171" s="331"/>
      <c r="HH17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1" s="330" t="s">
        <v>261</v>
      </c>
      <c r="HJ171" s="330" t="s">
        <v>261</v>
      </c>
      <c r="HK171" s="331"/>
      <c r="HL171" s="316"/>
      <c r="HM171" s="330">
        <v>45919</v>
      </c>
      <c r="HN171" s="330">
        <v>45919</v>
      </c>
      <c r="HO171" s="421" t="e">
        <v>#N/A</v>
      </c>
      <c r="HP171" s="331"/>
      <c r="HQ17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71" s="330">
        <v>45926</v>
      </c>
      <c r="HS171" s="330"/>
      <c r="HT171" s="330">
        <v>45926</v>
      </c>
      <c r="HU171" s="330"/>
      <c r="HV171" s="331"/>
      <c r="HW17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71" s="47"/>
      <c r="HY171" s="352"/>
      <c r="HZ171" s="352"/>
      <c r="IB171" s="618">
        <f>IFERROR(ROUND((Table1[[#This Row],[PLAN TC
finish]]-Table1[[#This Row],[PLAN MC-0
start]])/30,2),"")</f>
        <v>3</v>
      </c>
      <c r="IC171">
        <f>DATEDIF(Table1[[#This Row],[PLAN MC-0
start]],Table1[[#This Row],[PLAN TC
finish]],"m")</f>
        <v>2</v>
      </c>
    </row>
    <row r="172" spans="1:237" s="4" customFormat="1" ht="15" hidden="1" customHeight="1" x14ac:dyDescent="0.2">
      <c r="B172" s="311">
        <f>SUBTOTAL(3,$D$5:D172)</f>
        <v>84</v>
      </c>
      <c r="C172" s="348">
        <v>168</v>
      </c>
      <c r="D172" s="338" t="s">
        <v>244</v>
      </c>
      <c r="E172" s="338" t="s">
        <v>1257</v>
      </c>
      <c r="F172" s="338" t="s">
        <v>1258</v>
      </c>
      <c r="G172" s="349">
        <v>45935</v>
      </c>
      <c r="H172" s="314" t="s">
        <v>247</v>
      </c>
      <c r="I172" s="338" t="s">
        <v>1212</v>
      </c>
      <c r="J172" s="315" t="s">
        <v>882</v>
      </c>
      <c r="K172" s="338" t="s">
        <v>1165</v>
      </c>
      <c r="L172" s="316" t="s">
        <v>1213</v>
      </c>
      <c r="M172" s="316" t="s">
        <v>269</v>
      </c>
      <c r="N172" s="107">
        <v>1</v>
      </c>
      <c r="O172" s="131" t="s">
        <v>1214</v>
      </c>
      <c r="P17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2" s="35" t="e">
        <v>#N/A</v>
      </c>
      <c r="S172" s="35">
        <v>1</v>
      </c>
      <c r="T172" s="35">
        <f>Table1[[#This Row],[Progres Total Aktual
(%)]]</f>
        <v>1</v>
      </c>
      <c r="U172" s="124">
        <f>Table1[[#This Row],[Progres Aktual
(%)]]-Table1[[#This Row],[Target Progres
(%)]]</f>
        <v>0</v>
      </c>
      <c r="V172" s="350">
        <f>Table1[[#This Row],["Volume
BA MC-0"]]</f>
        <v>0</v>
      </c>
      <c r="W172" s="351">
        <f>Table1[[#This Row],[Total Panjang Pipa Aktual
(Sum-&gt;)3]]</f>
        <v>0</v>
      </c>
      <c r="X172" s="47"/>
      <c r="Y172" s="67" t="s">
        <v>1259</v>
      </c>
      <c r="Z172" s="67">
        <v>1388364741</v>
      </c>
      <c r="AA172" s="67">
        <f>Table1[[#This Row],[Nilai RAB Jaringan
(file pa aji)]]</f>
        <v>1388364741</v>
      </c>
      <c r="AB172" s="320">
        <f>SUM(Table1[[#This Row],[RAB Kegiatan Umum]:[RAB Perizinan]])</f>
        <v>0</v>
      </c>
      <c r="AC172" s="320"/>
      <c r="AD172" s="320"/>
      <c r="AE172" s="320"/>
      <c r="AF172" s="320"/>
      <c r="AG172" s="436">
        <v>0</v>
      </c>
      <c r="AH172" s="35" t="e">
        <f>SUM(Table1[[#This Row],[Bobot Keg Umum]:[Bobot Perizinan]])</f>
        <v>#DIV/0!</v>
      </c>
      <c r="AI172" s="35" t="e">
        <f>Table1[[#This Row],[RAB Kegiatan Umum]]/Table1[[#This Row],[Nilai RAB Jaringan
(Exclude Ppn)]]</f>
        <v>#DIV/0!</v>
      </c>
      <c r="AJ172" s="35" t="e">
        <f>Table1[[#This Row],[RAB Pemasangan]]/Table1[[#This Row],[Nilai RAB Jaringan
(Exclude Ppn)]]</f>
        <v>#DIV/0!</v>
      </c>
      <c r="AK172" s="35" t="e">
        <f>Table1[[#This Row],[RAB Pengadaan]]/Table1[[#This Row],[Nilai RAB Jaringan
(Exclude Ppn)]]</f>
        <v>#DIV/0!</v>
      </c>
      <c r="AL172" s="35" t="e">
        <f>Table1[[#This Row],[RAB Perizinan]]/Table1[[#This Row],[Nilai RAB Jaringan
(Exclude Ppn)]]</f>
        <v>#DIV/0!</v>
      </c>
      <c r="AM172" s="47"/>
      <c r="AN172" s="285">
        <v>0</v>
      </c>
      <c r="AO172" s="285">
        <f>SUM(Table1[[#This Row],[Pipa 63 mm]:[Pipa 1,800 mm]])</f>
        <v>0</v>
      </c>
      <c r="AP172" s="285"/>
      <c r="AQ172" s="285"/>
      <c r="AR172" s="285"/>
      <c r="AS172" s="285"/>
      <c r="AT172" s="285"/>
      <c r="AU172" s="285"/>
      <c r="AV172" s="285"/>
      <c r="AW172" s="285"/>
      <c r="AX172" s="285"/>
      <c r="AY172" s="285"/>
      <c r="AZ172" s="285"/>
      <c r="BA172" s="285"/>
      <c r="BB172" s="285"/>
      <c r="BC172" s="285"/>
      <c r="BD172" s="285"/>
      <c r="BE172" s="285"/>
      <c r="BF172" s="285"/>
      <c r="BG172" s="285"/>
      <c r="BH172" s="285"/>
      <c r="BI172" s="285"/>
      <c r="BJ172" s="36">
        <f>SUM(Table1[[#This Row],[Pipa 63 mm2]:[Pipa 1,800 mm21]])</f>
        <v>0</v>
      </c>
      <c r="BK172" s="32"/>
      <c r="BL172" s="32"/>
      <c r="BM172" s="32"/>
      <c r="BN172" s="32"/>
      <c r="BO172" s="32"/>
      <c r="BP172" s="32"/>
      <c r="BQ172" s="32"/>
      <c r="BR172" s="32"/>
      <c r="BS172" s="32"/>
      <c r="BT172" s="32"/>
      <c r="BU172" s="32"/>
      <c r="BV172" s="32"/>
      <c r="BW172" s="32"/>
      <c r="BX172" s="32"/>
      <c r="BY172" s="32"/>
      <c r="BZ172" s="32"/>
      <c r="CA172" s="32"/>
      <c r="CB172" s="32"/>
      <c r="CC172" s="32"/>
      <c r="CD172" s="32"/>
      <c r="CE172" s="32">
        <v>0</v>
      </c>
      <c r="CF172" s="32">
        <v>0</v>
      </c>
      <c r="CG172" s="32">
        <v>0</v>
      </c>
      <c r="CH172" s="32">
        <v>0</v>
      </c>
      <c r="CI172" s="32">
        <f t="shared" si="10"/>
        <v>0</v>
      </c>
      <c r="CJ172" s="65">
        <f>IF((Table1[[#This Row],["Volume
BA MC-0"]]-Table1[[#This Row],[Total Panjang Pipa Aktual
(Sum-&gt;)3]]-Table1[[#This Row],[Total Volume
tidak dapat dipasang]])&gt;=0,Table1[[#This Row],["Volume
BA MC-0"]]-Table1[[#This Row],[Total Panjang Pipa Aktual
(Sum-&gt;)3]]-Table1[[#This Row],[Total Volume
tidak dapat dipasang]],0)</f>
        <v>0</v>
      </c>
      <c r="CK172" s="47"/>
      <c r="CL172" s="131"/>
      <c r="CM172" s="35"/>
      <c r="CN172" s="131"/>
      <c r="CO172" s="131"/>
      <c r="CP17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2" s="66">
        <f>IFERROR(Table1[[#This Row],[Progres Keg. Umum
(%)]]*Table1[[#This Row],[Nilai RAB Jaringan
(file pa aji)]],0)</f>
        <v>0</v>
      </c>
      <c r="CR172" s="66">
        <f>IFERROR(Table1[[#This Row],[Progres MOS
(%)]]*Table1[[#This Row],[Nilai RAB Jaringan
(file pa aji)]],0)</f>
        <v>0</v>
      </c>
      <c r="CS172" s="66">
        <f>IFERROR(Table1[[#This Row],[Progres Pemasangan
(%)]]*Table1[[#This Row],[Nilai RAB Jaringan
(file pa aji)]],0)</f>
        <v>0</v>
      </c>
      <c r="CT172" s="66">
        <f>IFERROR(Table1[[#This Row],[Progres Perizinan
(%)]]*Table1[[#This Row],[Nilai RAB Jaringan
(file pa aji)]],0)</f>
        <v>0</v>
      </c>
      <c r="CU172" s="329">
        <v>1186808023</v>
      </c>
      <c r="CV172" s="329">
        <v>1186808023</v>
      </c>
      <c r="CW172" s="583">
        <v>1186808023</v>
      </c>
      <c r="CX172" s="329">
        <v>1186808023</v>
      </c>
      <c r="CY172" s="47"/>
      <c r="CZ172" s="330">
        <v>45747</v>
      </c>
      <c r="DA172" s="330">
        <v>45774</v>
      </c>
      <c r="DB172" s="331">
        <v>45712</v>
      </c>
      <c r="DC172" s="316" t="s">
        <v>1260</v>
      </c>
      <c r="DD172" s="67">
        <v>1445429349.8</v>
      </c>
      <c r="DE17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2" s="331">
        <v>45770</v>
      </c>
      <c r="DG172" s="316" t="s">
        <v>1261</v>
      </c>
      <c r="DH172" s="67">
        <v>1445429349.8</v>
      </c>
      <c r="DI17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2" s="330">
        <v>45775</v>
      </c>
      <c r="DK172" s="330">
        <v>45816</v>
      </c>
      <c r="DL172" s="331">
        <v>45794</v>
      </c>
      <c r="DM172" s="316" t="s">
        <v>1262</v>
      </c>
      <c r="DN17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2" s="331">
        <v>45832</v>
      </c>
      <c r="DP172" s="316" t="s">
        <v>1263</v>
      </c>
      <c r="DQ172" s="338" t="s">
        <v>275</v>
      </c>
      <c r="DR17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2" s="330">
        <v>45775</v>
      </c>
      <c r="DT172" s="330" t="e">
        <v>#N/A</v>
      </c>
      <c r="DU172" s="330">
        <v>45816</v>
      </c>
      <c r="DV172" s="330" t="e">
        <v>#N/A</v>
      </c>
      <c r="DW172" s="331">
        <v>45793</v>
      </c>
      <c r="DX172" s="316" t="s">
        <v>1264</v>
      </c>
      <c r="DY172" s="334"/>
      <c r="DZ172" s="334"/>
      <c r="EA17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72" s="331">
        <v>45722</v>
      </c>
      <c r="EC172" s="332"/>
      <c r="ED172" s="332"/>
      <c r="EE172" s="330" t="s">
        <v>1265</v>
      </c>
      <c r="EF172" s="35">
        <v>1</v>
      </c>
      <c r="EG172" s="337">
        <v>1</v>
      </c>
      <c r="EH172" s="316" t="str">
        <f>IF(Table1[[#This Row],[PO Material Aktual 
(%)]]&gt;=100%,"Selesai PO = 100%",IF(Table1[[#This Row],[PO Material Aktual 
(%)]]&gt;=50%,"Proses PO &gt; 100%",IF(Table1[[#This Row],[PO Material Aktual 
(%)]]&gt;0%,"Proses PO &gt; 50%",IF(Table1[[#This Row],[PO Material Aktual 
(%)]]=0,"Belum PO = 0%"))))</f>
        <v>Selesai PO = 100%</v>
      </c>
      <c r="EI17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172" s="330">
        <v>45782</v>
      </c>
      <c r="EK172" s="330" t="e">
        <v>#N/A</v>
      </c>
      <c r="EL172" s="330">
        <v>45872</v>
      </c>
      <c r="EM172" s="330" t="e">
        <v>#N/A</v>
      </c>
      <c r="EN172" s="331">
        <v>46107</v>
      </c>
      <c r="EO172" s="332"/>
      <c r="EP172" s="332"/>
      <c r="EQ172" s="87">
        <v>1</v>
      </c>
      <c r="ER172" s="87">
        <v>1</v>
      </c>
      <c r="ES172" s="316" t="str">
        <f>IF(Table1[[#This Row],[Progres MOS]]&gt;=100%,"Selesai MOS = 100%",IF(Table1[[#This Row],[Progres MOS]]&gt;=50%,"Proses MOS &gt; 100%",IF(Table1[[#This Row],[Progres MOS]]&gt;0%,"Proses MOS &gt; 50%",IF(Table1[[#This Row],[Progres MOS]]=0,"Belum MOS = 0%"))))</f>
        <v>Selesai MOS = 100%</v>
      </c>
      <c r="ET17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72" s="47"/>
      <c r="EV172" s="330">
        <v>45775</v>
      </c>
      <c r="EW172" s="330" t="e">
        <v>#N/A</v>
      </c>
      <c r="EX172" s="330">
        <v>45837</v>
      </c>
      <c r="EY172" s="330" t="e">
        <v>#N/A</v>
      </c>
      <c r="EZ172" s="352" t="s">
        <v>298</v>
      </c>
      <c r="FA172" s="336" t="s">
        <v>259</v>
      </c>
      <c r="FB172" s="330" t="s">
        <v>260</v>
      </c>
      <c r="FC172" s="330">
        <v>45840</v>
      </c>
      <c r="FD172" s="330" t="s">
        <v>260</v>
      </c>
      <c r="FE172" s="330">
        <v>45895</v>
      </c>
      <c r="FF172" s="330">
        <v>45919</v>
      </c>
      <c r="FG172" s="330" t="s">
        <v>260</v>
      </c>
      <c r="FH172" s="330" t="s">
        <v>260</v>
      </c>
      <c r="FI172" s="330">
        <v>46010</v>
      </c>
      <c r="FJ172" s="330" t="s">
        <v>260</v>
      </c>
      <c r="FK172" s="330">
        <v>46112</v>
      </c>
      <c r="FL172" s="336" t="s">
        <v>298</v>
      </c>
      <c r="FM172" s="352">
        <v>45840</v>
      </c>
      <c r="FN172" s="338">
        <f>IF(Table1[[#This Row],[Tanggal Pengajuan Dokumen]]="","",Table1[[#This Row],[PLAN PERMIT
start]]-Table1[[#This Row],[Tanggal Pengajuan Dokumen]])</f>
        <v>-65</v>
      </c>
      <c r="FO172" s="437">
        <v>46086</v>
      </c>
      <c r="FP172" s="316"/>
      <c r="FQ172" s="338"/>
      <c r="FR172" s="338"/>
      <c r="FS172" s="338" t="str">
        <f t="shared" si="9"/>
        <v>Sudah Terbit</v>
      </c>
      <c r="FT17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2" s="344">
        <f ca="1">IF(Table1[[#This Row],[Status Izin]]="Selesai",Table1[[#This Row],[PLAN PERMIT
finish]]-Table1[[#This Row],[Tanggal Terbit/ Target Izin Terbit]],ROUNDUP(Table1[[#This Row],[PLAN PERMIT
finish]]-NOW(),0))</f>
        <v>-249</v>
      </c>
      <c r="FV17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2" s="344"/>
      <c r="FX172" s="47"/>
      <c r="FY172" s="340"/>
      <c r="FZ172" s="341"/>
      <c r="GA17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2" s="330">
        <v>45823</v>
      </c>
      <c r="GC172" s="352">
        <v>45828</v>
      </c>
      <c r="GD17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2" s="330">
        <v>45823</v>
      </c>
      <c r="GF172" s="352">
        <v>45842</v>
      </c>
      <c r="GG17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2" s="330">
        <v>45817</v>
      </c>
      <c r="GI172" s="330">
        <v>45823</v>
      </c>
      <c r="GJ172" s="352">
        <v>45834</v>
      </c>
      <c r="GK17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2" s="330">
        <v>45838</v>
      </c>
      <c r="GM172" s="330" t="e">
        <v>#N/A</v>
      </c>
      <c r="GN172" s="330">
        <v>45900</v>
      </c>
      <c r="GO172" s="330" t="e">
        <v>#N/A</v>
      </c>
      <c r="GP172" s="316"/>
      <c r="GQ17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2" s="330" t="s">
        <v>261</v>
      </c>
      <c r="GS172" s="330" t="s">
        <v>261</v>
      </c>
      <c r="GT172" s="354" t="s">
        <v>1266</v>
      </c>
      <c r="GU172" s="344" t="str">
        <f>IF(Table1[[#This Row],[Hydro Tes Actual
(tanggal)]]&lt;&gt;"","Sudah","Belum")</f>
        <v>Sudah</v>
      </c>
      <c r="GV172" s="330" t="s">
        <v>261</v>
      </c>
      <c r="GW172" s="330" t="s">
        <v>261</v>
      </c>
      <c r="GX172" s="331">
        <v>46000</v>
      </c>
      <c r="GY172" s="344" t="str">
        <f>IF(Table1[[#This Row],[Interkoneksi Actual
(tanggal)]]&lt;&gt;"","Sudah","Belum")</f>
        <v>Sudah</v>
      </c>
      <c r="GZ172" s="330" t="s">
        <v>261</v>
      </c>
      <c r="HA172" s="330" t="s">
        <v>261</v>
      </c>
      <c r="HB172" s="331" t="s">
        <v>1266</v>
      </c>
      <c r="HC172" s="344" t="str">
        <f>IF(Table1[[#This Row],[Flushing Actual
(tanggal)]]&lt;&gt;"","Sudah","Belum")</f>
        <v>Sudah</v>
      </c>
      <c r="HD172" s="330">
        <v>45898</v>
      </c>
      <c r="HE172" s="330" t="e">
        <v>#N/A</v>
      </c>
      <c r="HF172" s="330">
        <v>45907</v>
      </c>
      <c r="HG172" s="331">
        <v>46020</v>
      </c>
      <c r="HH17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2" s="330" t="s">
        <v>261</v>
      </c>
      <c r="HJ172" s="330" t="s">
        <v>261</v>
      </c>
      <c r="HK172" s="331"/>
      <c r="HL172" s="316"/>
      <c r="HM172" s="330">
        <v>45919</v>
      </c>
      <c r="HN172" s="330">
        <v>45919</v>
      </c>
      <c r="HO172" s="330" t="e">
        <v>#N/A</v>
      </c>
      <c r="HP172" s="331">
        <v>46022</v>
      </c>
      <c r="HQ17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72" s="330">
        <v>45926</v>
      </c>
      <c r="HS172" s="330"/>
      <c r="HT172" s="330">
        <v>45926</v>
      </c>
      <c r="HU172" s="527"/>
      <c r="HV172" s="331">
        <v>46024</v>
      </c>
      <c r="HW17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72" s="47"/>
      <c r="HY172" s="352"/>
      <c r="HZ172" s="352"/>
      <c r="IB172" s="618">
        <f>IFERROR(ROUND((Table1[[#This Row],[PLAN TC
finish]]-Table1[[#This Row],[PLAN MC-0
start]])/30,2),"")</f>
        <v>3</v>
      </c>
      <c r="IC172">
        <f>DATEDIF(Table1[[#This Row],[PLAN MC-0
start]],Table1[[#This Row],[PLAN TC
finish]],"m")</f>
        <v>2</v>
      </c>
    </row>
    <row r="173" spans="1:237" s="4" customFormat="1" ht="15" hidden="1" customHeight="1" x14ac:dyDescent="0.2">
      <c r="B173" s="311">
        <f>SUBTOTAL(3,$D$5:D173)</f>
        <v>84</v>
      </c>
      <c r="C173" s="348">
        <v>169</v>
      </c>
      <c r="D173" s="338" t="s">
        <v>244</v>
      </c>
      <c r="E173" s="338" t="s">
        <v>1267</v>
      </c>
      <c r="F173" s="338" t="s">
        <v>1268</v>
      </c>
      <c r="G173" s="349">
        <v>45935</v>
      </c>
      <c r="H173" s="314" t="s">
        <v>247</v>
      </c>
      <c r="I173" s="338" t="s">
        <v>1212</v>
      </c>
      <c r="J173" s="397" t="s">
        <v>943</v>
      </c>
      <c r="K173" s="338" t="s">
        <v>1165</v>
      </c>
      <c r="L173" s="316" t="s">
        <v>1213</v>
      </c>
      <c r="M173" s="316" t="s">
        <v>269</v>
      </c>
      <c r="N173" s="107">
        <v>1</v>
      </c>
      <c r="O173" s="131" t="s">
        <v>1214</v>
      </c>
      <c r="P17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173" s="35" t="e">
        <v>#N/A</v>
      </c>
      <c r="S173" s="35">
        <v>1</v>
      </c>
      <c r="T173" s="35">
        <f>Table1[[#This Row],[Progres Total Aktual
(%)]]</f>
        <v>0.16530999368558288</v>
      </c>
      <c r="U173" s="124">
        <f>Table1[[#This Row],[Progres Aktual
(%)]]-Table1[[#This Row],[Target Progres
(%)]]</f>
        <v>-0.83469000631441714</v>
      </c>
      <c r="V173" s="350">
        <f>Table1[[#This Row],["Volume
BA MC-0"]]</f>
        <v>0</v>
      </c>
      <c r="W173" s="351">
        <f>Table1[[#This Row],[Total Panjang Pipa Aktual
(Sum-&gt;)3]]</f>
        <v>0</v>
      </c>
      <c r="X173" s="47"/>
      <c r="Y173" s="67" t="s">
        <v>1269</v>
      </c>
      <c r="Z173" s="67">
        <v>3452058954</v>
      </c>
      <c r="AA173" s="67">
        <f>Table1[[#This Row],[Nilai RAB Jaringan
(file pa aji)]]</f>
        <v>3452058954</v>
      </c>
      <c r="AB173" s="320">
        <f>SUM(Table1[[#This Row],[RAB Kegiatan Umum]:[RAB Perizinan]])</f>
        <v>0</v>
      </c>
      <c r="AC173" s="320"/>
      <c r="AD173" s="320"/>
      <c r="AE173" s="320"/>
      <c r="AF173" s="320"/>
      <c r="AG173" s="436">
        <v>0</v>
      </c>
      <c r="AH173" s="35" t="e">
        <f>SUM(Table1[[#This Row],[Bobot Keg Umum]:[Bobot Perizinan]])</f>
        <v>#DIV/0!</v>
      </c>
      <c r="AI173" s="35" t="e">
        <f>Table1[[#This Row],[RAB Kegiatan Umum]]/Table1[[#This Row],[Nilai RAB Jaringan
(Exclude Ppn)]]</f>
        <v>#DIV/0!</v>
      </c>
      <c r="AJ173" s="35" t="e">
        <f>Table1[[#This Row],[RAB Pemasangan]]/Table1[[#This Row],[Nilai RAB Jaringan
(Exclude Ppn)]]</f>
        <v>#DIV/0!</v>
      </c>
      <c r="AK173" s="35" t="e">
        <f>Table1[[#This Row],[RAB Pengadaan]]/Table1[[#This Row],[Nilai RAB Jaringan
(Exclude Ppn)]]</f>
        <v>#DIV/0!</v>
      </c>
      <c r="AL173" s="35" t="e">
        <f>Table1[[#This Row],[RAB Perizinan]]/Table1[[#This Row],[Nilai RAB Jaringan
(Exclude Ppn)]]</f>
        <v>#DIV/0!</v>
      </c>
      <c r="AM173" s="47"/>
      <c r="AN173" s="285">
        <v>0</v>
      </c>
      <c r="AO173" s="285">
        <f>SUM(Table1[[#This Row],[Pipa 63 mm]:[Pipa 1,800 mm]])</f>
        <v>0</v>
      </c>
      <c r="AP173" s="285"/>
      <c r="AQ173" s="285"/>
      <c r="AR173" s="285"/>
      <c r="AS173" s="285"/>
      <c r="AT173" s="285"/>
      <c r="AU173" s="285"/>
      <c r="AV173" s="285"/>
      <c r="AW173" s="285"/>
      <c r="AX173" s="285"/>
      <c r="AY173" s="285"/>
      <c r="AZ173" s="285"/>
      <c r="BA173" s="285"/>
      <c r="BB173" s="285"/>
      <c r="BC173" s="285"/>
      <c r="BD173" s="285"/>
      <c r="BE173" s="285"/>
      <c r="BF173" s="285"/>
      <c r="BG173" s="285"/>
      <c r="BH173" s="285"/>
      <c r="BI173" s="285"/>
      <c r="BJ173" s="36">
        <f>SUM(Table1[[#This Row],[Pipa 63 mm2]:[Pipa 1,800 mm21]])</f>
        <v>0</v>
      </c>
      <c r="BK173" s="32"/>
      <c r="BL173" s="32"/>
      <c r="BM173" s="32"/>
      <c r="BN173" s="32"/>
      <c r="BO173" s="32"/>
      <c r="BP173" s="32"/>
      <c r="BQ173" s="32"/>
      <c r="BR173" s="32"/>
      <c r="BS173" s="32"/>
      <c r="BT173" s="32"/>
      <c r="BU173" s="32"/>
      <c r="BV173" s="32"/>
      <c r="BW173" s="32"/>
      <c r="BX173" s="32"/>
      <c r="BY173" s="32"/>
      <c r="BZ173" s="32"/>
      <c r="CA173" s="32"/>
      <c r="CB173" s="32"/>
      <c r="CC173" s="32"/>
      <c r="CD173" s="32"/>
      <c r="CE173" s="32">
        <v>0</v>
      </c>
      <c r="CF173" s="32">
        <v>0</v>
      </c>
      <c r="CG173" s="32">
        <v>0</v>
      </c>
      <c r="CH173" s="32">
        <v>0</v>
      </c>
      <c r="CI173" s="32">
        <f t="shared" si="10"/>
        <v>0</v>
      </c>
      <c r="CJ173" s="65">
        <f>IF((Table1[[#This Row],["Volume
BA MC-0"]]-Table1[[#This Row],[Total Panjang Pipa Aktual
(Sum-&gt;)3]]-Table1[[#This Row],[Total Volume
tidak dapat dipasang]])&gt;=0,Table1[[#This Row],["Volume
BA MC-0"]]-Table1[[#This Row],[Total Panjang Pipa Aktual
(Sum-&gt;)3]]-Table1[[#This Row],[Total Volume
tidak dapat dipasang]],0)</f>
        <v>0</v>
      </c>
      <c r="CK173" s="47"/>
      <c r="CL173" s="131"/>
      <c r="CM173" s="35"/>
      <c r="CN173" s="131"/>
      <c r="CO173" s="131"/>
      <c r="CP17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0.16530999368558288</v>
      </c>
      <c r="CQ173" s="66">
        <f>IFERROR(Table1[[#This Row],[Progres Keg. Umum
(%)]]*Table1[[#This Row],[Nilai RAB Jaringan
(file pa aji)]],0)</f>
        <v>0</v>
      </c>
      <c r="CR173" s="66">
        <f>IFERROR(Table1[[#This Row],[Progres MOS
(%)]]*Table1[[#This Row],[Nilai RAB Jaringan
(file pa aji)]],0)</f>
        <v>0</v>
      </c>
      <c r="CS173" s="66">
        <f>IFERROR(Table1[[#This Row],[Progres Pemasangan
(%)]]*Table1[[#This Row],[Nilai RAB Jaringan
(file pa aji)]],0)</f>
        <v>0</v>
      </c>
      <c r="CT173" s="66">
        <f>IFERROR(Table1[[#This Row],[Progres Perizinan
(%)]]*Table1[[#This Row],[Nilai RAB Jaringan
(file pa aji)]],0)</f>
        <v>0</v>
      </c>
      <c r="CU173" s="329">
        <v>570659843.88799989</v>
      </c>
      <c r="CV173" s="329">
        <v>570659843.88799989</v>
      </c>
      <c r="CW173" s="583">
        <v>0</v>
      </c>
      <c r="CX173" s="329">
        <v>0</v>
      </c>
      <c r="CY173" s="47"/>
      <c r="CZ173" s="330">
        <v>45747</v>
      </c>
      <c r="DA173" s="330">
        <v>45774</v>
      </c>
      <c r="DB173" s="331">
        <v>45712</v>
      </c>
      <c r="DC173" s="316" t="s">
        <v>1270</v>
      </c>
      <c r="DD173" s="67">
        <v>3393020514</v>
      </c>
      <c r="DE17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3" s="331">
        <v>45735</v>
      </c>
      <c r="DG173" s="316" t="s">
        <v>1271</v>
      </c>
      <c r="DH173" s="67">
        <v>3393020514</v>
      </c>
      <c r="DI17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3" s="330">
        <v>45775</v>
      </c>
      <c r="DK173" s="330">
        <v>45816</v>
      </c>
      <c r="DL173" s="331">
        <v>45772</v>
      </c>
      <c r="DM173" s="316" t="s">
        <v>1272</v>
      </c>
      <c r="DN17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3" s="331">
        <v>45832</v>
      </c>
      <c r="DP173" s="316" t="s">
        <v>1273</v>
      </c>
      <c r="DQ173" s="338" t="s">
        <v>275</v>
      </c>
      <c r="DR17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3" s="330">
        <v>45775</v>
      </c>
      <c r="DT173" s="330" t="e">
        <v>#N/A</v>
      </c>
      <c r="DU173" s="330">
        <v>45816</v>
      </c>
      <c r="DV173" s="330" t="e">
        <v>#N/A</v>
      </c>
      <c r="DW173" s="331">
        <v>46050</v>
      </c>
      <c r="DX173" s="316" t="s">
        <v>1274</v>
      </c>
      <c r="DY173" s="334"/>
      <c r="DZ173" s="334"/>
      <c r="EA17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3" s="331"/>
      <c r="EC173" s="332"/>
      <c r="ED173" s="332"/>
      <c r="EE173" s="330"/>
      <c r="EF173" s="35">
        <v>0.80769230769230771</v>
      </c>
      <c r="EG173" s="337">
        <v>0.80769230769230771</v>
      </c>
      <c r="EH173" s="316" t="str">
        <f>IF(Table1[[#This Row],[PO Material Aktual 
(%)]]&gt;=100%,"Selesai PO = 100%",IF(Table1[[#This Row],[PO Material Aktual 
(%)]]&gt;=50%,"Proses PO &gt; 100%",IF(Table1[[#This Row],[PO Material Aktual 
(%)]]&gt;0%,"Proses PO &gt; 50%",IF(Table1[[#This Row],[PO Material Aktual 
(%)]]=0,"Belum PO = 0%"))))</f>
        <v>Proses PO &gt; 100%</v>
      </c>
      <c r="EI17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3" s="330">
        <v>45782</v>
      </c>
      <c r="EK173" s="330" t="e">
        <v>#N/A</v>
      </c>
      <c r="EL173" s="330">
        <v>45872</v>
      </c>
      <c r="EM173" s="330" t="e">
        <v>#N/A</v>
      </c>
      <c r="EN173" s="331"/>
      <c r="EO173" s="332"/>
      <c r="EP173" s="332"/>
      <c r="EQ173" s="87">
        <v>0.65384615384615385</v>
      </c>
      <c r="ER173" s="87">
        <v>0.65384615384615385</v>
      </c>
      <c r="ES173" s="316" t="str">
        <f>IF(Table1[[#This Row],[Progres MOS]]&gt;=100%,"Selesai MOS = 100%",IF(Table1[[#This Row],[Progres MOS]]&gt;=50%,"Proses MOS &gt; 100%",IF(Table1[[#This Row],[Progres MOS]]&gt;0%,"Proses MOS &gt; 50%",IF(Table1[[#This Row],[Progres MOS]]=0,"Belum MOS = 0%"))))</f>
        <v>Proses MOS &gt; 100%</v>
      </c>
      <c r="ET17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3" s="47"/>
      <c r="EV173" s="330">
        <v>45775</v>
      </c>
      <c r="EW173" s="330" t="e">
        <v>#N/A</v>
      </c>
      <c r="EX173" s="330">
        <v>45837</v>
      </c>
      <c r="EY173" s="330" t="e">
        <v>#N/A</v>
      </c>
      <c r="EZ173" s="352" t="s">
        <v>298</v>
      </c>
      <c r="FA173" s="336" t="s">
        <v>298</v>
      </c>
      <c r="FB173" s="330" t="s">
        <v>260</v>
      </c>
      <c r="FC173" s="330">
        <v>45875</v>
      </c>
      <c r="FD173" s="330" t="s">
        <v>260</v>
      </c>
      <c r="FE173" s="330">
        <v>45915</v>
      </c>
      <c r="FF173" s="330">
        <v>45958</v>
      </c>
      <c r="FG173" s="330" t="s">
        <v>260</v>
      </c>
      <c r="FH173" s="330" t="s">
        <v>260</v>
      </c>
      <c r="FI173" s="330">
        <v>46006</v>
      </c>
      <c r="FJ173" s="330" t="s">
        <v>260</v>
      </c>
      <c r="FK173" s="330"/>
      <c r="FL173" s="336" t="s">
        <v>298</v>
      </c>
      <c r="FM173" s="352">
        <v>45875</v>
      </c>
      <c r="FN173" s="338">
        <f>IF(Table1[[#This Row],[Tanggal Pengajuan Dokumen]]="","",Table1[[#This Row],[PLAN PERMIT
start]]-Table1[[#This Row],[Tanggal Pengajuan Dokumen]])</f>
        <v>-100</v>
      </c>
      <c r="FO173" s="437">
        <v>46086</v>
      </c>
      <c r="FP173" s="316"/>
      <c r="FQ173" s="338"/>
      <c r="FR173" s="338"/>
      <c r="FS173" s="338" t="str">
        <f t="shared" si="9"/>
        <v>On Going</v>
      </c>
      <c r="FT17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3" s="344">
        <f ca="1">IF(Table1[[#This Row],[Status Izin]]="Selesai",Table1[[#This Row],[PLAN PERMIT
finish]]-Table1[[#This Row],[Tanggal Terbit/ Target Izin Terbit]],ROUNDUP(Table1[[#This Row],[PLAN PERMIT
finish]]-NOW(),0))</f>
        <v>-354</v>
      </c>
      <c r="FV17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3" s="344"/>
      <c r="FX173" s="47"/>
      <c r="FY173" s="340"/>
      <c r="FZ173" s="341"/>
      <c r="GA17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3" s="330">
        <v>45823</v>
      </c>
      <c r="GC173" s="352">
        <v>45828</v>
      </c>
      <c r="GD17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3" s="330">
        <v>45823</v>
      </c>
      <c r="GF173" s="352">
        <v>45842</v>
      </c>
      <c r="GG17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3" s="330">
        <v>45817</v>
      </c>
      <c r="GI173" s="330">
        <v>45823</v>
      </c>
      <c r="GJ173" s="352">
        <v>45834</v>
      </c>
      <c r="GK17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3" s="330">
        <v>45838</v>
      </c>
      <c r="GM173" s="330" t="e">
        <v>#N/A</v>
      </c>
      <c r="GN173" s="330">
        <v>45900</v>
      </c>
      <c r="GO173" s="330" t="e">
        <v>#N/A</v>
      </c>
      <c r="GP173" s="316"/>
      <c r="GQ17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3" s="330" t="s">
        <v>261</v>
      </c>
      <c r="GS173" s="330" t="s">
        <v>261</v>
      </c>
      <c r="GT173" s="354"/>
      <c r="GU173" s="344" t="str">
        <f>IF(Table1[[#This Row],[Hydro Tes Actual
(tanggal)]]&lt;&gt;"","Sudah","Belum")</f>
        <v>Belum</v>
      </c>
      <c r="GV173" s="330" t="s">
        <v>261</v>
      </c>
      <c r="GW173" s="330" t="s">
        <v>261</v>
      </c>
      <c r="GX173" s="331"/>
      <c r="GY173" s="344" t="str">
        <f>IF(Table1[[#This Row],[Interkoneksi Actual
(tanggal)]]&lt;&gt;"","Sudah","Belum")</f>
        <v>Belum</v>
      </c>
      <c r="GZ173" s="330" t="s">
        <v>261</v>
      </c>
      <c r="HA173" s="330" t="s">
        <v>261</v>
      </c>
      <c r="HB173" s="331"/>
      <c r="HC173" s="344" t="str">
        <f>IF(Table1[[#This Row],[Flushing Actual
(tanggal)]]&lt;&gt;"","Sudah","Belum")</f>
        <v>Belum</v>
      </c>
      <c r="HD173" s="330">
        <v>45898</v>
      </c>
      <c r="HE173" s="330" t="e">
        <v>#N/A</v>
      </c>
      <c r="HF173" s="330">
        <v>45907</v>
      </c>
      <c r="HG173" s="331"/>
      <c r="HH17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3" s="330" t="s">
        <v>261</v>
      </c>
      <c r="HJ173" s="330" t="s">
        <v>261</v>
      </c>
      <c r="HK173" s="331"/>
      <c r="HL173" s="316"/>
      <c r="HM173" s="330">
        <v>45919</v>
      </c>
      <c r="HN173" s="330">
        <v>45919</v>
      </c>
      <c r="HO173" s="421" t="e">
        <v>#N/A</v>
      </c>
      <c r="HP173" s="331"/>
      <c r="HQ17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73" s="330">
        <v>45926</v>
      </c>
      <c r="HS173" s="330"/>
      <c r="HT173" s="330">
        <v>45926</v>
      </c>
      <c r="HU173" s="330"/>
      <c r="HV173" s="331"/>
      <c r="HW17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73" s="47"/>
      <c r="HY173" s="352"/>
      <c r="HZ173" s="352"/>
      <c r="IB173" s="618">
        <f>IFERROR(ROUND((Table1[[#This Row],[PLAN TC
finish]]-Table1[[#This Row],[PLAN MC-0
start]])/30,2),"")</f>
        <v>3</v>
      </c>
      <c r="IC173">
        <f>DATEDIF(Table1[[#This Row],[PLAN MC-0
start]],Table1[[#This Row],[PLAN TC
finish]],"m")</f>
        <v>2</v>
      </c>
    </row>
    <row r="174" spans="1:237" s="4" customFormat="1" ht="15" hidden="1" customHeight="1" x14ac:dyDescent="0.2">
      <c r="B174" s="311">
        <f>SUBTOTAL(3,$D$5:D174)</f>
        <v>84</v>
      </c>
      <c r="C174" s="348">
        <v>170</v>
      </c>
      <c r="D174" s="338" t="s">
        <v>244</v>
      </c>
      <c r="E174" s="338" t="s">
        <v>1275</v>
      </c>
      <c r="F174" s="338" t="s">
        <v>1276</v>
      </c>
      <c r="G174" s="349">
        <v>45935</v>
      </c>
      <c r="H174" s="314" t="s">
        <v>247</v>
      </c>
      <c r="I174" s="338" t="s">
        <v>278</v>
      </c>
      <c r="J174" s="315"/>
      <c r="K174" s="338" t="s">
        <v>1165</v>
      </c>
      <c r="L174" s="316" t="s">
        <v>250</v>
      </c>
      <c r="M174" s="316" t="s">
        <v>269</v>
      </c>
      <c r="N174" s="107">
        <v>3153</v>
      </c>
      <c r="O174" s="131" t="s">
        <v>252</v>
      </c>
      <c r="P17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4" s="35" t="e">
        <v>#N/A</v>
      </c>
      <c r="S174" s="35">
        <v>1</v>
      </c>
      <c r="T174" s="35">
        <f>Table1[[#This Row],[Progres Total Aktual
(%)]]</f>
        <v>1</v>
      </c>
      <c r="U174" s="124">
        <f>Table1[[#This Row],[Progres Aktual
(%)]]-Table1[[#This Row],[Target Progres
(%)]]</f>
        <v>0</v>
      </c>
      <c r="V174" s="350">
        <f>Table1[[#This Row],["Volume
BA MC-0"]]</f>
        <v>3219</v>
      </c>
      <c r="W174" s="351">
        <f>Table1[[#This Row],[Total Panjang Pipa Aktual
(Sum-&gt;)3]]</f>
        <v>3221.6</v>
      </c>
      <c r="X174" s="47"/>
      <c r="Y174" s="67" t="s">
        <v>1277</v>
      </c>
      <c r="Z174" s="67">
        <v>4243824282</v>
      </c>
      <c r="AA174" s="67">
        <f>Table1[[#This Row],[Nilai RAB Jaringan
(file pa aji)]]</f>
        <v>4243824282</v>
      </c>
      <c r="AB174" s="320">
        <f>SUM(Table1[[#This Row],[RAB Kegiatan Umum]:[RAB Perizinan]])</f>
        <v>0</v>
      </c>
      <c r="AC174" s="320"/>
      <c r="AD174" s="320"/>
      <c r="AE174" s="320"/>
      <c r="AF174" s="320"/>
      <c r="AG174" s="436">
        <v>22546132</v>
      </c>
      <c r="AH174" s="35" t="e">
        <f>SUM(Table1[[#This Row],[Bobot Keg Umum]:[Bobot Perizinan]])</f>
        <v>#DIV/0!</v>
      </c>
      <c r="AI174" s="35" t="e">
        <f>Table1[[#This Row],[RAB Kegiatan Umum]]/Table1[[#This Row],[Nilai RAB Jaringan
(Exclude Ppn)]]</f>
        <v>#DIV/0!</v>
      </c>
      <c r="AJ174" s="35" t="e">
        <f>Table1[[#This Row],[RAB Pemasangan]]/Table1[[#This Row],[Nilai RAB Jaringan
(Exclude Ppn)]]</f>
        <v>#DIV/0!</v>
      </c>
      <c r="AK174" s="35" t="e">
        <f>Table1[[#This Row],[RAB Pengadaan]]/Table1[[#This Row],[Nilai RAB Jaringan
(Exclude Ppn)]]</f>
        <v>#DIV/0!</v>
      </c>
      <c r="AL174" s="35" t="e">
        <f>Table1[[#This Row],[RAB Perizinan]]/Table1[[#This Row],[Nilai RAB Jaringan
(Exclude Ppn)]]</f>
        <v>#DIV/0!</v>
      </c>
      <c r="AM174" s="47"/>
      <c r="AN174" s="285">
        <v>3219</v>
      </c>
      <c r="AO174" s="285">
        <f>SUM(Table1[[#This Row],[Pipa 63 mm]:[Pipa 1,800 mm]])</f>
        <v>0</v>
      </c>
      <c r="AP174" s="285"/>
      <c r="AQ174" s="285"/>
      <c r="AR174" s="285"/>
      <c r="AS174" s="285"/>
      <c r="AT174" s="285"/>
      <c r="AU174" s="285"/>
      <c r="AV174" s="285"/>
      <c r="AW174" s="285"/>
      <c r="AX174" s="285"/>
      <c r="AY174" s="285"/>
      <c r="AZ174" s="285"/>
      <c r="BA174" s="285"/>
      <c r="BB174" s="285"/>
      <c r="BC174" s="285"/>
      <c r="BD174" s="285"/>
      <c r="BE174" s="285"/>
      <c r="BF174" s="285"/>
      <c r="BG174" s="285"/>
      <c r="BH174" s="285"/>
      <c r="BI174" s="285"/>
      <c r="BJ174" s="36">
        <f>SUM(Table1[[#This Row],[Pipa 63 mm2]:[Pipa 1,800 mm21]])</f>
        <v>3221.6</v>
      </c>
      <c r="BK174" s="32">
        <v>3024.1</v>
      </c>
      <c r="BL174" s="32"/>
      <c r="BM174" s="32">
        <v>197.5</v>
      </c>
      <c r="BN174" s="32"/>
      <c r="BO174" s="32"/>
      <c r="BP174" s="32"/>
      <c r="BQ174" s="32"/>
      <c r="BR174" s="32"/>
      <c r="BS174" s="32"/>
      <c r="BT174" s="32"/>
      <c r="BU174" s="32"/>
      <c r="BV174" s="32"/>
      <c r="BW174" s="32"/>
      <c r="BX174" s="32"/>
      <c r="BY174" s="32"/>
      <c r="BZ174" s="32"/>
      <c r="CA174" s="32"/>
      <c r="CB174" s="32"/>
      <c r="CC174" s="32"/>
      <c r="CD174" s="32"/>
      <c r="CE174" s="32">
        <v>0</v>
      </c>
      <c r="CF174" s="32">
        <v>0</v>
      </c>
      <c r="CG174" s="32">
        <v>0</v>
      </c>
      <c r="CH174" s="32">
        <v>0</v>
      </c>
      <c r="CI174" s="32">
        <f t="shared" si="10"/>
        <v>0</v>
      </c>
      <c r="CJ174" s="65">
        <f>IF((Table1[[#This Row],["Volume
BA MC-0"]]-Table1[[#This Row],[Total Panjang Pipa Aktual
(Sum-&gt;)3]]-Table1[[#This Row],[Total Volume
tidak dapat dipasang]])&gt;=0,Table1[[#This Row],["Volume
BA MC-0"]]-Table1[[#This Row],[Total Panjang Pipa Aktual
(Sum-&gt;)3]]-Table1[[#This Row],[Total Volume
tidak dapat dipasang]],0)</f>
        <v>0</v>
      </c>
      <c r="CK174" s="47"/>
      <c r="CL174" s="131"/>
      <c r="CM174" s="35"/>
      <c r="CN174" s="131"/>
      <c r="CO174" s="131"/>
      <c r="CP17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4" s="66">
        <f>IFERROR(Table1[[#This Row],[Progres Keg. Umum
(%)]]*Table1[[#This Row],[Nilai RAB Jaringan
(file pa aji)]],0)</f>
        <v>0</v>
      </c>
      <c r="CR174" s="66">
        <f>IFERROR(Table1[[#This Row],[Progres MOS
(%)]]*Table1[[#This Row],[Nilai RAB Jaringan
(file pa aji)]],0)</f>
        <v>0</v>
      </c>
      <c r="CS174" s="66">
        <f>IFERROR(Table1[[#This Row],[Progres Pemasangan
(%)]]*Table1[[#This Row],[Nilai RAB Jaringan
(file pa aji)]],0)</f>
        <v>0</v>
      </c>
      <c r="CT174" s="66">
        <f>IFERROR(Table1[[#This Row],[Progres Perizinan
(%)]]*Table1[[#This Row],[Nilai RAB Jaringan
(file pa aji)]],0)</f>
        <v>0</v>
      </c>
      <c r="CU174" s="329">
        <v>3711523266</v>
      </c>
      <c r="CV174" s="329">
        <v>3711523266</v>
      </c>
      <c r="CW174" s="583">
        <v>3711523266</v>
      </c>
      <c r="CX174" s="329">
        <v>3711523266</v>
      </c>
      <c r="CY174" s="47"/>
      <c r="CZ174" s="330">
        <v>45530</v>
      </c>
      <c r="DA174" s="330">
        <v>45557</v>
      </c>
      <c r="DB174" s="331">
        <v>45569</v>
      </c>
      <c r="DC174" s="316" t="s">
        <v>1278</v>
      </c>
      <c r="DD174" s="67">
        <v>4243824281</v>
      </c>
      <c r="DE17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74" s="331">
        <v>45581</v>
      </c>
      <c r="DG174" s="316" t="s">
        <v>1279</v>
      </c>
      <c r="DH174" s="67">
        <v>4243824281</v>
      </c>
      <c r="DI17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74" s="330">
        <v>45558</v>
      </c>
      <c r="DK174" s="330">
        <v>45627</v>
      </c>
      <c r="DL174" s="331">
        <v>45640</v>
      </c>
      <c r="DM174" s="316" t="s">
        <v>1280</v>
      </c>
      <c r="DN17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74" s="331">
        <v>45677</v>
      </c>
      <c r="DP174" s="316" t="s">
        <v>1281</v>
      </c>
      <c r="DQ174" s="338" t="s">
        <v>371</v>
      </c>
      <c r="DR17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4" s="330">
        <v>45558</v>
      </c>
      <c r="DT174" s="330" t="e">
        <v>#N/A</v>
      </c>
      <c r="DU174" s="330">
        <v>45599</v>
      </c>
      <c r="DV174" s="330" t="e">
        <v>#N/A</v>
      </c>
      <c r="DW174" s="331">
        <v>45640</v>
      </c>
      <c r="DX174" s="316" t="s">
        <v>1280</v>
      </c>
      <c r="DY174" s="334"/>
      <c r="DZ174" s="334"/>
      <c r="EA17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4" s="331">
        <v>45792</v>
      </c>
      <c r="EC174" s="332"/>
      <c r="ED174" s="332"/>
      <c r="EE174" s="330" t="s">
        <v>1282</v>
      </c>
      <c r="EF174" s="35">
        <v>1</v>
      </c>
      <c r="EG174" s="337">
        <v>1</v>
      </c>
      <c r="EH174" s="316" t="str">
        <f>IF(Table1[[#This Row],[PO Material Aktual 
(%)]]&gt;=100%,"Selesai PO = 100%",IF(Table1[[#This Row],[PO Material Aktual 
(%)]]&gt;=50%,"Proses PO &gt; 100%",IF(Table1[[#This Row],[PO Material Aktual 
(%)]]&gt;0%,"Proses PO &gt; 50%",IF(Table1[[#This Row],[PO Material Aktual 
(%)]]=0,"Belum PO = 0%"))))</f>
        <v>Selesai PO = 100%</v>
      </c>
      <c r="EI17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74" s="330">
        <v>45600</v>
      </c>
      <c r="EK174" s="330" t="e">
        <v>#N/A</v>
      </c>
      <c r="EL174" s="330">
        <v>45683</v>
      </c>
      <c r="EM174" s="330" t="e">
        <v>#N/A</v>
      </c>
      <c r="EN174" s="331">
        <v>46112</v>
      </c>
      <c r="EO174" s="332"/>
      <c r="EP174" s="332"/>
      <c r="EQ174" s="87">
        <v>1</v>
      </c>
      <c r="ER174" s="87">
        <v>1</v>
      </c>
      <c r="ES174" s="316" t="str">
        <f>IF(Table1[[#This Row],[Progres MOS]]&gt;=100%,"Selesai MOS = 100%",IF(Table1[[#This Row],[Progres MOS]]&gt;=50%,"Proses MOS &gt; 100%",IF(Table1[[#This Row],[Progres MOS]]&gt;0%,"Proses MOS &gt; 50%",IF(Table1[[#This Row],[Progres MOS]]=0,"Belum MOS = 0%"))))</f>
        <v>Selesai MOS = 100%</v>
      </c>
      <c r="ET17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74" s="47"/>
      <c r="EV174" s="330">
        <v>45558</v>
      </c>
      <c r="EW174" s="330" t="e">
        <v>#N/A</v>
      </c>
      <c r="EX174" s="330">
        <v>45655</v>
      </c>
      <c r="EY174" s="330" t="e">
        <v>#N/A</v>
      </c>
      <c r="EZ174" s="352" t="s">
        <v>259</v>
      </c>
      <c r="FA174" s="336" t="s">
        <v>259</v>
      </c>
      <c r="FB174" s="330" t="s">
        <v>260</v>
      </c>
      <c r="FC174" s="330">
        <v>45695</v>
      </c>
      <c r="FD174" s="330" t="s">
        <v>260</v>
      </c>
      <c r="FE174" s="330">
        <v>45821</v>
      </c>
      <c r="FF174" s="330">
        <v>45889</v>
      </c>
      <c r="FG174" s="330" t="s">
        <v>260</v>
      </c>
      <c r="FH174" s="330" t="s">
        <v>260</v>
      </c>
      <c r="FI174" s="330">
        <v>45980</v>
      </c>
      <c r="FJ174" s="330" t="s">
        <v>260</v>
      </c>
      <c r="FK174" s="330">
        <v>46056</v>
      </c>
      <c r="FL174" s="336" t="s">
        <v>259</v>
      </c>
      <c r="FM174" s="352">
        <v>45695</v>
      </c>
      <c r="FN174" s="338">
        <f>IF(Table1[[#This Row],[Tanggal Pengajuan Dokumen]]="","",Table1[[#This Row],[PLAN PERMIT
start]]-Table1[[#This Row],[Tanggal Pengajuan Dokumen]])</f>
        <v>-137</v>
      </c>
      <c r="FO174" s="437">
        <v>46086</v>
      </c>
      <c r="FP174" s="316"/>
      <c r="FQ174" s="338"/>
      <c r="FR174" s="338"/>
      <c r="FS174" s="338" t="str">
        <f t="shared" si="9"/>
        <v>Sudah Terbit</v>
      </c>
      <c r="FT17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4" s="344">
        <f ca="1">IF(Table1[[#This Row],[Status Izin]]="Selesai",Table1[[#This Row],[PLAN PERMIT
finish]]-Table1[[#This Row],[Tanggal Terbit/ Target Izin Terbit]],ROUNDUP(Table1[[#This Row],[PLAN PERMIT
finish]]-NOW(),0))</f>
        <v>-431</v>
      </c>
      <c r="FV17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4" s="344"/>
      <c r="FX174" s="47"/>
      <c r="FY174" s="340"/>
      <c r="FZ174" s="341"/>
      <c r="GA17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4" s="330">
        <v>45629</v>
      </c>
      <c r="GC174" s="445">
        <v>46021</v>
      </c>
      <c r="GD17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4" s="330">
        <v>45636</v>
      </c>
      <c r="GF174" s="352">
        <v>45607</v>
      </c>
      <c r="GG17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74" s="330">
        <v>45642</v>
      </c>
      <c r="GI174" s="330">
        <v>45648</v>
      </c>
      <c r="GJ174" s="352">
        <v>45372</v>
      </c>
      <c r="GK17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74" s="330">
        <v>45656</v>
      </c>
      <c r="GM174" s="330" t="e">
        <v>#N/A</v>
      </c>
      <c r="GN174" s="330">
        <v>45753</v>
      </c>
      <c r="GO174" s="330" t="e">
        <v>#N/A</v>
      </c>
      <c r="GP174" s="316"/>
      <c r="GQ17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4" s="330" t="s">
        <v>261</v>
      </c>
      <c r="GS174" s="330" t="s">
        <v>261</v>
      </c>
      <c r="GT174" s="354" t="s">
        <v>1283</v>
      </c>
      <c r="GU174" s="344" t="str">
        <f>IF(Table1[[#This Row],[Hydro Tes Actual
(tanggal)]]&lt;&gt;"","Sudah","Belum")</f>
        <v>Sudah</v>
      </c>
      <c r="GV174" s="330" t="s">
        <v>261</v>
      </c>
      <c r="GW174" s="330" t="s">
        <v>261</v>
      </c>
      <c r="GX174" s="331" t="s">
        <v>1284</v>
      </c>
      <c r="GY174" s="344" t="str">
        <f>IF(Table1[[#This Row],[Interkoneksi Actual
(tanggal)]]&lt;&gt;"","Sudah","Belum")</f>
        <v>Sudah</v>
      </c>
      <c r="GZ174" s="330" t="s">
        <v>261</v>
      </c>
      <c r="HA174" s="330" t="s">
        <v>261</v>
      </c>
      <c r="HB174" s="331" t="s">
        <v>1285</v>
      </c>
      <c r="HC174" s="344" t="str">
        <f>IF(Table1[[#This Row],[Flushing Actual
(tanggal)]]&lt;&gt;"","Sudah","Belum")</f>
        <v>Sudah</v>
      </c>
      <c r="HD174" s="330">
        <v>45726</v>
      </c>
      <c r="HE174" s="330" t="e">
        <v>#N/A</v>
      </c>
      <c r="HF174" s="330">
        <v>45746</v>
      </c>
      <c r="HG174" s="331">
        <v>45800</v>
      </c>
      <c r="HH17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4" s="330" t="s">
        <v>261</v>
      </c>
      <c r="HJ174" s="330" t="s">
        <v>261</v>
      </c>
      <c r="HK174" s="331"/>
      <c r="HL174" s="316"/>
      <c r="HM174" s="330">
        <v>45765</v>
      </c>
      <c r="HN174" s="330">
        <v>45765</v>
      </c>
      <c r="HO174" s="330" t="e">
        <v>#N/A</v>
      </c>
      <c r="HP174" s="331">
        <v>45800</v>
      </c>
      <c r="HQ17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74" s="330">
        <v>45772</v>
      </c>
      <c r="HS174" s="330"/>
      <c r="HT174" s="330">
        <v>45772</v>
      </c>
      <c r="HU174" s="527"/>
      <c r="HV174" s="331">
        <v>45930</v>
      </c>
      <c r="HW17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74" s="47"/>
      <c r="HY174" s="352"/>
      <c r="HZ174" s="352"/>
      <c r="IB174" s="618">
        <f>IFERROR(ROUND((Table1[[#This Row],[PLAN TC
finish]]-Table1[[#This Row],[PLAN MC-0
start]])/30,2),"")</f>
        <v>3.47</v>
      </c>
      <c r="IC174">
        <f>DATEDIF(Table1[[#This Row],[PLAN MC-0
start]],Table1[[#This Row],[PLAN TC
finish]],"m")</f>
        <v>3</v>
      </c>
    </row>
    <row r="175" spans="1:237" s="30" customFormat="1" ht="15" hidden="1" customHeight="1" x14ac:dyDescent="0.2">
      <c r="A175" s="77"/>
      <c r="B175" s="311">
        <f>SUBTOTAL(3,$D$5:D175)</f>
        <v>84</v>
      </c>
      <c r="C175" s="362">
        <v>171</v>
      </c>
      <c r="D175" s="366" t="s">
        <v>244</v>
      </c>
      <c r="E175" s="366" t="s">
        <v>1286</v>
      </c>
      <c r="F175" s="366" t="s">
        <v>1287</v>
      </c>
      <c r="G175" s="364">
        <v>45935</v>
      </c>
      <c r="H175" s="366" t="s">
        <v>681</v>
      </c>
      <c r="I175" s="366" t="s">
        <v>278</v>
      </c>
      <c r="J175" s="385" t="s">
        <v>389</v>
      </c>
      <c r="K175" s="366" t="s">
        <v>1165</v>
      </c>
      <c r="L175" s="367" t="s">
        <v>250</v>
      </c>
      <c r="M175" s="367" t="s">
        <v>269</v>
      </c>
      <c r="N175" s="368">
        <v>7</v>
      </c>
      <c r="O175" s="369" t="s">
        <v>252</v>
      </c>
      <c r="P175"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5" s="370" t="s">
        <v>389</v>
      </c>
      <c r="R175" s="371" t="e">
        <v>#N/A</v>
      </c>
      <c r="S175" s="371">
        <v>1</v>
      </c>
      <c r="T175" s="371">
        <f>Table1[[#This Row],[Progres Total Aktual
(%)]]</f>
        <v>0</v>
      </c>
      <c r="U175" s="372">
        <f>Table1[[#This Row],[Progres Aktual
(%)]]-Table1[[#This Row],[Target Progres
(%)]]</f>
        <v>-1</v>
      </c>
      <c r="V175" s="373">
        <f>Table1[[#This Row],["Volume
BA MC-0"]]</f>
        <v>0</v>
      </c>
      <c r="W175" s="374">
        <f>Table1[[#This Row],[Total Panjang Pipa Aktual
(Sum-&gt;)3]]</f>
        <v>0</v>
      </c>
      <c r="X175" s="47"/>
      <c r="Y175" s="67" t="s">
        <v>1288</v>
      </c>
      <c r="Z175" s="375">
        <v>69757407</v>
      </c>
      <c r="AA175" s="67">
        <f>Table1[[#This Row],[Nilai RAB Jaringan
(file pa aji)]]</f>
        <v>69757407</v>
      </c>
      <c r="AB175" s="370">
        <f>SUM(Table1[[#This Row],[RAB Kegiatan Umum]:[RAB Perizinan]])</f>
        <v>0</v>
      </c>
      <c r="AC175" s="370"/>
      <c r="AD175" s="370"/>
      <c r="AE175" s="370"/>
      <c r="AF175" s="370"/>
      <c r="AG175" s="439">
        <v>2049649</v>
      </c>
      <c r="AH175" s="371" t="e">
        <f>SUM(Table1[[#This Row],[Bobot Keg Umum]:[Bobot Perizinan]])</f>
        <v>#DIV/0!</v>
      </c>
      <c r="AI175" s="371" t="e">
        <f>Table1[[#This Row],[RAB Kegiatan Umum]]/Table1[[#This Row],[Nilai RAB Jaringan
(Exclude Ppn)]]</f>
        <v>#DIV/0!</v>
      </c>
      <c r="AJ175" s="371" t="e">
        <f>Table1[[#This Row],[RAB Pemasangan]]/Table1[[#This Row],[Nilai RAB Jaringan
(Exclude Ppn)]]</f>
        <v>#DIV/0!</v>
      </c>
      <c r="AK175" s="371" t="e">
        <f>Table1[[#This Row],[RAB Pengadaan]]/Table1[[#This Row],[Nilai RAB Jaringan
(Exclude Ppn)]]</f>
        <v>#DIV/0!</v>
      </c>
      <c r="AL175" s="371" t="e">
        <f>Table1[[#This Row],[RAB Perizinan]]/Table1[[#This Row],[Nilai RAB Jaringan
(Exclude Ppn)]]</f>
        <v>#DIV/0!</v>
      </c>
      <c r="AM175" s="47"/>
      <c r="AN175" s="376">
        <v>0</v>
      </c>
      <c r="AO175" s="376">
        <f>SUM(Table1[[#This Row],[Pipa 63 mm]:[Pipa 1,800 mm]])</f>
        <v>0</v>
      </c>
      <c r="AP175" s="376"/>
      <c r="AQ175" s="376"/>
      <c r="AR175" s="376"/>
      <c r="AS175" s="376"/>
      <c r="AT175" s="376"/>
      <c r="AU175" s="376"/>
      <c r="AV175" s="376"/>
      <c r="AW175" s="376"/>
      <c r="AX175" s="376"/>
      <c r="AY175" s="376"/>
      <c r="AZ175" s="376"/>
      <c r="BA175" s="376"/>
      <c r="BB175" s="376"/>
      <c r="BC175" s="376"/>
      <c r="BD175" s="376"/>
      <c r="BE175" s="376"/>
      <c r="BF175" s="376"/>
      <c r="BG175" s="376"/>
      <c r="BH175" s="376"/>
      <c r="BI175" s="376"/>
      <c r="BJ175" s="377">
        <f>SUM(Table1[[#This Row],[Pipa 63 mm2]:[Pipa 1,800 mm21]])</f>
        <v>0</v>
      </c>
      <c r="BK175" s="378"/>
      <c r="BL175" s="378"/>
      <c r="BM175" s="378"/>
      <c r="BN175" s="378"/>
      <c r="BO175" s="378"/>
      <c r="BP175" s="378"/>
      <c r="BQ175" s="378"/>
      <c r="BR175" s="378"/>
      <c r="BS175" s="378"/>
      <c r="BT175" s="378"/>
      <c r="BU175" s="378"/>
      <c r="BV175" s="378"/>
      <c r="BW175" s="378"/>
      <c r="BX175" s="378"/>
      <c r="BY175" s="378"/>
      <c r="BZ175" s="378"/>
      <c r="CA175" s="378"/>
      <c r="CB175" s="378"/>
      <c r="CC175" s="378"/>
      <c r="CD175" s="378"/>
      <c r="CE175" s="378">
        <v>0</v>
      </c>
      <c r="CF175" s="378">
        <v>0</v>
      </c>
      <c r="CG175" s="378">
        <v>0</v>
      </c>
      <c r="CH175" s="378">
        <v>0</v>
      </c>
      <c r="CI175" s="378">
        <f t="shared" si="10"/>
        <v>0</v>
      </c>
      <c r="CJ175" s="378">
        <f>IF((Table1[[#This Row],["Volume
BA MC-0"]]-Table1[[#This Row],[Total Panjang Pipa Aktual
(Sum-&gt;)3]]-Table1[[#This Row],[Total Volume
tidak dapat dipasang]])&gt;=0,Table1[[#This Row],["Volume
BA MC-0"]]-Table1[[#This Row],[Total Panjang Pipa Aktual
(Sum-&gt;)3]]-Table1[[#This Row],[Total Volume
tidak dapat dipasang]],0)</f>
        <v>0</v>
      </c>
      <c r="CK175" s="47"/>
      <c r="CL175" s="379"/>
      <c r="CM175" s="371"/>
      <c r="CN175" s="379"/>
      <c r="CO175" s="379"/>
      <c r="CP17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5" s="380">
        <f>IFERROR(Table1[[#This Row],[Progres Keg. Umum
(%)]]*Table1[[#This Row],[Nilai RAB Jaringan
(file pa aji)]],0)</f>
        <v>0</v>
      </c>
      <c r="CR175" s="380">
        <f>IFERROR(Table1[[#This Row],[Progres MOS
(%)]]*Table1[[#This Row],[Nilai RAB Jaringan
(file pa aji)]],0)</f>
        <v>0</v>
      </c>
      <c r="CS175" s="380">
        <f>IFERROR(Table1[[#This Row],[Progres Pemasangan
(%)]]*Table1[[#This Row],[Nilai RAB Jaringan
(file pa aji)]],0)</f>
        <v>0</v>
      </c>
      <c r="CT175" s="380">
        <f>IFERROR(Table1[[#This Row],[Progres Perizinan
(%)]]*Table1[[#This Row],[Nilai RAB Jaringan
(file pa aji)]],0)</f>
        <v>0</v>
      </c>
      <c r="CU175" s="329">
        <v>0</v>
      </c>
      <c r="CV175" s="329">
        <v>0</v>
      </c>
      <c r="CW175" s="582">
        <v>0</v>
      </c>
      <c r="CX175" s="329">
        <v>0</v>
      </c>
      <c r="CY175" s="47"/>
      <c r="CZ175" s="386">
        <v>45565</v>
      </c>
      <c r="DA175" s="386">
        <v>45578</v>
      </c>
      <c r="DB175" s="331"/>
      <c r="DC175" s="367">
        <v>0</v>
      </c>
      <c r="DD175" s="375">
        <v>0</v>
      </c>
      <c r="DE17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5" s="331"/>
      <c r="DG175" s="367">
        <v>0</v>
      </c>
      <c r="DH175" s="375">
        <v>0</v>
      </c>
      <c r="DI175"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5" s="386">
        <v>45579</v>
      </c>
      <c r="DK175" s="386">
        <v>45627</v>
      </c>
      <c r="DL175" s="331">
        <v>45609</v>
      </c>
      <c r="DM175" s="381" t="s">
        <v>1289</v>
      </c>
      <c r="DN17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5" s="331">
        <v>45645</v>
      </c>
      <c r="DP175" s="367" t="s">
        <v>1290</v>
      </c>
      <c r="DQ175" s="366" t="s">
        <v>433</v>
      </c>
      <c r="DR17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5" s="386">
        <v>45579</v>
      </c>
      <c r="DT175" s="386" t="e">
        <v>#N/A</v>
      </c>
      <c r="DU175" s="386">
        <v>45606</v>
      </c>
      <c r="DV175" s="386" t="e">
        <v>#N/A</v>
      </c>
      <c r="DW175" s="331"/>
      <c r="DX175" s="367">
        <v>0</v>
      </c>
      <c r="DY175" s="382"/>
      <c r="DZ175" s="382"/>
      <c r="EA17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5" s="331"/>
      <c r="EC175" s="332"/>
      <c r="ED175" s="332"/>
      <c r="EE175" s="330"/>
      <c r="EF175" s="371" t="b">
        <v>0</v>
      </c>
      <c r="EG175" s="383" t="b">
        <v>0</v>
      </c>
      <c r="EH175" s="316" t="str">
        <f>IF(Table1[[#This Row],[PO Material Aktual 
(%)]]&gt;=100%,"Selesai PO = 100%",IF(Table1[[#This Row],[PO Material Aktual 
(%)]]&gt;=50%,"Proses PO &gt; 100%",IF(Table1[[#This Row],[PO Material Aktual 
(%)]]&gt;0%,"Proses PO &gt; 50%",IF(Table1[[#This Row],[PO Material Aktual 
(%)]]=0,"Belum PO = 0%"))))</f>
        <v>Selesai PO = 100%</v>
      </c>
      <c r="EI17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5" s="386">
        <v>45607</v>
      </c>
      <c r="EK175" s="386" t="e">
        <v>#N/A</v>
      </c>
      <c r="EL175" s="386">
        <v>45655</v>
      </c>
      <c r="EM175" s="386" t="e">
        <v>#N/A</v>
      </c>
      <c r="EN175" s="331"/>
      <c r="EO175" s="332"/>
      <c r="EP175" s="332"/>
      <c r="EQ175" s="88" t="b">
        <v>0</v>
      </c>
      <c r="ER175" s="88" t="b">
        <v>0</v>
      </c>
      <c r="ES175" s="316" t="str">
        <f>IF(Table1[[#This Row],[Progres MOS]]&gt;=100%,"Selesai MOS = 100%",IF(Table1[[#This Row],[Progres MOS]]&gt;=50%,"Proses MOS &gt; 100%",IF(Table1[[#This Row],[Progres MOS]]&gt;0%,"Proses MOS &gt; 50%",IF(Table1[[#This Row],[Progres MOS]]=0,"Belum MOS = 0%"))))</f>
        <v>Selesai MOS = 100%</v>
      </c>
      <c r="ET17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5" s="47"/>
      <c r="EV175" s="386">
        <v>45579</v>
      </c>
      <c r="EW175" s="386" t="e">
        <v>#N/A</v>
      </c>
      <c r="EX175" s="386">
        <v>45655</v>
      </c>
      <c r="EY175" s="386" t="e">
        <v>#N/A</v>
      </c>
      <c r="EZ175" s="384" t="s">
        <v>298</v>
      </c>
      <c r="FA175" s="385" t="s">
        <v>389</v>
      </c>
      <c r="FB175" s="386"/>
      <c r="FC175" s="330"/>
      <c r="FD175" s="386"/>
      <c r="FE175" s="386"/>
      <c r="FF175" s="386"/>
      <c r="FG175" s="386"/>
      <c r="FH175" s="386"/>
      <c r="FI175" s="386"/>
      <c r="FJ175" s="386"/>
      <c r="FK175" s="386"/>
      <c r="FL175" s="336" t="str">
        <f>Table1[[#This Row],[IPPJU]]</f>
        <v>9.Proses Penerbitan Izin</v>
      </c>
      <c r="FM175" s="336"/>
      <c r="FN175" s="314" t="str">
        <f>IF(Table1[[#This Row],[Tanggal Pengajuan Dokumen]]="","",Table1[[#This Row],[PLAN PERMIT
start]]-Table1[[#This Row],[Tanggal Pengajuan Dokumen]])</f>
        <v/>
      </c>
      <c r="FO175" s="444">
        <v>46086</v>
      </c>
      <c r="FP175" s="316"/>
      <c r="FQ175" s="338"/>
      <c r="FR175" s="338"/>
      <c r="FS175" s="338" t="str">
        <f t="shared" si="9"/>
        <v>On Going</v>
      </c>
      <c r="FT175"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5" s="387">
        <f ca="1">IF(Table1[[#This Row],[Status Izin]]="Selesai",Table1[[#This Row],[PLAN PERMIT
finish]]-Table1[[#This Row],[Tanggal Terbit/ Target Izin Terbit]],ROUNDUP(Table1[[#This Row],[PLAN PERMIT
finish]]-NOW(),0))</f>
        <v>-536</v>
      </c>
      <c r="FV175"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5" s="387"/>
      <c r="FX175" s="47"/>
      <c r="FY175" s="340"/>
      <c r="FZ175" s="341"/>
      <c r="GA17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5" s="386">
        <v>45629</v>
      </c>
      <c r="GC175" s="384"/>
      <c r="GD175"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75" s="386">
        <v>45636</v>
      </c>
      <c r="GF175" s="384"/>
      <c r="GG175"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75" s="386">
        <v>45642</v>
      </c>
      <c r="GI175" s="386">
        <v>45648</v>
      </c>
      <c r="GJ175" s="388" t="s">
        <v>1291</v>
      </c>
      <c r="GK175"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5" s="386">
        <v>45656</v>
      </c>
      <c r="GM175" s="386" t="e">
        <v>#N/A</v>
      </c>
      <c r="GN175" s="386">
        <v>45662</v>
      </c>
      <c r="GO175" s="386" t="e">
        <v>#N/A</v>
      </c>
      <c r="GP175" s="367"/>
      <c r="GQ175"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5" s="386" t="s">
        <v>261</v>
      </c>
      <c r="GS175" s="386" t="s">
        <v>261</v>
      </c>
      <c r="GT175" s="390"/>
      <c r="GU175" s="387" t="str">
        <f>IF(Table1[[#This Row],[Hydro Tes Actual
(tanggal)]]&lt;&gt;"","Sudah","Belum")</f>
        <v>Belum</v>
      </c>
      <c r="GV175" s="386" t="s">
        <v>261</v>
      </c>
      <c r="GW175" s="386" t="s">
        <v>261</v>
      </c>
      <c r="GX175" s="388"/>
      <c r="GY175" s="344" t="str">
        <f>IF(Table1[[#This Row],[Interkoneksi Actual
(tanggal)]]&lt;&gt;"","Sudah","Belum")</f>
        <v>Belum</v>
      </c>
      <c r="GZ175" s="386" t="s">
        <v>261</v>
      </c>
      <c r="HA175" s="386" t="s">
        <v>261</v>
      </c>
      <c r="HB175" s="388"/>
      <c r="HC175" s="344" t="str">
        <f>IF(Table1[[#This Row],[Flushing Actual
(tanggal)]]&lt;&gt;"","Sudah","Belum")</f>
        <v>Belum</v>
      </c>
      <c r="HD175" s="386">
        <v>45660</v>
      </c>
      <c r="HE175" s="386" t="e">
        <v>#N/A</v>
      </c>
      <c r="HF175" s="386">
        <v>45669</v>
      </c>
      <c r="HG175" s="388"/>
      <c r="HH175"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5" s="386" t="s">
        <v>261</v>
      </c>
      <c r="HJ175" s="386" t="s">
        <v>261</v>
      </c>
      <c r="HK175" s="388"/>
      <c r="HL175" s="367"/>
      <c r="HM175" s="386">
        <v>45681</v>
      </c>
      <c r="HN175" s="386">
        <v>45681</v>
      </c>
      <c r="HO175" s="386" t="e">
        <v>#N/A</v>
      </c>
      <c r="HP175" s="388"/>
      <c r="HQ175"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75" s="386">
        <v>45688</v>
      </c>
      <c r="HS175" s="386"/>
      <c r="HT175" s="386">
        <v>45688</v>
      </c>
      <c r="HU175" s="613"/>
      <c r="HV175" s="388"/>
      <c r="HW175"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75" s="47"/>
      <c r="HY175" s="384"/>
      <c r="HZ175" s="384"/>
      <c r="IB175" s="618">
        <f>IFERROR(ROUND((Table1[[#This Row],[PLAN TC
finish]]-Table1[[#This Row],[PLAN MC-0
start]])/30,2),"")</f>
        <v>0.9</v>
      </c>
      <c r="IC175">
        <f>DATEDIF(Table1[[#This Row],[PLAN MC-0
start]],Table1[[#This Row],[PLAN TC
finish]],"m")</f>
        <v>0</v>
      </c>
    </row>
    <row r="176" spans="1:237" s="30" customFormat="1" ht="15" hidden="1" customHeight="1" x14ac:dyDescent="0.2">
      <c r="A176" s="77"/>
      <c r="B176" s="311">
        <f>SUBTOTAL(3,$D$5:D176)</f>
        <v>84</v>
      </c>
      <c r="C176" s="362">
        <v>172</v>
      </c>
      <c r="D176" s="366" t="s">
        <v>244</v>
      </c>
      <c r="E176" s="366" t="s">
        <v>1292</v>
      </c>
      <c r="F176" s="366" t="s">
        <v>1293</v>
      </c>
      <c r="G176" s="364">
        <v>45935</v>
      </c>
      <c r="H176" s="366" t="s">
        <v>681</v>
      </c>
      <c r="I176" s="366" t="s">
        <v>278</v>
      </c>
      <c r="J176" s="385" t="s">
        <v>389</v>
      </c>
      <c r="K176" s="366" t="s">
        <v>1165</v>
      </c>
      <c r="L176" s="367" t="s">
        <v>250</v>
      </c>
      <c r="M176" s="367" t="s">
        <v>269</v>
      </c>
      <c r="N176" s="368">
        <v>12</v>
      </c>
      <c r="O176" s="369" t="s">
        <v>252</v>
      </c>
      <c r="P176"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6" s="370" t="s">
        <v>389</v>
      </c>
      <c r="R176" s="371" t="e">
        <v>#N/A</v>
      </c>
      <c r="S176" s="371">
        <v>1</v>
      </c>
      <c r="T176" s="371">
        <f>Table1[[#This Row],[Progres Total Aktual
(%)]]</f>
        <v>0</v>
      </c>
      <c r="U176" s="372">
        <f>Table1[[#This Row],[Progres Aktual
(%)]]-Table1[[#This Row],[Target Progres
(%)]]</f>
        <v>-1</v>
      </c>
      <c r="V176" s="373">
        <f>Table1[[#This Row],["Volume
BA MC-0"]]</f>
        <v>0</v>
      </c>
      <c r="W176" s="374">
        <f>Table1[[#This Row],[Total Panjang Pipa Aktual
(Sum-&gt;)3]]</f>
        <v>0</v>
      </c>
      <c r="X176" s="47"/>
      <c r="Y176" s="67" t="s">
        <v>1294</v>
      </c>
      <c r="Z176" s="375">
        <v>88789681</v>
      </c>
      <c r="AA176" s="67">
        <f>Table1[[#This Row],[Nilai RAB Jaringan
(file pa aji)]]</f>
        <v>88789681</v>
      </c>
      <c r="AB176" s="370">
        <f>SUM(Table1[[#This Row],[RAB Kegiatan Umum]:[RAB Perizinan]])</f>
        <v>0</v>
      </c>
      <c r="AC176" s="370"/>
      <c r="AD176" s="370"/>
      <c r="AE176" s="370"/>
      <c r="AF176" s="370"/>
      <c r="AG176" s="439">
        <v>2049649</v>
      </c>
      <c r="AH176" s="371" t="e">
        <f>SUM(Table1[[#This Row],[Bobot Keg Umum]:[Bobot Perizinan]])</f>
        <v>#DIV/0!</v>
      </c>
      <c r="AI176" s="371" t="e">
        <f>Table1[[#This Row],[RAB Kegiatan Umum]]/Table1[[#This Row],[Nilai RAB Jaringan
(Exclude Ppn)]]</f>
        <v>#DIV/0!</v>
      </c>
      <c r="AJ176" s="371" t="e">
        <f>Table1[[#This Row],[RAB Pemasangan]]/Table1[[#This Row],[Nilai RAB Jaringan
(Exclude Ppn)]]</f>
        <v>#DIV/0!</v>
      </c>
      <c r="AK176" s="371" t="e">
        <f>Table1[[#This Row],[RAB Pengadaan]]/Table1[[#This Row],[Nilai RAB Jaringan
(Exclude Ppn)]]</f>
        <v>#DIV/0!</v>
      </c>
      <c r="AL176" s="371" t="e">
        <f>Table1[[#This Row],[RAB Perizinan]]/Table1[[#This Row],[Nilai RAB Jaringan
(Exclude Ppn)]]</f>
        <v>#DIV/0!</v>
      </c>
      <c r="AM176" s="47"/>
      <c r="AN176" s="376">
        <v>0</v>
      </c>
      <c r="AO176" s="376">
        <f>SUM(Table1[[#This Row],[Pipa 63 mm]:[Pipa 1,800 mm]])</f>
        <v>0</v>
      </c>
      <c r="AP176" s="376"/>
      <c r="AQ176" s="376"/>
      <c r="AR176" s="376"/>
      <c r="AS176" s="376"/>
      <c r="AT176" s="376"/>
      <c r="AU176" s="376"/>
      <c r="AV176" s="376"/>
      <c r="AW176" s="376"/>
      <c r="AX176" s="376"/>
      <c r="AY176" s="376"/>
      <c r="AZ176" s="376"/>
      <c r="BA176" s="376"/>
      <c r="BB176" s="376"/>
      <c r="BC176" s="376"/>
      <c r="BD176" s="376"/>
      <c r="BE176" s="376"/>
      <c r="BF176" s="376"/>
      <c r="BG176" s="376"/>
      <c r="BH176" s="376"/>
      <c r="BI176" s="376"/>
      <c r="BJ176" s="377">
        <f>SUM(Table1[[#This Row],[Pipa 63 mm2]:[Pipa 1,800 mm21]])</f>
        <v>0</v>
      </c>
      <c r="BK176" s="378"/>
      <c r="BL176" s="378"/>
      <c r="BM176" s="378"/>
      <c r="BN176" s="378"/>
      <c r="BO176" s="378"/>
      <c r="BP176" s="378"/>
      <c r="BQ176" s="378"/>
      <c r="BR176" s="378"/>
      <c r="BS176" s="378"/>
      <c r="BT176" s="378"/>
      <c r="BU176" s="378"/>
      <c r="BV176" s="378"/>
      <c r="BW176" s="378"/>
      <c r="BX176" s="378"/>
      <c r="BY176" s="378"/>
      <c r="BZ176" s="378"/>
      <c r="CA176" s="378"/>
      <c r="CB176" s="378"/>
      <c r="CC176" s="378"/>
      <c r="CD176" s="378"/>
      <c r="CE176" s="378">
        <v>0</v>
      </c>
      <c r="CF176" s="378">
        <v>0</v>
      </c>
      <c r="CG176" s="378">
        <v>0</v>
      </c>
      <c r="CH176" s="378">
        <v>0</v>
      </c>
      <c r="CI176" s="378">
        <f t="shared" si="10"/>
        <v>0</v>
      </c>
      <c r="CJ176" s="378">
        <f>IF((Table1[[#This Row],["Volume
BA MC-0"]]-Table1[[#This Row],[Total Panjang Pipa Aktual
(Sum-&gt;)3]]-Table1[[#This Row],[Total Volume
tidak dapat dipasang]])&gt;=0,Table1[[#This Row],["Volume
BA MC-0"]]-Table1[[#This Row],[Total Panjang Pipa Aktual
(Sum-&gt;)3]]-Table1[[#This Row],[Total Volume
tidak dapat dipasang]],0)</f>
        <v>0</v>
      </c>
      <c r="CK176" s="47"/>
      <c r="CL176" s="379"/>
      <c r="CM176" s="371"/>
      <c r="CN176" s="379"/>
      <c r="CO176" s="379"/>
      <c r="CP17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6" s="380">
        <f>IFERROR(Table1[[#This Row],[Progres Keg. Umum
(%)]]*Table1[[#This Row],[Nilai RAB Jaringan
(file pa aji)]],0)</f>
        <v>0</v>
      </c>
      <c r="CR176" s="380">
        <f>IFERROR(Table1[[#This Row],[Progres MOS
(%)]]*Table1[[#This Row],[Nilai RAB Jaringan
(file pa aji)]],0)</f>
        <v>0</v>
      </c>
      <c r="CS176" s="380">
        <f>IFERROR(Table1[[#This Row],[Progres Pemasangan
(%)]]*Table1[[#This Row],[Nilai RAB Jaringan
(file pa aji)]],0)</f>
        <v>0</v>
      </c>
      <c r="CT176" s="380">
        <f>IFERROR(Table1[[#This Row],[Progres Perizinan
(%)]]*Table1[[#This Row],[Nilai RAB Jaringan
(file pa aji)]],0)</f>
        <v>0</v>
      </c>
      <c r="CU176" s="329">
        <v>0</v>
      </c>
      <c r="CV176" s="329">
        <v>0</v>
      </c>
      <c r="CW176" s="582">
        <v>0</v>
      </c>
      <c r="CX176" s="329">
        <v>0</v>
      </c>
      <c r="CY176" s="47"/>
      <c r="CZ176" s="386">
        <v>45565</v>
      </c>
      <c r="DA176" s="386">
        <v>45578</v>
      </c>
      <c r="DB176" s="331"/>
      <c r="DC176" s="367">
        <v>0</v>
      </c>
      <c r="DD176" s="375">
        <v>0</v>
      </c>
      <c r="DE17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6" s="331"/>
      <c r="DG176" s="367">
        <v>0</v>
      </c>
      <c r="DH176" s="375">
        <v>0</v>
      </c>
      <c r="DI176"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6" s="386">
        <v>45579</v>
      </c>
      <c r="DK176" s="386">
        <v>45627</v>
      </c>
      <c r="DL176" s="331"/>
      <c r="DM176" s="367"/>
      <c r="DN17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76" s="331"/>
      <c r="DP176" s="367"/>
      <c r="DQ176" s="366"/>
      <c r="DR17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76" s="386">
        <v>45579</v>
      </c>
      <c r="DT176" s="386" t="e">
        <v>#N/A</v>
      </c>
      <c r="DU176" s="386">
        <v>45606</v>
      </c>
      <c r="DV176" s="386" t="e">
        <v>#N/A</v>
      </c>
      <c r="DW176" s="331"/>
      <c r="DX176" s="367">
        <v>0</v>
      </c>
      <c r="DY176" s="382"/>
      <c r="DZ176" s="382"/>
      <c r="EA17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6" s="331"/>
      <c r="EC176" s="332"/>
      <c r="ED176" s="332"/>
      <c r="EE176" s="330"/>
      <c r="EF176" s="371" t="b">
        <v>0</v>
      </c>
      <c r="EG176" s="383" t="b">
        <v>0</v>
      </c>
      <c r="EH176" s="316" t="str">
        <f>IF(Table1[[#This Row],[PO Material Aktual 
(%)]]&gt;=100%,"Selesai PO = 100%",IF(Table1[[#This Row],[PO Material Aktual 
(%)]]&gt;=50%,"Proses PO &gt; 100%",IF(Table1[[#This Row],[PO Material Aktual 
(%)]]&gt;0%,"Proses PO &gt; 50%",IF(Table1[[#This Row],[PO Material Aktual 
(%)]]=0,"Belum PO = 0%"))))</f>
        <v>Selesai PO = 100%</v>
      </c>
      <c r="EI17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6" s="386">
        <v>45607</v>
      </c>
      <c r="EK176" s="386" t="e">
        <v>#N/A</v>
      </c>
      <c r="EL176" s="386">
        <v>45655</v>
      </c>
      <c r="EM176" s="386" t="e">
        <v>#N/A</v>
      </c>
      <c r="EN176" s="331"/>
      <c r="EO176" s="332"/>
      <c r="EP176" s="332"/>
      <c r="EQ176" s="88" t="b">
        <v>0</v>
      </c>
      <c r="ER176" s="88" t="b">
        <v>0</v>
      </c>
      <c r="ES176" s="316" t="str">
        <f>IF(Table1[[#This Row],[Progres MOS]]&gt;=100%,"Selesai MOS = 100%",IF(Table1[[#This Row],[Progres MOS]]&gt;=50%,"Proses MOS &gt; 100%",IF(Table1[[#This Row],[Progres MOS]]&gt;0%,"Proses MOS &gt; 50%",IF(Table1[[#This Row],[Progres MOS]]=0,"Belum MOS = 0%"))))</f>
        <v>Selesai MOS = 100%</v>
      </c>
      <c r="ET17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6" s="47"/>
      <c r="EV176" s="386">
        <v>45579</v>
      </c>
      <c r="EW176" s="386" t="e">
        <v>#N/A</v>
      </c>
      <c r="EX176" s="386">
        <v>45655</v>
      </c>
      <c r="EY176" s="386" t="e">
        <v>#N/A</v>
      </c>
      <c r="EZ176" s="384" t="s">
        <v>298</v>
      </c>
      <c r="FA176" s="385" t="s">
        <v>389</v>
      </c>
      <c r="FB176" s="386"/>
      <c r="FC176" s="330"/>
      <c r="FD176" s="386"/>
      <c r="FE176" s="386"/>
      <c r="FF176" s="386"/>
      <c r="FG176" s="386"/>
      <c r="FH176" s="386"/>
      <c r="FI176" s="386"/>
      <c r="FJ176" s="386"/>
      <c r="FK176" s="386"/>
      <c r="FL176" s="336" t="str">
        <f>Table1[[#This Row],[IPPJU]]</f>
        <v>9.Proses Penerbitan Izin</v>
      </c>
      <c r="FM176" s="336"/>
      <c r="FN176" s="314" t="str">
        <f>IF(Table1[[#This Row],[Tanggal Pengajuan Dokumen]]="","",Table1[[#This Row],[PLAN PERMIT
start]]-Table1[[#This Row],[Tanggal Pengajuan Dokumen]])</f>
        <v/>
      </c>
      <c r="FO176" s="444">
        <v>46086</v>
      </c>
      <c r="FP176" s="316"/>
      <c r="FQ176" s="338"/>
      <c r="FR176" s="338"/>
      <c r="FS176" s="338" t="str">
        <f t="shared" si="9"/>
        <v>On Going</v>
      </c>
      <c r="FT176"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6" s="387">
        <f ca="1">IF(Table1[[#This Row],[Status Izin]]="Selesai",Table1[[#This Row],[PLAN PERMIT
finish]]-Table1[[#This Row],[Tanggal Terbit/ Target Izin Terbit]],ROUNDUP(Table1[[#This Row],[PLAN PERMIT
finish]]-NOW(),0))</f>
        <v>-536</v>
      </c>
      <c r="FV176"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6" s="387"/>
      <c r="FX176" s="47"/>
      <c r="FY176" s="340"/>
      <c r="FZ176" s="341"/>
      <c r="GA17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6" s="386">
        <v>45629</v>
      </c>
      <c r="GC176" s="384">
        <v>45656</v>
      </c>
      <c r="GD176"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6" s="386">
        <v>45636</v>
      </c>
      <c r="GF176" s="384">
        <v>0</v>
      </c>
      <c r="GG176"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76" s="386">
        <v>45642</v>
      </c>
      <c r="GI176" s="386">
        <v>45648</v>
      </c>
      <c r="GJ176" s="384">
        <v>45803</v>
      </c>
      <c r="GK176"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6" s="386">
        <v>45656</v>
      </c>
      <c r="GM176" s="386" t="e">
        <v>#N/A</v>
      </c>
      <c r="GN176" s="386">
        <v>45662</v>
      </c>
      <c r="GO176" s="386" t="e">
        <v>#N/A</v>
      </c>
      <c r="GP176" s="367"/>
      <c r="GQ176"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6" s="386" t="s">
        <v>261</v>
      </c>
      <c r="GS176" s="386" t="s">
        <v>261</v>
      </c>
      <c r="GT176" s="390"/>
      <c r="GU176" s="387" t="str">
        <f>IF(Table1[[#This Row],[Hydro Tes Actual
(tanggal)]]&lt;&gt;"","Sudah","Belum")</f>
        <v>Belum</v>
      </c>
      <c r="GV176" s="386" t="s">
        <v>261</v>
      </c>
      <c r="GW176" s="386" t="s">
        <v>261</v>
      </c>
      <c r="GX176" s="388"/>
      <c r="GY176" s="344" t="str">
        <f>IF(Table1[[#This Row],[Interkoneksi Actual
(tanggal)]]&lt;&gt;"","Sudah","Belum")</f>
        <v>Belum</v>
      </c>
      <c r="GZ176" s="386" t="s">
        <v>261</v>
      </c>
      <c r="HA176" s="386" t="s">
        <v>261</v>
      </c>
      <c r="HB176" s="388"/>
      <c r="HC176" s="344" t="str">
        <f>IF(Table1[[#This Row],[Flushing Actual
(tanggal)]]&lt;&gt;"","Sudah","Belum")</f>
        <v>Belum</v>
      </c>
      <c r="HD176" s="386">
        <v>45660</v>
      </c>
      <c r="HE176" s="386" t="e">
        <v>#N/A</v>
      </c>
      <c r="HF176" s="386">
        <v>45669</v>
      </c>
      <c r="HG176" s="388"/>
      <c r="HH176"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6" s="386" t="s">
        <v>261</v>
      </c>
      <c r="HJ176" s="386" t="s">
        <v>261</v>
      </c>
      <c r="HK176" s="388"/>
      <c r="HL176" s="367"/>
      <c r="HM176" s="386">
        <v>45681</v>
      </c>
      <c r="HN176" s="386">
        <v>45681</v>
      </c>
      <c r="HO176" s="386" t="e">
        <v>#N/A</v>
      </c>
      <c r="HP176" s="388"/>
      <c r="HQ176"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76" s="386">
        <v>45688</v>
      </c>
      <c r="HS176" s="386"/>
      <c r="HT176" s="386">
        <v>45688</v>
      </c>
      <c r="HU176" s="613"/>
      <c r="HV176" s="388"/>
      <c r="HW176"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76" s="47"/>
      <c r="HY176" s="384"/>
      <c r="HZ176" s="384"/>
      <c r="IB176" s="618">
        <f>IFERROR(ROUND((Table1[[#This Row],[PLAN TC
finish]]-Table1[[#This Row],[PLAN MC-0
start]])/30,2),"")</f>
        <v>0.9</v>
      </c>
      <c r="IC176">
        <f>DATEDIF(Table1[[#This Row],[PLAN MC-0
start]],Table1[[#This Row],[PLAN TC
finish]],"m")</f>
        <v>0</v>
      </c>
    </row>
    <row r="177" spans="1:237" s="30" customFormat="1" ht="15" hidden="1" customHeight="1" x14ac:dyDescent="0.2">
      <c r="A177" s="77"/>
      <c r="B177" s="311">
        <f>SUBTOTAL(3,$D$5:D177)</f>
        <v>84</v>
      </c>
      <c r="C177" s="362">
        <v>173</v>
      </c>
      <c r="D177" s="366" t="s">
        <v>244</v>
      </c>
      <c r="E177" s="366" t="s">
        <v>1295</v>
      </c>
      <c r="F177" s="366" t="s">
        <v>1296</v>
      </c>
      <c r="G177" s="364">
        <v>45935</v>
      </c>
      <c r="H177" s="366" t="s">
        <v>681</v>
      </c>
      <c r="I177" s="366" t="s">
        <v>278</v>
      </c>
      <c r="J177" s="385" t="s">
        <v>389</v>
      </c>
      <c r="K177" s="366" t="s">
        <v>1165</v>
      </c>
      <c r="L177" s="367" t="s">
        <v>250</v>
      </c>
      <c r="M177" s="367" t="s">
        <v>269</v>
      </c>
      <c r="N177" s="368">
        <v>12</v>
      </c>
      <c r="O177" s="369" t="s">
        <v>252</v>
      </c>
      <c r="P177"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7" s="370" t="s">
        <v>389</v>
      </c>
      <c r="R177" s="371" t="e">
        <v>#N/A</v>
      </c>
      <c r="S177" s="371">
        <v>1</v>
      </c>
      <c r="T177" s="371">
        <f>Table1[[#This Row],[Progres Total Aktual
(%)]]</f>
        <v>0</v>
      </c>
      <c r="U177" s="372">
        <f>Table1[[#This Row],[Progres Aktual
(%)]]-Table1[[#This Row],[Target Progres
(%)]]</f>
        <v>-1</v>
      </c>
      <c r="V177" s="373">
        <f>Table1[[#This Row],["Volume
BA MC-0"]]</f>
        <v>0</v>
      </c>
      <c r="W177" s="374">
        <f>Table1[[#This Row],[Total Panjang Pipa Aktual
(Sum-&gt;)3]]</f>
        <v>0</v>
      </c>
      <c r="X177" s="47"/>
      <c r="Y177" s="67" t="s">
        <v>1297</v>
      </c>
      <c r="Z177" s="375">
        <v>113279126</v>
      </c>
      <c r="AA177" s="67">
        <f>Table1[[#This Row],[Nilai RAB Jaringan
(file pa aji)]]</f>
        <v>113279126</v>
      </c>
      <c r="AB177" s="370">
        <f>SUM(Table1[[#This Row],[RAB Kegiatan Umum]:[RAB Perizinan]])</f>
        <v>0</v>
      </c>
      <c r="AC177" s="370"/>
      <c r="AD177" s="370"/>
      <c r="AE177" s="370"/>
      <c r="AF177" s="370"/>
      <c r="AG177" s="439">
        <v>2049649</v>
      </c>
      <c r="AH177" s="371" t="e">
        <f>SUM(Table1[[#This Row],[Bobot Keg Umum]:[Bobot Perizinan]])</f>
        <v>#DIV/0!</v>
      </c>
      <c r="AI177" s="371" t="e">
        <f>Table1[[#This Row],[RAB Kegiatan Umum]]/Table1[[#This Row],[Nilai RAB Jaringan
(Exclude Ppn)]]</f>
        <v>#DIV/0!</v>
      </c>
      <c r="AJ177" s="371" t="e">
        <f>Table1[[#This Row],[RAB Pemasangan]]/Table1[[#This Row],[Nilai RAB Jaringan
(Exclude Ppn)]]</f>
        <v>#DIV/0!</v>
      </c>
      <c r="AK177" s="371" t="e">
        <f>Table1[[#This Row],[RAB Pengadaan]]/Table1[[#This Row],[Nilai RAB Jaringan
(Exclude Ppn)]]</f>
        <v>#DIV/0!</v>
      </c>
      <c r="AL177" s="371" t="e">
        <f>Table1[[#This Row],[RAB Perizinan]]/Table1[[#This Row],[Nilai RAB Jaringan
(Exclude Ppn)]]</f>
        <v>#DIV/0!</v>
      </c>
      <c r="AM177" s="47"/>
      <c r="AN177" s="376">
        <v>0</v>
      </c>
      <c r="AO177" s="376">
        <f>SUM(Table1[[#This Row],[Pipa 63 mm]:[Pipa 1,800 mm]])</f>
        <v>0</v>
      </c>
      <c r="AP177" s="376"/>
      <c r="AQ177" s="376"/>
      <c r="AR177" s="376"/>
      <c r="AS177" s="376"/>
      <c r="AT177" s="376"/>
      <c r="AU177" s="376"/>
      <c r="AV177" s="376"/>
      <c r="AW177" s="376"/>
      <c r="AX177" s="376"/>
      <c r="AY177" s="376"/>
      <c r="AZ177" s="376"/>
      <c r="BA177" s="376"/>
      <c r="BB177" s="376"/>
      <c r="BC177" s="376"/>
      <c r="BD177" s="376"/>
      <c r="BE177" s="376"/>
      <c r="BF177" s="376"/>
      <c r="BG177" s="376"/>
      <c r="BH177" s="376"/>
      <c r="BI177" s="376"/>
      <c r="BJ177" s="377">
        <f>SUM(Table1[[#This Row],[Pipa 63 mm2]:[Pipa 1,800 mm21]])</f>
        <v>0</v>
      </c>
      <c r="BK177" s="378"/>
      <c r="BL177" s="378"/>
      <c r="BM177" s="378"/>
      <c r="BN177" s="378"/>
      <c r="BO177" s="378"/>
      <c r="BP177" s="378"/>
      <c r="BQ177" s="378"/>
      <c r="BR177" s="378"/>
      <c r="BS177" s="378"/>
      <c r="BT177" s="378"/>
      <c r="BU177" s="378"/>
      <c r="BV177" s="378"/>
      <c r="BW177" s="378"/>
      <c r="BX177" s="378"/>
      <c r="BY177" s="378"/>
      <c r="BZ177" s="378"/>
      <c r="CA177" s="378"/>
      <c r="CB177" s="378"/>
      <c r="CC177" s="378"/>
      <c r="CD177" s="378"/>
      <c r="CE177" s="378">
        <v>0</v>
      </c>
      <c r="CF177" s="378">
        <v>0</v>
      </c>
      <c r="CG177" s="378">
        <v>0</v>
      </c>
      <c r="CH177" s="378">
        <v>0</v>
      </c>
      <c r="CI177" s="378">
        <f t="shared" si="10"/>
        <v>0</v>
      </c>
      <c r="CJ177" s="378">
        <f>IF((Table1[[#This Row],["Volume
BA MC-0"]]-Table1[[#This Row],[Total Panjang Pipa Aktual
(Sum-&gt;)3]]-Table1[[#This Row],[Total Volume
tidak dapat dipasang]])&gt;=0,Table1[[#This Row],["Volume
BA MC-0"]]-Table1[[#This Row],[Total Panjang Pipa Aktual
(Sum-&gt;)3]]-Table1[[#This Row],[Total Volume
tidak dapat dipasang]],0)</f>
        <v>0</v>
      </c>
      <c r="CK177" s="47"/>
      <c r="CL177" s="379"/>
      <c r="CM177" s="371"/>
      <c r="CN177" s="379"/>
      <c r="CO177" s="379"/>
      <c r="CP17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7" s="380">
        <f>IFERROR(Table1[[#This Row],[Progres Keg. Umum
(%)]]*Table1[[#This Row],[Nilai RAB Jaringan
(file pa aji)]],0)</f>
        <v>0</v>
      </c>
      <c r="CR177" s="380">
        <f>IFERROR(Table1[[#This Row],[Progres MOS
(%)]]*Table1[[#This Row],[Nilai RAB Jaringan
(file pa aji)]],0)</f>
        <v>0</v>
      </c>
      <c r="CS177" s="380">
        <f>IFERROR(Table1[[#This Row],[Progres Pemasangan
(%)]]*Table1[[#This Row],[Nilai RAB Jaringan
(file pa aji)]],0)</f>
        <v>0</v>
      </c>
      <c r="CT177" s="380">
        <f>IFERROR(Table1[[#This Row],[Progres Perizinan
(%)]]*Table1[[#This Row],[Nilai RAB Jaringan
(file pa aji)]],0)</f>
        <v>0</v>
      </c>
      <c r="CU177" s="329">
        <v>0</v>
      </c>
      <c r="CV177" s="329">
        <v>0</v>
      </c>
      <c r="CW177" s="582">
        <v>0</v>
      </c>
      <c r="CX177" s="329">
        <v>0</v>
      </c>
      <c r="CY177" s="47"/>
      <c r="CZ177" s="386">
        <v>45565</v>
      </c>
      <c r="DA177" s="386">
        <v>45578</v>
      </c>
      <c r="DB177" s="331"/>
      <c r="DC177" s="367">
        <v>0</v>
      </c>
      <c r="DD177" s="375">
        <v>0</v>
      </c>
      <c r="DE17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7" s="331"/>
      <c r="DG177" s="367">
        <v>0</v>
      </c>
      <c r="DH177" s="375">
        <v>0</v>
      </c>
      <c r="DI177"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7" s="386">
        <v>45579</v>
      </c>
      <c r="DK177" s="386">
        <v>45627</v>
      </c>
      <c r="DL177" s="331"/>
      <c r="DM177" s="367"/>
      <c r="DN17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77" s="331"/>
      <c r="DP177" s="367"/>
      <c r="DQ177" s="366"/>
      <c r="DR17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77" s="386">
        <v>45579</v>
      </c>
      <c r="DT177" s="386" t="e">
        <v>#N/A</v>
      </c>
      <c r="DU177" s="386">
        <v>45606</v>
      </c>
      <c r="DV177" s="386" t="e">
        <v>#N/A</v>
      </c>
      <c r="DW177" s="331"/>
      <c r="DX177" s="367">
        <v>0</v>
      </c>
      <c r="DY177" s="382"/>
      <c r="DZ177" s="382"/>
      <c r="EA17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7" s="331"/>
      <c r="EC177" s="332"/>
      <c r="ED177" s="332"/>
      <c r="EE177" s="330"/>
      <c r="EF177" s="371" t="b">
        <v>0</v>
      </c>
      <c r="EG177" s="383" t="b">
        <v>0</v>
      </c>
      <c r="EH177" s="316" t="str">
        <f>IF(Table1[[#This Row],[PO Material Aktual 
(%)]]&gt;=100%,"Selesai PO = 100%",IF(Table1[[#This Row],[PO Material Aktual 
(%)]]&gt;=50%,"Proses PO &gt; 100%",IF(Table1[[#This Row],[PO Material Aktual 
(%)]]&gt;0%,"Proses PO &gt; 50%",IF(Table1[[#This Row],[PO Material Aktual 
(%)]]=0,"Belum PO = 0%"))))</f>
        <v>Selesai PO = 100%</v>
      </c>
      <c r="EI17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7" s="386">
        <v>45607</v>
      </c>
      <c r="EK177" s="386" t="e">
        <v>#N/A</v>
      </c>
      <c r="EL177" s="386">
        <v>45655</v>
      </c>
      <c r="EM177" s="386" t="e">
        <v>#N/A</v>
      </c>
      <c r="EN177" s="331"/>
      <c r="EO177" s="332"/>
      <c r="EP177" s="332"/>
      <c r="EQ177" s="88" t="b">
        <v>0</v>
      </c>
      <c r="ER177" s="88" t="b">
        <v>0</v>
      </c>
      <c r="ES177" s="316" t="str">
        <f>IF(Table1[[#This Row],[Progres MOS]]&gt;=100%,"Selesai MOS = 100%",IF(Table1[[#This Row],[Progres MOS]]&gt;=50%,"Proses MOS &gt; 100%",IF(Table1[[#This Row],[Progres MOS]]&gt;0%,"Proses MOS &gt; 50%",IF(Table1[[#This Row],[Progres MOS]]=0,"Belum MOS = 0%"))))</f>
        <v>Selesai MOS = 100%</v>
      </c>
      <c r="ET17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7" s="47"/>
      <c r="EV177" s="386">
        <v>45579</v>
      </c>
      <c r="EW177" s="386" t="e">
        <v>#N/A</v>
      </c>
      <c r="EX177" s="386">
        <v>45655</v>
      </c>
      <c r="EY177" s="386" t="e">
        <v>#N/A</v>
      </c>
      <c r="EZ177" s="384" t="s">
        <v>298</v>
      </c>
      <c r="FA177" s="385" t="s">
        <v>389</v>
      </c>
      <c r="FB177" s="386"/>
      <c r="FC177" s="330"/>
      <c r="FD177" s="386"/>
      <c r="FE177" s="386"/>
      <c r="FF177" s="386"/>
      <c r="FG177" s="386"/>
      <c r="FH177" s="386"/>
      <c r="FI177" s="386"/>
      <c r="FJ177" s="386"/>
      <c r="FK177" s="386"/>
      <c r="FL177" s="336" t="str">
        <f>Table1[[#This Row],[IPPJU]]</f>
        <v>9.Proses Penerbitan Izin</v>
      </c>
      <c r="FM177" s="336"/>
      <c r="FN177" s="314" t="str">
        <f>IF(Table1[[#This Row],[Tanggal Pengajuan Dokumen]]="","",Table1[[#This Row],[PLAN PERMIT
start]]-Table1[[#This Row],[Tanggal Pengajuan Dokumen]])</f>
        <v/>
      </c>
      <c r="FO177" s="444">
        <v>46086</v>
      </c>
      <c r="FP177" s="316"/>
      <c r="FQ177" s="338"/>
      <c r="FR177" s="338"/>
      <c r="FS177" s="338" t="str">
        <f t="shared" si="9"/>
        <v>On Going</v>
      </c>
      <c r="FT177"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7" s="387">
        <f ca="1">IF(Table1[[#This Row],[Status Izin]]="Selesai",Table1[[#This Row],[PLAN PERMIT
finish]]-Table1[[#This Row],[Tanggal Terbit/ Target Izin Terbit]],ROUNDUP(Table1[[#This Row],[PLAN PERMIT
finish]]-NOW(),0))</f>
        <v>-536</v>
      </c>
      <c r="FV177"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7" s="387"/>
      <c r="FX177" s="47"/>
      <c r="FY177" s="340"/>
      <c r="FZ177" s="341"/>
      <c r="GA17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7" s="386">
        <v>45629</v>
      </c>
      <c r="GC177" s="384"/>
      <c r="GD177"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77" s="386">
        <v>45636</v>
      </c>
      <c r="GF177" s="384"/>
      <c r="GG177"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77" s="386">
        <v>45642</v>
      </c>
      <c r="GI177" s="386">
        <v>45648</v>
      </c>
      <c r="GJ177" s="384">
        <v>45803</v>
      </c>
      <c r="GK177"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7" s="386">
        <v>45656</v>
      </c>
      <c r="GM177" s="386" t="e">
        <v>#N/A</v>
      </c>
      <c r="GN177" s="386">
        <v>45662</v>
      </c>
      <c r="GO177" s="386" t="e">
        <v>#N/A</v>
      </c>
      <c r="GP177" s="367"/>
      <c r="GQ177"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7" s="386" t="s">
        <v>261</v>
      </c>
      <c r="GS177" s="386" t="s">
        <v>261</v>
      </c>
      <c r="GT177" s="390"/>
      <c r="GU177" s="387" t="str">
        <f>IF(Table1[[#This Row],[Hydro Tes Actual
(tanggal)]]&lt;&gt;"","Sudah","Belum")</f>
        <v>Belum</v>
      </c>
      <c r="GV177" s="386" t="s">
        <v>261</v>
      </c>
      <c r="GW177" s="386" t="s">
        <v>261</v>
      </c>
      <c r="GX177" s="388"/>
      <c r="GY177" s="344" t="str">
        <f>IF(Table1[[#This Row],[Interkoneksi Actual
(tanggal)]]&lt;&gt;"","Sudah","Belum")</f>
        <v>Belum</v>
      </c>
      <c r="GZ177" s="386" t="s">
        <v>261</v>
      </c>
      <c r="HA177" s="386" t="s">
        <v>261</v>
      </c>
      <c r="HB177" s="388"/>
      <c r="HC177" s="344" t="str">
        <f>IF(Table1[[#This Row],[Flushing Actual
(tanggal)]]&lt;&gt;"","Sudah","Belum")</f>
        <v>Belum</v>
      </c>
      <c r="HD177" s="386">
        <v>45660</v>
      </c>
      <c r="HE177" s="386" t="e">
        <v>#N/A</v>
      </c>
      <c r="HF177" s="386">
        <v>45669</v>
      </c>
      <c r="HG177" s="388"/>
      <c r="HH177"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7" s="386" t="s">
        <v>261</v>
      </c>
      <c r="HJ177" s="386" t="s">
        <v>261</v>
      </c>
      <c r="HK177" s="388"/>
      <c r="HL177" s="367"/>
      <c r="HM177" s="386">
        <v>45681</v>
      </c>
      <c r="HN177" s="386">
        <v>45681</v>
      </c>
      <c r="HO177" s="386" t="e">
        <v>#N/A</v>
      </c>
      <c r="HP177" s="388"/>
      <c r="HQ177"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77" s="386">
        <v>45688</v>
      </c>
      <c r="HS177" s="386"/>
      <c r="HT177" s="386">
        <v>45688</v>
      </c>
      <c r="HU177" s="613"/>
      <c r="HV177" s="388"/>
      <c r="HW177"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77" s="47"/>
      <c r="HY177" s="384"/>
      <c r="HZ177" s="384"/>
      <c r="IB177" s="618">
        <f>IFERROR(ROUND((Table1[[#This Row],[PLAN TC
finish]]-Table1[[#This Row],[PLAN MC-0
start]])/30,2),"")</f>
        <v>0.9</v>
      </c>
      <c r="IC177">
        <f>DATEDIF(Table1[[#This Row],[PLAN MC-0
start]],Table1[[#This Row],[PLAN TC
finish]],"m")</f>
        <v>0</v>
      </c>
    </row>
    <row r="178" spans="1:237" s="30" customFormat="1" ht="15" hidden="1" customHeight="1" x14ac:dyDescent="0.2">
      <c r="A178" s="77"/>
      <c r="B178" s="311">
        <f>SUBTOTAL(3,$D$5:D178)</f>
        <v>84</v>
      </c>
      <c r="C178" s="362">
        <v>174</v>
      </c>
      <c r="D178" s="366" t="s">
        <v>244</v>
      </c>
      <c r="E178" s="366" t="s">
        <v>1298</v>
      </c>
      <c r="F178" s="366" t="s">
        <v>1299</v>
      </c>
      <c r="G178" s="364">
        <v>45935</v>
      </c>
      <c r="H178" s="366" t="s">
        <v>681</v>
      </c>
      <c r="I178" s="366" t="s">
        <v>278</v>
      </c>
      <c r="J178" s="385" t="s">
        <v>389</v>
      </c>
      <c r="K178" s="366" t="s">
        <v>1165</v>
      </c>
      <c r="L178" s="367" t="s">
        <v>250</v>
      </c>
      <c r="M178" s="367" t="s">
        <v>269</v>
      </c>
      <c r="N178" s="368">
        <v>10</v>
      </c>
      <c r="O178" s="369" t="s">
        <v>252</v>
      </c>
      <c r="P178"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8" s="370" t="s">
        <v>389</v>
      </c>
      <c r="R178" s="371" t="e">
        <v>#N/A</v>
      </c>
      <c r="S178" s="371">
        <v>1</v>
      </c>
      <c r="T178" s="371">
        <f>Table1[[#This Row],[Progres Total Aktual
(%)]]</f>
        <v>0</v>
      </c>
      <c r="U178" s="372">
        <f>Table1[[#This Row],[Progres Aktual
(%)]]-Table1[[#This Row],[Target Progres
(%)]]</f>
        <v>-1</v>
      </c>
      <c r="V178" s="373">
        <f>Table1[[#This Row],["Volume
BA MC-0"]]</f>
        <v>0</v>
      </c>
      <c r="W178" s="374">
        <f>Table1[[#This Row],[Total Panjang Pipa Aktual
(Sum-&gt;)3]]</f>
        <v>0</v>
      </c>
      <c r="X178" s="47"/>
      <c r="Y178" s="67" t="s">
        <v>1300</v>
      </c>
      <c r="Z178" s="375">
        <v>99688331</v>
      </c>
      <c r="AA178" s="67">
        <f>Table1[[#This Row],[Nilai RAB Jaringan
(file pa aji)]]</f>
        <v>99688331</v>
      </c>
      <c r="AB178" s="370">
        <f>SUM(Table1[[#This Row],[RAB Kegiatan Umum]:[RAB Perizinan]])</f>
        <v>0</v>
      </c>
      <c r="AC178" s="370"/>
      <c r="AD178" s="370"/>
      <c r="AE178" s="370"/>
      <c r="AF178" s="370"/>
      <c r="AG178" s="439">
        <v>2049649</v>
      </c>
      <c r="AH178" s="371" t="e">
        <f>SUM(Table1[[#This Row],[Bobot Keg Umum]:[Bobot Perizinan]])</f>
        <v>#DIV/0!</v>
      </c>
      <c r="AI178" s="371" t="e">
        <f>Table1[[#This Row],[RAB Kegiatan Umum]]/Table1[[#This Row],[Nilai RAB Jaringan
(Exclude Ppn)]]</f>
        <v>#DIV/0!</v>
      </c>
      <c r="AJ178" s="371" t="e">
        <f>Table1[[#This Row],[RAB Pemasangan]]/Table1[[#This Row],[Nilai RAB Jaringan
(Exclude Ppn)]]</f>
        <v>#DIV/0!</v>
      </c>
      <c r="AK178" s="371" t="e">
        <f>Table1[[#This Row],[RAB Pengadaan]]/Table1[[#This Row],[Nilai RAB Jaringan
(Exclude Ppn)]]</f>
        <v>#DIV/0!</v>
      </c>
      <c r="AL178" s="371" t="e">
        <f>Table1[[#This Row],[RAB Perizinan]]/Table1[[#This Row],[Nilai RAB Jaringan
(Exclude Ppn)]]</f>
        <v>#DIV/0!</v>
      </c>
      <c r="AM178" s="47"/>
      <c r="AN178" s="376">
        <v>0</v>
      </c>
      <c r="AO178" s="376">
        <f>SUM(Table1[[#This Row],[Pipa 63 mm]:[Pipa 1,800 mm]])</f>
        <v>0</v>
      </c>
      <c r="AP178" s="376"/>
      <c r="AQ178" s="376"/>
      <c r="AR178" s="376"/>
      <c r="AS178" s="376"/>
      <c r="AT178" s="376"/>
      <c r="AU178" s="376"/>
      <c r="AV178" s="376"/>
      <c r="AW178" s="376"/>
      <c r="AX178" s="376"/>
      <c r="AY178" s="376"/>
      <c r="AZ178" s="376"/>
      <c r="BA178" s="376"/>
      <c r="BB178" s="376"/>
      <c r="BC178" s="376"/>
      <c r="BD178" s="376"/>
      <c r="BE178" s="376"/>
      <c r="BF178" s="376"/>
      <c r="BG178" s="376"/>
      <c r="BH178" s="376"/>
      <c r="BI178" s="376"/>
      <c r="BJ178" s="377">
        <f>SUM(Table1[[#This Row],[Pipa 63 mm2]:[Pipa 1,800 mm21]])</f>
        <v>0</v>
      </c>
      <c r="BK178" s="378"/>
      <c r="BL178" s="378"/>
      <c r="BM178" s="378"/>
      <c r="BN178" s="378"/>
      <c r="BO178" s="378"/>
      <c r="BP178" s="378"/>
      <c r="BQ178" s="378"/>
      <c r="BR178" s="378"/>
      <c r="BS178" s="378"/>
      <c r="BT178" s="378"/>
      <c r="BU178" s="378"/>
      <c r="BV178" s="378"/>
      <c r="BW178" s="378"/>
      <c r="BX178" s="378"/>
      <c r="BY178" s="378"/>
      <c r="BZ178" s="378"/>
      <c r="CA178" s="378"/>
      <c r="CB178" s="378"/>
      <c r="CC178" s="378"/>
      <c r="CD178" s="378"/>
      <c r="CE178" s="378">
        <v>0</v>
      </c>
      <c r="CF178" s="378">
        <v>0</v>
      </c>
      <c r="CG178" s="378">
        <v>0</v>
      </c>
      <c r="CH178" s="378">
        <v>0</v>
      </c>
      <c r="CI178" s="378">
        <f t="shared" si="10"/>
        <v>0</v>
      </c>
      <c r="CJ178" s="378">
        <f>IF((Table1[[#This Row],["Volume
BA MC-0"]]-Table1[[#This Row],[Total Panjang Pipa Aktual
(Sum-&gt;)3]]-Table1[[#This Row],[Total Volume
tidak dapat dipasang]])&gt;=0,Table1[[#This Row],["Volume
BA MC-0"]]-Table1[[#This Row],[Total Panjang Pipa Aktual
(Sum-&gt;)3]]-Table1[[#This Row],[Total Volume
tidak dapat dipasang]],0)</f>
        <v>0</v>
      </c>
      <c r="CK178" s="47"/>
      <c r="CL178" s="379"/>
      <c r="CM178" s="371"/>
      <c r="CN178" s="379"/>
      <c r="CO178" s="379"/>
      <c r="CP17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8" s="380">
        <f>IFERROR(Table1[[#This Row],[Progres Keg. Umum
(%)]]*Table1[[#This Row],[Nilai RAB Jaringan
(file pa aji)]],0)</f>
        <v>0</v>
      </c>
      <c r="CR178" s="380">
        <f>IFERROR(Table1[[#This Row],[Progres MOS
(%)]]*Table1[[#This Row],[Nilai RAB Jaringan
(file pa aji)]],0)</f>
        <v>0</v>
      </c>
      <c r="CS178" s="380">
        <f>IFERROR(Table1[[#This Row],[Progres Pemasangan
(%)]]*Table1[[#This Row],[Nilai RAB Jaringan
(file pa aji)]],0)</f>
        <v>0</v>
      </c>
      <c r="CT178" s="380">
        <f>IFERROR(Table1[[#This Row],[Progres Perizinan
(%)]]*Table1[[#This Row],[Nilai RAB Jaringan
(file pa aji)]],0)</f>
        <v>0</v>
      </c>
      <c r="CU178" s="329">
        <v>0</v>
      </c>
      <c r="CV178" s="329">
        <v>0</v>
      </c>
      <c r="CW178" s="582">
        <v>0</v>
      </c>
      <c r="CX178" s="329">
        <v>0</v>
      </c>
      <c r="CY178" s="47"/>
      <c r="CZ178" s="386">
        <v>45565</v>
      </c>
      <c r="DA178" s="386">
        <v>45578</v>
      </c>
      <c r="DB178" s="331"/>
      <c r="DC178" s="367">
        <v>0</v>
      </c>
      <c r="DD178" s="375">
        <v>0</v>
      </c>
      <c r="DE17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8" s="331"/>
      <c r="DG178" s="367">
        <v>0</v>
      </c>
      <c r="DH178" s="375">
        <v>0</v>
      </c>
      <c r="DI178"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8" s="386">
        <v>45579</v>
      </c>
      <c r="DK178" s="386">
        <v>45627</v>
      </c>
      <c r="DL178" s="331"/>
      <c r="DM178" s="367"/>
      <c r="DN17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78" s="331"/>
      <c r="DP178" s="367"/>
      <c r="DQ178" s="366"/>
      <c r="DR17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78" s="386">
        <v>45579</v>
      </c>
      <c r="DT178" s="386" t="e">
        <v>#N/A</v>
      </c>
      <c r="DU178" s="386">
        <v>45606</v>
      </c>
      <c r="DV178" s="386" t="e">
        <v>#N/A</v>
      </c>
      <c r="DW178" s="331"/>
      <c r="DX178" s="367">
        <v>0</v>
      </c>
      <c r="DY178" s="382"/>
      <c r="DZ178" s="382"/>
      <c r="EA17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8" s="331"/>
      <c r="EC178" s="332"/>
      <c r="ED178" s="332"/>
      <c r="EE178" s="330"/>
      <c r="EF178" s="371" t="b">
        <v>0</v>
      </c>
      <c r="EG178" s="383" t="b">
        <v>0</v>
      </c>
      <c r="EH178" s="316" t="str">
        <f>IF(Table1[[#This Row],[PO Material Aktual 
(%)]]&gt;=100%,"Selesai PO = 100%",IF(Table1[[#This Row],[PO Material Aktual 
(%)]]&gt;=50%,"Proses PO &gt; 100%",IF(Table1[[#This Row],[PO Material Aktual 
(%)]]&gt;0%,"Proses PO &gt; 50%",IF(Table1[[#This Row],[PO Material Aktual 
(%)]]=0,"Belum PO = 0%"))))</f>
        <v>Selesai PO = 100%</v>
      </c>
      <c r="EI17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8" s="386">
        <v>45607</v>
      </c>
      <c r="EK178" s="386" t="e">
        <v>#N/A</v>
      </c>
      <c r="EL178" s="386">
        <v>45655</v>
      </c>
      <c r="EM178" s="386" t="e">
        <v>#N/A</v>
      </c>
      <c r="EN178" s="331"/>
      <c r="EO178" s="332"/>
      <c r="EP178" s="332"/>
      <c r="EQ178" s="88" t="b">
        <v>0</v>
      </c>
      <c r="ER178" s="88" t="b">
        <v>0</v>
      </c>
      <c r="ES178" s="316" t="str">
        <f>IF(Table1[[#This Row],[Progres MOS]]&gt;=100%,"Selesai MOS = 100%",IF(Table1[[#This Row],[Progres MOS]]&gt;=50%,"Proses MOS &gt; 100%",IF(Table1[[#This Row],[Progres MOS]]&gt;0%,"Proses MOS &gt; 50%",IF(Table1[[#This Row],[Progres MOS]]=0,"Belum MOS = 0%"))))</f>
        <v>Selesai MOS = 100%</v>
      </c>
      <c r="ET17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8" s="47"/>
      <c r="EV178" s="386">
        <v>45579</v>
      </c>
      <c r="EW178" s="386" t="e">
        <v>#N/A</v>
      </c>
      <c r="EX178" s="386">
        <v>45655</v>
      </c>
      <c r="EY178" s="386" t="e">
        <v>#N/A</v>
      </c>
      <c r="EZ178" s="384" t="s">
        <v>298</v>
      </c>
      <c r="FA178" s="385" t="s">
        <v>389</v>
      </c>
      <c r="FB178" s="386"/>
      <c r="FC178" s="330"/>
      <c r="FD178" s="386"/>
      <c r="FE178" s="386"/>
      <c r="FF178" s="386"/>
      <c r="FG178" s="386"/>
      <c r="FH178" s="386"/>
      <c r="FI178" s="386"/>
      <c r="FJ178" s="386"/>
      <c r="FK178" s="386"/>
      <c r="FL178" s="336" t="str">
        <f>Table1[[#This Row],[IPPJU]]</f>
        <v>9.Proses Penerbitan Izin</v>
      </c>
      <c r="FM178" s="336"/>
      <c r="FN178" s="314" t="str">
        <f>IF(Table1[[#This Row],[Tanggal Pengajuan Dokumen]]="","",Table1[[#This Row],[PLAN PERMIT
start]]-Table1[[#This Row],[Tanggal Pengajuan Dokumen]])</f>
        <v/>
      </c>
      <c r="FO178" s="444">
        <v>46086</v>
      </c>
      <c r="FP178" s="316"/>
      <c r="FQ178" s="338"/>
      <c r="FR178" s="338"/>
      <c r="FS178" s="338" t="str">
        <f t="shared" si="9"/>
        <v>On Going</v>
      </c>
      <c r="FT178"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8" s="387">
        <f ca="1">IF(Table1[[#This Row],[Status Izin]]="Selesai",Table1[[#This Row],[PLAN PERMIT
finish]]-Table1[[#This Row],[Tanggal Terbit/ Target Izin Terbit]],ROUNDUP(Table1[[#This Row],[PLAN PERMIT
finish]]-NOW(),0))</f>
        <v>-536</v>
      </c>
      <c r="FV178"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8" s="387"/>
      <c r="FX178" s="47"/>
      <c r="FY178" s="340"/>
      <c r="FZ178" s="341"/>
      <c r="GA17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8" s="386">
        <v>45629</v>
      </c>
      <c r="GC178" s="384"/>
      <c r="GD178"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78" s="386">
        <v>45636</v>
      </c>
      <c r="GF178" s="384"/>
      <c r="GG178"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78" s="386">
        <v>45642</v>
      </c>
      <c r="GI178" s="386">
        <v>45648</v>
      </c>
      <c r="GJ178" s="384">
        <v>45803</v>
      </c>
      <c r="GK178"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8" s="386">
        <v>45656</v>
      </c>
      <c r="GM178" s="386" t="e">
        <v>#N/A</v>
      </c>
      <c r="GN178" s="386">
        <v>45662</v>
      </c>
      <c r="GO178" s="386" t="e">
        <v>#N/A</v>
      </c>
      <c r="GP178" s="367"/>
      <c r="GQ178"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8" s="386" t="s">
        <v>261</v>
      </c>
      <c r="GS178" s="386" t="s">
        <v>261</v>
      </c>
      <c r="GT178" s="390"/>
      <c r="GU178" s="387" t="str">
        <f>IF(Table1[[#This Row],[Hydro Tes Actual
(tanggal)]]&lt;&gt;"","Sudah","Belum")</f>
        <v>Belum</v>
      </c>
      <c r="GV178" s="386" t="s">
        <v>261</v>
      </c>
      <c r="GW178" s="386" t="s">
        <v>261</v>
      </c>
      <c r="GX178" s="388"/>
      <c r="GY178" s="344" t="str">
        <f>IF(Table1[[#This Row],[Interkoneksi Actual
(tanggal)]]&lt;&gt;"","Sudah","Belum")</f>
        <v>Belum</v>
      </c>
      <c r="GZ178" s="386" t="s">
        <v>261</v>
      </c>
      <c r="HA178" s="386" t="s">
        <v>261</v>
      </c>
      <c r="HB178" s="388"/>
      <c r="HC178" s="344" t="str">
        <f>IF(Table1[[#This Row],[Flushing Actual
(tanggal)]]&lt;&gt;"","Sudah","Belum")</f>
        <v>Belum</v>
      </c>
      <c r="HD178" s="386">
        <v>45660</v>
      </c>
      <c r="HE178" s="386" t="e">
        <v>#N/A</v>
      </c>
      <c r="HF178" s="386">
        <v>45669</v>
      </c>
      <c r="HG178" s="388"/>
      <c r="HH178"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8" s="386" t="s">
        <v>261</v>
      </c>
      <c r="HJ178" s="386" t="s">
        <v>261</v>
      </c>
      <c r="HK178" s="388"/>
      <c r="HL178" s="367"/>
      <c r="HM178" s="386">
        <v>45681</v>
      </c>
      <c r="HN178" s="386">
        <v>45681</v>
      </c>
      <c r="HO178" s="386" t="e">
        <v>#N/A</v>
      </c>
      <c r="HP178" s="388"/>
      <c r="HQ178"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78" s="386">
        <v>45688</v>
      </c>
      <c r="HS178" s="386"/>
      <c r="HT178" s="386">
        <v>45688</v>
      </c>
      <c r="HU178" s="613"/>
      <c r="HV178" s="388"/>
      <c r="HW178"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78" s="47"/>
      <c r="HY178" s="384"/>
      <c r="HZ178" s="384"/>
      <c r="IB178" s="618">
        <f>IFERROR(ROUND((Table1[[#This Row],[PLAN TC
finish]]-Table1[[#This Row],[PLAN MC-0
start]])/30,2),"")</f>
        <v>0.9</v>
      </c>
      <c r="IC178">
        <f>DATEDIF(Table1[[#This Row],[PLAN MC-0
start]],Table1[[#This Row],[PLAN TC
finish]],"m")</f>
        <v>0</v>
      </c>
    </row>
    <row r="179" spans="1:237" s="4" customFormat="1" ht="15" hidden="1" customHeight="1" x14ac:dyDescent="0.2">
      <c r="B179" s="311">
        <f>SUBTOTAL(3,$D$5:D179)</f>
        <v>84</v>
      </c>
      <c r="C179" s="348">
        <v>175</v>
      </c>
      <c r="D179" s="338" t="s">
        <v>244</v>
      </c>
      <c r="E179" s="338" t="s">
        <v>1301</v>
      </c>
      <c r="F179" s="338" t="s">
        <v>1302</v>
      </c>
      <c r="G179" s="349">
        <v>45935</v>
      </c>
      <c r="H179" s="338" t="s">
        <v>681</v>
      </c>
      <c r="I179" s="338" t="s">
        <v>278</v>
      </c>
      <c r="J179" s="315"/>
      <c r="K179" s="338" t="s">
        <v>1165</v>
      </c>
      <c r="L179" s="316" t="s">
        <v>250</v>
      </c>
      <c r="M179" s="316" t="s">
        <v>269</v>
      </c>
      <c r="N179" s="107">
        <v>7</v>
      </c>
      <c r="O179" s="31" t="s">
        <v>252</v>
      </c>
      <c r="P17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9" s="35" t="e">
        <v>#N/A</v>
      </c>
      <c r="S179" s="35">
        <v>1</v>
      </c>
      <c r="T179" s="35">
        <f>Table1[[#This Row],[Progres Total Aktual
(%)]]</f>
        <v>1</v>
      </c>
      <c r="U179" s="124">
        <f>Table1[[#This Row],[Progres Aktual
(%)]]-Table1[[#This Row],[Target Progres
(%)]]</f>
        <v>0</v>
      </c>
      <c r="V179" s="350">
        <f>Table1[[#This Row],["Volume
BA MC-0"]]</f>
        <v>7</v>
      </c>
      <c r="W179" s="351">
        <f>Table1[[#This Row],[Total Panjang Pipa Aktual
(Sum-&gt;)3]]</f>
        <v>2</v>
      </c>
      <c r="X179" s="47"/>
      <c r="Y179" s="67" t="s">
        <v>1303</v>
      </c>
      <c r="Z179" s="67">
        <v>112238445</v>
      </c>
      <c r="AA179" s="67">
        <f>Table1[[#This Row],[Nilai RAB Jaringan
(file pa aji)]]</f>
        <v>112238445</v>
      </c>
      <c r="AB179" s="320">
        <f>SUM(Table1[[#This Row],[RAB Kegiatan Umum]:[RAB Perizinan]])</f>
        <v>0</v>
      </c>
      <c r="AC179" s="320"/>
      <c r="AD179" s="320"/>
      <c r="AE179" s="320"/>
      <c r="AF179" s="320"/>
      <c r="AG179" s="436">
        <v>2049649</v>
      </c>
      <c r="AH179" s="35" t="e">
        <f>SUM(Table1[[#This Row],[Bobot Keg Umum]:[Bobot Perizinan]])</f>
        <v>#DIV/0!</v>
      </c>
      <c r="AI179" s="35" t="e">
        <f>Table1[[#This Row],[RAB Kegiatan Umum]]/Table1[[#This Row],[Nilai RAB Jaringan
(Exclude Ppn)]]</f>
        <v>#DIV/0!</v>
      </c>
      <c r="AJ179" s="35" t="e">
        <f>Table1[[#This Row],[RAB Pemasangan]]/Table1[[#This Row],[Nilai RAB Jaringan
(Exclude Ppn)]]</f>
        <v>#DIV/0!</v>
      </c>
      <c r="AK179" s="35" t="e">
        <f>Table1[[#This Row],[RAB Pengadaan]]/Table1[[#This Row],[Nilai RAB Jaringan
(Exclude Ppn)]]</f>
        <v>#DIV/0!</v>
      </c>
      <c r="AL179" s="35" t="e">
        <f>Table1[[#This Row],[RAB Perizinan]]/Table1[[#This Row],[Nilai RAB Jaringan
(Exclude Ppn)]]</f>
        <v>#DIV/0!</v>
      </c>
      <c r="AM179" s="47"/>
      <c r="AN179" s="285">
        <v>7</v>
      </c>
      <c r="AO179" s="285">
        <f>SUM(Table1[[#This Row],[Pipa 63 mm]:[Pipa 1,800 mm]])</f>
        <v>0</v>
      </c>
      <c r="AP179" s="285"/>
      <c r="AQ179" s="285"/>
      <c r="AR179" s="285"/>
      <c r="AS179" s="285"/>
      <c r="AT179" s="285"/>
      <c r="AU179" s="285"/>
      <c r="AV179" s="285"/>
      <c r="AW179" s="285"/>
      <c r="AX179" s="285"/>
      <c r="AY179" s="285"/>
      <c r="AZ179" s="285"/>
      <c r="BA179" s="285"/>
      <c r="BB179" s="285"/>
      <c r="BC179" s="285"/>
      <c r="BD179" s="285"/>
      <c r="BE179" s="285"/>
      <c r="BF179" s="285"/>
      <c r="BG179" s="285"/>
      <c r="BH179" s="285"/>
      <c r="BI179" s="285"/>
      <c r="BJ179" s="36">
        <f>SUM(Table1[[#This Row],[Pipa 63 mm2]:[Pipa 1,800 mm21]])</f>
        <v>2</v>
      </c>
      <c r="BK179" s="32">
        <v>2</v>
      </c>
      <c r="BL179" s="32"/>
      <c r="BM179" s="32"/>
      <c r="BN179" s="32"/>
      <c r="BO179" s="32"/>
      <c r="BP179" s="32"/>
      <c r="BQ179" s="32"/>
      <c r="BR179" s="32"/>
      <c r="BS179" s="32"/>
      <c r="BT179" s="32"/>
      <c r="BU179" s="32"/>
      <c r="BV179" s="32"/>
      <c r="BW179" s="32"/>
      <c r="BX179" s="32"/>
      <c r="BY179" s="32"/>
      <c r="BZ179" s="32"/>
      <c r="CA179" s="32"/>
      <c r="CB179" s="32"/>
      <c r="CC179" s="32"/>
      <c r="CD179" s="32"/>
      <c r="CE179" s="32">
        <v>0</v>
      </c>
      <c r="CF179" s="32">
        <v>0</v>
      </c>
      <c r="CG179" s="32">
        <v>0</v>
      </c>
      <c r="CH179" s="32">
        <v>0</v>
      </c>
      <c r="CI179" s="32">
        <f t="shared" si="10"/>
        <v>0</v>
      </c>
      <c r="CJ179" s="65">
        <f>IF((Table1[[#This Row],["Volume
BA MC-0"]]-Table1[[#This Row],[Total Panjang Pipa Aktual
(Sum-&gt;)3]]-Table1[[#This Row],[Total Volume
tidak dapat dipasang]])&gt;=0,Table1[[#This Row],["Volume
BA MC-0"]]-Table1[[#This Row],[Total Panjang Pipa Aktual
(Sum-&gt;)3]]-Table1[[#This Row],[Total Volume
tidak dapat dipasang]],0)</f>
        <v>5</v>
      </c>
      <c r="CK179" s="47"/>
      <c r="CL179" s="131"/>
      <c r="CM179" s="35"/>
      <c r="CN179" s="131"/>
      <c r="CO179" s="131"/>
      <c r="CP17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9" s="66">
        <f>IFERROR(Table1[[#This Row],[Progres Keg. Umum
(%)]]*Table1[[#This Row],[Nilai RAB Jaringan
(file pa aji)]],0)</f>
        <v>0</v>
      </c>
      <c r="CR179" s="66">
        <f>IFERROR(Table1[[#This Row],[Progres MOS
(%)]]*Table1[[#This Row],[Nilai RAB Jaringan
(file pa aji)]],0)</f>
        <v>0</v>
      </c>
      <c r="CS179" s="66">
        <f>IFERROR(Table1[[#This Row],[Progres Pemasangan
(%)]]*Table1[[#This Row],[Nilai RAB Jaringan
(file pa aji)]],0)</f>
        <v>0</v>
      </c>
      <c r="CT179" s="66">
        <f>IFERROR(Table1[[#This Row],[Progres Perizinan
(%)]]*Table1[[#This Row],[Nilai RAB Jaringan
(file pa aji)]],0)</f>
        <v>0</v>
      </c>
      <c r="CU179" s="329">
        <v>52573264</v>
      </c>
      <c r="CV179" s="329">
        <v>52573264</v>
      </c>
      <c r="CW179" s="583">
        <v>52573264</v>
      </c>
      <c r="CX179" s="329">
        <v>52573264</v>
      </c>
      <c r="CY179" s="47"/>
      <c r="CZ179" s="330">
        <v>45565</v>
      </c>
      <c r="DA179" s="330">
        <v>45578</v>
      </c>
      <c r="DB179" s="331">
        <v>45573</v>
      </c>
      <c r="DC179" s="316" t="s">
        <v>1304</v>
      </c>
      <c r="DD179" s="67">
        <v>112238445</v>
      </c>
      <c r="DE17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9" s="331">
        <v>45588</v>
      </c>
      <c r="DG179" s="316" t="s">
        <v>1305</v>
      </c>
      <c r="DH179" s="67">
        <v>112238445</v>
      </c>
      <c r="DI17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79" s="330">
        <v>45579</v>
      </c>
      <c r="DK179" s="330">
        <v>45627</v>
      </c>
      <c r="DL179" s="331">
        <v>45609</v>
      </c>
      <c r="DM179" s="316" t="s">
        <v>1306</v>
      </c>
      <c r="DN17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9" s="331">
        <v>45645</v>
      </c>
      <c r="DP179" s="316" t="s">
        <v>1307</v>
      </c>
      <c r="DQ179" s="338" t="s">
        <v>433</v>
      </c>
      <c r="DR17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9" s="330">
        <v>45579</v>
      </c>
      <c r="DT179" s="330" t="e">
        <v>#N/A</v>
      </c>
      <c r="DU179" s="330">
        <v>45606</v>
      </c>
      <c r="DV179" s="330" t="e">
        <v>#N/A</v>
      </c>
      <c r="DW179" s="331">
        <v>45609</v>
      </c>
      <c r="DX179" s="316" t="s">
        <v>1308</v>
      </c>
      <c r="DY179" s="334"/>
      <c r="DZ179" s="334"/>
      <c r="EA17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9" s="331">
        <v>45889</v>
      </c>
      <c r="EC179" s="332"/>
      <c r="ED179" s="332"/>
      <c r="EE179" s="330" t="s">
        <v>1309</v>
      </c>
      <c r="EF179" s="35">
        <v>1</v>
      </c>
      <c r="EG179" s="337">
        <v>1</v>
      </c>
      <c r="EH179" s="316" t="str">
        <f>IF(Table1[[#This Row],[PO Material Aktual 
(%)]]&gt;=100%,"Selesai PO = 100%",IF(Table1[[#This Row],[PO Material Aktual 
(%)]]&gt;=50%,"Proses PO &gt; 100%",IF(Table1[[#This Row],[PO Material Aktual 
(%)]]&gt;0%,"Proses PO &gt; 50%",IF(Table1[[#This Row],[PO Material Aktual 
(%)]]=0,"Belum PO = 0%"))))</f>
        <v>Selesai PO = 100%</v>
      </c>
      <c r="EI17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79" s="330">
        <v>45607</v>
      </c>
      <c r="EK179" s="330" t="e">
        <v>#N/A</v>
      </c>
      <c r="EL179" s="330">
        <v>45655</v>
      </c>
      <c r="EM179" s="330" t="e">
        <v>#N/A</v>
      </c>
      <c r="EN179" s="331">
        <v>46112</v>
      </c>
      <c r="EO179" s="332"/>
      <c r="EP179" s="332"/>
      <c r="EQ179" s="87">
        <v>1</v>
      </c>
      <c r="ER179" s="87">
        <v>1</v>
      </c>
      <c r="ES179" s="316" t="str">
        <f>IF(Table1[[#This Row],[Progres MOS]]&gt;=100%,"Selesai MOS = 100%",IF(Table1[[#This Row],[Progres MOS]]&gt;=50%,"Proses MOS &gt; 100%",IF(Table1[[#This Row],[Progres MOS]]&gt;0%,"Proses MOS &gt; 50%",IF(Table1[[#This Row],[Progres MOS]]=0,"Belum MOS = 0%"))))</f>
        <v>Selesai MOS = 100%</v>
      </c>
      <c r="ET17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79" s="47"/>
      <c r="EV179" s="330">
        <v>45579</v>
      </c>
      <c r="EW179" s="330" t="e">
        <v>#N/A</v>
      </c>
      <c r="EX179" s="330">
        <v>45655</v>
      </c>
      <c r="EY179" s="330" t="e">
        <v>#N/A</v>
      </c>
      <c r="EZ179" s="352" t="s">
        <v>298</v>
      </c>
      <c r="FA179" s="336" t="s">
        <v>259</v>
      </c>
      <c r="FB179" s="330" t="s">
        <v>260</v>
      </c>
      <c r="FC179" s="330">
        <v>45840</v>
      </c>
      <c r="FD179" s="330" t="s">
        <v>260</v>
      </c>
      <c r="FE179" s="330">
        <v>45895</v>
      </c>
      <c r="FF179" s="330">
        <v>45919</v>
      </c>
      <c r="FG179" s="330" t="s">
        <v>260</v>
      </c>
      <c r="FH179" s="330" t="s">
        <v>260</v>
      </c>
      <c r="FI179" s="330">
        <v>46010</v>
      </c>
      <c r="FJ179" s="330" t="s">
        <v>260</v>
      </c>
      <c r="FK179" s="330">
        <v>46112</v>
      </c>
      <c r="FL179" s="336" t="s">
        <v>298</v>
      </c>
      <c r="FM179" s="352">
        <v>45840</v>
      </c>
      <c r="FN179" s="338">
        <f>IF(Table1[[#This Row],[Tanggal Pengajuan Dokumen]]="","",Table1[[#This Row],[PLAN PERMIT
start]]-Table1[[#This Row],[Tanggal Pengajuan Dokumen]])</f>
        <v>-261</v>
      </c>
      <c r="FO179" s="437">
        <v>46086</v>
      </c>
      <c r="FP179" s="316"/>
      <c r="FQ179" s="338"/>
      <c r="FR179" s="338"/>
      <c r="FS179" s="338" t="str">
        <f t="shared" si="9"/>
        <v>Sudah Terbit</v>
      </c>
      <c r="FT17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9" s="344">
        <f ca="1">IF(Table1[[#This Row],[Status Izin]]="Selesai",Table1[[#This Row],[PLAN PERMIT
finish]]-Table1[[#This Row],[Tanggal Terbit/ Target Izin Terbit]],ROUNDUP(Table1[[#This Row],[PLAN PERMIT
finish]]-NOW(),0))</f>
        <v>-431</v>
      </c>
      <c r="FV17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9" s="344"/>
      <c r="FX179" s="47"/>
      <c r="FY179" s="340"/>
      <c r="FZ179" s="341"/>
      <c r="GA17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9" s="330">
        <v>45629</v>
      </c>
      <c r="GC179" s="352">
        <v>45656</v>
      </c>
      <c r="GD17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9" s="330">
        <v>45636</v>
      </c>
      <c r="GF179" s="352">
        <v>45656</v>
      </c>
      <c r="GG17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9" s="330">
        <v>45642</v>
      </c>
      <c r="GI179" s="330">
        <v>45648</v>
      </c>
      <c r="GJ179" s="352">
        <v>45650</v>
      </c>
      <c r="GK17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9" s="330">
        <v>45656</v>
      </c>
      <c r="GM179" s="330" t="e">
        <v>#N/A</v>
      </c>
      <c r="GN179" s="330">
        <v>45662</v>
      </c>
      <c r="GO179" s="330" t="e">
        <v>#N/A</v>
      </c>
      <c r="GP179" s="316"/>
      <c r="GQ17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9" s="330" t="s">
        <v>261</v>
      </c>
      <c r="GS179" s="330" t="s">
        <v>261</v>
      </c>
      <c r="GT179" s="354">
        <v>45709</v>
      </c>
      <c r="GU179" s="344" t="str">
        <f>IF(Table1[[#This Row],[Hydro Tes Actual
(tanggal)]]&lt;&gt;"","Sudah","Belum")</f>
        <v>Sudah</v>
      </c>
      <c r="GV179" s="330" t="s">
        <v>261</v>
      </c>
      <c r="GW179" s="330" t="s">
        <v>261</v>
      </c>
      <c r="GX179" s="331">
        <v>45682</v>
      </c>
      <c r="GY179" s="344" t="str">
        <f>IF(Table1[[#This Row],[Interkoneksi Actual
(tanggal)]]&lt;&gt;"","Sudah","Belum")</f>
        <v>Sudah</v>
      </c>
      <c r="GZ179" s="330" t="s">
        <v>261</v>
      </c>
      <c r="HA179" s="330" t="s">
        <v>261</v>
      </c>
      <c r="HB179" s="331">
        <v>45712</v>
      </c>
      <c r="HC179" s="344" t="str">
        <f>IF(Table1[[#This Row],[Flushing Actual
(tanggal)]]&lt;&gt;"","Sudah","Belum")</f>
        <v>Sudah</v>
      </c>
      <c r="HD179" s="330">
        <v>45660</v>
      </c>
      <c r="HE179" s="330" t="e">
        <v>#N/A</v>
      </c>
      <c r="HF179" s="330">
        <v>45669</v>
      </c>
      <c r="HG179" s="331">
        <v>45730</v>
      </c>
      <c r="HH17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9" s="330" t="s">
        <v>261</v>
      </c>
      <c r="HJ179" s="330" t="s">
        <v>261</v>
      </c>
      <c r="HK179" s="331"/>
      <c r="HL179" s="316"/>
      <c r="HM179" s="330">
        <v>45681</v>
      </c>
      <c r="HN179" s="330">
        <v>45681</v>
      </c>
      <c r="HO179" s="330" t="e">
        <v>#N/A</v>
      </c>
      <c r="HP179" s="331">
        <v>45730</v>
      </c>
      <c r="HQ17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79" s="330">
        <v>45688</v>
      </c>
      <c r="HS179" s="330"/>
      <c r="HT179" s="330">
        <v>45688</v>
      </c>
      <c r="HU179" s="527"/>
      <c r="HV179" s="331">
        <v>45925</v>
      </c>
      <c r="HW17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79" s="47"/>
      <c r="HY179" s="352"/>
      <c r="HZ179" s="352"/>
      <c r="IB179" s="618">
        <f>IFERROR(ROUND((Table1[[#This Row],[PLAN TC
finish]]-Table1[[#This Row],[PLAN MC-0
start]])/30,2),"")</f>
        <v>0.9</v>
      </c>
      <c r="IC179">
        <f>DATEDIF(Table1[[#This Row],[PLAN MC-0
start]],Table1[[#This Row],[PLAN TC
finish]],"m")</f>
        <v>0</v>
      </c>
    </row>
    <row r="180" spans="1:237" s="4" customFormat="1" ht="15" hidden="1" customHeight="1" x14ac:dyDescent="0.2">
      <c r="B180" s="311">
        <f>SUBTOTAL(3,$D$5:D180)</f>
        <v>84</v>
      </c>
      <c r="C180" s="348">
        <v>176</v>
      </c>
      <c r="D180" s="338" t="s">
        <v>244</v>
      </c>
      <c r="E180" s="338" t="s">
        <v>1310</v>
      </c>
      <c r="F180" s="338" t="s">
        <v>1311</v>
      </c>
      <c r="G180" s="349">
        <v>45935</v>
      </c>
      <c r="H180" s="338" t="s">
        <v>681</v>
      </c>
      <c r="I180" s="338" t="s">
        <v>278</v>
      </c>
      <c r="J180" s="315"/>
      <c r="K180" s="338" t="s">
        <v>1165</v>
      </c>
      <c r="L180" s="316" t="s">
        <v>250</v>
      </c>
      <c r="M180" s="316" t="s">
        <v>269</v>
      </c>
      <c r="N180" s="107">
        <v>563</v>
      </c>
      <c r="O180" s="31" t="s">
        <v>252</v>
      </c>
      <c r="P18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0" s="35" t="e">
        <v>#N/A</v>
      </c>
      <c r="S180" s="35">
        <v>1</v>
      </c>
      <c r="T180" s="35">
        <f>Table1[[#This Row],[Progres Total Aktual
(%)]]</f>
        <v>1</v>
      </c>
      <c r="U180" s="124">
        <f>Table1[[#This Row],[Progres Aktual
(%)]]-Table1[[#This Row],[Target Progres
(%)]]</f>
        <v>0</v>
      </c>
      <c r="V180" s="350">
        <f>Table1[[#This Row],["Volume
BA MC-0"]]</f>
        <v>586</v>
      </c>
      <c r="W180" s="351">
        <f>Table1[[#This Row],[Total Panjang Pipa Aktual
(Sum-&gt;)3]]</f>
        <v>571</v>
      </c>
      <c r="X180" s="47"/>
      <c r="Y180" s="67" t="s">
        <v>1312</v>
      </c>
      <c r="Z180" s="67">
        <v>1559353022</v>
      </c>
      <c r="AA180" s="67">
        <f>Table1[[#This Row],[Nilai RAB Jaringan
(file pa aji)]]</f>
        <v>1559353022</v>
      </c>
      <c r="AB180" s="320">
        <f>SUM(Table1[[#This Row],[RAB Kegiatan Umum]:[RAB Perizinan]])</f>
        <v>0</v>
      </c>
      <c r="AC180" s="320"/>
      <c r="AD180" s="320"/>
      <c r="AE180" s="320"/>
      <c r="AF180" s="320"/>
      <c r="AG180" s="436">
        <v>4099297</v>
      </c>
      <c r="AH180" s="35" t="e">
        <f>SUM(Table1[[#This Row],[Bobot Keg Umum]:[Bobot Perizinan]])</f>
        <v>#DIV/0!</v>
      </c>
      <c r="AI180" s="35" t="e">
        <f>Table1[[#This Row],[RAB Kegiatan Umum]]/Table1[[#This Row],[Nilai RAB Jaringan
(Exclude Ppn)]]</f>
        <v>#DIV/0!</v>
      </c>
      <c r="AJ180" s="35" t="e">
        <f>Table1[[#This Row],[RAB Pemasangan]]/Table1[[#This Row],[Nilai RAB Jaringan
(Exclude Ppn)]]</f>
        <v>#DIV/0!</v>
      </c>
      <c r="AK180" s="35" t="e">
        <f>Table1[[#This Row],[RAB Pengadaan]]/Table1[[#This Row],[Nilai RAB Jaringan
(Exclude Ppn)]]</f>
        <v>#DIV/0!</v>
      </c>
      <c r="AL180" s="35" t="e">
        <f>Table1[[#This Row],[RAB Perizinan]]/Table1[[#This Row],[Nilai RAB Jaringan
(Exclude Ppn)]]</f>
        <v>#DIV/0!</v>
      </c>
      <c r="AM180" s="47"/>
      <c r="AN180" s="285">
        <v>586</v>
      </c>
      <c r="AO180" s="285">
        <f>SUM(Table1[[#This Row],[Pipa 63 mm]:[Pipa 1,800 mm]])</f>
        <v>0</v>
      </c>
      <c r="AP180" s="285"/>
      <c r="AQ180" s="285"/>
      <c r="AR180" s="285"/>
      <c r="AS180" s="285"/>
      <c r="AT180" s="285"/>
      <c r="AU180" s="285"/>
      <c r="AV180" s="285"/>
      <c r="AW180" s="285"/>
      <c r="AX180" s="285"/>
      <c r="AY180" s="285"/>
      <c r="AZ180" s="285"/>
      <c r="BA180" s="285"/>
      <c r="BB180" s="285"/>
      <c r="BC180" s="285"/>
      <c r="BD180" s="285"/>
      <c r="BE180" s="285"/>
      <c r="BF180" s="285"/>
      <c r="BG180" s="285"/>
      <c r="BH180" s="285"/>
      <c r="BI180" s="285"/>
      <c r="BJ180" s="36">
        <f>SUM(Table1[[#This Row],[Pipa 63 mm2]:[Pipa 1,800 mm21]])</f>
        <v>571</v>
      </c>
      <c r="BK180" s="32"/>
      <c r="BL180" s="32"/>
      <c r="BM180" s="32">
        <v>100</v>
      </c>
      <c r="BN180" s="32">
        <v>471</v>
      </c>
      <c r="BO180" s="32"/>
      <c r="BP180" s="32"/>
      <c r="BQ180" s="32"/>
      <c r="BR180" s="32"/>
      <c r="BS180" s="32"/>
      <c r="BT180" s="32"/>
      <c r="BU180" s="32"/>
      <c r="BV180" s="32"/>
      <c r="BW180" s="32"/>
      <c r="BX180" s="32"/>
      <c r="BY180" s="32"/>
      <c r="BZ180" s="32"/>
      <c r="CA180" s="32"/>
      <c r="CB180" s="32"/>
      <c r="CC180" s="32"/>
      <c r="CD180" s="32"/>
      <c r="CE180" s="32">
        <v>0</v>
      </c>
      <c r="CF180" s="32">
        <v>0</v>
      </c>
      <c r="CG180" s="32">
        <v>0</v>
      </c>
      <c r="CH180" s="32">
        <v>0</v>
      </c>
      <c r="CI180" s="32">
        <f t="shared" si="10"/>
        <v>0</v>
      </c>
      <c r="CJ180" s="65">
        <f>IF((Table1[[#This Row],["Volume
BA MC-0"]]-Table1[[#This Row],[Total Panjang Pipa Aktual
(Sum-&gt;)3]]-Table1[[#This Row],[Total Volume
tidak dapat dipasang]])&gt;=0,Table1[[#This Row],["Volume
BA MC-0"]]-Table1[[#This Row],[Total Panjang Pipa Aktual
(Sum-&gt;)3]]-Table1[[#This Row],[Total Volume
tidak dapat dipasang]],0)</f>
        <v>15</v>
      </c>
      <c r="CK180" s="47"/>
      <c r="CL180" s="131"/>
      <c r="CM180" s="35"/>
      <c r="CN180" s="131"/>
      <c r="CO180" s="131"/>
      <c r="CP18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0" s="66">
        <f>IFERROR(Table1[[#This Row],[Progres Keg. Umum
(%)]]*Table1[[#This Row],[Nilai RAB Jaringan
(file pa aji)]],0)</f>
        <v>0</v>
      </c>
      <c r="CR180" s="66">
        <f>IFERROR(Table1[[#This Row],[Progres MOS
(%)]]*Table1[[#This Row],[Nilai RAB Jaringan
(file pa aji)]],0)</f>
        <v>0</v>
      </c>
      <c r="CS180" s="66">
        <f>IFERROR(Table1[[#This Row],[Progres Pemasangan
(%)]]*Table1[[#This Row],[Nilai RAB Jaringan
(file pa aji)]],0)</f>
        <v>0</v>
      </c>
      <c r="CT180" s="66">
        <f>IFERROR(Table1[[#This Row],[Progres Perizinan
(%)]]*Table1[[#This Row],[Nilai RAB Jaringan
(file pa aji)]],0)</f>
        <v>0</v>
      </c>
      <c r="CU180" s="329">
        <v>1279579628</v>
      </c>
      <c r="CV180" s="329">
        <v>1279579628</v>
      </c>
      <c r="CW180" s="583">
        <v>1279579628</v>
      </c>
      <c r="CX180" s="329">
        <v>1279579628</v>
      </c>
      <c r="CY180" s="47"/>
      <c r="CZ180" s="330">
        <v>45684</v>
      </c>
      <c r="DA180" s="330">
        <v>45697</v>
      </c>
      <c r="DB180" s="331">
        <v>45621</v>
      </c>
      <c r="DC180" s="316" t="s">
        <v>1313</v>
      </c>
      <c r="DD180" s="67">
        <v>1559353022</v>
      </c>
      <c r="DE18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0" s="331">
        <v>45623</v>
      </c>
      <c r="DG180" s="316" t="s">
        <v>1314</v>
      </c>
      <c r="DH180" s="67">
        <v>1559353022</v>
      </c>
      <c r="DI18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0" s="330">
        <v>45698</v>
      </c>
      <c r="DK180" s="330">
        <v>45746</v>
      </c>
      <c r="DL180" s="331">
        <v>45631</v>
      </c>
      <c r="DM180" s="316" t="s">
        <v>1315</v>
      </c>
      <c r="DN18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0" s="331">
        <v>45639</v>
      </c>
      <c r="DP180" s="316" t="s">
        <v>1316</v>
      </c>
      <c r="DQ180" s="338" t="s">
        <v>485</v>
      </c>
      <c r="DR18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0" s="330">
        <v>45698</v>
      </c>
      <c r="DT180" s="330" t="e">
        <v>#N/A</v>
      </c>
      <c r="DU180" s="330">
        <v>45725</v>
      </c>
      <c r="DV180" s="330" t="e">
        <v>#N/A</v>
      </c>
      <c r="DW180" s="331">
        <v>45540</v>
      </c>
      <c r="DX180" s="316" t="s">
        <v>1317</v>
      </c>
      <c r="DY180" s="334"/>
      <c r="DZ180" s="334"/>
      <c r="EA18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0" s="331">
        <v>46002</v>
      </c>
      <c r="EC180" s="332"/>
      <c r="ED180" s="332"/>
      <c r="EE180" s="330" t="s">
        <v>1318</v>
      </c>
      <c r="EF180" s="35">
        <v>1</v>
      </c>
      <c r="EG180" s="337">
        <v>1</v>
      </c>
      <c r="EH180" s="316" t="str">
        <f>IF(Table1[[#This Row],[PO Material Aktual 
(%)]]&gt;=100%,"Selesai PO = 100%",IF(Table1[[#This Row],[PO Material Aktual 
(%)]]&gt;=50%,"Proses PO &gt; 100%",IF(Table1[[#This Row],[PO Material Aktual 
(%)]]&gt;0%,"Proses PO &gt; 50%",IF(Table1[[#This Row],[PO Material Aktual 
(%)]]=0,"Belum PO = 0%"))))</f>
        <v>Selesai PO = 100%</v>
      </c>
      <c r="EI18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0" s="330">
        <v>45726</v>
      </c>
      <c r="EK180" s="330" t="e">
        <v>#N/A</v>
      </c>
      <c r="EL180" s="330">
        <v>45774</v>
      </c>
      <c r="EM180" s="330" t="e">
        <v>#N/A</v>
      </c>
      <c r="EN180" s="331">
        <v>46056</v>
      </c>
      <c r="EO180" s="332"/>
      <c r="EP180" s="332"/>
      <c r="EQ180" s="87">
        <v>1</v>
      </c>
      <c r="ER180" s="87">
        <v>1</v>
      </c>
      <c r="ES180" s="316" t="str">
        <f>IF(Table1[[#This Row],[Progres MOS]]&gt;=100%,"Selesai MOS = 100%",IF(Table1[[#This Row],[Progres MOS]]&gt;=50%,"Proses MOS &gt; 100%",IF(Table1[[#This Row],[Progres MOS]]&gt;0%,"Proses MOS &gt; 50%",IF(Table1[[#This Row],[Progres MOS]]=0,"Belum MOS = 0%"))))</f>
        <v>Selesai MOS = 100%</v>
      </c>
      <c r="ET18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0" s="47"/>
      <c r="EV180" s="330">
        <v>45698</v>
      </c>
      <c r="EW180" s="330" t="e">
        <v>#N/A</v>
      </c>
      <c r="EX180" s="330">
        <v>45774</v>
      </c>
      <c r="EY180" s="330" t="e">
        <v>#N/A</v>
      </c>
      <c r="EZ180" s="352" t="s">
        <v>259</v>
      </c>
      <c r="FA180" s="336" t="s">
        <v>259</v>
      </c>
      <c r="FB180" s="330" t="s">
        <v>260</v>
      </c>
      <c r="FC180" s="330" t="s">
        <v>282</v>
      </c>
      <c r="FD180" s="330" t="s">
        <v>260</v>
      </c>
      <c r="FE180" s="330" t="s">
        <v>282</v>
      </c>
      <c r="FF180" s="330" t="s">
        <v>282</v>
      </c>
      <c r="FG180" s="330" t="s">
        <v>260</v>
      </c>
      <c r="FH180" s="330" t="s">
        <v>260</v>
      </c>
      <c r="FI180" s="330"/>
      <c r="FJ180" s="330" t="s">
        <v>260</v>
      </c>
      <c r="FK180" s="330" t="s">
        <v>283</v>
      </c>
      <c r="FL180" s="336" t="s">
        <v>259</v>
      </c>
      <c r="FM180" s="352" t="s">
        <v>282</v>
      </c>
      <c r="FN180" s="338" t="e">
        <f>IF(Table1[[#This Row],[Tanggal Pengajuan Dokumen]]="","",Table1[[#This Row],[PLAN PERMIT
start]]-Table1[[#This Row],[Tanggal Pengajuan Dokumen]])</f>
        <v>#VALUE!</v>
      </c>
      <c r="FO180" s="437">
        <v>45874</v>
      </c>
      <c r="FP180" s="316"/>
      <c r="FQ180" s="338"/>
      <c r="FR180" s="338"/>
      <c r="FS180" s="338" t="str">
        <f t="shared" si="9"/>
        <v>Sudah Terbit</v>
      </c>
      <c r="FT18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0" s="344">
        <f ca="1">IF(Table1[[#This Row],[Status Izin]]="Selesai",Table1[[#This Row],[PLAN PERMIT
finish]]-Table1[[#This Row],[Tanggal Terbit/ Target Izin Terbit]],ROUNDUP(Table1[[#This Row],[PLAN PERMIT
finish]]-NOW(),0))</f>
        <v>-100</v>
      </c>
      <c r="FV18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0" s="344"/>
      <c r="FX180" s="47"/>
      <c r="FY180" s="340"/>
      <c r="FZ180" s="341"/>
      <c r="GA18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0" s="330">
        <v>45748</v>
      </c>
      <c r="GC180" s="352">
        <v>45656</v>
      </c>
      <c r="GD18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80" s="330">
        <v>45755</v>
      </c>
      <c r="GF180" s="352">
        <v>45656</v>
      </c>
      <c r="GG18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80" s="330">
        <v>45761</v>
      </c>
      <c r="GI180" s="330">
        <v>45767</v>
      </c>
      <c r="GJ180" s="352">
        <v>45600</v>
      </c>
      <c r="GK18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0" s="330">
        <v>45775</v>
      </c>
      <c r="GM180" s="330" t="e">
        <v>#N/A</v>
      </c>
      <c r="GN180" s="330">
        <v>45788</v>
      </c>
      <c r="GO180" s="330" t="e">
        <v>#N/A</v>
      </c>
      <c r="GP180" s="316"/>
      <c r="GQ18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0" s="330" t="s">
        <v>261</v>
      </c>
      <c r="GS180" s="330" t="s">
        <v>261</v>
      </c>
      <c r="GT180" s="354">
        <v>45598</v>
      </c>
      <c r="GU180" s="344" t="str">
        <f>IF(Table1[[#This Row],[Hydro Tes Actual
(tanggal)]]&lt;&gt;"","Sudah","Belum")</f>
        <v>Sudah</v>
      </c>
      <c r="GV180" s="330" t="s">
        <v>261</v>
      </c>
      <c r="GW180" s="330" t="s">
        <v>261</v>
      </c>
      <c r="GX180" s="331">
        <v>45670</v>
      </c>
      <c r="GY180" s="344" t="str">
        <f>IF(Table1[[#This Row],[Interkoneksi Actual
(tanggal)]]&lt;&gt;"","Sudah","Belum")</f>
        <v>Sudah</v>
      </c>
      <c r="GZ180" s="330" t="s">
        <v>261</v>
      </c>
      <c r="HA180" s="330" t="s">
        <v>261</v>
      </c>
      <c r="HB180" s="331">
        <v>45659</v>
      </c>
      <c r="HC180" s="344" t="str">
        <f>IF(Table1[[#This Row],[Flushing Actual
(tanggal)]]&lt;&gt;"","Sudah","Belum")</f>
        <v>Sudah</v>
      </c>
      <c r="HD180" s="330">
        <v>45779</v>
      </c>
      <c r="HE180" s="330" t="e">
        <v>#N/A</v>
      </c>
      <c r="HF180" s="330">
        <v>45788</v>
      </c>
      <c r="HG180" s="331">
        <v>45700</v>
      </c>
      <c r="HH18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0" s="330" t="s">
        <v>261</v>
      </c>
      <c r="HJ180" s="330" t="s">
        <v>261</v>
      </c>
      <c r="HK180" s="331"/>
      <c r="HL180" s="316"/>
      <c r="HM180" s="330">
        <v>45800</v>
      </c>
      <c r="HN180" s="330">
        <v>45800</v>
      </c>
      <c r="HO180" s="330" t="e">
        <v>#N/A</v>
      </c>
      <c r="HP180" s="331">
        <v>45700</v>
      </c>
      <c r="HQ18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180" s="330">
        <v>45807</v>
      </c>
      <c r="HS180" s="330"/>
      <c r="HT180" s="330">
        <v>45807</v>
      </c>
      <c r="HU180" s="527"/>
      <c r="HV180" s="331">
        <v>45930</v>
      </c>
      <c r="HW18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80" s="47"/>
      <c r="HY180" s="352"/>
      <c r="HZ180" s="352"/>
      <c r="IB180" s="618">
        <f>IFERROR(ROUND((Table1[[#This Row],[PLAN TC
finish]]-Table1[[#This Row],[PLAN MC-0
start]])/30,2),"")</f>
        <v>0.9</v>
      </c>
      <c r="IC180">
        <f>DATEDIF(Table1[[#This Row],[PLAN MC-0
start]],Table1[[#This Row],[PLAN TC
finish]],"m")</f>
        <v>0</v>
      </c>
    </row>
    <row r="181" spans="1:237" s="4" customFormat="1" ht="15" hidden="1" customHeight="1" x14ac:dyDescent="0.2">
      <c r="B181" s="311">
        <f>SUBTOTAL(3,$D$5:D181)</f>
        <v>84</v>
      </c>
      <c r="C181" s="348">
        <v>177</v>
      </c>
      <c r="D181" s="338" t="s">
        <v>244</v>
      </c>
      <c r="E181" s="338" t="s">
        <v>1319</v>
      </c>
      <c r="F181" s="338" t="s">
        <v>1320</v>
      </c>
      <c r="G181" s="349">
        <v>45935</v>
      </c>
      <c r="H181" s="338" t="s">
        <v>681</v>
      </c>
      <c r="I181" s="338" t="s">
        <v>278</v>
      </c>
      <c r="J181" s="315"/>
      <c r="K181" s="338" t="s">
        <v>1165</v>
      </c>
      <c r="L181" s="316" t="s">
        <v>250</v>
      </c>
      <c r="M181" s="316" t="s">
        <v>269</v>
      </c>
      <c r="N181" s="107">
        <v>51</v>
      </c>
      <c r="O181" s="31" t="s">
        <v>252</v>
      </c>
      <c r="P18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1" s="35" t="e">
        <v>#N/A</v>
      </c>
      <c r="S181" s="35">
        <v>1</v>
      </c>
      <c r="T181" s="35">
        <f>Table1[[#This Row],[Progres Total Aktual
(%)]]</f>
        <v>1</v>
      </c>
      <c r="U181" s="124">
        <f>Table1[[#This Row],[Progres Aktual
(%)]]-Table1[[#This Row],[Target Progres
(%)]]</f>
        <v>0</v>
      </c>
      <c r="V181" s="350">
        <f>Table1[[#This Row],["Volume
BA MC-0"]]</f>
        <v>52</v>
      </c>
      <c r="W181" s="351">
        <f>Table1[[#This Row],[Total Panjang Pipa Aktual
(Sum-&gt;)3]]</f>
        <v>50</v>
      </c>
      <c r="X181" s="47"/>
      <c r="Y181" s="67" t="s">
        <v>1321</v>
      </c>
      <c r="Z181" s="67">
        <v>94916946</v>
      </c>
      <c r="AA181" s="67">
        <f>Table1[[#This Row],[Nilai RAB Jaringan
(file pa aji)]]</f>
        <v>94916946</v>
      </c>
      <c r="AB181" s="320">
        <f>SUM(Table1[[#This Row],[RAB Kegiatan Umum]:[RAB Perizinan]])</f>
        <v>0</v>
      </c>
      <c r="AC181" s="320"/>
      <c r="AD181" s="320"/>
      <c r="AE181" s="320"/>
      <c r="AF181" s="320"/>
      <c r="AG181" s="436">
        <v>2049649</v>
      </c>
      <c r="AH181" s="35" t="e">
        <f>SUM(Table1[[#This Row],[Bobot Keg Umum]:[Bobot Perizinan]])</f>
        <v>#DIV/0!</v>
      </c>
      <c r="AI181" s="35" t="e">
        <f>Table1[[#This Row],[RAB Kegiatan Umum]]/Table1[[#This Row],[Nilai RAB Jaringan
(Exclude Ppn)]]</f>
        <v>#DIV/0!</v>
      </c>
      <c r="AJ181" s="35" t="e">
        <f>Table1[[#This Row],[RAB Pemasangan]]/Table1[[#This Row],[Nilai RAB Jaringan
(Exclude Ppn)]]</f>
        <v>#DIV/0!</v>
      </c>
      <c r="AK181" s="35" t="e">
        <f>Table1[[#This Row],[RAB Pengadaan]]/Table1[[#This Row],[Nilai RAB Jaringan
(Exclude Ppn)]]</f>
        <v>#DIV/0!</v>
      </c>
      <c r="AL181" s="35" t="e">
        <f>Table1[[#This Row],[RAB Perizinan]]/Table1[[#This Row],[Nilai RAB Jaringan
(Exclude Ppn)]]</f>
        <v>#DIV/0!</v>
      </c>
      <c r="AM181" s="47"/>
      <c r="AN181" s="285">
        <v>52</v>
      </c>
      <c r="AO181" s="285">
        <f>SUM(Table1[[#This Row],[Pipa 63 mm]:[Pipa 1,800 mm]])</f>
        <v>0</v>
      </c>
      <c r="AP181" s="285"/>
      <c r="AQ181" s="285"/>
      <c r="AR181" s="285"/>
      <c r="AS181" s="285"/>
      <c r="AT181" s="285"/>
      <c r="AU181" s="285"/>
      <c r="AV181" s="285"/>
      <c r="AW181" s="285"/>
      <c r="AX181" s="285"/>
      <c r="AY181" s="285"/>
      <c r="AZ181" s="285"/>
      <c r="BA181" s="285"/>
      <c r="BB181" s="285"/>
      <c r="BC181" s="285"/>
      <c r="BD181" s="285"/>
      <c r="BE181" s="285"/>
      <c r="BF181" s="285"/>
      <c r="BG181" s="285"/>
      <c r="BH181" s="285"/>
      <c r="BI181" s="285"/>
      <c r="BJ181" s="36">
        <f>SUM(Table1[[#This Row],[Pipa 63 mm2]:[Pipa 1,800 mm21]])</f>
        <v>50</v>
      </c>
      <c r="BK181" s="32">
        <v>50</v>
      </c>
      <c r="BL181" s="32"/>
      <c r="BM181" s="32"/>
      <c r="BN181" s="32"/>
      <c r="BO181" s="32"/>
      <c r="BP181" s="32"/>
      <c r="BQ181" s="32"/>
      <c r="BR181" s="32"/>
      <c r="BS181" s="32"/>
      <c r="BT181" s="32"/>
      <c r="BU181" s="32"/>
      <c r="BV181" s="32"/>
      <c r="BW181" s="32"/>
      <c r="BX181" s="32"/>
      <c r="BY181" s="32"/>
      <c r="BZ181" s="32"/>
      <c r="CA181" s="32"/>
      <c r="CB181" s="32"/>
      <c r="CC181" s="32"/>
      <c r="CD181" s="32"/>
      <c r="CE181" s="32">
        <v>0</v>
      </c>
      <c r="CF181" s="32">
        <v>0</v>
      </c>
      <c r="CG181" s="32">
        <v>0</v>
      </c>
      <c r="CH181" s="32">
        <v>0</v>
      </c>
      <c r="CI181" s="32">
        <f t="shared" si="10"/>
        <v>0</v>
      </c>
      <c r="CJ181" s="65">
        <f>IF((Table1[[#This Row],["Volume
BA MC-0"]]-Table1[[#This Row],[Total Panjang Pipa Aktual
(Sum-&gt;)3]]-Table1[[#This Row],[Total Volume
tidak dapat dipasang]])&gt;=0,Table1[[#This Row],["Volume
BA MC-0"]]-Table1[[#This Row],[Total Panjang Pipa Aktual
(Sum-&gt;)3]]-Table1[[#This Row],[Total Volume
tidak dapat dipasang]],0)</f>
        <v>2</v>
      </c>
      <c r="CK181" s="47"/>
      <c r="CL181" s="131"/>
      <c r="CM181" s="35"/>
      <c r="CN181" s="131"/>
      <c r="CO181" s="131"/>
      <c r="CP18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1" s="66">
        <f>IFERROR(Table1[[#This Row],[Progres Keg. Umum
(%)]]*Table1[[#This Row],[Nilai RAB Jaringan
(file pa aji)]],0)</f>
        <v>0</v>
      </c>
      <c r="CR181" s="66">
        <f>IFERROR(Table1[[#This Row],[Progres MOS
(%)]]*Table1[[#This Row],[Nilai RAB Jaringan
(file pa aji)]],0)</f>
        <v>0</v>
      </c>
      <c r="CS181" s="66">
        <f>IFERROR(Table1[[#This Row],[Progres Pemasangan
(%)]]*Table1[[#This Row],[Nilai RAB Jaringan
(file pa aji)]],0)</f>
        <v>0</v>
      </c>
      <c r="CT181" s="66">
        <f>IFERROR(Table1[[#This Row],[Progres Perizinan
(%)]]*Table1[[#This Row],[Nilai RAB Jaringan
(file pa aji)]],0)</f>
        <v>0</v>
      </c>
      <c r="CU181" s="329">
        <v>99098256</v>
      </c>
      <c r="CV181" s="329">
        <v>99098256</v>
      </c>
      <c r="CW181" s="583">
        <v>99098256</v>
      </c>
      <c r="CX181" s="329">
        <v>99098256</v>
      </c>
      <c r="CY181" s="47"/>
      <c r="CZ181" s="330">
        <v>45656</v>
      </c>
      <c r="DA181" s="330">
        <v>45669</v>
      </c>
      <c r="DB181" s="331">
        <v>45656</v>
      </c>
      <c r="DC181" s="316" t="s">
        <v>1322</v>
      </c>
      <c r="DD181" s="67">
        <v>94916945</v>
      </c>
      <c r="DE18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1" s="331">
        <v>45673</v>
      </c>
      <c r="DG181" s="316" t="s">
        <v>1323</v>
      </c>
      <c r="DH181" s="67">
        <v>94916945</v>
      </c>
      <c r="DI18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81" s="330">
        <v>45670</v>
      </c>
      <c r="DK181" s="330">
        <v>45718</v>
      </c>
      <c r="DL181" s="331">
        <v>45695</v>
      </c>
      <c r="DM181" s="316" t="s">
        <v>1324</v>
      </c>
      <c r="DN18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1" s="331">
        <v>45708</v>
      </c>
      <c r="DP181" s="316" t="s">
        <v>1325</v>
      </c>
      <c r="DQ181" s="338" t="s">
        <v>371</v>
      </c>
      <c r="DR18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1" s="330">
        <v>45670</v>
      </c>
      <c r="DT181" s="330" t="e">
        <v>#N/A</v>
      </c>
      <c r="DU181" s="330">
        <v>45697</v>
      </c>
      <c r="DV181" s="330" t="e">
        <v>#N/A</v>
      </c>
      <c r="DW181" s="331">
        <v>45727</v>
      </c>
      <c r="DX181" s="316" t="s">
        <v>1326</v>
      </c>
      <c r="DY181" s="334"/>
      <c r="DZ181" s="334"/>
      <c r="EA18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1" s="331">
        <v>46039</v>
      </c>
      <c r="EC181" s="332"/>
      <c r="ED181" s="332"/>
      <c r="EE181" s="330" t="s">
        <v>1327</v>
      </c>
      <c r="EF181" s="35">
        <v>1</v>
      </c>
      <c r="EG181" s="337">
        <v>1</v>
      </c>
      <c r="EH181" s="316" t="str">
        <f>IF(Table1[[#This Row],[PO Material Aktual 
(%)]]&gt;=100%,"Selesai PO = 100%",IF(Table1[[#This Row],[PO Material Aktual 
(%)]]&gt;=50%,"Proses PO &gt; 100%",IF(Table1[[#This Row],[PO Material Aktual 
(%)]]&gt;0%,"Proses PO &gt; 50%",IF(Table1[[#This Row],[PO Material Aktual 
(%)]]=0,"Belum PO = 0%"))))</f>
        <v>Selesai PO = 100%</v>
      </c>
      <c r="EI18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1" s="330">
        <v>45698</v>
      </c>
      <c r="EK181" s="330" t="e">
        <v>#N/A</v>
      </c>
      <c r="EL181" s="330">
        <v>45746</v>
      </c>
      <c r="EM181" s="330" t="e">
        <v>#N/A</v>
      </c>
      <c r="EN181" s="331">
        <v>46091</v>
      </c>
      <c r="EO181" s="332"/>
      <c r="EP181" s="332"/>
      <c r="EQ181" s="87">
        <v>1</v>
      </c>
      <c r="ER181" s="87">
        <v>1</v>
      </c>
      <c r="ES181" s="316" t="str">
        <f>IF(Table1[[#This Row],[Progres MOS]]&gt;=100%,"Selesai MOS = 100%",IF(Table1[[#This Row],[Progres MOS]]&gt;=50%,"Proses MOS &gt; 100%",IF(Table1[[#This Row],[Progres MOS]]&gt;0%,"Proses MOS &gt; 50%",IF(Table1[[#This Row],[Progres MOS]]=0,"Belum MOS = 0%"))))</f>
        <v>Selesai MOS = 100%</v>
      </c>
      <c r="ET18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1" s="47"/>
      <c r="EV181" s="330">
        <v>45670</v>
      </c>
      <c r="EW181" s="330" t="e">
        <v>#N/A</v>
      </c>
      <c r="EX181" s="330">
        <v>45746</v>
      </c>
      <c r="EY181" s="330" t="e">
        <v>#N/A</v>
      </c>
      <c r="EZ181" s="352" t="s">
        <v>298</v>
      </c>
      <c r="FA181" s="336" t="s">
        <v>259</v>
      </c>
      <c r="FB181" s="330" t="s">
        <v>260</v>
      </c>
      <c r="FC181" s="330">
        <v>45838</v>
      </c>
      <c r="FD181" s="330" t="s">
        <v>260</v>
      </c>
      <c r="FE181" s="330">
        <v>45888</v>
      </c>
      <c r="FF181" s="330">
        <v>45944</v>
      </c>
      <c r="FG181" s="330" t="s">
        <v>260</v>
      </c>
      <c r="FH181" s="330" t="s">
        <v>260</v>
      </c>
      <c r="FI181" s="330">
        <v>46010</v>
      </c>
      <c r="FJ181" s="330" t="s">
        <v>260</v>
      </c>
      <c r="FK181" s="330">
        <v>46113</v>
      </c>
      <c r="FL181" s="336" t="s">
        <v>298</v>
      </c>
      <c r="FM181" s="352">
        <v>45838</v>
      </c>
      <c r="FN181" s="338">
        <f>IF(Table1[[#This Row],[Tanggal Pengajuan Dokumen]]="","",Table1[[#This Row],[PLAN PERMIT
start]]-Table1[[#This Row],[Tanggal Pengajuan Dokumen]])</f>
        <v>-168</v>
      </c>
      <c r="FO181" s="437">
        <v>46086</v>
      </c>
      <c r="FP181" s="316"/>
      <c r="FQ181" s="338"/>
      <c r="FR181" s="338"/>
      <c r="FS181" s="338" t="str">
        <f t="shared" si="9"/>
        <v>Sudah Terbit</v>
      </c>
      <c r="FT18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1" s="344">
        <f ca="1">IF(Table1[[#This Row],[Status Izin]]="Selesai",Table1[[#This Row],[PLAN PERMIT
finish]]-Table1[[#This Row],[Tanggal Terbit/ Target Izin Terbit]],ROUNDUP(Table1[[#This Row],[PLAN PERMIT
finish]]-NOW(),0))</f>
        <v>-340</v>
      </c>
      <c r="FV18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1" s="344"/>
      <c r="FX181" s="47"/>
      <c r="FY181" s="340"/>
      <c r="FZ181" s="341"/>
      <c r="GA18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1" s="330">
        <v>45720</v>
      </c>
      <c r="GC181" s="352"/>
      <c r="GD18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1" s="330">
        <v>45727</v>
      </c>
      <c r="GF181" s="352"/>
      <c r="GG18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1" s="330">
        <v>45733</v>
      </c>
      <c r="GI181" s="330">
        <v>45739</v>
      </c>
      <c r="GJ181" s="352">
        <v>45695</v>
      </c>
      <c r="GK18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1" s="330">
        <v>45747</v>
      </c>
      <c r="GM181" s="330" t="e">
        <v>#N/A</v>
      </c>
      <c r="GN181" s="330">
        <v>45760</v>
      </c>
      <c r="GO181" s="330" t="e">
        <v>#N/A</v>
      </c>
      <c r="GP181" s="316"/>
      <c r="GQ18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1" s="330" t="s">
        <v>261</v>
      </c>
      <c r="GS181" s="330" t="s">
        <v>261</v>
      </c>
      <c r="GT181" s="354">
        <v>45723</v>
      </c>
      <c r="GU181" s="344" t="str">
        <f>IF(Table1[[#This Row],[Hydro Tes Actual
(tanggal)]]&lt;&gt;"","Sudah","Belum")</f>
        <v>Sudah</v>
      </c>
      <c r="GV181" s="330" t="s">
        <v>261</v>
      </c>
      <c r="GW181" s="330" t="s">
        <v>261</v>
      </c>
      <c r="GX181" s="331">
        <v>45721</v>
      </c>
      <c r="GY181" s="344" t="str">
        <f>IF(Table1[[#This Row],[Interkoneksi Actual
(tanggal)]]&lt;&gt;"","Sudah","Belum")</f>
        <v>Sudah</v>
      </c>
      <c r="GZ181" s="330" t="s">
        <v>261</v>
      </c>
      <c r="HA181" s="330" t="s">
        <v>261</v>
      </c>
      <c r="HB181" s="331">
        <v>45733</v>
      </c>
      <c r="HC181" s="344" t="str">
        <f>IF(Table1[[#This Row],[Flushing Actual
(tanggal)]]&lt;&gt;"","Sudah","Belum")</f>
        <v>Sudah</v>
      </c>
      <c r="HD181" s="330">
        <v>45751</v>
      </c>
      <c r="HE181" s="330" t="e">
        <v>#N/A</v>
      </c>
      <c r="HF181" s="330">
        <v>45760</v>
      </c>
      <c r="HG181" s="331">
        <v>45805</v>
      </c>
      <c r="HH18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1" s="330" t="s">
        <v>261</v>
      </c>
      <c r="HJ181" s="330" t="s">
        <v>261</v>
      </c>
      <c r="HK181" s="331"/>
      <c r="HL181" s="316"/>
      <c r="HM181" s="330">
        <v>45772</v>
      </c>
      <c r="HN181" s="330">
        <v>45772</v>
      </c>
      <c r="HO181" s="330" t="e">
        <v>#N/A</v>
      </c>
      <c r="HP181" s="331">
        <v>45805</v>
      </c>
      <c r="HQ18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81" s="330">
        <v>45779</v>
      </c>
      <c r="HS181" s="330"/>
      <c r="HT181" s="330">
        <v>45779</v>
      </c>
      <c r="HU181" s="527"/>
      <c r="HV181" s="331">
        <v>45930</v>
      </c>
      <c r="HW18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81" s="47"/>
      <c r="HY181" s="352"/>
      <c r="HZ181" s="352"/>
      <c r="IB181" s="618">
        <f>IFERROR(ROUND((Table1[[#This Row],[PLAN TC
finish]]-Table1[[#This Row],[PLAN MC-0
start]])/30,2),"")</f>
        <v>0.9</v>
      </c>
      <c r="IC181">
        <f>DATEDIF(Table1[[#This Row],[PLAN MC-0
start]],Table1[[#This Row],[PLAN TC
finish]],"m")</f>
        <v>0</v>
      </c>
    </row>
    <row r="182" spans="1:237" s="4" customFormat="1" ht="15" hidden="1" customHeight="1" x14ac:dyDescent="0.2">
      <c r="B182" s="311">
        <f>SUBTOTAL(3,$D$5:D182)</f>
        <v>84</v>
      </c>
      <c r="C182" s="348">
        <v>178</v>
      </c>
      <c r="D182" s="338" t="s">
        <v>244</v>
      </c>
      <c r="E182" s="338" t="s">
        <v>1328</v>
      </c>
      <c r="F182" s="338" t="s">
        <v>1329</v>
      </c>
      <c r="G182" s="349">
        <v>45935</v>
      </c>
      <c r="H182" s="338" t="s">
        <v>681</v>
      </c>
      <c r="I182" s="338" t="s">
        <v>278</v>
      </c>
      <c r="J182" s="315"/>
      <c r="K182" s="338" t="s">
        <v>1165</v>
      </c>
      <c r="L182" s="316" t="s">
        <v>250</v>
      </c>
      <c r="M182" s="316" t="s">
        <v>269</v>
      </c>
      <c r="N182" s="107">
        <v>5581</v>
      </c>
      <c r="O182" s="31" t="s">
        <v>252</v>
      </c>
      <c r="P18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2" s="35" t="e">
        <v>#N/A</v>
      </c>
      <c r="S182" s="35">
        <v>1</v>
      </c>
      <c r="T182" s="35">
        <f>Table1[[#This Row],[Progres Total Aktual
(%)]]</f>
        <v>1</v>
      </c>
      <c r="U182" s="124" t="s">
        <v>292</v>
      </c>
      <c r="V182" s="350">
        <f>Table1[[#This Row],["Volume
BA MC-0"]]</f>
        <v>5859</v>
      </c>
      <c r="W182" s="351">
        <f>Table1[[#This Row],[Total Panjang Pipa Aktual
(Sum-&gt;)3]]</f>
        <v>5720</v>
      </c>
      <c r="X182" s="47"/>
      <c r="Y182" s="67" t="s">
        <v>1330</v>
      </c>
      <c r="Z182" s="67">
        <v>9709434039</v>
      </c>
      <c r="AA182" s="67">
        <f>Table1[[#This Row],[Nilai RAB Jaringan
(file pa aji)]]</f>
        <v>9709434039</v>
      </c>
      <c r="AB182" s="320">
        <f>SUM(Table1[[#This Row],[RAB Kegiatan Umum]:[RAB Perizinan]])</f>
        <v>0</v>
      </c>
      <c r="AC182" s="320"/>
      <c r="AD182" s="320"/>
      <c r="AE182" s="320"/>
      <c r="AF182" s="320"/>
      <c r="AG182" s="436">
        <v>2667510906</v>
      </c>
      <c r="AH182" s="35" t="e">
        <f>SUM(Table1[[#This Row],[Bobot Keg Umum]:[Bobot Perizinan]])</f>
        <v>#DIV/0!</v>
      </c>
      <c r="AI182" s="35" t="e">
        <f>Table1[[#This Row],[RAB Kegiatan Umum]]/Table1[[#This Row],[Nilai RAB Jaringan
(Exclude Ppn)]]</f>
        <v>#DIV/0!</v>
      </c>
      <c r="AJ182" s="35" t="e">
        <f>Table1[[#This Row],[RAB Pemasangan]]/Table1[[#This Row],[Nilai RAB Jaringan
(Exclude Ppn)]]</f>
        <v>#DIV/0!</v>
      </c>
      <c r="AK182" s="35" t="e">
        <f>Table1[[#This Row],[RAB Pengadaan]]/Table1[[#This Row],[Nilai RAB Jaringan
(Exclude Ppn)]]</f>
        <v>#DIV/0!</v>
      </c>
      <c r="AL182" s="35" t="e">
        <f>Table1[[#This Row],[RAB Perizinan]]/Table1[[#This Row],[Nilai RAB Jaringan
(Exclude Ppn)]]</f>
        <v>#DIV/0!</v>
      </c>
      <c r="AM182" s="47"/>
      <c r="AN182" s="285">
        <v>5859</v>
      </c>
      <c r="AO182" s="285">
        <f>SUM(Table1[[#This Row],[Pipa 63 mm]:[Pipa 1,800 mm]])</f>
        <v>0</v>
      </c>
      <c r="AP182" s="285"/>
      <c r="AQ182" s="285"/>
      <c r="AR182" s="285"/>
      <c r="AS182" s="285"/>
      <c r="AT182" s="285"/>
      <c r="AU182" s="285"/>
      <c r="AV182" s="285"/>
      <c r="AW182" s="285"/>
      <c r="AX182" s="285"/>
      <c r="AY182" s="285"/>
      <c r="AZ182" s="285"/>
      <c r="BA182" s="285"/>
      <c r="BB182" s="285"/>
      <c r="BC182" s="285"/>
      <c r="BD182" s="285"/>
      <c r="BE182" s="285"/>
      <c r="BF182" s="285"/>
      <c r="BG182" s="285"/>
      <c r="BH182" s="285"/>
      <c r="BI182" s="285"/>
      <c r="BJ182" s="36">
        <f>SUM(Table1[[#This Row],[Pipa 63 mm2]:[Pipa 1,800 mm21]])</f>
        <v>5720</v>
      </c>
      <c r="BK182" s="32">
        <v>2123.5</v>
      </c>
      <c r="BL182" s="32">
        <v>2858.4</v>
      </c>
      <c r="BM182" s="32">
        <v>216.2</v>
      </c>
      <c r="BN182" s="32">
        <v>490.3</v>
      </c>
      <c r="BO182" s="32">
        <v>31.6</v>
      </c>
      <c r="BP182" s="32"/>
      <c r="BQ182" s="32"/>
      <c r="BR182" s="32"/>
      <c r="BS182" s="32"/>
      <c r="BT182" s="32"/>
      <c r="BU182" s="32"/>
      <c r="BV182" s="32"/>
      <c r="BW182" s="32"/>
      <c r="BX182" s="32"/>
      <c r="BY182" s="32"/>
      <c r="BZ182" s="32"/>
      <c r="CA182" s="32"/>
      <c r="CB182" s="32"/>
      <c r="CC182" s="32"/>
      <c r="CD182" s="32"/>
      <c r="CE182" s="32">
        <v>0</v>
      </c>
      <c r="CF182" s="32">
        <v>0</v>
      </c>
      <c r="CG182" s="32">
        <v>0</v>
      </c>
      <c r="CH182" s="32">
        <v>0</v>
      </c>
      <c r="CI182" s="32">
        <f t="shared" si="10"/>
        <v>0</v>
      </c>
      <c r="CJ182" s="65">
        <f>IF((Table1[[#This Row],["Volume
BA MC-0"]]-Table1[[#This Row],[Total Panjang Pipa Aktual
(Sum-&gt;)3]]-Table1[[#This Row],[Total Volume
tidak dapat dipasang]])&gt;=0,Table1[[#This Row],["Volume
BA MC-0"]]-Table1[[#This Row],[Total Panjang Pipa Aktual
(Sum-&gt;)3]]-Table1[[#This Row],[Total Volume
tidak dapat dipasang]],0)</f>
        <v>139</v>
      </c>
      <c r="CK182" s="47"/>
      <c r="CL182" s="131"/>
      <c r="CM182" s="35"/>
      <c r="CN182" s="131"/>
      <c r="CO182" s="131"/>
      <c r="CP18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2" s="66">
        <f>IFERROR(Table1[[#This Row],[Progres Keg. Umum
(%)]]*Table1[[#This Row],[Nilai RAB Jaringan
(file pa aji)]],0)</f>
        <v>0</v>
      </c>
      <c r="CR182" s="66">
        <f>IFERROR(Table1[[#This Row],[Progres MOS
(%)]]*Table1[[#This Row],[Nilai RAB Jaringan
(file pa aji)]],0)</f>
        <v>0</v>
      </c>
      <c r="CS182" s="66">
        <f>IFERROR(Table1[[#This Row],[Progres Pemasangan
(%)]]*Table1[[#This Row],[Nilai RAB Jaringan
(file pa aji)]],0)</f>
        <v>0</v>
      </c>
      <c r="CT182" s="66">
        <f>IFERROR(Table1[[#This Row],[Progres Perizinan
(%)]]*Table1[[#This Row],[Nilai RAB Jaringan
(file pa aji)]],0)</f>
        <v>0</v>
      </c>
      <c r="CU182" s="329">
        <v>7497235357</v>
      </c>
      <c r="CV182" s="329">
        <v>7497235357</v>
      </c>
      <c r="CW182" s="583">
        <v>7497235357</v>
      </c>
      <c r="CX182" s="329">
        <v>7497235357</v>
      </c>
      <c r="CY182" s="47"/>
      <c r="CZ182" s="330">
        <v>45684</v>
      </c>
      <c r="DA182" s="330">
        <v>45711</v>
      </c>
      <c r="DB182" s="331">
        <v>45216</v>
      </c>
      <c r="DC182" s="316" t="s">
        <v>1331</v>
      </c>
      <c r="DD182" s="67">
        <v>9653624040.0699997</v>
      </c>
      <c r="DE18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2" s="331">
        <v>45222</v>
      </c>
      <c r="DG182" s="316" t="s">
        <v>1332</v>
      </c>
      <c r="DH182" s="67">
        <v>9653624040.0699997</v>
      </c>
      <c r="DI18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2" s="330">
        <v>45712</v>
      </c>
      <c r="DK182" s="330">
        <v>45753</v>
      </c>
      <c r="DL182" s="331">
        <v>45812</v>
      </c>
      <c r="DM182" s="316" t="s">
        <v>1333</v>
      </c>
      <c r="DN18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82" s="331">
        <v>45896</v>
      </c>
      <c r="DP182" s="316" t="s">
        <v>1334</v>
      </c>
      <c r="DQ182" s="338" t="s">
        <v>479</v>
      </c>
      <c r="DR18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2" s="330">
        <v>45712</v>
      </c>
      <c r="DT182" s="330" t="e">
        <v>#N/A</v>
      </c>
      <c r="DU182" s="330">
        <v>45753</v>
      </c>
      <c r="DV182" s="330" t="e">
        <v>#N/A</v>
      </c>
      <c r="DW182" s="331">
        <v>45813</v>
      </c>
      <c r="DX182" s="316" t="s">
        <v>1335</v>
      </c>
      <c r="DY182" s="334"/>
      <c r="DZ182" s="334"/>
      <c r="EA18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2" s="331">
        <v>46038</v>
      </c>
      <c r="EC182" s="332"/>
      <c r="ED182" s="332"/>
      <c r="EE182" s="330" t="s">
        <v>1336</v>
      </c>
      <c r="EF182" s="35">
        <v>1</v>
      </c>
      <c r="EG182" s="337">
        <v>1</v>
      </c>
      <c r="EH182" s="316" t="str">
        <f>IF(Table1[[#This Row],[PO Material Aktual 
(%)]]&gt;=100%,"Selesai PO = 100%",IF(Table1[[#This Row],[PO Material Aktual 
(%)]]&gt;=50%,"Proses PO &gt; 100%",IF(Table1[[#This Row],[PO Material Aktual 
(%)]]&gt;0%,"Proses PO &gt; 50%",IF(Table1[[#This Row],[PO Material Aktual 
(%)]]=0,"Belum PO = 0%"))))</f>
        <v>Selesai PO = 100%</v>
      </c>
      <c r="EI18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2" s="330">
        <v>45754</v>
      </c>
      <c r="EK182" s="330" t="e">
        <v>#N/A</v>
      </c>
      <c r="EL182" s="330">
        <v>45865</v>
      </c>
      <c r="EM182" s="330" t="e">
        <v>#N/A</v>
      </c>
      <c r="EN182" s="331">
        <v>46151</v>
      </c>
      <c r="EO182" s="332"/>
      <c r="EP182" s="332"/>
      <c r="EQ182" s="87">
        <v>1</v>
      </c>
      <c r="ER182" s="87">
        <v>1</v>
      </c>
      <c r="ES182" s="316" t="str">
        <f>IF(Table1[[#This Row],[Progres MOS]]&gt;=100%,"Selesai MOS = 100%",IF(Table1[[#This Row],[Progres MOS]]&gt;=50%,"Proses MOS &gt; 100%",IF(Table1[[#This Row],[Progres MOS]]&gt;0%,"Proses MOS &gt; 50%",IF(Table1[[#This Row],[Progres MOS]]=0,"Belum MOS = 0%"))))</f>
        <v>Selesai MOS = 100%</v>
      </c>
      <c r="ET18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2" s="47"/>
      <c r="EV182" s="330">
        <v>45712</v>
      </c>
      <c r="EW182" s="330" t="e">
        <v>#N/A</v>
      </c>
      <c r="EX182" s="330">
        <v>45837</v>
      </c>
      <c r="EY182" s="330" t="e">
        <v>#N/A</v>
      </c>
      <c r="EZ182" s="352" t="s">
        <v>1337</v>
      </c>
      <c r="FA182" s="336" t="s">
        <v>259</v>
      </c>
      <c r="FB182" s="330" t="s">
        <v>260</v>
      </c>
      <c r="FC182" s="330" t="s">
        <v>282</v>
      </c>
      <c r="FD182" s="330" t="s">
        <v>282</v>
      </c>
      <c r="FE182" s="330" t="s">
        <v>282</v>
      </c>
      <c r="FF182" s="330" t="s">
        <v>282</v>
      </c>
      <c r="FG182" s="330" t="s">
        <v>282</v>
      </c>
      <c r="FH182" s="330" t="s">
        <v>282</v>
      </c>
      <c r="FI182" s="330" t="s">
        <v>282</v>
      </c>
      <c r="FJ182" s="330" t="s">
        <v>282</v>
      </c>
      <c r="FK182" s="330" t="s">
        <v>283</v>
      </c>
      <c r="FL182" s="336" t="str">
        <f>Table1[[#This Row],[IPPJU]]</f>
        <v>Izin Dari PPKK</v>
      </c>
      <c r="FM182" s="352" t="s">
        <v>282</v>
      </c>
      <c r="FN182" s="338" t="e">
        <f>IF(Table1[[#This Row],[Tanggal Pengajuan Dokumen]]="","",Table1[[#This Row],[PLAN PERMIT
start]]-Table1[[#This Row],[Tanggal Pengajuan Dokumen]])</f>
        <v>#VALUE!</v>
      </c>
      <c r="FO182" s="437">
        <v>45188</v>
      </c>
      <c r="FP182" s="316"/>
      <c r="FQ182" s="338"/>
      <c r="FR182" s="338"/>
      <c r="FS182" s="338" t="str">
        <f t="shared" si="9"/>
        <v>Sudah Terbit</v>
      </c>
      <c r="FT18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2" s="344">
        <f ca="1">IF(Table1[[#This Row],[Status Izin]]="Selesai",Table1[[#This Row],[PLAN PERMIT
finish]]-Table1[[#This Row],[Tanggal Terbit/ Target Izin Terbit]],ROUNDUP(Table1[[#This Row],[PLAN PERMIT
finish]]-NOW(),0))</f>
        <v>649</v>
      </c>
      <c r="FV18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82" s="344"/>
      <c r="FX182" s="47"/>
      <c r="FY182" s="340"/>
      <c r="FZ182" s="341"/>
      <c r="GA18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2" s="330">
        <v>45811</v>
      </c>
      <c r="GC182" s="352">
        <v>45796</v>
      </c>
      <c r="GD18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82" s="330">
        <v>45818</v>
      </c>
      <c r="GF182" s="352">
        <v>45826</v>
      </c>
      <c r="GG18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2" s="330">
        <v>45824</v>
      </c>
      <c r="GI182" s="330">
        <v>45830</v>
      </c>
      <c r="GJ182" s="352">
        <v>45803</v>
      </c>
      <c r="GK18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2" s="330">
        <v>45838</v>
      </c>
      <c r="GM182" s="330" t="e">
        <v>#N/A</v>
      </c>
      <c r="GN182" s="330">
        <v>45907</v>
      </c>
      <c r="GO182" s="330" t="e">
        <v>#N/A</v>
      </c>
      <c r="GP182" s="316"/>
      <c r="GQ18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2" s="330" t="s">
        <v>261</v>
      </c>
      <c r="GS182" s="330" t="s">
        <v>261</v>
      </c>
      <c r="GT182" s="354">
        <v>45899</v>
      </c>
      <c r="GU182" s="344" t="str">
        <f>IF(Table1[[#This Row],[Hydro Tes Actual
(tanggal)]]&lt;&gt;"","Sudah","Belum")</f>
        <v>Sudah</v>
      </c>
      <c r="GV182" s="330" t="s">
        <v>261</v>
      </c>
      <c r="GW182" s="330" t="s">
        <v>261</v>
      </c>
      <c r="GX182" s="331">
        <v>45891</v>
      </c>
      <c r="GY182" s="344" t="str">
        <f>IF(Table1[[#This Row],[Interkoneksi Actual
(tanggal)]]&lt;&gt;"","Sudah","Belum")</f>
        <v>Sudah</v>
      </c>
      <c r="GZ182" s="330" t="s">
        <v>261</v>
      </c>
      <c r="HA182" s="330" t="s">
        <v>261</v>
      </c>
      <c r="HB182" s="331">
        <v>45902</v>
      </c>
      <c r="HC182" s="344" t="str">
        <f>IF(Table1[[#This Row],[Flushing Actual
(tanggal)]]&lt;&gt;"","Sudah","Belum")</f>
        <v>Sudah</v>
      </c>
      <c r="HD182" s="330">
        <v>45880</v>
      </c>
      <c r="HE182" s="330" t="e">
        <v>#N/A</v>
      </c>
      <c r="HF182" s="330">
        <v>45900</v>
      </c>
      <c r="HG182" s="331">
        <v>45910</v>
      </c>
      <c r="HH18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2" s="330" t="s">
        <v>261</v>
      </c>
      <c r="HJ182" s="330" t="s">
        <v>261</v>
      </c>
      <c r="HK182" s="331"/>
      <c r="HL182" s="316"/>
      <c r="HM182" s="330">
        <v>45919</v>
      </c>
      <c r="HN182" s="330">
        <v>45919</v>
      </c>
      <c r="HO182" s="330" t="e">
        <v>#N/A</v>
      </c>
      <c r="HP182" s="331">
        <v>45924</v>
      </c>
      <c r="HQ18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82" s="330">
        <v>45926</v>
      </c>
      <c r="HS182" s="330"/>
      <c r="HT182" s="330">
        <v>45926</v>
      </c>
      <c r="HU182" s="527"/>
      <c r="HV182" s="331">
        <v>45933</v>
      </c>
      <c r="HW18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82" s="47"/>
      <c r="HY182" s="352"/>
      <c r="HZ182" s="352"/>
      <c r="IB182" s="618">
        <f>IFERROR(ROUND((Table1[[#This Row],[PLAN TC
finish]]-Table1[[#This Row],[PLAN MC-0
start]])/30,2),"")</f>
        <v>2.5299999999999998</v>
      </c>
      <c r="IC182">
        <f>DATEDIF(Table1[[#This Row],[PLAN MC-0
start]],Table1[[#This Row],[PLAN TC
finish]],"m")</f>
        <v>2</v>
      </c>
    </row>
    <row r="183" spans="1:237" s="30" customFormat="1" ht="15" hidden="1" customHeight="1" x14ac:dyDescent="0.2">
      <c r="A183" s="77"/>
      <c r="B183" s="311">
        <f>SUBTOTAL(3,$D$5:D183)</f>
        <v>84</v>
      </c>
      <c r="C183" s="362">
        <v>179</v>
      </c>
      <c r="D183" s="366" t="s">
        <v>244</v>
      </c>
      <c r="E183" s="366" t="s">
        <v>1338</v>
      </c>
      <c r="F183" s="366" t="s">
        <v>1339</v>
      </c>
      <c r="G183" s="364">
        <v>45935</v>
      </c>
      <c r="H183" s="366" t="s">
        <v>681</v>
      </c>
      <c r="I183" s="366" t="s">
        <v>278</v>
      </c>
      <c r="J183" s="385" t="s">
        <v>389</v>
      </c>
      <c r="K183" s="366" t="s">
        <v>1165</v>
      </c>
      <c r="L183" s="367" t="s">
        <v>250</v>
      </c>
      <c r="M183" s="367" t="s">
        <v>269</v>
      </c>
      <c r="N183" s="368">
        <v>70</v>
      </c>
      <c r="O183" s="369" t="s">
        <v>252</v>
      </c>
      <c r="P183"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3" s="370" t="s">
        <v>389</v>
      </c>
      <c r="R183" s="371" t="e">
        <v>#N/A</v>
      </c>
      <c r="S183" s="371">
        <v>1</v>
      </c>
      <c r="T183" s="371">
        <f>Table1[[#This Row],[Progres Total Aktual
(%)]]</f>
        <v>0</v>
      </c>
      <c r="U183" s="372">
        <f>Table1[[#This Row],[Progres Aktual
(%)]]-Table1[[#This Row],[Target Progres
(%)]]</f>
        <v>-1</v>
      </c>
      <c r="V183" s="373">
        <f>Table1[[#This Row],["Volume
BA MC-0"]]</f>
        <v>70</v>
      </c>
      <c r="W183" s="374">
        <f>Table1[[#This Row],[Total Panjang Pipa Aktual
(Sum-&gt;)3]]</f>
        <v>0</v>
      </c>
      <c r="X183" s="47"/>
      <c r="Y183" s="67" t="s">
        <v>1340</v>
      </c>
      <c r="Z183" s="375">
        <v>119572394</v>
      </c>
      <c r="AA183" s="67">
        <f>Table1[[#This Row],[Nilai RAB Jaringan
(file pa aji)]]</f>
        <v>119572394</v>
      </c>
      <c r="AB183" s="370">
        <f>SUM(Table1[[#This Row],[RAB Kegiatan Umum]:[RAB Perizinan]])</f>
        <v>0</v>
      </c>
      <c r="AC183" s="370"/>
      <c r="AD183" s="370"/>
      <c r="AE183" s="370"/>
      <c r="AF183" s="370"/>
      <c r="AG183" s="439">
        <v>24595780</v>
      </c>
      <c r="AH183" s="371" t="e">
        <f>SUM(Table1[[#This Row],[Bobot Keg Umum]:[Bobot Perizinan]])</f>
        <v>#DIV/0!</v>
      </c>
      <c r="AI183" s="371" t="e">
        <f>Table1[[#This Row],[RAB Kegiatan Umum]]/Table1[[#This Row],[Nilai RAB Jaringan
(Exclude Ppn)]]</f>
        <v>#DIV/0!</v>
      </c>
      <c r="AJ183" s="371" t="e">
        <f>Table1[[#This Row],[RAB Pemasangan]]/Table1[[#This Row],[Nilai RAB Jaringan
(Exclude Ppn)]]</f>
        <v>#DIV/0!</v>
      </c>
      <c r="AK183" s="371" t="e">
        <f>Table1[[#This Row],[RAB Pengadaan]]/Table1[[#This Row],[Nilai RAB Jaringan
(Exclude Ppn)]]</f>
        <v>#DIV/0!</v>
      </c>
      <c r="AL183" s="371" t="e">
        <f>Table1[[#This Row],[RAB Perizinan]]/Table1[[#This Row],[Nilai RAB Jaringan
(Exclude Ppn)]]</f>
        <v>#DIV/0!</v>
      </c>
      <c r="AM183" s="47"/>
      <c r="AN183" s="376">
        <v>70</v>
      </c>
      <c r="AO183" s="376">
        <f>SUM(Table1[[#This Row],[Pipa 63 mm]:[Pipa 1,800 mm]])</f>
        <v>0</v>
      </c>
      <c r="AP183" s="376"/>
      <c r="AQ183" s="376"/>
      <c r="AR183" s="376"/>
      <c r="AS183" s="376"/>
      <c r="AT183" s="376"/>
      <c r="AU183" s="376"/>
      <c r="AV183" s="376"/>
      <c r="AW183" s="376"/>
      <c r="AX183" s="376"/>
      <c r="AY183" s="376"/>
      <c r="AZ183" s="376"/>
      <c r="BA183" s="376"/>
      <c r="BB183" s="376"/>
      <c r="BC183" s="376"/>
      <c r="BD183" s="376"/>
      <c r="BE183" s="376"/>
      <c r="BF183" s="376"/>
      <c r="BG183" s="376"/>
      <c r="BH183" s="376"/>
      <c r="BI183" s="376"/>
      <c r="BJ183" s="377">
        <f>SUM(Table1[[#This Row],[Pipa 63 mm2]:[Pipa 1,800 mm21]])</f>
        <v>0</v>
      </c>
      <c r="BK183" s="378"/>
      <c r="BL183" s="378"/>
      <c r="BM183" s="378"/>
      <c r="BN183" s="378"/>
      <c r="BO183" s="378"/>
      <c r="BP183" s="378"/>
      <c r="BQ183" s="378"/>
      <c r="BR183" s="378"/>
      <c r="BS183" s="378"/>
      <c r="BT183" s="378"/>
      <c r="BU183" s="378"/>
      <c r="BV183" s="378"/>
      <c r="BW183" s="378"/>
      <c r="BX183" s="378"/>
      <c r="BY183" s="378"/>
      <c r="BZ183" s="378"/>
      <c r="CA183" s="378"/>
      <c r="CB183" s="378"/>
      <c r="CC183" s="378"/>
      <c r="CD183" s="378"/>
      <c r="CE183" s="378">
        <v>70</v>
      </c>
      <c r="CF183" s="378">
        <v>0</v>
      </c>
      <c r="CG183" s="378">
        <v>0</v>
      </c>
      <c r="CH183" s="378">
        <v>0</v>
      </c>
      <c r="CI183" s="378">
        <f t="shared" si="10"/>
        <v>70</v>
      </c>
      <c r="CJ183" s="378">
        <f>IF((Table1[[#This Row],["Volume
BA MC-0"]]-Table1[[#This Row],[Total Panjang Pipa Aktual
(Sum-&gt;)3]]-Table1[[#This Row],[Total Volume
tidak dapat dipasang]])&gt;=0,Table1[[#This Row],["Volume
BA MC-0"]]-Table1[[#This Row],[Total Panjang Pipa Aktual
(Sum-&gt;)3]]-Table1[[#This Row],[Total Volume
tidak dapat dipasang]],0)</f>
        <v>0</v>
      </c>
      <c r="CK183" s="47"/>
      <c r="CL183" s="379"/>
      <c r="CM183" s="371"/>
      <c r="CN183" s="379"/>
      <c r="CO183" s="379"/>
      <c r="CP18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83" s="380">
        <f>IFERROR(Table1[[#This Row],[Progres Keg. Umum
(%)]]*Table1[[#This Row],[Nilai RAB Jaringan
(file pa aji)]],0)</f>
        <v>0</v>
      </c>
      <c r="CR183" s="380">
        <f>IFERROR(Table1[[#This Row],[Progres MOS
(%)]]*Table1[[#This Row],[Nilai RAB Jaringan
(file pa aji)]],0)</f>
        <v>0</v>
      </c>
      <c r="CS183" s="380">
        <f>IFERROR(Table1[[#This Row],[Progres Pemasangan
(%)]]*Table1[[#This Row],[Nilai RAB Jaringan
(file pa aji)]],0)</f>
        <v>0</v>
      </c>
      <c r="CT183" s="380">
        <f>IFERROR(Table1[[#This Row],[Progres Perizinan
(%)]]*Table1[[#This Row],[Nilai RAB Jaringan
(file pa aji)]],0)</f>
        <v>0</v>
      </c>
      <c r="CU183" s="329">
        <v>0</v>
      </c>
      <c r="CV183" s="329">
        <v>0</v>
      </c>
      <c r="CW183" s="582">
        <v>0</v>
      </c>
      <c r="CX183" s="329">
        <v>0</v>
      </c>
      <c r="CY183" s="47"/>
      <c r="CZ183" s="386">
        <v>45656</v>
      </c>
      <c r="DA183" s="386">
        <v>45669</v>
      </c>
      <c r="DB183" s="331">
        <v>45545</v>
      </c>
      <c r="DC183" s="367" t="s">
        <v>1341</v>
      </c>
      <c r="DD183" s="375">
        <v>118872393</v>
      </c>
      <c r="DE18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3" s="331">
        <v>45424</v>
      </c>
      <c r="DG183" s="367" t="s">
        <v>1342</v>
      </c>
      <c r="DH183" s="375">
        <v>119572394</v>
      </c>
      <c r="DI183"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3" s="386">
        <v>45670</v>
      </c>
      <c r="DK183" s="386">
        <v>45718</v>
      </c>
      <c r="DL183" s="331"/>
      <c r="DM183" s="367"/>
      <c r="DN18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83" s="331"/>
      <c r="DP183" s="367"/>
      <c r="DQ183" s="366"/>
      <c r="DR18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83" s="386">
        <v>45670</v>
      </c>
      <c r="DT183" s="386" t="e">
        <v>#N/A</v>
      </c>
      <c r="DU183" s="386">
        <v>45697</v>
      </c>
      <c r="DV183" s="386" t="e">
        <v>#N/A</v>
      </c>
      <c r="DW183" s="331"/>
      <c r="DX183" s="367">
        <v>0</v>
      </c>
      <c r="DY183" s="382"/>
      <c r="DZ183" s="382"/>
      <c r="EA18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83" s="331"/>
      <c r="EC183" s="332"/>
      <c r="ED183" s="332"/>
      <c r="EE183" s="330"/>
      <c r="EF183" s="371" t="b">
        <v>0</v>
      </c>
      <c r="EG183" s="383" t="b">
        <v>0</v>
      </c>
      <c r="EH183" s="316" t="str">
        <f>IF(Table1[[#This Row],[PO Material Aktual 
(%)]]&gt;=100%,"Selesai PO = 100%",IF(Table1[[#This Row],[PO Material Aktual 
(%)]]&gt;=50%,"Proses PO &gt; 100%",IF(Table1[[#This Row],[PO Material Aktual 
(%)]]&gt;0%,"Proses PO &gt; 50%",IF(Table1[[#This Row],[PO Material Aktual 
(%)]]=0,"Belum PO = 0%"))))</f>
        <v>Selesai PO = 100%</v>
      </c>
      <c r="EI18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83" s="386">
        <v>45698</v>
      </c>
      <c r="EK183" s="386" t="e">
        <v>#N/A</v>
      </c>
      <c r="EL183" s="386">
        <v>45746</v>
      </c>
      <c r="EM183" s="386" t="e">
        <v>#N/A</v>
      </c>
      <c r="EN183" s="331"/>
      <c r="EO183" s="332"/>
      <c r="EP183" s="332"/>
      <c r="EQ183" s="88" t="b">
        <v>0</v>
      </c>
      <c r="ER183" s="88" t="b">
        <v>0</v>
      </c>
      <c r="ES183" s="316" t="str">
        <f>IF(Table1[[#This Row],[Progres MOS]]&gt;=100%,"Selesai MOS = 100%",IF(Table1[[#This Row],[Progres MOS]]&gt;=50%,"Proses MOS &gt; 100%",IF(Table1[[#This Row],[Progres MOS]]&gt;0%,"Proses MOS &gt; 50%",IF(Table1[[#This Row],[Progres MOS]]=0,"Belum MOS = 0%"))))</f>
        <v>Selesai MOS = 100%</v>
      </c>
      <c r="ET18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83" s="47"/>
      <c r="EV183" s="386">
        <v>45670</v>
      </c>
      <c r="EW183" s="386" t="e">
        <v>#N/A</v>
      </c>
      <c r="EX183" s="386">
        <v>45746</v>
      </c>
      <c r="EY183" s="386" t="e">
        <v>#N/A</v>
      </c>
      <c r="EZ183" s="384" t="s">
        <v>298</v>
      </c>
      <c r="FA183" s="385" t="s">
        <v>389</v>
      </c>
      <c r="FB183" s="386"/>
      <c r="FC183" s="330"/>
      <c r="FD183" s="386"/>
      <c r="FE183" s="386"/>
      <c r="FF183" s="386"/>
      <c r="FG183" s="386"/>
      <c r="FH183" s="386"/>
      <c r="FI183" s="386"/>
      <c r="FJ183" s="386"/>
      <c r="FK183" s="386"/>
      <c r="FL183" s="336" t="str">
        <f>Table1[[#This Row],[IPPJU]]</f>
        <v>9.Proses Penerbitan Izin</v>
      </c>
      <c r="FM183" s="336"/>
      <c r="FN183" s="314" t="str">
        <f>IF(Table1[[#This Row],[Tanggal Pengajuan Dokumen]]="","",Table1[[#This Row],[PLAN PERMIT
start]]-Table1[[#This Row],[Tanggal Pengajuan Dokumen]])</f>
        <v/>
      </c>
      <c r="FO183" s="444">
        <v>46086</v>
      </c>
      <c r="FP183" s="316"/>
      <c r="FQ183" s="338"/>
      <c r="FR183" s="338"/>
      <c r="FS183" s="338" t="str">
        <f t="shared" si="9"/>
        <v>On Going</v>
      </c>
      <c r="FT183"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83" s="387">
        <f ca="1">IF(Table1[[#This Row],[Status Izin]]="Selesai",Table1[[#This Row],[PLAN PERMIT
finish]]-Table1[[#This Row],[Tanggal Terbit/ Target Izin Terbit]],ROUNDUP(Table1[[#This Row],[PLAN PERMIT
finish]]-NOW(),0))</f>
        <v>-445</v>
      </c>
      <c r="FV183"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3" s="387"/>
      <c r="FX183" s="47"/>
      <c r="FY183" s="340"/>
      <c r="FZ183" s="341"/>
      <c r="GA18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3" s="386">
        <v>45720</v>
      </c>
      <c r="GC183" s="384"/>
      <c r="GD183"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3" s="386">
        <v>45727</v>
      </c>
      <c r="GF183" s="384"/>
      <c r="GG183"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3" s="386">
        <v>45733</v>
      </c>
      <c r="GI183" s="386">
        <v>45739</v>
      </c>
      <c r="GJ183" s="384"/>
      <c r="GK183"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183" s="386">
        <v>45747</v>
      </c>
      <c r="GM183" s="386" t="e">
        <v>#N/A</v>
      </c>
      <c r="GN183" s="386">
        <v>45760</v>
      </c>
      <c r="GO183" s="386" t="e">
        <v>#N/A</v>
      </c>
      <c r="GP183" s="367"/>
      <c r="GQ183"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3" s="386" t="s">
        <v>261</v>
      </c>
      <c r="GS183" s="386" t="s">
        <v>261</v>
      </c>
      <c r="GT183" s="390"/>
      <c r="GU183" s="387" t="str">
        <f>IF(Table1[[#This Row],[Hydro Tes Actual
(tanggal)]]&lt;&gt;"","Sudah","Belum")</f>
        <v>Belum</v>
      </c>
      <c r="GV183" s="386" t="s">
        <v>261</v>
      </c>
      <c r="GW183" s="386" t="s">
        <v>261</v>
      </c>
      <c r="GX183" s="388"/>
      <c r="GY183" s="344" t="str">
        <f>IF(Table1[[#This Row],[Interkoneksi Actual
(tanggal)]]&lt;&gt;"","Sudah","Belum")</f>
        <v>Belum</v>
      </c>
      <c r="GZ183" s="386" t="s">
        <v>261</v>
      </c>
      <c r="HA183" s="386" t="s">
        <v>261</v>
      </c>
      <c r="HB183" s="388"/>
      <c r="HC183" s="344" t="str">
        <f>IF(Table1[[#This Row],[Flushing Actual
(tanggal)]]&lt;&gt;"","Sudah","Belum")</f>
        <v>Belum</v>
      </c>
      <c r="HD183" s="386">
        <v>45751</v>
      </c>
      <c r="HE183" s="386" t="e">
        <v>#N/A</v>
      </c>
      <c r="HF183" s="386">
        <v>45760</v>
      </c>
      <c r="HG183" s="388"/>
      <c r="HH183"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83" s="386" t="s">
        <v>261</v>
      </c>
      <c r="HJ183" s="386" t="s">
        <v>261</v>
      </c>
      <c r="HK183" s="388"/>
      <c r="HL183" s="367"/>
      <c r="HM183" s="386">
        <v>45772</v>
      </c>
      <c r="HN183" s="386">
        <v>45772</v>
      </c>
      <c r="HO183" s="386" t="e">
        <v>#N/A</v>
      </c>
      <c r="HP183" s="388"/>
      <c r="HQ183"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83" s="386">
        <v>45779</v>
      </c>
      <c r="HS183" s="386"/>
      <c r="HT183" s="386">
        <v>45779</v>
      </c>
      <c r="HU183" s="613"/>
      <c r="HV183" s="388"/>
      <c r="HW183"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83" s="47"/>
      <c r="HY183" s="384"/>
      <c r="HZ183" s="384"/>
      <c r="IB183" s="618">
        <f>IFERROR(ROUND((Table1[[#This Row],[PLAN TC
finish]]-Table1[[#This Row],[PLAN MC-0
start]])/30,2),"")</f>
        <v>0.9</v>
      </c>
      <c r="IC183">
        <f>DATEDIF(Table1[[#This Row],[PLAN MC-0
start]],Table1[[#This Row],[PLAN TC
finish]],"m")</f>
        <v>0</v>
      </c>
    </row>
    <row r="184" spans="1:237" s="4" customFormat="1" ht="15" hidden="1" customHeight="1" x14ac:dyDescent="0.2">
      <c r="B184" s="311">
        <f>SUBTOTAL(3,$D$5:D184)</f>
        <v>84</v>
      </c>
      <c r="C184" s="348">
        <v>180</v>
      </c>
      <c r="D184" s="338" t="s">
        <v>244</v>
      </c>
      <c r="E184" s="338" t="s">
        <v>1343</v>
      </c>
      <c r="F184" s="620" t="s">
        <v>1344</v>
      </c>
      <c r="G184" s="349">
        <v>45935</v>
      </c>
      <c r="H184" s="338" t="s">
        <v>681</v>
      </c>
      <c r="I184" s="338" t="s">
        <v>278</v>
      </c>
      <c r="J184" s="315" t="s">
        <v>882</v>
      </c>
      <c r="K184" s="338" t="s">
        <v>1165</v>
      </c>
      <c r="L184" s="316" t="s">
        <v>1345</v>
      </c>
      <c r="M184" s="316" t="s">
        <v>269</v>
      </c>
      <c r="N184" s="107">
        <v>200</v>
      </c>
      <c r="O184" s="31" t="s">
        <v>1346</v>
      </c>
      <c r="P18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4" s="35" t="e">
        <v>#N/A</v>
      </c>
      <c r="S184" s="35">
        <v>1</v>
      </c>
      <c r="T184" s="35">
        <f>Table1[[#This Row],[Progres Total Aktual
(%)]]</f>
        <v>1</v>
      </c>
      <c r="U184" s="124">
        <f>Table1[[#This Row],[Progres Aktual
(%)]]-Table1[[#This Row],[Target Progres
(%)]]</f>
        <v>0</v>
      </c>
      <c r="V184" s="350">
        <f>Table1[[#This Row],["Volume
BA MC-0"]]</f>
        <v>0</v>
      </c>
      <c r="W184" s="351">
        <f>Table1[[#This Row],[Total Panjang Pipa Aktual
(Sum-&gt;)3]]</f>
        <v>0</v>
      </c>
      <c r="X184" s="47"/>
      <c r="Y184" s="67" t="s">
        <v>1347</v>
      </c>
      <c r="Z184" s="67">
        <v>12434409000</v>
      </c>
      <c r="AA184" s="67">
        <f>Table1[[#This Row],[Nilai RAB Jaringan
(file pa aji)]]</f>
        <v>12434409000</v>
      </c>
      <c r="AB184" s="320">
        <f>SUM(Table1[[#This Row],[RAB Kegiatan Umum]:[RAB Perizinan]])</f>
        <v>0</v>
      </c>
      <c r="AC184" s="320"/>
      <c r="AD184" s="320"/>
      <c r="AE184" s="320"/>
      <c r="AF184" s="320"/>
      <c r="AG184" s="436">
        <v>0</v>
      </c>
      <c r="AH184" s="35" t="e">
        <f>SUM(Table1[[#This Row],[Bobot Keg Umum]:[Bobot Perizinan]])</f>
        <v>#DIV/0!</v>
      </c>
      <c r="AI184" s="35" t="e">
        <f>Table1[[#This Row],[RAB Kegiatan Umum]]/Table1[[#This Row],[Nilai RAB Jaringan
(Exclude Ppn)]]</f>
        <v>#DIV/0!</v>
      </c>
      <c r="AJ184" s="35" t="e">
        <f>Table1[[#This Row],[RAB Pemasangan]]/Table1[[#This Row],[Nilai RAB Jaringan
(Exclude Ppn)]]</f>
        <v>#DIV/0!</v>
      </c>
      <c r="AK184" s="35" t="e">
        <f>Table1[[#This Row],[RAB Pengadaan]]/Table1[[#This Row],[Nilai RAB Jaringan
(Exclude Ppn)]]</f>
        <v>#DIV/0!</v>
      </c>
      <c r="AL184" s="35" t="e">
        <f>Table1[[#This Row],[RAB Perizinan]]/Table1[[#This Row],[Nilai RAB Jaringan
(Exclude Ppn)]]</f>
        <v>#DIV/0!</v>
      </c>
      <c r="AM184" s="47"/>
      <c r="AN184" s="285">
        <v>0</v>
      </c>
      <c r="AO184" s="285">
        <f>SUM(Table1[[#This Row],[Pipa 63 mm]:[Pipa 1,800 mm]])</f>
        <v>0</v>
      </c>
      <c r="AP184" s="285"/>
      <c r="AQ184" s="285"/>
      <c r="AR184" s="285"/>
      <c r="AS184" s="285"/>
      <c r="AT184" s="285"/>
      <c r="AU184" s="285"/>
      <c r="AV184" s="285"/>
      <c r="AW184" s="285"/>
      <c r="AX184" s="285"/>
      <c r="AY184" s="285"/>
      <c r="AZ184" s="285"/>
      <c r="BA184" s="285"/>
      <c r="BB184" s="285"/>
      <c r="BC184" s="285"/>
      <c r="BD184" s="285"/>
      <c r="BE184" s="285"/>
      <c r="BF184" s="285"/>
      <c r="BG184" s="285"/>
      <c r="BH184" s="285"/>
      <c r="BI184" s="285"/>
      <c r="BJ184" s="36">
        <f>SUM(Table1[[#This Row],[Pipa 63 mm2]:[Pipa 1,800 mm21]])</f>
        <v>0</v>
      </c>
      <c r="BK184" s="32"/>
      <c r="BL184" s="32"/>
      <c r="BM184" s="32"/>
      <c r="BN184" s="32"/>
      <c r="BO184" s="32"/>
      <c r="BP184" s="32"/>
      <c r="BQ184" s="32"/>
      <c r="BR184" s="32"/>
      <c r="BS184" s="32"/>
      <c r="BT184" s="32"/>
      <c r="BU184" s="32"/>
      <c r="BV184" s="32"/>
      <c r="BW184" s="32"/>
      <c r="BX184" s="32"/>
      <c r="BY184" s="32"/>
      <c r="BZ184" s="32"/>
      <c r="CA184" s="32"/>
      <c r="CB184" s="32"/>
      <c r="CC184" s="32"/>
      <c r="CD184" s="32"/>
      <c r="CE184" s="32">
        <v>0</v>
      </c>
      <c r="CF184" s="32">
        <v>0</v>
      </c>
      <c r="CG184" s="32">
        <v>0</v>
      </c>
      <c r="CH184" s="32">
        <v>0</v>
      </c>
      <c r="CI184" s="32">
        <f t="shared" si="10"/>
        <v>0</v>
      </c>
      <c r="CJ184" s="65">
        <f>IF((Table1[[#This Row],["Volume
BA MC-0"]]-Table1[[#This Row],[Total Panjang Pipa Aktual
(Sum-&gt;)3]]-Table1[[#This Row],[Total Volume
tidak dapat dipasang]])&gt;=0,Table1[[#This Row],["Volume
BA MC-0"]]-Table1[[#This Row],[Total Panjang Pipa Aktual
(Sum-&gt;)3]]-Table1[[#This Row],[Total Volume
tidak dapat dipasang]],0)</f>
        <v>0</v>
      </c>
      <c r="CK184" s="47"/>
      <c r="CL184" s="131"/>
      <c r="CM184" s="35"/>
      <c r="CN184" s="131"/>
      <c r="CO184" s="131"/>
      <c r="CP18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4" s="66">
        <f>IFERROR(Table1[[#This Row],[Progres Keg. Umum
(%)]]*Table1[[#This Row],[Nilai RAB Jaringan
(file pa aji)]],0)</f>
        <v>0</v>
      </c>
      <c r="CR184" s="66">
        <f>IFERROR(Table1[[#This Row],[Progres MOS
(%)]]*Table1[[#This Row],[Nilai RAB Jaringan
(file pa aji)]],0)</f>
        <v>0</v>
      </c>
      <c r="CS184" s="66">
        <f>IFERROR(Table1[[#This Row],[Progres Pemasangan
(%)]]*Table1[[#This Row],[Nilai RAB Jaringan
(file pa aji)]],0)</f>
        <v>0</v>
      </c>
      <c r="CT184" s="66">
        <f>IFERROR(Table1[[#This Row],[Progres Perizinan
(%)]]*Table1[[#This Row],[Nilai RAB Jaringan
(file pa aji)]],0)</f>
        <v>0</v>
      </c>
      <c r="CU184" s="329">
        <v>13065461196</v>
      </c>
      <c r="CV184" s="329">
        <v>13065461196</v>
      </c>
      <c r="CW184" s="583">
        <v>13065461196</v>
      </c>
      <c r="CX184" s="329">
        <v>13065461196</v>
      </c>
      <c r="CY184" s="47"/>
      <c r="CZ184" s="330">
        <v>45656</v>
      </c>
      <c r="DA184" s="330">
        <v>45683</v>
      </c>
      <c r="DB184" s="331">
        <v>45611</v>
      </c>
      <c r="DC184" s="316" t="s">
        <v>1348</v>
      </c>
      <c r="DD184" s="67">
        <v>12434409000</v>
      </c>
      <c r="DE18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4" s="331">
        <v>45624</v>
      </c>
      <c r="DG184" s="316" t="s">
        <v>1349</v>
      </c>
      <c r="DH184" s="67">
        <v>12434409000</v>
      </c>
      <c r="DI18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4" s="330">
        <v>45684</v>
      </c>
      <c r="DK184" s="330">
        <v>45725</v>
      </c>
      <c r="DL184" s="331">
        <v>45758</v>
      </c>
      <c r="DM184" s="316" t="s">
        <v>1350</v>
      </c>
      <c r="DN18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84" s="331">
        <v>45786</v>
      </c>
      <c r="DP184" s="316" t="s">
        <v>1351</v>
      </c>
      <c r="DQ184" s="338" t="s">
        <v>1352</v>
      </c>
      <c r="DR18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4" s="330">
        <v>45684</v>
      </c>
      <c r="DT184" s="330" t="e">
        <v>#N/A</v>
      </c>
      <c r="DU184" s="330">
        <v>45725</v>
      </c>
      <c r="DV184" s="330" t="e">
        <v>#N/A</v>
      </c>
      <c r="DW184" s="331">
        <v>45758</v>
      </c>
      <c r="DX184" s="316" t="s">
        <v>1350</v>
      </c>
      <c r="DY184" s="334"/>
      <c r="DZ184" s="334"/>
      <c r="EA18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4" s="331">
        <v>46098</v>
      </c>
      <c r="EC184" s="332"/>
      <c r="ED184" s="332"/>
      <c r="EE184" s="330" t="s">
        <v>1353</v>
      </c>
      <c r="EF184" s="35">
        <v>1</v>
      </c>
      <c r="EG184" s="337">
        <v>1</v>
      </c>
      <c r="EH184" s="316" t="str">
        <f>IF(Table1[[#This Row],[PO Material Aktual 
(%)]]&gt;=100%,"Selesai PO = 100%",IF(Table1[[#This Row],[PO Material Aktual 
(%)]]&gt;=50%,"Proses PO &gt; 100%",IF(Table1[[#This Row],[PO Material Aktual 
(%)]]&gt;0%,"Proses PO &gt; 50%",IF(Table1[[#This Row],[PO Material Aktual 
(%)]]=0,"Belum PO = 0%"))))</f>
        <v>Selesai PO = 100%</v>
      </c>
      <c r="EI18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4" s="330">
        <v>45726</v>
      </c>
      <c r="EK184" s="330" t="e">
        <v>#N/A</v>
      </c>
      <c r="EL184" s="330">
        <v>45837</v>
      </c>
      <c r="EM184" s="330" t="e">
        <v>#N/A</v>
      </c>
      <c r="EN184" s="331">
        <v>46111</v>
      </c>
      <c r="EO184" s="332"/>
      <c r="EP184" s="332"/>
      <c r="EQ184" s="87">
        <v>1</v>
      </c>
      <c r="ER184" s="87">
        <v>1</v>
      </c>
      <c r="ES184" s="316" t="str">
        <f>IF(Table1[[#This Row],[Progres MOS]]&gt;=100%,"Selesai MOS = 100%",IF(Table1[[#This Row],[Progres MOS]]&gt;=50%,"Proses MOS &gt; 100%",IF(Table1[[#This Row],[Progres MOS]]&gt;0%,"Proses MOS &gt; 50%",IF(Table1[[#This Row],[Progres MOS]]=0,"Belum MOS = 0%"))))</f>
        <v>Selesai MOS = 100%</v>
      </c>
      <c r="ET18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4" s="47"/>
      <c r="EV184" s="330">
        <v>45684</v>
      </c>
      <c r="EW184" s="330" t="e">
        <v>#N/A</v>
      </c>
      <c r="EX184" s="330">
        <v>45781</v>
      </c>
      <c r="EY184" s="330" t="e">
        <v>#N/A</v>
      </c>
      <c r="EZ184" s="352" t="s">
        <v>259</v>
      </c>
      <c r="FA184" s="336" t="s">
        <v>259</v>
      </c>
      <c r="FB184" s="330" t="s">
        <v>260</v>
      </c>
      <c r="FC184" s="330" t="s">
        <v>282</v>
      </c>
      <c r="FD184" s="330" t="s">
        <v>260</v>
      </c>
      <c r="FE184" s="330" t="s">
        <v>282</v>
      </c>
      <c r="FF184" s="330" t="s">
        <v>282</v>
      </c>
      <c r="FG184" s="330" t="s">
        <v>260</v>
      </c>
      <c r="FH184" s="330" t="s">
        <v>260</v>
      </c>
      <c r="FI184" s="330" t="s">
        <v>282</v>
      </c>
      <c r="FJ184" s="330" t="s">
        <v>260</v>
      </c>
      <c r="FK184" s="330" t="s">
        <v>283</v>
      </c>
      <c r="FL184" s="336" t="s">
        <v>259</v>
      </c>
      <c r="FM184" s="352" t="s">
        <v>282</v>
      </c>
      <c r="FN184" s="338" t="e">
        <f>IF(Table1[[#This Row],[Tanggal Pengajuan Dokumen]]="","",Table1[[#This Row],[PLAN PERMIT
start]]-Table1[[#This Row],[Tanggal Pengajuan Dokumen]])</f>
        <v>#VALUE!</v>
      </c>
      <c r="FO184" s="437">
        <v>45188</v>
      </c>
      <c r="FP184" s="316"/>
      <c r="FQ184" s="338"/>
      <c r="FR184" s="338"/>
      <c r="FS184" s="338" t="str">
        <f t="shared" si="9"/>
        <v>Sudah Terbit</v>
      </c>
      <c r="FT18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4" s="344">
        <f ca="1">IF(Table1[[#This Row],[Status Izin]]="Selesai",Table1[[#This Row],[PLAN PERMIT
finish]]-Table1[[#This Row],[Tanggal Terbit/ Target Izin Terbit]],ROUNDUP(Table1[[#This Row],[PLAN PERMIT
finish]]-NOW(),0))</f>
        <v>593</v>
      </c>
      <c r="FV18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84" s="344"/>
      <c r="FX184" s="47"/>
      <c r="FY184" s="340"/>
      <c r="FZ184" s="341"/>
      <c r="GA18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4" s="330">
        <v>45755</v>
      </c>
      <c r="GC184" s="352">
        <v>45798</v>
      </c>
      <c r="GD18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4" s="330">
        <v>45762</v>
      </c>
      <c r="GF184" s="352">
        <v>45810</v>
      </c>
      <c r="GG18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4" s="330">
        <v>45768</v>
      </c>
      <c r="GI184" s="330">
        <v>45774</v>
      </c>
      <c r="GJ184" s="352">
        <v>45803</v>
      </c>
      <c r="GK18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84" s="330">
        <v>45782</v>
      </c>
      <c r="GM184" s="330" t="e">
        <v>#N/A</v>
      </c>
      <c r="GN184" s="330">
        <v>45907</v>
      </c>
      <c r="GO184" s="330" t="e">
        <v>#N/A</v>
      </c>
      <c r="GP184" s="316"/>
      <c r="GQ18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4" s="330" t="s">
        <v>261</v>
      </c>
      <c r="GS184" s="330" t="s">
        <v>261</v>
      </c>
      <c r="GT184" s="354" t="s">
        <v>1266</v>
      </c>
      <c r="GU184" s="344" t="str">
        <f>IF(Table1[[#This Row],[Hydro Tes Actual
(tanggal)]]&lt;&gt;"","Sudah","Belum")</f>
        <v>Sudah</v>
      </c>
      <c r="GV184" s="330" t="s">
        <v>261</v>
      </c>
      <c r="GW184" s="330" t="s">
        <v>261</v>
      </c>
      <c r="GX184" s="395" t="s">
        <v>1354</v>
      </c>
      <c r="GY184" s="344" t="str">
        <f>IF(Table1[[#This Row],[Interkoneksi Actual
(tanggal)]]&lt;&gt;"","Sudah","Belum")</f>
        <v>Sudah</v>
      </c>
      <c r="GZ184" s="330" t="s">
        <v>261</v>
      </c>
      <c r="HA184" s="330" t="s">
        <v>261</v>
      </c>
      <c r="HB184" s="331" t="s">
        <v>1266</v>
      </c>
      <c r="HC184" s="344" t="str">
        <f>IF(Table1[[#This Row],[Flushing Actual
(tanggal)]]&lt;&gt;"","Sudah","Belum")</f>
        <v>Sudah</v>
      </c>
      <c r="HD184" s="330">
        <v>45880</v>
      </c>
      <c r="HE184" s="330" t="e">
        <v>#N/A</v>
      </c>
      <c r="HF184" s="330">
        <v>45900</v>
      </c>
      <c r="HG184" s="331">
        <v>46008</v>
      </c>
      <c r="HH18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4" s="330" t="s">
        <v>261</v>
      </c>
      <c r="HJ184" s="330" t="s">
        <v>261</v>
      </c>
      <c r="HK184" s="331"/>
      <c r="HL184" s="316"/>
      <c r="HM184" s="330">
        <v>45919</v>
      </c>
      <c r="HN184" s="330">
        <v>45919</v>
      </c>
      <c r="HO184" s="330" t="e">
        <v>#N/A</v>
      </c>
      <c r="HP184" s="331">
        <v>46013</v>
      </c>
      <c r="HQ18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84" s="330">
        <v>45926</v>
      </c>
      <c r="HS184" s="330"/>
      <c r="HT184" s="330">
        <v>45926</v>
      </c>
      <c r="HU184" s="527"/>
      <c r="HV184" s="331">
        <v>46024</v>
      </c>
      <c r="HW18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84" s="47"/>
      <c r="HY184" s="352"/>
      <c r="HZ184" s="352"/>
      <c r="IB184" s="618">
        <f>IFERROR(ROUND((Table1[[#This Row],[PLAN TC
finish]]-Table1[[#This Row],[PLAN MC-0
start]])/30,2),"")</f>
        <v>4.4000000000000004</v>
      </c>
      <c r="IC184">
        <f>DATEDIF(Table1[[#This Row],[PLAN MC-0
start]],Table1[[#This Row],[PLAN TC
finish]],"m")</f>
        <v>4</v>
      </c>
    </row>
    <row r="185" spans="1:237" s="4" customFormat="1" ht="15" hidden="1" customHeight="1" x14ac:dyDescent="0.2">
      <c r="B185" s="311">
        <f>SUBTOTAL(3,$D$5:D185)</f>
        <v>84</v>
      </c>
      <c r="C185" s="348">
        <v>181</v>
      </c>
      <c r="D185" s="338" t="s">
        <v>244</v>
      </c>
      <c r="E185" s="338" t="s">
        <v>1355</v>
      </c>
      <c r="F185" s="338" t="s">
        <v>1356</v>
      </c>
      <c r="G185" s="349">
        <v>45935</v>
      </c>
      <c r="H185" s="338" t="s">
        <v>681</v>
      </c>
      <c r="I185" s="338" t="s">
        <v>278</v>
      </c>
      <c r="J185" s="315"/>
      <c r="K185" s="338" t="s">
        <v>1165</v>
      </c>
      <c r="L185" s="316" t="s">
        <v>250</v>
      </c>
      <c r="M185" s="316" t="s">
        <v>269</v>
      </c>
      <c r="N185" s="107">
        <v>265</v>
      </c>
      <c r="O185" s="31" t="s">
        <v>252</v>
      </c>
      <c r="P18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5" s="35" t="e">
        <v>#N/A</v>
      </c>
      <c r="S185" s="35">
        <v>1</v>
      </c>
      <c r="T185" s="35">
        <f>Table1[[#This Row],[Progres Total Aktual
(%)]]</f>
        <v>1</v>
      </c>
      <c r="U185" s="124">
        <f>Table1[[#This Row],[Progres Aktual
(%)]]-Table1[[#This Row],[Target Progres
(%)]]</f>
        <v>0</v>
      </c>
      <c r="V185" s="350">
        <f>Table1[[#This Row],["Volume
BA MC-0"]]</f>
        <v>265</v>
      </c>
      <c r="W185" s="351">
        <f>Table1[[#This Row],[Total Panjang Pipa Aktual
(Sum-&gt;)3]]</f>
        <v>214</v>
      </c>
      <c r="X185" s="47"/>
      <c r="Y185" s="67" t="s">
        <v>1357</v>
      </c>
      <c r="Z185" s="67">
        <v>485531956</v>
      </c>
      <c r="AA185" s="67">
        <f>Table1[[#This Row],[Nilai RAB Jaringan
(file pa aji)]]</f>
        <v>485531956</v>
      </c>
      <c r="AB185" s="320">
        <f>SUM(Table1[[#This Row],[RAB Kegiatan Umum]:[RAB Perizinan]])</f>
        <v>0</v>
      </c>
      <c r="AC185" s="320"/>
      <c r="AD185" s="320"/>
      <c r="AE185" s="320"/>
      <c r="AF185" s="320"/>
      <c r="AG185" s="436">
        <v>179098284</v>
      </c>
      <c r="AH185" s="35" t="e">
        <f>SUM(Table1[[#This Row],[Bobot Keg Umum]:[Bobot Perizinan]])</f>
        <v>#DIV/0!</v>
      </c>
      <c r="AI185" s="35" t="e">
        <f>Table1[[#This Row],[RAB Kegiatan Umum]]/Table1[[#This Row],[Nilai RAB Jaringan
(Exclude Ppn)]]</f>
        <v>#DIV/0!</v>
      </c>
      <c r="AJ185" s="35" t="e">
        <f>Table1[[#This Row],[RAB Pemasangan]]/Table1[[#This Row],[Nilai RAB Jaringan
(Exclude Ppn)]]</f>
        <v>#DIV/0!</v>
      </c>
      <c r="AK185" s="35" t="e">
        <f>Table1[[#This Row],[RAB Pengadaan]]/Table1[[#This Row],[Nilai RAB Jaringan
(Exclude Ppn)]]</f>
        <v>#DIV/0!</v>
      </c>
      <c r="AL185" s="35" t="e">
        <f>Table1[[#This Row],[RAB Perizinan]]/Table1[[#This Row],[Nilai RAB Jaringan
(Exclude Ppn)]]</f>
        <v>#DIV/0!</v>
      </c>
      <c r="AM185" s="47"/>
      <c r="AN185" s="285">
        <v>265</v>
      </c>
      <c r="AO185" s="285">
        <f>SUM(Table1[[#This Row],[Pipa 63 mm]:[Pipa 1,800 mm]])</f>
        <v>0</v>
      </c>
      <c r="AP185" s="285"/>
      <c r="AQ185" s="285"/>
      <c r="AR185" s="285"/>
      <c r="AS185" s="285"/>
      <c r="AT185" s="285"/>
      <c r="AU185" s="285"/>
      <c r="AV185" s="285"/>
      <c r="AW185" s="285"/>
      <c r="AX185" s="285"/>
      <c r="AY185" s="285"/>
      <c r="AZ185" s="285"/>
      <c r="BA185" s="285"/>
      <c r="BB185" s="285"/>
      <c r="BC185" s="285"/>
      <c r="BD185" s="285"/>
      <c r="BE185" s="285"/>
      <c r="BF185" s="285"/>
      <c r="BG185" s="285"/>
      <c r="BH185" s="285"/>
      <c r="BI185" s="285"/>
      <c r="BJ185" s="36">
        <f>SUM(Table1[[#This Row],[Pipa 63 mm2]:[Pipa 1,800 mm21]])</f>
        <v>214</v>
      </c>
      <c r="BK185" s="32">
        <v>214</v>
      </c>
      <c r="BL185" s="32"/>
      <c r="BM185" s="32"/>
      <c r="BN185" s="32"/>
      <c r="BO185" s="32"/>
      <c r="BP185" s="32"/>
      <c r="BQ185" s="32"/>
      <c r="BR185" s="32"/>
      <c r="BS185" s="32"/>
      <c r="BT185" s="32"/>
      <c r="BU185" s="32"/>
      <c r="BV185" s="32"/>
      <c r="BW185" s="32"/>
      <c r="BX185" s="32"/>
      <c r="BY185" s="32"/>
      <c r="BZ185" s="32"/>
      <c r="CA185" s="32"/>
      <c r="CB185" s="32"/>
      <c r="CC185" s="32"/>
      <c r="CD185" s="32"/>
      <c r="CE185" s="32">
        <v>0</v>
      </c>
      <c r="CF185" s="32">
        <v>0</v>
      </c>
      <c r="CG185" s="32">
        <v>0</v>
      </c>
      <c r="CH185" s="32">
        <v>0</v>
      </c>
      <c r="CI185" s="32">
        <f t="shared" si="10"/>
        <v>0</v>
      </c>
      <c r="CJ185" s="65">
        <f>IF((Table1[[#This Row],["Volume
BA MC-0"]]-Table1[[#This Row],[Total Panjang Pipa Aktual
(Sum-&gt;)3]]-Table1[[#This Row],[Total Volume
tidak dapat dipasang]])&gt;=0,Table1[[#This Row],["Volume
BA MC-0"]]-Table1[[#This Row],[Total Panjang Pipa Aktual
(Sum-&gt;)3]]-Table1[[#This Row],[Total Volume
tidak dapat dipasang]],0)</f>
        <v>51</v>
      </c>
      <c r="CK185" s="47"/>
      <c r="CL185" s="131"/>
      <c r="CM185" s="35"/>
      <c r="CN185" s="131"/>
      <c r="CO185" s="131"/>
      <c r="CP18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5" s="66">
        <f>IFERROR(Table1[[#This Row],[Progres Keg. Umum
(%)]]*Table1[[#This Row],[Nilai RAB Jaringan
(file pa aji)]],0)</f>
        <v>0</v>
      </c>
      <c r="CR185" s="66">
        <f>IFERROR(Table1[[#This Row],[Progres MOS
(%)]]*Table1[[#This Row],[Nilai RAB Jaringan
(file pa aji)]],0)</f>
        <v>0</v>
      </c>
      <c r="CS185" s="66">
        <f>IFERROR(Table1[[#This Row],[Progres Pemasangan
(%)]]*Table1[[#This Row],[Nilai RAB Jaringan
(file pa aji)]],0)</f>
        <v>0</v>
      </c>
      <c r="CT185" s="66">
        <f>IFERROR(Table1[[#This Row],[Progres Perizinan
(%)]]*Table1[[#This Row],[Nilai RAB Jaringan
(file pa aji)]],0)</f>
        <v>0</v>
      </c>
      <c r="CU185" s="329">
        <v>452816633</v>
      </c>
      <c r="CV185" s="329">
        <v>452816633</v>
      </c>
      <c r="CW185" s="583">
        <v>452816633</v>
      </c>
      <c r="CX185" s="329">
        <v>452816633</v>
      </c>
      <c r="CY185" s="47"/>
      <c r="CZ185" s="330">
        <v>45719</v>
      </c>
      <c r="DA185" s="330">
        <v>45746</v>
      </c>
      <c r="DB185" s="331">
        <v>45717</v>
      </c>
      <c r="DC185" s="316" t="s">
        <v>1358</v>
      </c>
      <c r="DD185" s="67">
        <v>485531957</v>
      </c>
      <c r="DE18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5" s="331">
        <v>45726</v>
      </c>
      <c r="DG185" s="316" t="s">
        <v>1359</v>
      </c>
      <c r="DH185" s="67">
        <v>485531957</v>
      </c>
      <c r="DI18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5" s="330">
        <v>45747</v>
      </c>
      <c r="DK185" s="330">
        <v>45788</v>
      </c>
      <c r="DL185" s="331">
        <v>45771</v>
      </c>
      <c r="DM185" s="316" t="s">
        <v>1360</v>
      </c>
      <c r="DN18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5" s="331">
        <v>45776</v>
      </c>
      <c r="DP185" s="316" t="s">
        <v>1361</v>
      </c>
      <c r="DQ185" s="338" t="s">
        <v>479</v>
      </c>
      <c r="DR18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5" s="330">
        <v>45747</v>
      </c>
      <c r="DT185" s="330" t="e">
        <v>#N/A</v>
      </c>
      <c r="DU185" s="330">
        <v>45788</v>
      </c>
      <c r="DV185" s="330" t="e">
        <v>#N/A</v>
      </c>
      <c r="DW185" s="331">
        <v>45771</v>
      </c>
      <c r="DX185" s="316" t="s">
        <v>1362</v>
      </c>
      <c r="DY185" s="334"/>
      <c r="DZ185" s="334"/>
      <c r="EA18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5" s="331">
        <v>46037</v>
      </c>
      <c r="EC185" s="332"/>
      <c r="ED185" s="332"/>
      <c r="EE185" s="330" t="s">
        <v>1363</v>
      </c>
      <c r="EF185" s="35">
        <v>1</v>
      </c>
      <c r="EG185" s="337">
        <v>1</v>
      </c>
      <c r="EH185" s="316" t="str">
        <f>IF(Table1[[#This Row],[PO Material Aktual 
(%)]]&gt;=100%,"Selesai PO = 100%",IF(Table1[[#This Row],[PO Material Aktual 
(%)]]&gt;=50%,"Proses PO &gt; 100%",IF(Table1[[#This Row],[PO Material Aktual 
(%)]]&gt;0%,"Proses PO &gt; 50%",IF(Table1[[#This Row],[PO Material Aktual 
(%)]]=0,"Belum PO = 0%"))))</f>
        <v>Selesai PO = 100%</v>
      </c>
      <c r="EI18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5" s="330">
        <v>45789</v>
      </c>
      <c r="EK185" s="330" t="e">
        <v>#N/A</v>
      </c>
      <c r="EL185" s="330">
        <v>45816</v>
      </c>
      <c r="EM185" s="330" t="e">
        <v>#N/A</v>
      </c>
      <c r="EN185" s="331">
        <v>46156</v>
      </c>
      <c r="EO185" s="332"/>
      <c r="EP185" s="332"/>
      <c r="EQ185" s="87">
        <v>1</v>
      </c>
      <c r="ER185" s="87">
        <v>1</v>
      </c>
      <c r="ES185" s="316" t="str">
        <f>IF(Table1[[#This Row],[Progres MOS]]&gt;=100%,"Selesai MOS = 100%",IF(Table1[[#This Row],[Progres MOS]]&gt;=50%,"Proses MOS &gt; 100%",IF(Table1[[#This Row],[Progres MOS]]&gt;0%,"Proses MOS &gt; 50%",IF(Table1[[#This Row],[Progres MOS]]=0,"Belum MOS = 0%"))))</f>
        <v>Selesai MOS = 100%</v>
      </c>
      <c r="ET18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5" s="47"/>
      <c r="EV185" s="330">
        <v>45747</v>
      </c>
      <c r="EW185" s="330" t="e">
        <v>#N/A</v>
      </c>
      <c r="EX185" s="330">
        <v>45802</v>
      </c>
      <c r="EY185" s="330" t="e">
        <v>#N/A</v>
      </c>
      <c r="EZ185" s="352" t="s">
        <v>259</v>
      </c>
      <c r="FA185" s="336" t="s">
        <v>259</v>
      </c>
      <c r="FB185" s="330" t="s">
        <v>260</v>
      </c>
      <c r="FC185" s="330" t="s">
        <v>282</v>
      </c>
      <c r="FD185" s="330" t="s">
        <v>282</v>
      </c>
      <c r="FE185" s="330" t="s">
        <v>282</v>
      </c>
      <c r="FF185" s="330" t="s">
        <v>282</v>
      </c>
      <c r="FG185" s="330" t="s">
        <v>282</v>
      </c>
      <c r="FH185" s="330" t="s">
        <v>282</v>
      </c>
      <c r="FI185" s="330" t="s">
        <v>282</v>
      </c>
      <c r="FJ185" s="330" t="s">
        <v>282</v>
      </c>
      <c r="FK185" s="330" t="s">
        <v>283</v>
      </c>
      <c r="FL185" s="336" t="s">
        <v>259</v>
      </c>
      <c r="FM185" s="352" t="s">
        <v>282</v>
      </c>
      <c r="FN185" s="338" t="e">
        <f>IF(Table1[[#This Row],[Tanggal Pengajuan Dokumen]]="","",Table1[[#This Row],[PLAN PERMIT
start]]-Table1[[#This Row],[Tanggal Pengajuan Dokumen]])</f>
        <v>#VALUE!</v>
      </c>
      <c r="FO185" s="437">
        <v>45188</v>
      </c>
      <c r="FP185" s="316"/>
      <c r="FQ185" s="338"/>
      <c r="FR185" s="338"/>
      <c r="FS185" s="338" t="str">
        <f t="shared" si="9"/>
        <v>Sudah Terbit</v>
      </c>
      <c r="FT18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5" s="344">
        <f ca="1">IF(Table1[[#This Row],[Status Izin]]="Selesai",Table1[[#This Row],[PLAN PERMIT
finish]]-Table1[[#This Row],[Tanggal Terbit/ Target Izin Terbit]],ROUNDUP(Table1[[#This Row],[PLAN PERMIT
finish]]-NOW(),0))</f>
        <v>614</v>
      </c>
      <c r="FV18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85" s="344"/>
      <c r="FX185" s="47"/>
      <c r="FY185" s="340"/>
      <c r="FZ185" s="341"/>
      <c r="GA18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5" s="330">
        <v>45795</v>
      </c>
      <c r="GC185" s="352"/>
      <c r="GD18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5" s="330">
        <v>45795</v>
      </c>
      <c r="GF185" s="352"/>
      <c r="GG18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5" s="330">
        <v>45789</v>
      </c>
      <c r="GI185" s="330">
        <v>45795</v>
      </c>
      <c r="GJ185" s="352">
        <v>45726</v>
      </c>
      <c r="GK18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5" s="330">
        <v>45803</v>
      </c>
      <c r="GM185" s="330" t="e">
        <v>#N/A</v>
      </c>
      <c r="GN185" s="330">
        <v>45823</v>
      </c>
      <c r="GO185" s="330" t="e">
        <v>#N/A</v>
      </c>
      <c r="GP185" s="316"/>
      <c r="GQ18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5" s="330" t="s">
        <v>261</v>
      </c>
      <c r="GS185" s="330" t="s">
        <v>261</v>
      </c>
      <c r="GT185" s="354" t="s">
        <v>1364</v>
      </c>
      <c r="GU185" s="344" t="str">
        <f>IF(Table1[[#This Row],[Hydro Tes Actual
(tanggal)]]&lt;&gt;"","Sudah","Belum")</f>
        <v>Sudah</v>
      </c>
      <c r="GV185" s="330" t="s">
        <v>261</v>
      </c>
      <c r="GW185" s="330" t="s">
        <v>261</v>
      </c>
      <c r="GX185" s="395" t="s">
        <v>1365</v>
      </c>
      <c r="GY185" s="344" t="str">
        <f>IF(Table1[[#This Row],[Interkoneksi Actual
(tanggal)]]&lt;&gt;"","Sudah","Belum")</f>
        <v>Sudah</v>
      </c>
      <c r="GZ185" s="330" t="s">
        <v>261</v>
      </c>
      <c r="HA185" s="330" t="s">
        <v>261</v>
      </c>
      <c r="HB185" s="331">
        <v>45755</v>
      </c>
      <c r="HC185" s="344" t="str">
        <f>IF(Table1[[#This Row],[Flushing Actual
(tanggal)]]&lt;&gt;"","Sudah","Belum")</f>
        <v>Sudah</v>
      </c>
      <c r="HD185" s="330">
        <v>45821</v>
      </c>
      <c r="HE185" s="330" t="e">
        <v>#N/A</v>
      </c>
      <c r="HF185" s="330">
        <v>45830</v>
      </c>
      <c r="HG185" s="331">
        <v>45800</v>
      </c>
      <c r="HH18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5" s="330" t="s">
        <v>261</v>
      </c>
      <c r="HJ185" s="330" t="s">
        <v>261</v>
      </c>
      <c r="HK185" s="331"/>
      <c r="HL185" s="316"/>
      <c r="HM185" s="330">
        <v>45835</v>
      </c>
      <c r="HN185" s="330">
        <v>45835</v>
      </c>
      <c r="HO185" s="330" t="e">
        <v>#N/A</v>
      </c>
      <c r="HP185" s="331">
        <v>45800</v>
      </c>
      <c r="HQ18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185" s="330">
        <v>45842</v>
      </c>
      <c r="HS185" s="330"/>
      <c r="HT185" s="330">
        <v>45842</v>
      </c>
      <c r="HU185" s="527"/>
      <c r="HV185" s="331">
        <v>45930</v>
      </c>
      <c r="HW18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85" s="47"/>
      <c r="HY185" s="352"/>
      <c r="HZ185" s="352"/>
      <c r="IB185" s="618">
        <f>IFERROR(ROUND((Table1[[#This Row],[PLAN TC
finish]]-Table1[[#This Row],[PLAN MC-0
start]])/30,2),"")</f>
        <v>1.37</v>
      </c>
      <c r="IC185">
        <f>DATEDIF(Table1[[#This Row],[PLAN MC-0
start]],Table1[[#This Row],[PLAN TC
finish]],"m")</f>
        <v>1</v>
      </c>
    </row>
    <row r="186" spans="1:237" s="4" customFormat="1" ht="15" hidden="1" customHeight="1" x14ac:dyDescent="0.2">
      <c r="B186" s="311">
        <f>SUBTOTAL(3,$D$5:D186)</f>
        <v>84</v>
      </c>
      <c r="C186" s="348">
        <v>182</v>
      </c>
      <c r="D186" s="338" t="s">
        <v>244</v>
      </c>
      <c r="E186" s="338" t="s">
        <v>1366</v>
      </c>
      <c r="F186" s="338" t="s">
        <v>1367</v>
      </c>
      <c r="G186" s="349">
        <v>45935</v>
      </c>
      <c r="H186" s="338" t="s">
        <v>681</v>
      </c>
      <c r="I186" s="338" t="s">
        <v>278</v>
      </c>
      <c r="J186" s="315"/>
      <c r="K186" s="338" t="s">
        <v>1165</v>
      </c>
      <c r="L186" s="316" t="s">
        <v>250</v>
      </c>
      <c r="M186" s="316" t="s">
        <v>269</v>
      </c>
      <c r="N186" s="107">
        <v>97</v>
      </c>
      <c r="O186" s="31" t="s">
        <v>252</v>
      </c>
      <c r="P18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6" s="35" t="e">
        <v>#N/A</v>
      </c>
      <c r="S186" s="35">
        <v>1</v>
      </c>
      <c r="T186" s="35">
        <f>Table1[[#This Row],[Progres Total Aktual
(%)]]</f>
        <v>1</v>
      </c>
      <c r="U186" s="124">
        <f>Table1[[#This Row],[Progres Aktual
(%)]]-Table1[[#This Row],[Target Progres
(%)]]</f>
        <v>0</v>
      </c>
      <c r="V186" s="350">
        <f>Table1[[#This Row],["Volume
BA MC-0"]]</f>
        <v>97</v>
      </c>
      <c r="W186" s="351">
        <f>Table1[[#This Row],[Total Panjang Pipa Aktual
(Sum-&gt;)3]]</f>
        <v>92</v>
      </c>
      <c r="X186" s="47"/>
      <c r="Y186" s="67" t="s">
        <v>1368</v>
      </c>
      <c r="Z186" s="67">
        <v>819928155</v>
      </c>
      <c r="AA186" s="67">
        <f>Table1[[#This Row],[Nilai RAB Jaringan
(file pa aji)]]</f>
        <v>819928155</v>
      </c>
      <c r="AB186" s="320">
        <f>SUM(Table1[[#This Row],[RAB Kegiatan Umum]:[RAB Perizinan]])</f>
        <v>0</v>
      </c>
      <c r="AC186" s="320"/>
      <c r="AD186" s="320"/>
      <c r="AE186" s="320"/>
      <c r="AF186" s="320"/>
      <c r="AG186" s="436">
        <v>2107039</v>
      </c>
      <c r="AH186" s="35" t="e">
        <f>SUM(Table1[[#This Row],[Bobot Keg Umum]:[Bobot Perizinan]])</f>
        <v>#DIV/0!</v>
      </c>
      <c r="AI186" s="35" t="e">
        <f>Table1[[#This Row],[RAB Kegiatan Umum]]/Table1[[#This Row],[Nilai RAB Jaringan
(Exclude Ppn)]]</f>
        <v>#DIV/0!</v>
      </c>
      <c r="AJ186" s="35" t="e">
        <f>Table1[[#This Row],[RAB Pemasangan]]/Table1[[#This Row],[Nilai RAB Jaringan
(Exclude Ppn)]]</f>
        <v>#DIV/0!</v>
      </c>
      <c r="AK186" s="35" t="e">
        <f>Table1[[#This Row],[RAB Pengadaan]]/Table1[[#This Row],[Nilai RAB Jaringan
(Exclude Ppn)]]</f>
        <v>#DIV/0!</v>
      </c>
      <c r="AL186" s="35" t="e">
        <f>Table1[[#This Row],[RAB Perizinan]]/Table1[[#This Row],[Nilai RAB Jaringan
(Exclude Ppn)]]</f>
        <v>#DIV/0!</v>
      </c>
      <c r="AM186" s="47"/>
      <c r="AN186" s="285">
        <v>97</v>
      </c>
      <c r="AO186" s="285">
        <f>SUM(Table1[[#This Row],[Pipa 63 mm]:[Pipa 1,800 mm]])</f>
        <v>0</v>
      </c>
      <c r="AP186" s="285"/>
      <c r="AQ186" s="285"/>
      <c r="AR186" s="285"/>
      <c r="AS186" s="285"/>
      <c r="AT186" s="285"/>
      <c r="AU186" s="285"/>
      <c r="AV186" s="285"/>
      <c r="AW186" s="285"/>
      <c r="AX186" s="285"/>
      <c r="AY186" s="285"/>
      <c r="AZ186" s="285"/>
      <c r="BA186" s="285"/>
      <c r="BB186" s="285"/>
      <c r="BC186" s="285"/>
      <c r="BD186" s="285"/>
      <c r="BE186" s="285"/>
      <c r="BF186" s="285"/>
      <c r="BG186" s="285"/>
      <c r="BH186" s="285"/>
      <c r="BI186" s="285"/>
      <c r="BJ186" s="36">
        <f>SUM(Table1[[#This Row],[Pipa 63 mm2]:[Pipa 1,800 mm21]])</f>
        <v>92</v>
      </c>
      <c r="BK186" s="32"/>
      <c r="BL186" s="32"/>
      <c r="BM186" s="32">
        <v>92</v>
      </c>
      <c r="BN186" s="32"/>
      <c r="BO186" s="32"/>
      <c r="BP186" s="32"/>
      <c r="BQ186" s="32"/>
      <c r="BR186" s="32"/>
      <c r="BS186" s="32"/>
      <c r="BT186" s="32"/>
      <c r="BU186" s="32"/>
      <c r="BV186" s="32"/>
      <c r="BW186" s="32"/>
      <c r="BX186" s="32"/>
      <c r="BY186" s="32"/>
      <c r="BZ186" s="32"/>
      <c r="CA186" s="32"/>
      <c r="CB186" s="32"/>
      <c r="CC186" s="32"/>
      <c r="CD186" s="32"/>
      <c r="CE186" s="32">
        <v>0</v>
      </c>
      <c r="CF186" s="32">
        <v>0</v>
      </c>
      <c r="CG186" s="32">
        <v>0</v>
      </c>
      <c r="CH186" s="32">
        <v>0</v>
      </c>
      <c r="CI186" s="32">
        <f t="shared" si="10"/>
        <v>0</v>
      </c>
      <c r="CJ186" s="65">
        <f>IF((Table1[[#This Row],["Volume
BA MC-0"]]-Table1[[#This Row],[Total Panjang Pipa Aktual
(Sum-&gt;)3]]-Table1[[#This Row],[Total Volume
tidak dapat dipasang]])&gt;=0,Table1[[#This Row],["Volume
BA MC-0"]]-Table1[[#This Row],[Total Panjang Pipa Aktual
(Sum-&gt;)3]]-Table1[[#This Row],[Total Volume
tidak dapat dipasang]],0)</f>
        <v>5</v>
      </c>
      <c r="CK186" s="47"/>
      <c r="CL186" s="131"/>
      <c r="CM186" s="35"/>
      <c r="CN186" s="131"/>
      <c r="CO186" s="131"/>
      <c r="CP18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6" s="66">
        <f>IFERROR(Table1[[#This Row],[Progres Keg. Umum
(%)]]*Table1[[#This Row],[Nilai RAB Jaringan
(file pa aji)]],0)</f>
        <v>0</v>
      </c>
      <c r="CR186" s="66">
        <f>IFERROR(Table1[[#This Row],[Progres MOS
(%)]]*Table1[[#This Row],[Nilai RAB Jaringan
(file pa aji)]],0)</f>
        <v>0</v>
      </c>
      <c r="CS186" s="66">
        <f>IFERROR(Table1[[#This Row],[Progres Pemasangan
(%)]]*Table1[[#This Row],[Nilai RAB Jaringan
(file pa aji)]],0)</f>
        <v>0</v>
      </c>
      <c r="CT186" s="66">
        <f>IFERROR(Table1[[#This Row],[Progres Perizinan
(%)]]*Table1[[#This Row],[Nilai RAB Jaringan
(file pa aji)]],0)</f>
        <v>0</v>
      </c>
      <c r="CU186" s="329">
        <v>221967108</v>
      </c>
      <c r="CV186" s="329">
        <v>221967108</v>
      </c>
      <c r="CW186" s="583">
        <v>221967108</v>
      </c>
      <c r="CX186" s="329">
        <v>221967108</v>
      </c>
      <c r="CY186" s="47"/>
      <c r="CZ186" s="330">
        <v>45719</v>
      </c>
      <c r="DA186" s="330">
        <v>45746</v>
      </c>
      <c r="DB186" s="331">
        <v>45719</v>
      </c>
      <c r="DC186" s="316" t="s">
        <v>1369</v>
      </c>
      <c r="DD186" s="67">
        <v>812928155</v>
      </c>
      <c r="DE18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6" s="331">
        <v>45726</v>
      </c>
      <c r="DG186" s="316" t="s">
        <v>1370</v>
      </c>
      <c r="DH186" s="67">
        <v>812928155</v>
      </c>
      <c r="DI18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6" s="330">
        <v>45747</v>
      </c>
      <c r="DK186" s="330">
        <v>45788</v>
      </c>
      <c r="DL186" s="331">
        <v>45824</v>
      </c>
      <c r="DM186" s="316" t="s">
        <v>1371</v>
      </c>
      <c r="DN18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86" s="331">
        <v>45876</v>
      </c>
      <c r="DP186" s="316" t="s">
        <v>1372</v>
      </c>
      <c r="DQ186" s="338" t="s">
        <v>371</v>
      </c>
      <c r="DR18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6" s="330">
        <v>45747</v>
      </c>
      <c r="DT186" s="330" t="e">
        <v>#N/A</v>
      </c>
      <c r="DU186" s="330">
        <v>45788</v>
      </c>
      <c r="DV186" s="330" t="e">
        <v>#N/A</v>
      </c>
      <c r="DW186" s="331">
        <v>45737</v>
      </c>
      <c r="DX186" s="316" t="s">
        <v>1373</v>
      </c>
      <c r="DY186" s="334"/>
      <c r="DZ186" s="334"/>
      <c r="EA18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6" s="331">
        <v>46008</v>
      </c>
      <c r="EC186" s="332"/>
      <c r="ED186" s="332"/>
      <c r="EE186" s="330" t="s">
        <v>1374</v>
      </c>
      <c r="EF186" s="35">
        <v>1</v>
      </c>
      <c r="EG186" s="337">
        <v>1</v>
      </c>
      <c r="EH186" s="316" t="str">
        <f>IF(Table1[[#This Row],[PO Material Aktual 
(%)]]&gt;=100%,"Selesai PO = 100%",IF(Table1[[#This Row],[PO Material Aktual 
(%)]]&gt;=50%,"Proses PO &gt; 100%",IF(Table1[[#This Row],[PO Material Aktual 
(%)]]&gt;0%,"Proses PO &gt; 50%",IF(Table1[[#This Row],[PO Material Aktual 
(%)]]=0,"Belum PO = 0%"))))</f>
        <v>Selesai PO = 100%</v>
      </c>
      <c r="EI18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6" s="330">
        <v>45789</v>
      </c>
      <c r="EK186" s="330" t="e">
        <v>#N/A</v>
      </c>
      <c r="EL186" s="330">
        <v>45816</v>
      </c>
      <c r="EM186" s="330" t="e">
        <v>#N/A</v>
      </c>
      <c r="EN186" s="331">
        <v>46044</v>
      </c>
      <c r="EO186" s="332"/>
      <c r="EP186" s="332"/>
      <c r="EQ186" s="87">
        <v>1</v>
      </c>
      <c r="ER186" s="87">
        <v>1</v>
      </c>
      <c r="ES186" s="316" t="str">
        <f>IF(Table1[[#This Row],[Progres MOS]]&gt;=100%,"Selesai MOS = 100%",IF(Table1[[#This Row],[Progres MOS]]&gt;=50%,"Proses MOS &gt; 100%",IF(Table1[[#This Row],[Progres MOS]]&gt;0%,"Proses MOS &gt; 50%",IF(Table1[[#This Row],[Progres MOS]]=0,"Belum MOS = 0%"))))</f>
        <v>Selesai MOS = 100%</v>
      </c>
      <c r="ET18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6" s="47"/>
      <c r="EV186" s="330">
        <v>45747</v>
      </c>
      <c r="EW186" s="330" t="e">
        <v>#N/A</v>
      </c>
      <c r="EX186" s="330">
        <v>45802</v>
      </c>
      <c r="EY186" s="330" t="e">
        <v>#N/A</v>
      </c>
      <c r="EZ186" s="352" t="s">
        <v>298</v>
      </c>
      <c r="FA186" s="336" t="s">
        <v>259</v>
      </c>
      <c r="FB186" s="330" t="s">
        <v>260</v>
      </c>
      <c r="FC186" s="330">
        <v>45840</v>
      </c>
      <c r="FD186" s="330" t="s">
        <v>260</v>
      </c>
      <c r="FE186" s="330">
        <v>45895</v>
      </c>
      <c r="FF186" s="330">
        <v>45919</v>
      </c>
      <c r="FG186" s="330" t="s">
        <v>260</v>
      </c>
      <c r="FH186" s="330" t="s">
        <v>260</v>
      </c>
      <c r="FI186" s="330">
        <v>46010</v>
      </c>
      <c r="FJ186" s="330" t="s">
        <v>260</v>
      </c>
      <c r="FK186" s="330">
        <v>46112</v>
      </c>
      <c r="FL186" s="336" t="s">
        <v>298</v>
      </c>
      <c r="FM186" s="352">
        <v>45840</v>
      </c>
      <c r="FN186" s="338">
        <f>IF(Table1[[#This Row],[Tanggal Pengajuan Dokumen]]="","",Table1[[#This Row],[PLAN PERMIT
start]]-Table1[[#This Row],[Tanggal Pengajuan Dokumen]])</f>
        <v>-93</v>
      </c>
      <c r="FO186" s="437">
        <v>46086</v>
      </c>
      <c r="FP186" s="316"/>
      <c r="FQ186" s="338"/>
      <c r="FR186" s="338"/>
      <c r="FS186" s="338" t="str">
        <f t="shared" si="9"/>
        <v>Sudah Terbit</v>
      </c>
      <c r="FT18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6" s="344">
        <f ca="1">IF(Table1[[#This Row],[Status Izin]]="Selesai",Table1[[#This Row],[PLAN PERMIT
finish]]-Table1[[#This Row],[Tanggal Terbit/ Target Izin Terbit]],ROUNDUP(Table1[[#This Row],[PLAN PERMIT
finish]]-NOW(),0))</f>
        <v>-284</v>
      </c>
      <c r="FV18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6" s="344"/>
      <c r="FX186" s="47"/>
      <c r="FY186" s="340"/>
      <c r="FZ186" s="341"/>
      <c r="GA18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6" s="330">
        <v>45795</v>
      </c>
      <c r="GC186" s="352"/>
      <c r="GD18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6" s="330">
        <v>45795</v>
      </c>
      <c r="GF186" s="352"/>
      <c r="GG18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6" s="330">
        <v>45789</v>
      </c>
      <c r="GI186" s="330">
        <v>45795</v>
      </c>
      <c r="GJ186" s="352">
        <v>45729</v>
      </c>
      <c r="GK18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6" s="330">
        <v>45803</v>
      </c>
      <c r="GM186" s="330" t="e">
        <v>#N/A</v>
      </c>
      <c r="GN186" s="330">
        <v>45823</v>
      </c>
      <c r="GO186" s="330" t="e">
        <v>#N/A</v>
      </c>
      <c r="GP186" s="316"/>
      <c r="GQ18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6" s="330" t="s">
        <v>261</v>
      </c>
      <c r="GS186" s="330" t="s">
        <v>261</v>
      </c>
      <c r="GT186" s="354">
        <v>45732</v>
      </c>
      <c r="GU186" s="344" t="str">
        <f>IF(Table1[[#This Row],[Hydro Tes Actual
(tanggal)]]&lt;&gt;"","Sudah","Belum")</f>
        <v>Sudah</v>
      </c>
      <c r="GV186" s="330" t="s">
        <v>261</v>
      </c>
      <c r="GW186" s="330" t="s">
        <v>261</v>
      </c>
      <c r="GX186" s="331">
        <v>45734</v>
      </c>
      <c r="GY186" s="344" t="str">
        <f>IF(Table1[[#This Row],[Interkoneksi Actual
(tanggal)]]&lt;&gt;"","Sudah","Belum")</f>
        <v>Sudah</v>
      </c>
      <c r="GZ186" s="330" t="s">
        <v>261</v>
      </c>
      <c r="HA186" s="330" t="s">
        <v>261</v>
      </c>
      <c r="HB186" s="331" t="s">
        <v>1375</v>
      </c>
      <c r="HC186" s="344" t="str">
        <f>IF(Table1[[#This Row],[Flushing Actual
(tanggal)]]&lt;&gt;"","Sudah","Belum")</f>
        <v>Sudah</v>
      </c>
      <c r="HD186" s="330">
        <v>45821</v>
      </c>
      <c r="HE186" s="330" t="e">
        <v>#N/A</v>
      </c>
      <c r="HF186" s="330">
        <v>45830</v>
      </c>
      <c r="HG186" s="331">
        <v>45800</v>
      </c>
      <c r="HH18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6" s="330" t="s">
        <v>261</v>
      </c>
      <c r="HJ186" s="330" t="s">
        <v>261</v>
      </c>
      <c r="HK186" s="331"/>
      <c r="HL186" s="316"/>
      <c r="HM186" s="330">
        <v>45835</v>
      </c>
      <c r="HN186" s="330">
        <v>45835</v>
      </c>
      <c r="HO186" s="330" t="e">
        <v>#N/A</v>
      </c>
      <c r="HP186" s="331">
        <v>45800</v>
      </c>
      <c r="HQ18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186" s="330">
        <v>45842</v>
      </c>
      <c r="HS186" s="330"/>
      <c r="HT186" s="330">
        <v>45842</v>
      </c>
      <c r="HU186" s="527"/>
      <c r="HV186" s="331">
        <v>45931</v>
      </c>
      <c r="HW18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86" s="47"/>
      <c r="HY186" s="352"/>
      <c r="HZ186" s="352"/>
      <c r="IB186" s="618">
        <f>IFERROR(ROUND((Table1[[#This Row],[PLAN TC
finish]]-Table1[[#This Row],[PLAN MC-0
start]])/30,2),"")</f>
        <v>1.37</v>
      </c>
      <c r="IC186">
        <f>DATEDIF(Table1[[#This Row],[PLAN MC-0
start]],Table1[[#This Row],[PLAN TC
finish]],"m")</f>
        <v>1</v>
      </c>
    </row>
    <row r="187" spans="1:237" s="4" customFormat="1" ht="15" hidden="1" customHeight="1" x14ac:dyDescent="0.2">
      <c r="B187" s="311">
        <f>SUBTOTAL(3,$D$5:D187)</f>
        <v>84</v>
      </c>
      <c r="C187" s="348">
        <v>183</v>
      </c>
      <c r="D187" s="338" t="s">
        <v>244</v>
      </c>
      <c r="E187" s="338" t="s">
        <v>1376</v>
      </c>
      <c r="F187" s="338" t="s">
        <v>1377</v>
      </c>
      <c r="G187" s="349">
        <v>45935</v>
      </c>
      <c r="H187" s="338" t="s">
        <v>681</v>
      </c>
      <c r="I187" s="338" t="s">
        <v>278</v>
      </c>
      <c r="J187" s="315" t="s">
        <v>882</v>
      </c>
      <c r="K187" s="338" t="s">
        <v>1165</v>
      </c>
      <c r="L187" s="316" t="s">
        <v>250</v>
      </c>
      <c r="M187" s="316" t="s">
        <v>269</v>
      </c>
      <c r="N187" s="107">
        <v>110</v>
      </c>
      <c r="O187" s="31" t="s">
        <v>252</v>
      </c>
      <c r="P18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7" s="35" t="e">
        <v>#N/A</v>
      </c>
      <c r="S187" s="35">
        <v>1</v>
      </c>
      <c r="T187" s="35">
        <f>Table1[[#This Row],[Progres Total Aktual
(%)]]</f>
        <v>1</v>
      </c>
      <c r="U187" s="124">
        <f>Table1[[#This Row],[Progres Aktual
(%)]]-Table1[[#This Row],[Target Progres
(%)]]</f>
        <v>0</v>
      </c>
      <c r="V187" s="350">
        <f>Table1[[#This Row],["Volume
BA MC-0"]]</f>
        <v>91</v>
      </c>
      <c r="W187" s="351">
        <f>Table1[[#This Row],[Total Panjang Pipa Aktual
(Sum-&gt;)3]]</f>
        <v>76.099999999999994</v>
      </c>
      <c r="X187" s="47"/>
      <c r="Y187" s="67" t="s">
        <v>1378</v>
      </c>
      <c r="Z187" s="67">
        <v>209071728</v>
      </c>
      <c r="AA187" s="67">
        <f>Table1[[#This Row],[Nilai RAB Jaringan
(file pa aji)]]</f>
        <v>209071728</v>
      </c>
      <c r="AB187" s="320">
        <f>SUM(Table1[[#This Row],[RAB Kegiatan Umum]:[RAB Perizinan]])</f>
        <v>0</v>
      </c>
      <c r="AC187" s="320"/>
      <c r="AD187" s="320"/>
      <c r="AE187" s="320"/>
      <c r="AF187" s="320"/>
      <c r="AG187" s="436">
        <v>18963348</v>
      </c>
      <c r="AH187" s="35" t="e">
        <f>SUM(Table1[[#This Row],[Bobot Keg Umum]:[Bobot Perizinan]])</f>
        <v>#DIV/0!</v>
      </c>
      <c r="AI187" s="35" t="e">
        <f>Table1[[#This Row],[RAB Kegiatan Umum]]/Table1[[#This Row],[Nilai RAB Jaringan
(Exclude Ppn)]]</f>
        <v>#DIV/0!</v>
      </c>
      <c r="AJ187" s="35" t="e">
        <f>Table1[[#This Row],[RAB Pemasangan]]/Table1[[#This Row],[Nilai RAB Jaringan
(Exclude Ppn)]]</f>
        <v>#DIV/0!</v>
      </c>
      <c r="AK187" s="35" t="e">
        <f>Table1[[#This Row],[RAB Pengadaan]]/Table1[[#This Row],[Nilai RAB Jaringan
(Exclude Ppn)]]</f>
        <v>#DIV/0!</v>
      </c>
      <c r="AL187" s="35" t="e">
        <f>Table1[[#This Row],[RAB Perizinan]]/Table1[[#This Row],[Nilai RAB Jaringan
(Exclude Ppn)]]</f>
        <v>#DIV/0!</v>
      </c>
      <c r="AM187" s="47"/>
      <c r="AN187" s="285">
        <v>91</v>
      </c>
      <c r="AO187" s="285">
        <f>SUM(Table1[[#This Row],[Pipa 63 mm]:[Pipa 1,800 mm]])</f>
        <v>0</v>
      </c>
      <c r="AP187" s="285"/>
      <c r="AQ187" s="285"/>
      <c r="AR187" s="285"/>
      <c r="AS187" s="285"/>
      <c r="AT187" s="285"/>
      <c r="AU187" s="285"/>
      <c r="AV187" s="285"/>
      <c r="AW187" s="285"/>
      <c r="AX187" s="285"/>
      <c r="AY187" s="285"/>
      <c r="AZ187" s="285"/>
      <c r="BA187" s="285"/>
      <c r="BB187" s="285"/>
      <c r="BC187" s="285"/>
      <c r="BD187" s="285"/>
      <c r="BE187" s="285"/>
      <c r="BF187" s="285"/>
      <c r="BG187" s="285"/>
      <c r="BH187" s="285"/>
      <c r="BI187" s="285"/>
      <c r="BJ187" s="36">
        <f>SUM(Table1[[#This Row],[Pipa 63 mm2]:[Pipa 1,800 mm21]])</f>
        <v>76.099999999999994</v>
      </c>
      <c r="BK187" s="32">
        <v>76.099999999999994</v>
      </c>
      <c r="BL187" s="32"/>
      <c r="BM187" s="32"/>
      <c r="BN187" s="32"/>
      <c r="BO187" s="32"/>
      <c r="BP187" s="32"/>
      <c r="BQ187" s="32"/>
      <c r="BR187" s="32"/>
      <c r="BS187" s="32"/>
      <c r="BT187" s="32"/>
      <c r="BU187" s="32"/>
      <c r="BV187" s="32"/>
      <c r="BW187" s="32"/>
      <c r="BX187" s="32"/>
      <c r="BY187" s="32"/>
      <c r="BZ187" s="32"/>
      <c r="CA187" s="32"/>
      <c r="CB187" s="32"/>
      <c r="CC187" s="32"/>
      <c r="CD187" s="32"/>
      <c r="CE187" s="32">
        <v>0</v>
      </c>
      <c r="CF187" s="32">
        <v>0</v>
      </c>
      <c r="CG187" s="32">
        <v>0</v>
      </c>
      <c r="CH187" s="32">
        <v>0</v>
      </c>
      <c r="CI187" s="32">
        <f t="shared" si="10"/>
        <v>0</v>
      </c>
      <c r="CJ187" s="65">
        <f>IF((Table1[[#This Row],["Volume
BA MC-0"]]-Table1[[#This Row],[Total Panjang Pipa Aktual
(Sum-&gt;)3]]-Table1[[#This Row],[Total Volume
tidak dapat dipasang]])&gt;=0,Table1[[#This Row],["Volume
BA MC-0"]]-Table1[[#This Row],[Total Panjang Pipa Aktual
(Sum-&gt;)3]]-Table1[[#This Row],[Total Volume
tidak dapat dipasang]],0)</f>
        <v>14.900000000000006</v>
      </c>
      <c r="CK187" s="47"/>
      <c r="CL187" s="131"/>
      <c r="CM187" s="35"/>
      <c r="CN187" s="131"/>
      <c r="CO187" s="131"/>
      <c r="CP18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7" s="66">
        <f>IFERROR(Table1[[#This Row],[Progres Keg. Umum
(%)]]*Table1[[#This Row],[Nilai RAB Jaringan
(file pa aji)]],0)</f>
        <v>0</v>
      </c>
      <c r="CR187" s="66">
        <f>IFERROR(Table1[[#This Row],[Progres MOS
(%)]]*Table1[[#This Row],[Nilai RAB Jaringan
(file pa aji)]],0)</f>
        <v>0</v>
      </c>
      <c r="CS187" s="66">
        <f>IFERROR(Table1[[#This Row],[Progres Pemasangan
(%)]]*Table1[[#This Row],[Nilai RAB Jaringan
(file pa aji)]],0)</f>
        <v>0</v>
      </c>
      <c r="CT187" s="66">
        <f>IFERROR(Table1[[#This Row],[Progres Perizinan
(%)]]*Table1[[#This Row],[Nilai RAB Jaringan
(file pa aji)]],0)</f>
        <v>0</v>
      </c>
      <c r="CU187" s="329">
        <v>313076950</v>
      </c>
      <c r="CV187" s="329">
        <v>313076950</v>
      </c>
      <c r="CW187" s="583">
        <v>313076950</v>
      </c>
      <c r="CX187" s="329">
        <v>313076950</v>
      </c>
      <c r="CY187" s="47"/>
      <c r="CZ187" s="330">
        <v>45747</v>
      </c>
      <c r="DA187" s="330">
        <v>45774</v>
      </c>
      <c r="DB187" s="331">
        <v>45755</v>
      </c>
      <c r="DC187" s="316" t="s">
        <v>1379</v>
      </c>
      <c r="DD187" s="67">
        <v>209071725</v>
      </c>
      <c r="DE18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7" s="331">
        <v>45763</v>
      </c>
      <c r="DG187" s="316" t="s">
        <v>1380</v>
      </c>
      <c r="DH187" s="67">
        <v>209071725</v>
      </c>
      <c r="DI18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7" s="330">
        <v>45775</v>
      </c>
      <c r="DK187" s="330">
        <v>45816</v>
      </c>
      <c r="DL187" s="331">
        <v>45784</v>
      </c>
      <c r="DM187" s="316" t="s">
        <v>1381</v>
      </c>
      <c r="DN18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7" s="331">
        <v>45876</v>
      </c>
      <c r="DP187" s="316" t="s">
        <v>1382</v>
      </c>
      <c r="DQ187" s="338" t="s">
        <v>371</v>
      </c>
      <c r="DR18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7" s="330">
        <v>45775</v>
      </c>
      <c r="DT187" s="330" t="e">
        <v>#N/A</v>
      </c>
      <c r="DU187" s="330">
        <v>45816</v>
      </c>
      <c r="DV187" s="330" t="e">
        <v>#N/A</v>
      </c>
      <c r="DW187" s="331">
        <v>45784</v>
      </c>
      <c r="DX187" s="316" t="s">
        <v>1383</v>
      </c>
      <c r="DY187" s="334"/>
      <c r="DZ187" s="334"/>
      <c r="EA18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7" s="331">
        <v>46160</v>
      </c>
      <c r="EC187" s="332"/>
      <c r="ED187" s="332"/>
      <c r="EE187" s="330" t="s">
        <v>1384</v>
      </c>
      <c r="EF187" s="35">
        <v>1</v>
      </c>
      <c r="EG187" s="337">
        <v>1</v>
      </c>
      <c r="EH187" s="316" t="str">
        <f>IF(Table1[[#This Row],[PO Material Aktual 
(%)]]&gt;=100%,"Selesai PO = 100%",IF(Table1[[#This Row],[PO Material Aktual 
(%)]]&gt;=50%,"Proses PO &gt; 100%",IF(Table1[[#This Row],[PO Material Aktual 
(%)]]&gt;0%,"Proses PO &gt; 50%",IF(Table1[[#This Row],[PO Material Aktual 
(%)]]=0,"Belum PO = 0%"))))</f>
        <v>Selesai PO = 100%</v>
      </c>
      <c r="EI18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7" s="330">
        <v>45817</v>
      </c>
      <c r="EK187" s="330" t="e">
        <v>#N/A</v>
      </c>
      <c r="EL187" s="330">
        <v>45865</v>
      </c>
      <c r="EM187" s="330" t="e">
        <v>#N/A</v>
      </c>
      <c r="EN187" s="331">
        <v>46091</v>
      </c>
      <c r="EO187" s="332"/>
      <c r="EP187" s="332"/>
      <c r="EQ187" s="87">
        <v>1</v>
      </c>
      <c r="ER187" s="87">
        <v>1</v>
      </c>
      <c r="ES187" s="316" t="str">
        <f>IF(Table1[[#This Row],[Progres MOS]]&gt;=100%,"Selesai MOS = 100%",IF(Table1[[#This Row],[Progres MOS]]&gt;=50%,"Proses MOS &gt; 100%",IF(Table1[[#This Row],[Progres MOS]]&gt;0%,"Proses MOS &gt; 50%",IF(Table1[[#This Row],[Progres MOS]]=0,"Belum MOS = 0%"))))</f>
        <v>Selesai MOS = 100%</v>
      </c>
      <c r="ET18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7" s="47"/>
      <c r="EV187" s="330">
        <v>45775</v>
      </c>
      <c r="EW187" s="330" t="e">
        <v>#N/A</v>
      </c>
      <c r="EX187" s="330">
        <v>45865</v>
      </c>
      <c r="EY187" s="330" t="e">
        <v>#N/A</v>
      </c>
      <c r="EZ187" s="352" t="s">
        <v>298</v>
      </c>
      <c r="FA187" s="336" t="s">
        <v>259</v>
      </c>
      <c r="FB187" s="330" t="s">
        <v>260</v>
      </c>
      <c r="FC187" s="330">
        <v>45838</v>
      </c>
      <c r="FD187" s="330" t="s">
        <v>260</v>
      </c>
      <c r="FE187" s="330">
        <v>45888</v>
      </c>
      <c r="FF187" s="330">
        <v>45944</v>
      </c>
      <c r="FG187" s="330" t="s">
        <v>260</v>
      </c>
      <c r="FH187" s="330" t="s">
        <v>260</v>
      </c>
      <c r="FI187" s="330">
        <v>46010</v>
      </c>
      <c r="FJ187" s="330" t="s">
        <v>260</v>
      </c>
      <c r="FK187" s="330">
        <v>46113</v>
      </c>
      <c r="FL187" s="336" t="s">
        <v>298</v>
      </c>
      <c r="FM187" s="352">
        <v>45838</v>
      </c>
      <c r="FN187" s="338">
        <f>IF(Table1[[#This Row],[Tanggal Pengajuan Dokumen]]="","",Table1[[#This Row],[PLAN PERMIT
start]]-Table1[[#This Row],[Tanggal Pengajuan Dokumen]])</f>
        <v>-63</v>
      </c>
      <c r="FO187" s="437">
        <v>46086</v>
      </c>
      <c r="FP187" s="316"/>
      <c r="FQ187" s="338"/>
      <c r="FR187" s="338"/>
      <c r="FS187" s="338" t="str">
        <f t="shared" si="9"/>
        <v>Sudah Terbit</v>
      </c>
      <c r="FT18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7" s="344">
        <f ca="1">IF(Table1[[#This Row],[Status Izin]]="Selesai",Table1[[#This Row],[PLAN PERMIT
finish]]-Table1[[#This Row],[Tanggal Terbit/ Target Izin Terbit]],ROUNDUP(Table1[[#This Row],[PLAN PERMIT
finish]]-NOW(),0))</f>
        <v>-221</v>
      </c>
      <c r="FV18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7" s="344"/>
      <c r="FX187" s="47"/>
      <c r="FY187" s="340"/>
      <c r="FZ187" s="341"/>
      <c r="GA18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7" s="330">
        <v>45818</v>
      </c>
      <c r="GC187" s="352">
        <v>45826</v>
      </c>
      <c r="GD18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7" s="330">
        <v>45825</v>
      </c>
      <c r="GF187" s="352" t="s">
        <v>1385</v>
      </c>
      <c r="GG18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7" s="330">
        <v>45831</v>
      </c>
      <c r="GI187" s="330">
        <v>45832</v>
      </c>
      <c r="GJ187" s="352">
        <v>45827</v>
      </c>
      <c r="GK18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7" s="330">
        <v>45866</v>
      </c>
      <c r="GM187" s="330" t="e">
        <v>#N/A</v>
      </c>
      <c r="GN187" s="330">
        <v>45886</v>
      </c>
      <c r="GO187" s="330" t="e">
        <v>#N/A</v>
      </c>
      <c r="GP187" s="316"/>
      <c r="GQ18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7" s="330" t="s">
        <v>261</v>
      </c>
      <c r="GS187" s="330" t="s">
        <v>261</v>
      </c>
      <c r="GT187" s="354">
        <v>45933</v>
      </c>
      <c r="GU187" s="344" t="str">
        <f>IF(Table1[[#This Row],[Hydro Tes Actual
(tanggal)]]&lt;&gt;"","Sudah","Belum")</f>
        <v>Sudah</v>
      </c>
      <c r="GV187" s="330" t="s">
        <v>261</v>
      </c>
      <c r="GW187" s="330" t="s">
        <v>261</v>
      </c>
      <c r="GX187" s="331">
        <v>45934</v>
      </c>
      <c r="GY187" s="344" t="str">
        <f>IF(Table1[[#This Row],[Interkoneksi Actual
(tanggal)]]&lt;&gt;"","Sudah","Belum")</f>
        <v>Sudah</v>
      </c>
      <c r="GZ187" s="330" t="s">
        <v>261</v>
      </c>
      <c r="HA187" s="330" t="s">
        <v>261</v>
      </c>
      <c r="HB187" s="331">
        <v>45934</v>
      </c>
      <c r="HC187" s="344" t="str">
        <f>IF(Table1[[#This Row],[Flushing Actual
(tanggal)]]&lt;&gt;"","Sudah","Belum")</f>
        <v>Sudah</v>
      </c>
      <c r="HD187" s="330">
        <v>45877</v>
      </c>
      <c r="HE187" s="330" t="e">
        <v>#N/A</v>
      </c>
      <c r="HF187" s="330">
        <v>45882</v>
      </c>
      <c r="HG187" s="331">
        <v>45948</v>
      </c>
      <c r="HH18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7" s="330" t="s">
        <v>261</v>
      </c>
      <c r="HJ187" s="330" t="s">
        <v>261</v>
      </c>
      <c r="HK187" s="331"/>
      <c r="HL187" s="316"/>
      <c r="HM187" s="330">
        <v>45891</v>
      </c>
      <c r="HN187" s="330">
        <v>45891</v>
      </c>
      <c r="HO187" s="330" t="e">
        <v>#N/A</v>
      </c>
      <c r="HP187" s="331">
        <v>45950</v>
      </c>
      <c r="HQ18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87" s="330">
        <v>45898</v>
      </c>
      <c r="HS187" s="330"/>
      <c r="HT187" s="330">
        <v>45898</v>
      </c>
      <c r="HU187" s="527"/>
      <c r="HV187" s="331">
        <v>45980</v>
      </c>
      <c r="HW18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87" s="47"/>
      <c r="HY187" s="352"/>
      <c r="HZ187" s="352"/>
      <c r="IB187" s="618">
        <f>IFERROR(ROUND((Table1[[#This Row],[PLAN TC
finish]]-Table1[[#This Row],[PLAN MC-0
start]])/30,2),"")</f>
        <v>1.7</v>
      </c>
      <c r="IC187">
        <f>DATEDIF(Table1[[#This Row],[PLAN MC-0
start]],Table1[[#This Row],[PLAN TC
finish]],"m")</f>
        <v>1</v>
      </c>
    </row>
    <row r="188" spans="1:237" s="252" customFormat="1" ht="15" hidden="1" customHeight="1" x14ac:dyDescent="0.2">
      <c r="B188" s="311">
        <f>SUBTOTAL(3,$D$5:D188)</f>
        <v>84</v>
      </c>
      <c r="C188" s="362">
        <v>184</v>
      </c>
      <c r="D188" s="400" t="s">
        <v>244</v>
      </c>
      <c r="E188" s="400" t="s">
        <v>1386</v>
      </c>
      <c r="F188" s="400" t="s">
        <v>1387</v>
      </c>
      <c r="G188" s="398">
        <v>45935</v>
      </c>
      <c r="H188" s="400" t="s">
        <v>681</v>
      </c>
      <c r="I188" s="366" t="s">
        <v>278</v>
      </c>
      <c r="J188" s="320" t="s">
        <v>389</v>
      </c>
      <c r="K188" s="366" t="s">
        <v>1165</v>
      </c>
      <c r="L188" s="367" t="s">
        <v>250</v>
      </c>
      <c r="M188" s="623" t="s">
        <v>269</v>
      </c>
      <c r="N188" s="253">
        <v>465</v>
      </c>
      <c r="O188" s="254" t="s">
        <v>252</v>
      </c>
      <c r="P188"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8" s="320" t="s">
        <v>389</v>
      </c>
      <c r="R188" s="371" t="e">
        <v>#N/A</v>
      </c>
      <c r="S188" s="256">
        <v>1</v>
      </c>
      <c r="T188" s="256">
        <f>Table1[[#This Row],[Progres Total Aktual
(%)]]</f>
        <v>6.4062256248597543E-2</v>
      </c>
      <c r="U188" s="257">
        <f>Table1[[#This Row],[Progres Aktual
(%)]]-Table1[[#This Row],[Target Progres
(%)]]</f>
        <v>-0.93593774375140248</v>
      </c>
      <c r="V188" s="258">
        <f>Table1[[#This Row],["Volume
BA MC-0"]]</f>
        <v>472</v>
      </c>
      <c r="W188" s="259">
        <f>Table1[[#This Row],[Total Panjang Pipa Aktual
(Sum-&gt;)3]]</f>
        <v>0</v>
      </c>
      <c r="X188" s="267"/>
      <c r="Y188" s="375" t="s">
        <v>1388</v>
      </c>
      <c r="Z188" s="375">
        <v>1243463102</v>
      </c>
      <c r="AA188" s="375">
        <f>Table1[[#This Row],[Nilai RAB Jaringan
(file pa aji)]]</f>
        <v>1243463102</v>
      </c>
      <c r="AB188" s="370">
        <f>SUM(Table1[[#This Row],[RAB Kegiatan Umum]:[RAB Perizinan]])</f>
        <v>0</v>
      </c>
      <c r="AC188" s="370"/>
      <c r="AD188" s="370"/>
      <c r="AE188" s="370"/>
      <c r="AF188" s="370"/>
      <c r="AG188" s="439">
        <v>77960430</v>
      </c>
      <c r="AH188" s="371" t="e">
        <f>SUM(Table1[[#This Row],[Bobot Keg Umum]:[Bobot Perizinan]])</f>
        <v>#DIV/0!</v>
      </c>
      <c r="AI188" s="371" t="e">
        <f>Table1[[#This Row],[RAB Kegiatan Umum]]/Table1[[#This Row],[Nilai RAB Jaringan
(Exclude Ppn)]]</f>
        <v>#DIV/0!</v>
      </c>
      <c r="AJ188" s="371" t="e">
        <f>Table1[[#This Row],[RAB Pemasangan]]/Table1[[#This Row],[Nilai RAB Jaringan
(Exclude Ppn)]]</f>
        <v>#DIV/0!</v>
      </c>
      <c r="AK188" s="371" t="e">
        <f>Table1[[#This Row],[RAB Pengadaan]]/Table1[[#This Row],[Nilai RAB Jaringan
(Exclude Ppn)]]</f>
        <v>#DIV/0!</v>
      </c>
      <c r="AL188" s="371" t="e">
        <f>Table1[[#This Row],[RAB Perizinan]]/Table1[[#This Row],[Nilai RAB Jaringan
(Exclude Ppn)]]</f>
        <v>#DIV/0!</v>
      </c>
      <c r="AM188" s="47"/>
      <c r="AN188" s="376">
        <v>472</v>
      </c>
      <c r="AO188" s="376">
        <f>SUM(Table1[[#This Row],[Pipa 63 mm]:[Pipa 1,800 mm]])</f>
        <v>0</v>
      </c>
      <c r="AP188" s="376"/>
      <c r="AQ188" s="376"/>
      <c r="AR188" s="376"/>
      <c r="AS188" s="376"/>
      <c r="AT188" s="376"/>
      <c r="AU188" s="376"/>
      <c r="AV188" s="376"/>
      <c r="AW188" s="376"/>
      <c r="AX188" s="376"/>
      <c r="AY188" s="376"/>
      <c r="AZ188" s="376"/>
      <c r="BA188" s="376"/>
      <c r="BB188" s="376"/>
      <c r="BC188" s="376"/>
      <c r="BD188" s="376"/>
      <c r="BE188" s="376"/>
      <c r="BF188" s="376"/>
      <c r="BG188" s="376"/>
      <c r="BH188" s="376"/>
      <c r="BI188" s="376"/>
      <c r="BJ188" s="377">
        <f>SUM(Table1[[#This Row],[Pipa 63 mm2]:[Pipa 1,800 mm21]])</f>
        <v>0</v>
      </c>
      <c r="BK188" s="378"/>
      <c r="BL188" s="378"/>
      <c r="BM188" s="378"/>
      <c r="BN188" s="378"/>
      <c r="BO188" s="378"/>
      <c r="BP188" s="378"/>
      <c r="BQ188" s="378"/>
      <c r="BR188" s="378"/>
      <c r="BS188" s="378"/>
      <c r="BT188" s="378"/>
      <c r="BU188" s="378"/>
      <c r="BV188" s="378"/>
      <c r="BW188" s="378"/>
      <c r="BX188" s="378"/>
      <c r="BY188" s="378"/>
      <c r="BZ188" s="378"/>
      <c r="CA188" s="378"/>
      <c r="CB188" s="378"/>
      <c r="CC188" s="378"/>
      <c r="CD188" s="378"/>
      <c r="CE188" s="378">
        <v>0</v>
      </c>
      <c r="CF188" s="378">
        <v>0</v>
      </c>
      <c r="CG188" s="378">
        <v>0</v>
      </c>
      <c r="CH188" s="378">
        <v>0</v>
      </c>
      <c r="CI188" s="378">
        <f t="shared" si="10"/>
        <v>0</v>
      </c>
      <c r="CJ188" s="440">
        <f>IF((Table1[[#This Row],["Volume
BA MC-0"]]-Table1[[#This Row],[Total Panjang Pipa Aktual
(Sum-&gt;)3]]-Table1[[#This Row],[Total Volume
tidak dapat dipasang]])&gt;=0,Table1[[#This Row],["Volume
BA MC-0"]]-Table1[[#This Row],[Total Panjang Pipa Aktual
(Sum-&gt;)3]]-Table1[[#This Row],[Total Volume
tidak dapat dipasang]],0)</f>
        <v>472</v>
      </c>
      <c r="CK188" s="47"/>
      <c r="CL188" s="379"/>
      <c r="CM188" s="371"/>
      <c r="CN188" s="379"/>
      <c r="CO188" s="379"/>
      <c r="CP188"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6.4062256248597543E-2</v>
      </c>
      <c r="CQ188" s="380">
        <f>IFERROR(Table1[[#This Row],[Progres Keg. Umum
(%)]]*Table1[[#This Row],[Nilai RAB Jaringan
(file pa aji)]],0)</f>
        <v>0</v>
      </c>
      <c r="CR188" s="380">
        <f>IFERROR(Table1[[#This Row],[Progres MOS
(%)]]*Table1[[#This Row],[Nilai RAB Jaringan
(file pa aji)]],0)</f>
        <v>0</v>
      </c>
      <c r="CS188" s="380">
        <f>IFERROR(Table1[[#This Row],[Progres Pemasangan
(%)]]*Table1[[#This Row],[Nilai RAB Jaringan
(file pa aji)]],0)</f>
        <v>0</v>
      </c>
      <c r="CT188" s="380">
        <f>IFERROR(Table1[[#This Row],[Progres Perizinan
(%)]]*Table1[[#This Row],[Nilai RAB Jaringan
(file pa aji)]],0)</f>
        <v>0</v>
      </c>
      <c r="CU188" s="329">
        <v>79659051.875999987</v>
      </c>
      <c r="CV188" s="329">
        <v>79659051.875999987</v>
      </c>
      <c r="CW188" s="582">
        <v>0</v>
      </c>
      <c r="CX188" s="329">
        <v>0</v>
      </c>
      <c r="CY188" s="47"/>
      <c r="CZ188" s="386">
        <v>45747</v>
      </c>
      <c r="DA188" s="386">
        <v>45774</v>
      </c>
      <c r="DB188" s="388">
        <v>45755</v>
      </c>
      <c r="DC188" s="367" t="s">
        <v>1389</v>
      </c>
      <c r="DD188" s="375">
        <v>1243463101</v>
      </c>
      <c r="DE18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8" s="388">
        <v>45763</v>
      </c>
      <c r="DG188" s="367" t="s">
        <v>1390</v>
      </c>
      <c r="DH188" s="375">
        <v>1243463101</v>
      </c>
      <c r="DI188"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8" s="386">
        <v>45775</v>
      </c>
      <c r="DK188" s="386">
        <v>45816</v>
      </c>
      <c r="DL188" s="388">
        <v>45783</v>
      </c>
      <c r="DM188" s="367" t="s">
        <v>1391</v>
      </c>
      <c r="DN188" s="3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8" s="388">
        <v>45831</v>
      </c>
      <c r="DP188" s="367" t="s">
        <v>1392</v>
      </c>
      <c r="DQ188" s="366" t="s">
        <v>312</v>
      </c>
      <c r="DR188" s="3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8" s="386">
        <v>45775</v>
      </c>
      <c r="DT188" s="386" t="e">
        <v>#N/A</v>
      </c>
      <c r="DU188" s="386">
        <v>45816</v>
      </c>
      <c r="DV188" s="386" t="e">
        <v>#N/A</v>
      </c>
      <c r="DW188" s="388">
        <v>46000</v>
      </c>
      <c r="DX188" s="367" t="s">
        <v>1393</v>
      </c>
      <c r="DY188" s="382"/>
      <c r="DZ188" s="382"/>
      <c r="EA188" s="3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8" s="388"/>
      <c r="EC188" s="442"/>
      <c r="ED188" s="442"/>
      <c r="EE188" s="386"/>
      <c r="EF188" s="371">
        <v>0.95</v>
      </c>
      <c r="EG188" s="383">
        <v>0.95</v>
      </c>
      <c r="EH188" s="367" t="str">
        <f>IF(Table1[[#This Row],[PO Material Aktual 
(%)]]&gt;=100%,"Selesai PO = 100%",IF(Table1[[#This Row],[PO Material Aktual 
(%)]]&gt;=50%,"Proses PO &gt; 100%",IF(Table1[[#This Row],[PO Material Aktual 
(%)]]&gt;0%,"Proses PO &gt; 50%",IF(Table1[[#This Row],[PO Material Aktual 
(%)]]=0,"Belum PO = 0%"))))</f>
        <v>Proses PO &gt; 100%</v>
      </c>
      <c r="EI188"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88" s="386">
        <v>45817</v>
      </c>
      <c r="EK188" s="386" t="e">
        <v>#N/A</v>
      </c>
      <c r="EL188" s="386">
        <v>45865</v>
      </c>
      <c r="EM188" s="386" t="e">
        <v>#N/A</v>
      </c>
      <c r="EN188" s="388"/>
      <c r="EO188" s="442"/>
      <c r="EP188" s="442"/>
      <c r="EQ188" s="88">
        <v>0.85</v>
      </c>
      <c r="ER188" s="88">
        <v>0.85</v>
      </c>
      <c r="ES188" s="367" t="str">
        <f>IF(Table1[[#This Row],[Progres MOS]]&gt;=100%,"Selesai MOS = 100%",IF(Table1[[#This Row],[Progres MOS]]&gt;=50%,"Proses MOS &gt; 100%",IF(Table1[[#This Row],[Progres MOS]]&gt;0%,"Proses MOS &gt; 50%",IF(Table1[[#This Row],[Progres MOS]]=0,"Belum MOS = 0%"))))</f>
        <v>Proses MOS &gt; 100%</v>
      </c>
      <c r="ET18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88" s="47"/>
      <c r="EV188" s="386">
        <v>45775</v>
      </c>
      <c r="EW188" s="386" t="e">
        <v>#N/A</v>
      </c>
      <c r="EX188" s="386">
        <v>45865</v>
      </c>
      <c r="EY188" s="386" t="e">
        <v>#N/A</v>
      </c>
      <c r="EZ188" s="384" t="s">
        <v>298</v>
      </c>
      <c r="FA188" s="443" t="s">
        <v>259</v>
      </c>
      <c r="FB188" s="386" t="s">
        <v>260</v>
      </c>
      <c r="FC188" s="330">
        <v>45838</v>
      </c>
      <c r="FD188" s="386" t="s">
        <v>260</v>
      </c>
      <c r="FE188" s="386">
        <v>45888</v>
      </c>
      <c r="FF188" s="386">
        <v>45944</v>
      </c>
      <c r="FG188" s="386" t="s">
        <v>260</v>
      </c>
      <c r="FH188" s="386" t="s">
        <v>260</v>
      </c>
      <c r="FI188" s="386">
        <v>46010</v>
      </c>
      <c r="FJ188" s="386" t="s">
        <v>260</v>
      </c>
      <c r="FK188" s="386">
        <v>46113</v>
      </c>
      <c r="FL188" s="443" t="s">
        <v>298</v>
      </c>
      <c r="FM188" s="384">
        <v>45838</v>
      </c>
      <c r="FN188" s="366">
        <f>IF(Table1[[#This Row],[Tanggal Pengajuan Dokumen]]="","",Table1[[#This Row],[PLAN PERMIT
start]]-Table1[[#This Row],[Tanggal Pengajuan Dokumen]])</f>
        <v>-63</v>
      </c>
      <c r="FO188" s="444">
        <v>46086</v>
      </c>
      <c r="FP188" s="367"/>
      <c r="FQ188" s="366"/>
      <c r="FR188" s="366"/>
      <c r="FS188" s="366" t="str">
        <f t="shared" si="9"/>
        <v>Sudah Terbit</v>
      </c>
      <c r="FT188"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8" s="387">
        <f ca="1">IF(Table1[[#This Row],[Status Izin]]="Selesai",Table1[[#This Row],[PLAN PERMIT
finish]]-Table1[[#This Row],[Tanggal Terbit/ Target Izin Terbit]],ROUNDUP(Table1[[#This Row],[PLAN PERMIT
finish]]-NOW(),0))</f>
        <v>-221</v>
      </c>
      <c r="FV188"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8" s="387"/>
      <c r="FX188" s="47"/>
      <c r="FY188" s="340"/>
      <c r="FZ188" s="341"/>
      <c r="GA18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8" s="403">
        <v>45818</v>
      </c>
      <c r="GC188" s="409">
        <v>45826</v>
      </c>
      <c r="GD188" s="623"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8" s="403">
        <v>45825</v>
      </c>
      <c r="GF188" s="409" t="s">
        <v>1385</v>
      </c>
      <c r="GG188" s="623"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8" s="403">
        <v>45831</v>
      </c>
      <c r="GI188" s="403">
        <v>45832</v>
      </c>
      <c r="GJ188" s="409">
        <v>45832</v>
      </c>
      <c r="GK188" s="623"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88" s="403">
        <v>45866</v>
      </c>
      <c r="GM188" s="403" t="e">
        <v>#N/A</v>
      </c>
      <c r="GN188" s="403">
        <v>45914</v>
      </c>
      <c r="GO188" s="403" t="e">
        <v>#N/A</v>
      </c>
      <c r="GP188" s="623"/>
      <c r="GQ188" s="623"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8" s="403" t="s">
        <v>261</v>
      </c>
      <c r="GS188" s="403" t="s">
        <v>261</v>
      </c>
      <c r="GT188" s="412"/>
      <c r="GU188" s="410" t="str">
        <f>IF(Table1[[#This Row],[Hydro Tes Actual
(tanggal)]]&lt;&gt;"","Sudah","Belum")</f>
        <v>Belum</v>
      </c>
      <c r="GV188" s="403" t="s">
        <v>261</v>
      </c>
      <c r="GW188" s="403" t="s">
        <v>261</v>
      </c>
      <c r="GX188" s="404"/>
      <c r="GY188" s="410" t="str">
        <f>IF(Table1[[#This Row],[Interkoneksi Actual
(tanggal)]]&lt;&gt;"","Sudah","Belum")</f>
        <v>Belum</v>
      </c>
      <c r="GZ188" s="403" t="s">
        <v>261</v>
      </c>
      <c r="HA188" s="403" t="s">
        <v>261</v>
      </c>
      <c r="HB188" s="404"/>
      <c r="HC188" s="410" t="str">
        <f>IF(Table1[[#This Row],[Flushing Actual
(tanggal)]]&lt;&gt;"","Sudah","Belum")</f>
        <v>Belum</v>
      </c>
      <c r="HD188" s="403">
        <v>45905</v>
      </c>
      <c r="HE188" s="403" t="e">
        <v>#N/A</v>
      </c>
      <c r="HF188" s="403">
        <v>45910</v>
      </c>
      <c r="HG188" s="404"/>
      <c r="HH188" s="623"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88" s="403" t="s">
        <v>261</v>
      </c>
      <c r="HJ188" s="403" t="s">
        <v>261</v>
      </c>
      <c r="HK188" s="404"/>
      <c r="HL188" s="623"/>
      <c r="HM188" s="403">
        <v>45919</v>
      </c>
      <c r="HN188" s="403">
        <v>45919</v>
      </c>
      <c r="HO188" s="611" t="e">
        <v>#N/A</v>
      </c>
      <c r="HP188" s="404"/>
      <c r="HQ188" s="414"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88" s="403">
        <v>45926</v>
      </c>
      <c r="HS188" s="403"/>
      <c r="HT188" s="403">
        <v>45926</v>
      </c>
      <c r="HU188" s="403"/>
      <c r="HV188" s="404"/>
      <c r="HW188" s="4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88" s="47"/>
      <c r="HY188" s="384"/>
      <c r="HZ188" s="384"/>
      <c r="IB188" s="618">
        <f>IFERROR(ROUND((Table1[[#This Row],[PLAN TC
finish]]-Table1[[#This Row],[PLAN MC-0
start]])/30,2),"")</f>
        <v>2.63</v>
      </c>
      <c r="IC188">
        <f>DATEDIF(Table1[[#This Row],[PLAN MC-0
start]],Table1[[#This Row],[PLAN TC
finish]],"m")</f>
        <v>2</v>
      </c>
    </row>
    <row r="189" spans="1:237" s="4" customFormat="1" ht="15" hidden="1" customHeight="1" x14ac:dyDescent="0.2">
      <c r="B189" s="311">
        <f>SUBTOTAL(3,$D$5:D189)</f>
        <v>84</v>
      </c>
      <c r="C189" s="348">
        <v>185</v>
      </c>
      <c r="D189" s="338" t="s">
        <v>244</v>
      </c>
      <c r="E189" s="338" t="s">
        <v>1394</v>
      </c>
      <c r="F189" s="338" t="s">
        <v>1395</v>
      </c>
      <c r="G189" s="349">
        <v>45935</v>
      </c>
      <c r="H189" s="338" t="s">
        <v>681</v>
      </c>
      <c r="I189" s="338" t="s">
        <v>278</v>
      </c>
      <c r="J189" s="315"/>
      <c r="K189" s="338" t="s">
        <v>1165</v>
      </c>
      <c r="L189" s="316" t="s">
        <v>250</v>
      </c>
      <c r="M189" s="316" t="s">
        <v>269</v>
      </c>
      <c r="N189" s="107">
        <v>438</v>
      </c>
      <c r="O189" s="31" t="s">
        <v>252</v>
      </c>
      <c r="P18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9" s="35" t="e">
        <v>#N/A</v>
      </c>
      <c r="S189" s="35">
        <v>1</v>
      </c>
      <c r="T189" s="35">
        <f>Table1[[#This Row],[Progres Total Aktual
(%)]]</f>
        <v>1</v>
      </c>
      <c r="U189" s="124">
        <f>Table1[[#This Row],[Progres Aktual
(%)]]-Table1[[#This Row],[Target Progres
(%)]]</f>
        <v>0</v>
      </c>
      <c r="V189" s="350">
        <f>Table1[[#This Row],["Volume
BA MC-0"]]</f>
        <v>584</v>
      </c>
      <c r="W189" s="351">
        <f>Table1[[#This Row],[Total Panjang Pipa Aktual
(Sum-&gt;)3]]</f>
        <v>438</v>
      </c>
      <c r="X189" s="47"/>
      <c r="Y189" s="67" t="s">
        <v>1396</v>
      </c>
      <c r="Z189" s="67">
        <v>669615923</v>
      </c>
      <c r="AA189" s="67">
        <f>Table1[[#This Row],[Nilai RAB Jaringan
(file pa aji)]]</f>
        <v>669615923</v>
      </c>
      <c r="AB189" s="320">
        <f>SUM(Table1[[#This Row],[RAB Kegiatan Umum]:[RAB Perizinan]])</f>
        <v>0</v>
      </c>
      <c r="AC189" s="320"/>
      <c r="AD189" s="320"/>
      <c r="AE189" s="320"/>
      <c r="AF189" s="320"/>
      <c r="AG189" s="436">
        <v>111673048</v>
      </c>
      <c r="AH189" s="35" t="e">
        <f>SUM(Table1[[#This Row],[Bobot Keg Umum]:[Bobot Perizinan]])</f>
        <v>#DIV/0!</v>
      </c>
      <c r="AI189" s="35" t="e">
        <f>Table1[[#This Row],[RAB Kegiatan Umum]]/Table1[[#This Row],[Nilai RAB Jaringan
(Exclude Ppn)]]</f>
        <v>#DIV/0!</v>
      </c>
      <c r="AJ189" s="35" t="e">
        <f>Table1[[#This Row],[RAB Pemasangan]]/Table1[[#This Row],[Nilai RAB Jaringan
(Exclude Ppn)]]</f>
        <v>#DIV/0!</v>
      </c>
      <c r="AK189" s="35" t="e">
        <f>Table1[[#This Row],[RAB Pengadaan]]/Table1[[#This Row],[Nilai RAB Jaringan
(Exclude Ppn)]]</f>
        <v>#DIV/0!</v>
      </c>
      <c r="AL189" s="35" t="e">
        <f>Table1[[#This Row],[RAB Perizinan]]/Table1[[#This Row],[Nilai RAB Jaringan
(Exclude Ppn)]]</f>
        <v>#DIV/0!</v>
      </c>
      <c r="AM189" s="47"/>
      <c r="AN189" s="285">
        <v>584</v>
      </c>
      <c r="AO189" s="285">
        <f>SUM(Table1[[#This Row],[Pipa 63 mm]:[Pipa 1,800 mm]])</f>
        <v>0</v>
      </c>
      <c r="AP189" s="285"/>
      <c r="AQ189" s="285"/>
      <c r="AR189" s="285"/>
      <c r="AS189" s="285"/>
      <c r="AT189" s="285"/>
      <c r="AU189" s="285"/>
      <c r="AV189" s="285"/>
      <c r="AW189" s="285"/>
      <c r="AX189" s="285"/>
      <c r="AY189" s="285"/>
      <c r="AZ189" s="285"/>
      <c r="BA189" s="285"/>
      <c r="BB189" s="285"/>
      <c r="BC189" s="285"/>
      <c r="BD189" s="285"/>
      <c r="BE189" s="285"/>
      <c r="BF189" s="285"/>
      <c r="BG189" s="285"/>
      <c r="BH189" s="285"/>
      <c r="BI189" s="285"/>
      <c r="BJ189" s="36">
        <f>SUM(Table1[[#This Row],[Pipa 63 mm2]:[Pipa 1,800 mm21]])</f>
        <v>438</v>
      </c>
      <c r="BK189" s="32">
        <v>311.60000000000002</v>
      </c>
      <c r="BL189" s="32">
        <v>126.4</v>
      </c>
      <c r="BM189" s="32"/>
      <c r="BN189" s="32"/>
      <c r="BO189" s="32"/>
      <c r="BP189" s="32"/>
      <c r="BQ189" s="32"/>
      <c r="BR189" s="32"/>
      <c r="BS189" s="32"/>
      <c r="BT189" s="32"/>
      <c r="BU189" s="32"/>
      <c r="BV189" s="32"/>
      <c r="BW189" s="32"/>
      <c r="BX189" s="32"/>
      <c r="BY189" s="32"/>
      <c r="BZ189" s="32"/>
      <c r="CA189" s="32"/>
      <c r="CB189" s="32"/>
      <c r="CC189" s="32"/>
      <c r="CD189" s="32"/>
      <c r="CE189" s="32">
        <v>0</v>
      </c>
      <c r="CF189" s="32">
        <v>0</v>
      </c>
      <c r="CG189" s="32">
        <v>0</v>
      </c>
      <c r="CH189" s="32">
        <v>0</v>
      </c>
      <c r="CI189" s="32">
        <f t="shared" si="10"/>
        <v>0</v>
      </c>
      <c r="CJ189" s="65">
        <f>IF((Table1[[#This Row],["Volume
BA MC-0"]]-Table1[[#This Row],[Total Panjang Pipa Aktual
(Sum-&gt;)3]]-Table1[[#This Row],[Total Volume
tidak dapat dipasang]])&gt;=0,Table1[[#This Row],["Volume
BA MC-0"]]-Table1[[#This Row],[Total Panjang Pipa Aktual
(Sum-&gt;)3]]-Table1[[#This Row],[Total Volume
tidak dapat dipasang]],0)</f>
        <v>146</v>
      </c>
      <c r="CK189" s="47"/>
      <c r="CL189" s="131"/>
      <c r="CM189" s="35"/>
      <c r="CN189" s="131"/>
      <c r="CO189" s="131"/>
      <c r="CP18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9" s="66">
        <f>IFERROR(Table1[[#This Row],[Progres Keg. Umum
(%)]]*Table1[[#This Row],[Nilai RAB Jaringan
(file pa aji)]],0)</f>
        <v>0</v>
      </c>
      <c r="CR189" s="66">
        <f>IFERROR(Table1[[#This Row],[Progres MOS
(%)]]*Table1[[#This Row],[Nilai RAB Jaringan
(file pa aji)]],0)</f>
        <v>0</v>
      </c>
      <c r="CS189" s="66">
        <f>IFERROR(Table1[[#This Row],[Progres Pemasangan
(%)]]*Table1[[#This Row],[Nilai RAB Jaringan
(file pa aji)]],0)</f>
        <v>0</v>
      </c>
      <c r="CT189" s="66">
        <f>IFERROR(Table1[[#This Row],[Progres Perizinan
(%)]]*Table1[[#This Row],[Nilai RAB Jaringan
(file pa aji)]],0)</f>
        <v>0</v>
      </c>
      <c r="CU189" s="329">
        <v>953355399</v>
      </c>
      <c r="CV189" s="329">
        <v>953355399</v>
      </c>
      <c r="CW189" s="583">
        <v>953355399</v>
      </c>
      <c r="CX189" s="329">
        <v>953355399</v>
      </c>
      <c r="CY189" s="47"/>
      <c r="CZ189" s="330">
        <v>45747</v>
      </c>
      <c r="DA189" s="330">
        <v>45774</v>
      </c>
      <c r="DB189" s="331">
        <v>45761</v>
      </c>
      <c r="DC189" s="316" t="s">
        <v>1397</v>
      </c>
      <c r="DD189" s="67">
        <v>669615922</v>
      </c>
      <c r="DE18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9" s="331">
        <v>45771</v>
      </c>
      <c r="DG189" s="316" t="s">
        <v>1398</v>
      </c>
      <c r="DH189" s="67">
        <v>669615922</v>
      </c>
      <c r="DI18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9" s="330">
        <v>45775</v>
      </c>
      <c r="DK189" s="330">
        <v>45816</v>
      </c>
      <c r="DL189" s="331">
        <v>45784</v>
      </c>
      <c r="DM189" s="316" t="s">
        <v>1399</v>
      </c>
      <c r="DN18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9" s="331">
        <v>45831</v>
      </c>
      <c r="DP189" s="316" t="s">
        <v>1400</v>
      </c>
      <c r="DQ189" s="338" t="s">
        <v>312</v>
      </c>
      <c r="DR18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9" s="330">
        <v>45775</v>
      </c>
      <c r="DT189" s="330" t="e">
        <v>#N/A</v>
      </c>
      <c r="DU189" s="330">
        <v>45816</v>
      </c>
      <c r="DV189" s="330" t="e">
        <v>#N/A</v>
      </c>
      <c r="DW189" s="331">
        <v>45783</v>
      </c>
      <c r="DX189" s="316" t="s">
        <v>1401</v>
      </c>
      <c r="DY189" s="334"/>
      <c r="DZ189" s="334"/>
      <c r="EA18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9" s="331">
        <v>46160</v>
      </c>
      <c r="EC189" s="332"/>
      <c r="ED189" s="332"/>
      <c r="EE189" s="330" t="s">
        <v>1402</v>
      </c>
      <c r="EF189" s="35">
        <v>1</v>
      </c>
      <c r="EG189" s="337">
        <v>1</v>
      </c>
      <c r="EH189" s="316" t="str">
        <f>IF(Table1[[#This Row],[PO Material Aktual 
(%)]]&gt;=100%,"Selesai PO = 100%",IF(Table1[[#This Row],[PO Material Aktual 
(%)]]&gt;=50%,"Proses PO &gt; 100%",IF(Table1[[#This Row],[PO Material Aktual 
(%)]]&gt;0%,"Proses PO &gt; 50%",IF(Table1[[#This Row],[PO Material Aktual 
(%)]]=0,"Belum PO = 0%"))))</f>
        <v>Selesai PO = 100%</v>
      </c>
      <c r="EI18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9" s="330">
        <v>45817</v>
      </c>
      <c r="EK189" s="330" t="e">
        <v>#N/A</v>
      </c>
      <c r="EL189" s="330">
        <v>45865</v>
      </c>
      <c r="EM189" s="330" t="e">
        <v>#N/A</v>
      </c>
      <c r="EN189" s="331">
        <v>46091</v>
      </c>
      <c r="EO189" s="332"/>
      <c r="EP189" s="332"/>
      <c r="EQ189" s="87">
        <v>1</v>
      </c>
      <c r="ER189" s="87">
        <v>1</v>
      </c>
      <c r="ES189" s="316" t="str">
        <f>IF(Table1[[#This Row],[Progres MOS]]&gt;=100%,"Selesai MOS = 100%",IF(Table1[[#This Row],[Progres MOS]]&gt;=50%,"Proses MOS &gt; 100%",IF(Table1[[#This Row],[Progres MOS]]&gt;0%,"Proses MOS &gt; 50%",IF(Table1[[#This Row],[Progres MOS]]=0,"Belum MOS = 0%"))))</f>
        <v>Selesai MOS = 100%</v>
      </c>
      <c r="ET18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9" s="47"/>
      <c r="EV189" s="330">
        <v>45775</v>
      </c>
      <c r="EW189" s="330" t="e">
        <v>#N/A</v>
      </c>
      <c r="EX189" s="330">
        <v>45865</v>
      </c>
      <c r="EY189" s="330" t="e">
        <v>#N/A</v>
      </c>
      <c r="EZ189" s="352" t="s">
        <v>298</v>
      </c>
      <c r="FA189" s="336" t="s">
        <v>259</v>
      </c>
      <c r="FB189" s="330" t="s">
        <v>260</v>
      </c>
      <c r="FC189" s="330">
        <v>45838</v>
      </c>
      <c r="FD189" s="330" t="s">
        <v>260</v>
      </c>
      <c r="FE189" s="330">
        <v>45888</v>
      </c>
      <c r="FF189" s="330">
        <v>45944</v>
      </c>
      <c r="FG189" s="330" t="s">
        <v>260</v>
      </c>
      <c r="FH189" s="330" t="s">
        <v>260</v>
      </c>
      <c r="FI189" s="330">
        <v>46010</v>
      </c>
      <c r="FJ189" s="330" t="s">
        <v>260</v>
      </c>
      <c r="FK189" s="330">
        <v>46113</v>
      </c>
      <c r="FL189" s="336" t="s">
        <v>298</v>
      </c>
      <c r="FM189" s="352">
        <v>45838</v>
      </c>
      <c r="FN189" s="338">
        <f>IF(Table1[[#This Row],[Tanggal Pengajuan Dokumen]]="","",Table1[[#This Row],[PLAN PERMIT
start]]-Table1[[#This Row],[Tanggal Pengajuan Dokumen]])</f>
        <v>-63</v>
      </c>
      <c r="FO189" s="437">
        <v>46086</v>
      </c>
      <c r="FP189" s="316"/>
      <c r="FQ189" s="338"/>
      <c r="FR189" s="338"/>
      <c r="FS189" s="338" t="str">
        <f t="shared" si="9"/>
        <v>Sudah Terbit</v>
      </c>
      <c r="FT18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9" s="344">
        <f ca="1">IF(Table1[[#This Row],[Status Izin]]="Selesai",Table1[[#This Row],[PLAN PERMIT
finish]]-Table1[[#This Row],[Tanggal Terbit/ Target Izin Terbit]],ROUNDUP(Table1[[#This Row],[PLAN PERMIT
finish]]-NOW(),0))</f>
        <v>-221</v>
      </c>
      <c r="FV18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9" s="344"/>
      <c r="FX189" s="47"/>
      <c r="FY189" s="340"/>
      <c r="FZ189" s="341"/>
      <c r="GA18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9" s="330">
        <v>45818</v>
      </c>
      <c r="GC189" s="352">
        <v>45826</v>
      </c>
      <c r="GD18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9" s="330">
        <v>45825</v>
      </c>
      <c r="GF189" s="352" t="s">
        <v>1403</v>
      </c>
      <c r="GG18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9" s="330">
        <v>45831</v>
      </c>
      <c r="GI189" s="330">
        <v>45832</v>
      </c>
      <c r="GJ189" s="352">
        <v>45832</v>
      </c>
      <c r="GK189" s="316"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89" s="330">
        <v>45866</v>
      </c>
      <c r="GM189" s="330" t="e">
        <v>#N/A</v>
      </c>
      <c r="GN189" s="330">
        <v>45914</v>
      </c>
      <c r="GO189" s="330" t="e">
        <v>#N/A</v>
      </c>
      <c r="GP189" s="316"/>
      <c r="GQ18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9" s="330" t="s">
        <v>261</v>
      </c>
      <c r="GS189" s="330" t="s">
        <v>261</v>
      </c>
      <c r="GT189" s="354">
        <v>45856</v>
      </c>
      <c r="GU189" s="344" t="str">
        <f>IF(Table1[[#This Row],[Hydro Tes Actual
(tanggal)]]&lt;&gt;"","Sudah","Belum")</f>
        <v>Sudah</v>
      </c>
      <c r="GV189" s="330" t="s">
        <v>261</v>
      </c>
      <c r="GW189" s="330" t="s">
        <v>261</v>
      </c>
      <c r="GX189" s="331">
        <v>45857</v>
      </c>
      <c r="GY189" s="344" t="str">
        <f>IF(Table1[[#This Row],[Interkoneksi Actual
(tanggal)]]&lt;&gt;"","Sudah","Belum")</f>
        <v>Sudah</v>
      </c>
      <c r="GZ189" s="330" t="s">
        <v>261</v>
      </c>
      <c r="HA189" s="330" t="s">
        <v>261</v>
      </c>
      <c r="HB189" s="331">
        <v>45862</v>
      </c>
      <c r="HC189" s="344" t="str">
        <f>IF(Table1[[#This Row],[Flushing Actual
(tanggal)]]&lt;&gt;"","Sudah","Belum")</f>
        <v>Sudah</v>
      </c>
      <c r="HD189" s="330">
        <v>45905</v>
      </c>
      <c r="HE189" s="330" t="e">
        <v>#N/A</v>
      </c>
      <c r="HF189" s="330">
        <v>45910</v>
      </c>
      <c r="HG189" s="331">
        <v>45870</v>
      </c>
      <c r="HH18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9" s="330" t="s">
        <v>261</v>
      </c>
      <c r="HJ189" s="330" t="s">
        <v>261</v>
      </c>
      <c r="HK189" s="331"/>
      <c r="HL189" s="316"/>
      <c r="HM189" s="330">
        <v>45919</v>
      </c>
      <c r="HN189" s="330">
        <v>45919</v>
      </c>
      <c r="HO189" s="330" t="e">
        <v>#N/A</v>
      </c>
      <c r="HP189" s="331">
        <v>45870</v>
      </c>
      <c r="HQ18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189" s="330">
        <v>45926</v>
      </c>
      <c r="HS189" s="330"/>
      <c r="HT189" s="330">
        <v>45926</v>
      </c>
      <c r="HU189" s="527"/>
      <c r="HV189" s="331">
        <v>45931</v>
      </c>
      <c r="HW18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89" s="47"/>
      <c r="HY189" s="352"/>
      <c r="HZ189" s="352"/>
      <c r="IB189" s="618">
        <f>IFERROR(ROUND((Table1[[#This Row],[PLAN TC
finish]]-Table1[[#This Row],[PLAN MC-0
start]])/30,2),"")</f>
        <v>2.63</v>
      </c>
      <c r="IC189">
        <f>DATEDIF(Table1[[#This Row],[PLAN MC-0
start]],Table1[[#This Row],[PLAN TC
finish]],"m")</f>
        <v>2</v>
      </c>
    </row>
    <row r="190" spans="1:237" s="252" customFormat="1" ht="15" hidden="1" customHeight="1" x14ac:dyDescent="0.2">
      <c r="B190" s="311">
        <f>SUBTOTAL(3,$D$5:D190)</f>
        <v>84</v>
      </c>
      <c r="C190" s="362">
        <v>186</v>
      </c>
      <c r="D190" s="400" t="s">
        <v>244</v>
      </c>
      <c r="E190" s="400" t="s">
        <v>1404</v>
      </c>
      <c r="F190" s="400" t="s">
        <v>1405</v>
      </c>
      <c r="G190" s="398">
        <v>45935</v>
      </c>
      <c r="H190" s="400" t="s">
        <v>681</v>
      </c>
      <c r="I190" s="366" t="s">
        <v>278</v>
      </c>
      <c r="J190" s="320" t="s">
        <v>389</v>
      </c>
      <c r="K190" s="366" t="s">
        <v>1165</v>
      </c>
      <c r="L190" s="367" t="s">
        <v>250</v>
      </c>
      <c r="M190" s="623" t="s">
        <v>269</v>
      </c>
      <c r="N190" s="253">
        <v>856</v>
      </c>
      <c r="O190" s="254" t="s">
        <v>252</v>
      </c>
      <c r="P190"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0" s="320" t="s">
        <v>389</v>
      </c>
      <c r="R190" s="371" t="e">
        <v>#N/A</v>
      </c>
      <c r="S190" s="256">
        <v>1</v>
      </c>
      <c r="T190" s="256">
        <f>Table1[[#This Row],[Progres Total Aktual
(%)]]</f>
        <v>0</v>
      </c>
      <c r="U190" s="257">
        <f>Table1[[#This Row],[Progres Aktual
(%)]]-Table1[[#This Row],[Target Progres
(%)]]</f>
        <v>-1</v>
      </c>
      <c r="V190" s="258">
        <f>Table1[[#This Row],["Volume
BA MC-0"]]</f>
        <v>815</v>
      </c>
      <c r="W190" s="259">
        <f>Table1[[#This Row],[Total Panjang Pipa Aktual
(Sum-&gt;)3]]</f>
        <v>0</v>
      </c>
      <c r="X190" s="267"/>
      <c r="Y190" s="375" t="s">
        <v>1406</v>
      </c>
      <c r="Z190" s="375">
        <v>1682806890</v>
      </c>
      <c r="AA190" s="375">
        <f>Table1[[#This Row],[Nilai RAB Jaringan
(file pa aji)]]</f>
        <v>1682806890</v>
      </c>
      <c r="AB190" s="370">
        <f>SUM(Table1[[#This Row],[RAB Kegiatan Umum]:[RAB Perizinan]])</f>
        <v>0</v>
      </c>
      <c r="AC190" s="370"/>
      <c r="AD190" s="370"/>
      <c r="AE190" s="370"/>
      <c r="AF190" s="370"/>
      <c r="AG190" s="439">
        <v>210703863</v>
      </c>
      <c r="AH190" s="371" t="e">
        <f>SUM(Table1[[#This Row],[Bobot Keg Umum]:[Bobot Perizinan]])</f>
        <v>#DIV/0!</v>
      </c>
      <c r="AI190" s="371" t="e">
        <f>Table1[[#This Row],[RAB Kegiatan Umum]]/Table1[[#This Row],[Nilai RAB Jaringan
(Exclude Ppn)]]</f>
        <v>#DIV/0!</v>
      </c>
      <c r="AJ190" s="371" t="e">
        <f>Table1[[#This Row],[RAB Pemasangan]]/Table1[[#This Row],[Nilai RAB Jaringan
(Exclude Ppn)]]</f>
        <v>#DIV/0!</v>
      </c>
      <c r="AK190" s="371" t="e">
        <f>Table1[[#This Row],[RAB Pengadaan]]/Table1[[#This Row],[Nilai RAB Jaringan
(Exclude Ppn)]]</f>
        <v>#DIV/0!</v>
      </c>
      <c r="AL190" s="371" t="e">
        <f>Table1[[#This Row],[RAB Perizinan]]/Table1[[#This Row],[Nilai RAB Jaringan
(Exclude Ppn)]]</f>
        <v>#DIV/0!</v>
      </c>
      <c r="AM190" s="47"/>
      <c r="AN190" s="376">
        <v>815</v>
      </c>
      <c r="AO190" s="376">
        <f>SUM(Table1[[#This Row],[Pipa 63 mm]:[Pipa 1,800 mm]])</f>
        <v>0</v>
      </c>
      <c r="AP190" s="376"/>
      <c r="AQ190" s="376"/>
      <c r="AR190" s="376"/>
      <c r="AS190" s="376"/>
      <c r="AT190" s="376"/>
      <c r="AU190" s="376"/>
      <c r="AV190" s="376"/>
      <c r="AW190" s="376"/>
      <c r="AX190" s="376"/>
      <c r="AY190" s="376"/>
      <c r="AZ190" s="376"/>
      <c r="BA190" s="376"/>
      <c r="BB190" s="376"/>
      <c r="BC190" s="376"/>
      <c r="BD190" s="376"/>
      <c r="BE190" s="376"/>
      <c r="BF190" s="376"/>
      <c r="BG190" s="376"/>
      <c r="BH190" s="376"/>
      <c r="BI190" s="376"/>
      <c r="BJ190" s="377">
        <f>SUM(Table1[[#This Row],[Pipa 63 mm2]:[Pipa 1,800 mm21]])</f>
        <v>0</v>
      </c>
      <c r="BK190" s="378"/>
      <c r="BL190" s="378"/>
      <c r="BM190" s="378"/>
      <c r="BN190" s="378"/>
      <c r="BO190" s="378"/>
      <c r="BP190" s="378"/>
      <c r="BQ190" s="378"/>
      <c r="BR190" s="378"/>
      <c r="BS190" s="378"/>
      <c r="BT190" s="378"/>
      <c r="BU190" s="378"/>
      <c r="BV190" s="378"/>
      <c r="BW190" s="378"/>
      <c r="BX190" s="378"/>
      <c r="BY190" s="378"/>
      <c r="BZ190" s="378"/>
      <c r="CA190" s="378"/>
      <c r="CB190" s="378"/>
      <c r="CC190" s="378"/>
      <c r="CD190" s="378"/>
      <c r="CE190" s="378">
        <v>0</v>
      </c>
      <c r="CF190" s="378">
        <v>0</v>
      </c>
      <c r="CG190" s="378">
        <v>0</v>
      </c>
      <c r="CH190" s="378">
        <v>0</v>
      </c>
      <c r="CI190" s="378">
        <f t="shared" si="10"/>
        <v>0</v>
      </c>
      <c r="CJ190" s="440">
        <f>IF((Table1[[#This Row],["Volume
BA MC-0"]]-Table1[[#This Row],[Total Panjang Pipa Aktual
(Sum-&gt;)3]]-Table1[[#This Row],[Total Volume
tidak dapat dipasang]])&gt;=0,Table1[[#This Row],["Volume
BA MC-0"]]-Table1[[#This Row],[Total Panjang Pipa Aktual
(Sum-&gt;)3]]-Table1[[#This Row],[Total Volume
tidak dapat dipasang]],0)</f>
        <v>815</v>
      </c>
      <c r="CK190" s="47"/>
      <c r="CL190" s="379"/>
      <c r="CM190" s="371"/>
      <c r="CN190" s="379"/>
      <c r="CO190" s="379"/>
      <c r="CP190"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90" s="380">
        <f>IFERROR(Table1[[#This Row],[Progres Keg. Umum
(%)]]*Table1[[#This Row],[Nilai RAB Jaringan
(file pa aji)]],0)</f>
        <v>0</v>
      </c>
      <c r="CR190" s="380">
        <f>IFERROR(Table1[[#This Row],[Progres MOS
(%)]]*Table1[[#This Row],[Nilai RAB Jaringan
(file pa aji)]],0)</f>
        <v>0</v>
      </c>
      <c r="CS190" s="380">
        <f>IFERROR(Table1[[#This Row],[Progres Pemasangan
(%)]]*Table1[[#This Row],[Nilai RAB Jaringan
(file pa aji)]],0)</f>
        <v>0</v>
      </c>
      <c r="CT190" s="380">
        <f>IFERROR(Table1[[#This Row],[Progres Perizinan
(%)]]*Table1[[#This Row],[Nilai RAB Jaringan
(file pa aji)]],0)</f>
        <v>0</v>
      </c>
      <c r="CU190" s="329">
        <v>0</v>
      </c>
      <c r="CV190" s="329">
        <v>0</v>
      </c>
      <c r="CW190" s="582">
        <v>0</v>
      </c>
      <c r="CX190" s="329">
        <v>0</v>
      </c>
      <c r="CY190" s="47"/>
      <c r="CZ190" s="386">
        <v>45747</v>
      </c>
      <c r="DA190" s="386">
        <v>45774</v>
      </c>
      <c r="DB190" s="388">
        <v>45755</v>
      </c>
      <c r="DC190" s="367" t="s">
        <v>1407</v>
      </c>
      <c r="DD190" s="375">
        <v>1682806890</v>
      </c>
      <c r="DE19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0" s="388">
        <v>45763</v>
      </c>
      <c r="DG190" s="367" t="s">
        <v>1408</v>
      </c>
      <c r="DH190" s="375">
        <v>1682806890</v>
      </c>
      <c r="DI190"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0" s="386">
        <v>45775</v>
      </c>
      <c r="DK190" s="386">
        <v>45816</v>
      </c>
      <c r="DL190" s="388">
        <v>45783</v>
      </c>
      <c r="DM190" s="367" t="s">
        <v>1409</v>
      </c>
      <c r="DN190" s="3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0" s="388">
        <v>45867</v>
      </c>
      <c r="DP190" s="367" t="s">
        <v>1410</v>
      </c>
      <c r="DQ190" s="366" t="s">
        <v>371</v>
      </c>
      <c r="DR190" s="3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0" s="386">
        <v>45775</v>
      </c>
      <c r="DT190" s="386" t="e">
        <v>#N/A</v>
      </c>
      <c r="DU190" s="386">
        <v>45816</v>
      </c>
      <c r="DV190" s="386" t="e">
        <v>#N/A</v>
      </c>
      <c r="DW190" s="388">
        <v>46008</v>
      </c>
      <c r="DX190" s="367" t="s">
        <v>1411</v>
      </c>
      <c r="DY190" s="382"/>
      <c r="DZ190" s="382"/>
      <c r="EA190" s="3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90" s="388"/>
      <c r="EC190" s="442"/>
      <c r="ED190" s="442"/>
      <c r="EE190" s="386"/>
      <c r="EF190" s="371">
        <v>0.92307692307692313</v>
      </c>
      <c r="EG190" s="383">
        <v>0.92307692307692313</v>
      </c>
      <c r="EH190" s="367" t="str">
        <f>IF(Table1[[#This Row],[PO Material Aktual 
(%)]]&gt;=100%,"Selesai PO = 100%",IF(Table1[[#This Row],[PO Material Aktual 
(%)]]&gt;=50%,"Proses PO &gt; 100%",IF(Table1[[#This Row],[PO Material Aktual 
(%)]]&gt;0%,"Proses PO &gt; 50%",IF(Table1[[#This Row],[PO Material Aktual 
(%)]]=0,"Belum PO = 0%"))))</f>
        <v>Proses PO &gt; 100%</v>
      </c>
      <c r="EI190"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0" s="386">
        <v>45817</v>
      </c>
      <c r="EK190" s="386" t="e">
        <v>#N/A</v>
      </c>
      <c r="EL190" s="386">
        <v>45865</v>
      </c>
      <c r="EM190" s="386" t="e">
        <v>#N/A</v>
      </c>
      <c r="EN190" s="388"/>
      <c r="EO190" s="442"/>
      <c r="EP190" s="442"/>
      <c r="EQ190" s="88">
        <v>0.86842105263157898</v>
      </c>
      <c r="ER190" s="88">
        <v>0.86842105263157898</v>
      </c>
      <c r="ES190" s="367" t="str">
        <f>IF(Table1[[#This Row],[Progres MOS]]&gt;=100%,"Selesai MOS = 100%",IF(Table1[[#This Row],[Progres MOS]]&gt;=50%,"Proses MOS &gt; 100%",IF(Table1[[#This Row],[Progres MOS]]&gt;0%,"Proses MOS &gt; 50%",IF(Table1[[#This Row],[Progres MOS]]=0,"Belum MOS = 0%"))))</f>
        <v>Proses MOS &gt; 100%</v>
      </c>
      <c r="ET19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0" s="47"/>
      <c r="EV190" s="386">
        <v>45775</v>
      </c>
      <c r="EW190" s="386" t="e">
        <v>#N/A</v>
      </c>
      <c r="EX190" s="386">
        <v>45865</v>
      </c>
      <c r="EY190" s="386" t="e">
        <v>#N/A</v>
      </c>
      <c r="EZ190" s="384" t="s">
        <v>298</v>
      </c>
      <c r="FA190" s="443" t="s">
        <v>259</v>
      </c>
      <c r="FB190" s="386" t="s">
        <v>260</v>
      </c>
      <c r="FC190" s="330">
        <v>45838</v>
      </c>
      <c r="FD190" s="386" t="s">
        <v>260</v>
      </c>
      <c r="FE190" s="386">
        <v>45888</v>
      </c>
      <c r="FF190" s="386">
        <v>45944</v>
      </c>
      <c r="FG190" s="386" t="s">
        <v>260</v>
      </c>
      <c r="FH190" s="386" t="s">
        <v>260</v>
      </c>
      <c r="FI190" s="386">
        <v>46010</v>
      </c>
      <c r="FJ190" s="386" t="s">
        <v>260</v>
      </c>
      <c r="FK190" s="386">
        <v>46113</v>
      </c>
      <c r="FL190" s="443" t="s">
        <v>298</v>
      </c>
      <c r="FM190" s="384">
        <v>45838</v>
      </c>
      <c r="FN190" s="366">
        <f>IF(Table1[[#This Row],[Tanggal Pengajuan Dokumen]]="","",Table1[[#This Row],[PLAN PERMIT
start]]-Table1[[#This Row],[Tanggal Pengajuan Dokumen]])</f>
        <v>-63</v>
      </c>
      <c r="FO190" s="444">
        <v>46086</v>
      </c>
      <c r="FP190" s="367"/>
      <c r="FQ190" s="366"/>
      <c r="FR190" s="366"/>
      <c r="FS190" s="366" t="str">
        <f t="shared" si="9"/>
        <v>Sudah Terbit</v>
      </c>
      <c r="FT190"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0" s="387">
        <f ca="1">IF(Table1[[#This Row],[Status Izin]]="Selesai",Table1[[#This Row],[PLAN PERMIT
finish]]-Table1[[#This Row],[Tanggal Terbit/ Target Izin Terbit]],ROUNDUP(Table1[[#This Row],[PLAN PERMIT
finish]]-NOW(),0))</f>
        <v>-221</v>
      </c>
      <c r="FV190"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0" s="387"/>
      <c r="FX190" s="47"/>
      <c r="FY190" s="340"/>
      <c r="FZ190" s="341"/>
      <c r="GA19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0" s="403">
        <v>45818</v>
      </c>
      <c r="GC190" s="409">
        <v>45826</v>
      </c>
      <c r="GD190" s="623"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0" s="403">
        <v>45825</v>
      </c>
      <c r="GF190" s="409" t="s">
        <v>1385</v>
      </c>
      <c r="GG190" s="623"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0" s="403">
        <v>45831</v>
      </c>
      <c r="GI190" s="403">
        <v>45832</v>
      </c>
      <c r="GJ190" s="409">
        <v>45827</v>
      </c>
      <c r="GK190" s="623"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0" s="403">
        <v>45866</v>
      </c>
      <c r="GM190" s="403" t="e">
        <v>#N/A</v>
      </c>
      <c r="GN190" s="403">
        <v>45914</v>
      </c>
      <c r="GO190" s="403" t="e">
        <v>#N/A</v>
      </c>
      <c r="GP190" s="623"/>
      <c r="GQ190" s="623"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0" s="403" t="s">
        <v>261</v>
      </c>
      <c r="GS190" s="403" t="s">
        <v>261</v>
      </c>
      <c r="GT190" s="412"/>
      <c r="GU190" s="410" t="str">
        <f>IF(Table1[[#This Row],[Hydro Tes Actual
(tanggal)]]&lt;&gt;"","Sudah","Belum")</f>
        <v>Belum</v>
      </c>
      <c r="GV190" s="403" t="s">
        <v>261</v>
      </c>
      <c r="GW190" s="403" t="s">
        <v>261</v>
      </c>
      <c r="GX190" s="404"/>
      <c r="GY190" s="410" t="str">
        <f>IF(Table1[[#This Row],[Interkoneksi Actual
(tanggal)]]&lt;&gt;"","Sudah","Belum")</f>
        <v>Belum</v>
      </c>
      <c r="GZ190" s="403" t="s">
        <v>261</v>
      </c>
      <c r="HA190" s="403" t="s">
        <v>261</v>
      </c>
      <c r="HB190" s="404"/>
      <c r="HC190" s="410" t="str">
        <f>IF(Table1[[#This Row],[Flushing Actual
(tanggal)]]&lt;&gt;"","Sudah","Belum")</f>
        <v>Belum</v>
      </c>
      <c r="HD190" s="403">
        <v>45905</v>
      </c>
      <c r="HE190" s="403" t="e">
        <v>#N/A</v>
      </c>
      <c r="HF190" s="403">
        <v>45910</v>
      </c>
      <c r="HG190" s="404"/>
      <c r="HH190" s="623"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90" s="403" t="s">
        <v>261</v>
      </c>
      <c r="HJ190" s="403" t="s">
        <v>261</v>
      </c>
      <c r="HK190" s="404"/>
      <c r="HL190" s="623"/>
      <c r="HM190" s="403">
        <v>45919</v>
      </c>
      <c r="HN190" s="403">
        <v>45919</v>
      </c>
      <c r="HO190" s="611" t="e">
        <v>#N/A</v>
      </c>
      <c r="HP190" s="404"/>
      <c r="HQ190" s="414"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90" s="403">
        <v>45926</v>
      </c>
      <c r="HS190" s="403"/>
      <c r="HT190" s="403">
        <v>45926</v>
      </c>
      <c r="HU190" s="403"/>
      <c r="HV190" s="404"/>
      <c r="HW190" s="4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90" s="47"/>
      <c r="HY190" s="384"/>
      <c r="HZ190" s="384"/>
      <c r="IB190" s="618">
        <f>IFERROR(ROUND((Table1[[#This Row],[PLAN TC
finish]]-Table1[[#This Row],[PLAN MC-0
start]])/30,2),"")</f>
        <v>2.63</v>
      </c>
      <c r="IC190">
        <f>DATEDIF(Table1[[#This Row],[PLAN MC-0
start]],Table1[[#This Row],[PLAN TC
finish]],"m")</f>
        <v>2</v>
      </c>
    </row>
    <row r="191" spans="1:237" s="4" customFormat="1" ht="15" hidden="1" customHeight="1" x14ac:dyDescent="0.2">
      <c r="B191" s="311">
        <f>SUBTOTAL(3,$D$5:D191)</f>
        <v>84</v>
      </c>
      <c r="C191" s="348">
        <v>187</v>
      </c>
      <c r="D191" s="338" t="s">
        <v>244</v>
      </c>
      <c r="E191" s="338" t="s">
        <v>1412</v>
      </c>
      <c r="F191" s="338" t="s">
        <v>1413</v>
      </c>
      <c r="G191" s="349">
        <v>45935</v>
      </c>
      <c r="H191" s="338" t="s">
        <v>681</v>
      </c>
      <c r="I191" s="338" t="s">
        <v>278</v>
      </c>
      <c r="J191" s="315"/>
      <c r="K191" s="338" t="s">
        <v>1165</v>
      </c>
      <c r="L191" s="316" t="s">
        <v>250</v>
      </c>
      <c r="M191" s="316" t="s">
        <v>269</v>
      </c>
      <c r="N191" s="107">
        <v>973</v>
      </c>
      <c r="O191" s="31" t="s">
        <v>252</v>
      </c>
      <c r="P19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1" s="35" t="e">
        <v>#N/A</v>
      </c>
      <c r="S191" s="35">
        <v>1</v>
      </c>
      <c r="T191" s="35">
        <f>Table1[[#This Row],[Progres Total Aktual
(%)]]</f>
        <v>1</v>
      </c>
      <c r="U191" s="124">
        <f>Table1[[#This Row],[Progres Aktual
(%)]]-Table1[[#This Row],[Target Progres
(%)]]</f>
        <v>0</v>
      </c>
      <c r="V191" s="350">
        <f>Table1[[#This Row],["Volume
BA MC-0"]]</f>
        <v>1096</v>
      </c>
      <c r="W191" s="351">
        <f>Table1[[#This Row],[Total Panjang Pipa Aktual
(Sum-&gt;)3]]</f>
        <v>1075.4000000000001</v>
      </c>
      <c r="X191" s="47"/>
      <c r="Y191" s="67" t="s">
        <v>1414</v>
      </c>
      <c r="Z191" s="67">
        <v>1596658844</v>
      </c>
      <c r="AA191" s="67">
        <f>Table1[[#This Row],[Nilai RAB Jaringan
(file pa aji)]]</f>
        <v>1596658844</v>
      </c>
      <c r="AB191" s="320">
        <f>SUM(Table1[[#This Row],[RAB Kegiatan Umum]:[RAB Perizinan]])</f>
        <v>0</v>
      </c>
      <c r="AC191" s="320"/>
      <c r="AD191" s="320"/>
      <c r="AE191" s="320"/>
      <c r="AF191" s="320"/>
      <c r="AG191" s="436">
        <v>99030816</v>
      </c>
      <c r="AH191" s="35" t="e">
        <f>SUM(Table1[[#This Row],[Bobot Keg Umum]:[Bobot Perizinan]])</f>
        <v>#DIV/0!</v>
      </c>
      <c r="AI191" s="35" t="e">
        <f>Table1[[#This Row],[RAB Kegiatan Umum]]/Table1[[#This Row],[Nilai RAB Jaringan
(Exclude Ppn)]]</f>
        <v>#DIV/0!</v>
      </c>
      <c r="AJ191" s="35" t="e">
        <f>Table1[[#This Row],[RAB Pemasangan]]/Table1[[#This Row],[Nilai RAB Jaringan
(Exclude Ppn)]]</f>
        <v>#DIV/0!</v>
      </c>
      <c r="AK191" s="35" t="e">
        <f>Table1[[#This Row],[RAB Pengadaan]]/Table1[[#This Row],[Nilai RAB Jaringan
(Exclude Ppn)]]</f>
        <v>#DIV/0!</v>
      </c>
      <c r="AL191" s="35" t="e">
        <f>Table1[[#This Row],[RAB Perizinan]]/Table1[[#This Row],[Nilai RAB Jaringan
(Exclude Ppn)]]</f>
        <v>#DIV/0!</v>
      </c>
      <c r="AM191" s="47"/>
      <c r="AN191" s="285">
        <v>1096</v>
      </c>
      <c r="AO191" s="285">
        <f>SUM(Table1[[#This Row],[Pipa 63 mm]:[Pipa 1,800 mm]])</f>
        <v>0</v>
      </c>
      <c r="AP191" s="285"/>
      <c r="AQ191" s="285"/>
      <c r="AR191" s="285"/>
      <c r="AS191" s="285"/>
      <c r="AT191" s="285"/>
      <c r="AU191" s="285"/>
      <c r="AV191" s="285"/>
      <c r="AW191" s="285"/>
      <c r="AX191" s="285"/>
      <c r="AY191" s="285"/>
      <c r="AZ191" s="285"/>
      <c r="BA191" s="285"/>
      <c r="BB191" s="285"/>
      <c r="BC191" s="285"/>
      <c r="BD191" s="285"/>
      <c r="BE191" s="285"/>
      <c r="BF191" s="285"/>
      <c r="BG191" s="285"/>
      <c r="BH191" s="285"/>
      <c r="BI191" s="285"/>
      <c r="BJ191" s="36">
        <f>SUM(Table1[[#This Row],[Pipa 63 mm2]:[Pipa 1,800 mm21]])</f>
        <v>1075.4000000000001</v>
      </c>
      <c r="BK191" s="32">
        <v>789.8</v>
      </c>
      <c r="BL191" s="32">
        <v>285.60000000000002</v>
      </c>
      <c r="BM191" s="32"/>
      <c r="BN191" s="32"/>
      <c r="BO191" s="32"/>
      <c r="BP191" s="32"/>
      <c r="BQ191" s="32"/>
      <c r="BR191" s="32"/>
      <c r="BS191" s="32"/>
      <c r="BT191" s="32"/>
      <c r="BU191" s="32"/>
      <c r="BV191" s="32"/>
      <c r="BW191" s="32"/>
      <c r="BX191" s="32"/>
      <c r="BY191" s="32"/>
      <c r="BZ191" s="32"/>
      <c r="CA191" s="32"/>
      <c r="CB191" s="32"/>
      <c r="CC191" s="32"/>
      <c r="CD191" s="32"/>
      <c r="CE191" s="32">
        <v>0</v>
      </c>
      <c r="CF191" s="32">
        <v>0</v>
      </c>
      <c r="CG191" s="32">
        <v>0</v>
      </c>
      <c r="CH191" s="32">
        <v>0</v>
      </c>
      <c r="CI191" s="32">
        <f t="shared" si="10"/>
        <v>0</v>
      </c>
      <c r="CJ191" s="65">
        <f>IF((Table1[[#This Row],["Volume
BA MC-0"]]-Table1[[#This Row],[Total Panjang Pipa Aktual
(Sum-&gt;)3]]-Table1[[#This Row],[Total Volume
tidak dapat dipasang]])&gt;=0,Table1[[#This Row],["Volume
BA MC-0"]]-Table1[[#This Row],[Total Panjang Pipa Aktual
(Sum-&gt;)3]]-Table1[[#This Row],[Total Volume
tidak dapat dipasang]],0)</f>
        <v>20.599999999999909</v>
      </c>
      <c r="CK191" s="47"/>
      <c r="CL191" s="131"/>
      <c r="CM191" s="35"/>
      <c r="CN191" s="131"/>
      <c r="CO191" s="131"/>
      <c r="CP19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1" s="66">
        <f>IFERROR(Table1[[#This Row],[Progres Keg. Umum
(%)]]*Table1[[#This Row],[Nilai RAB Jaringan
(file pa aji)]],0)</f>
        <v>0</v>
      </c>
      <c r="CR191" s="66">
        <f>IFERROR(Table1[[#This Row],[Progres MOS
(%)]]*Table1[[#This Row],[Nilai RAB Jaringan
(file pa aji)]],0)</f>
        <v>0</v>
      </c>
      <c r="CS191" s="66">
        <f>IFERROR(Table1[[#This Row],[Progres Pemasangan
(%)]]*Table1[[#This Row],[Nilai RAB Jaringan
(file pa aji)]],0)</f>
        <v>0</v>
      </c>
      <c r="CT191" s="66">
        <f>IFERROR(Table1[[#This Row],[Progres Perizinan
(%)]]*Table1[[#This Row],[Nilai RAB Jaringan
(file pa aji)]],0)</f>
        <v>0</v>
      </c>
      <c r="CU191" s="329">
        <v>1603606536</v>
      </c>
      <c r="CV191" s="329">
        <v>1603606536</v>
      </c>
      <c r="CW191" s="583">
        <v>1603606536</v>
      </c>
      <c r="CX191" s="329">
        <v>1603606536</v>
      </c>
      <c r="CY191" s="47"/>
      <c r="CZ191" s="330">
        <v>45747</v>
      </c>
      <c r="DA191" s="330">
        <v>45774</v>
      </c>
      <c r="DB191" s="331">
        <v>45757</v>
      </c>
      <c r="DC191" s="316" t="s">
        <v>1415</v>
      </c>
      <c r="DD191" s="67">
        <v>1596658844</v>
      </c>
      <c r="DE19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1" s="331">
        <v>45783</v>
      </c>
      <c r="DG191" s="316" t="s">
        <v>1416</v>
      </c>
      <c r="DH191" s="67">
        <v>1596658844</v>
      </c>
      <c r="DI19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91" s="330">
        <v>45775</v>
      </c>
      <c r="DK191" s="330">
        <v>45816</v>
      </c>
      <c r="DL191" s="331">
        <v>45797</v>
      </c>
      <c r="DM191" s="316" t="s">
        <v>1417</v>
      </c>
      <c r="DN19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1" s="331">
        <v>45831</v>
      </c>
      <c r="DP191" s="316" t="s">
        <v>1418</v>
      </c>
      <c r="DQ191" s="338" t="s">
        <v>312</v>
      </c>
      <c r="DR19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1" s="330">
        <v>45775</v>
      </c>
      <c r="DT191" s="330" t="e">
        <v>#N/A</v>
      </c>
      <c r="DU191" s="330">
        <v>45816</v>
      </c>
      <c r="DV191" s="330" t="e">
        <v>#N/A</v>
      </c>
      <c r="DW191" s="331">
        <v>45797</v>
      </c>
      <c r="DX191" s="316" t="s">
        <v>1419</v>
      </c>
      <c r="DY191" s="334"/>
      <c r="DZ191" s="334"/>
      <c r="EA19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1" s="331">
        <v>46038</v>
      </c>
      <c r="EC191" s="332"/>
      <c r="ED191" s="332"/>
      <c r="EE191" s="330" t="s">
        <v>1420</v>
      </c>
      <c r="EF191" s="35">
        <v>1</v>
      </c>
      <c r="EG191" s="337">
        <v>1</v>
      </c>
      <c r="EH191" s="316" t="str">
        <f>IF(Table1[[#This Row],[PO Material Aktual 
(%)]]&gt;=100%,"Selesai PO = 100%",IF(Table1[[#This Row],[PO Material Aktual 
(%)]]&gt;=50%,"Proses PO &gt; 100%",IF(Table1[[#This Row],[PO Material Aktual 
(%)]]&gt;0%,"Proses PO &gt; 50%",IF(Table1[[#This Row],[PO Material Aktual 
(%)]]=0,"Belum PO = 0%"))))</f>
        <v>Selesai PO = 100%</v>
      </c>
      <c r="EI19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1" s="330">
        <v>45817</v>
      </c>
      <c r="EK191" s="330" t="e">
        <v>#N/A</v>
      </c>
      <c r="EL191" s="330">
        <v>45865</v>
      </c>
      <c r="EM191" s="330" t="e">
        <v>#N/A</v>
      </c>
      <c r="EN191" s="331">
        <v>46151</v>
      </c>
      <c r="EO191" s="332"/>
      <c r="EP191" s="332"/>
      <c r="EQ191" s="87">
        <v>1</v>
      </c>
      <c r="ER191" s="87">
        <v>1</v>
      </c>
      <c r="ES191" s="316" t="str">
        <f>IF(Table1[[#This Row],[Progres MOS]]&gt;=100%,"Selesai MOS = 100%",IF(Table1[[#This Row],[Progres MOS]]&gt;=50%,"Proses MOS &gt; 100%",IF(Table1[[#This Row],[Progres MOS]]&gt;0%,"Proses MOS &gt; 50%",IF(Table1[[#This Row],[Progres MOS]]=0,"Belum MOS = 0%"))))</f>
        <v>Selesai MOS = 100%</v>
      </c>
      <c r="ET19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1" s="47"/>
      <c r="EV191" s="330">
        <v>45775</v>
      </c>
      <c r="EW191" s="330" t="e">
        <v>#N/A</v>
      </c>
      <c r="EX191" s="330">
        <v>45865</v>
      </c>
      <c r="EY191" s="330" t="e">
        <v>#N/A</v>
      </c>
      <c r="EZ191" s="352" t="s">
        <v>298</v>
      </c>
      <c r="FA191" s="336" t="s">
        <v>259</v>
      </c>
      <c r="FB191" s="330" t="s">
        <v>260</v>
      </c>
      <c r="FC191" s="330">
        <v>45838</v>
      </c>
      <c r="FD191" s="330" t="s">
        <v>260</v>
      </c>
      <c r="FE191" s="330">
        <v>45888</v>
      </c>
      <c r="FF191" s="330">
        <v>45944</v>
      </c>
      <c r="FG191" s="330" t="s">
        <v>260</v>
      </c>
      <c r="FH191" s="330" t="s">
        <v>260</v>
      </c>
      <c r="FI191" s="330">
        <v>46010</v>
      </c>
      <c r="FJ191" s="330" t="s">
        <v>260</v>
      </c>
      <c r="FK191" s="330">
        <v>46113</v>
      </c>
      <c r="FL191" s="336" t="s">
        <v>298</v>
      </c>
      <c r="FM191" s="352">
        <v>45838</v>
      </c>
      <c r="FN191" s="338">
        <f>IF(Table1[[#This Row],[Tanggal Pengajuan Dokumen]]="","",Table1[[#This Row],[PLAN PERMIT
start]]-Table1[[#This Row],[Tanggal Pengajuan Dokumen]])</f>
        <v>-63</v>
      </c>
      <c r="FO191" s="437">
        <v>46086</v>
      </c>
      <c r="FP191" s="316"/>
      <c r="FQ191" s="338"/>
      <c r="FR191" s="338"/>
      <c r="FS191" s="338" t="str">
        <f t="shared" si="9"/>
        <v>Sudah Terbit</v>
      </c>
      <c r="FT19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1" s="344">
        <f ca="1">IF(Table1[[#This Row],[Status Izin]]="Selesai",Table1[[#This Row],[PLAN PERMIT
finish]]-Table1[[#This Row],[Tanggal Terbit/ Target Izin Terbit]],ROUNDUP(Table1[[#This Row],[PLAN PERMIT
finish]]-NOW(),0))</f>
        <v>-221</v>
      </c>
      <c r="FV19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1" s="344"/>
      <c r="FX191" s="47"/>
      <c r="FY191" s="340"/>
      <c r="FZ191" s="341"/>
      <c r="GA19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1" s="330">
        <v>45818</v>
      </c>
      <c r="GC191" s="352">
        <v>45826</v>
      </c>
      <c r="GD19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1" s="330">
        <v>45825</v>
      </c>
      <c r="GF191" s="352" t="s">
        <v>1385</v>
      </c>
      <c r="GG19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1" s="330">
        <v>45831</v>
      </c>
      <c r="GI191" s="330">
        <v>45832</v>
      </c>
      <c r="GJ191" s="352">
        <v>45832</v>
      </c>
      <c r="GK191" s="316"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91" s="330">
        <v>45866</v>
      </c>
      <c r="GM191" s="330" t="e">
        <v>#N/A</v>
      </c>
      <c r="GN191" s="330">
        <v>45914</v>
      </c>
      <c r="GO191" s="330" t="e">
        <v>#N/A</v>
      </c>
      <c r="GP191" s="316"/>
      <c r="GQ19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1" s="330" t="s">
        <v>261</v>
      </c>
      <c r="GS191" s="330" t="s">
        <v>261</v>
      </c>
      <c r="GT191" s="354">
        <v>45866</v>
      </c>
      <c r="GU191" s="344" t="str">
        <f>IF(Table1[[#This Row],[Hydro Tes Actual
(tanggal)]]&lt;&gt;"","Sudah","Belum")</f>
        <v>Sudah</v>
      </c>
      <c r="GV191" s="330" t="s">
        <v>261</v>
      </c>
      <c r="GW191" s="330" t="s">
        <v>261</v>
      </c>
      <c r="GX191" s="331">
        <v>45858</v>
      </c>
      <c r="GY191" s="344" t="str">
        <f>IF(Table1[[#This Row],[Interkoneksi Actual
(tanggal)]]&lt;&gt;"","Sudah","Belum")</f>
        <v>Sudah</v>
      </c>
      <c r="GZ191" s="330" t="s">
        <v>261</v>
      </c>
      <c r="HA191" s="330" t="s">
        <v>261</v>
      </c>
      <c r="HB191" s="331"/>
      <c r="HC191" s="344" t="str">
        <f>IF(Table1[[#This Row],[Flushing Actual
(tanggal)]]&lt;&gt;"","Sudah","Belum")</f>
        <v>Belum</v>
      </c>
      <c r="HD191" s="330">
        <v>45905</v>
      </c>
      <c r="HE191" s="330" t="e">
        <v>#N/A</v>
      </c>
      <c r="HF191" s="330">
        <v>45910</v>
      </c>
      <c r="HG191" s="331">
        <v>45894</v>
      </c>
      <c r="HH19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91" s="330" t="s">
        <v>261</v>
      </c>
      <c r="HJ191" s="330" t="s">
        <v>261</v>
      </c>
      <c r="HK191" s="331"/>
      <c r="HL191" s="316"/>
      <c r="HM191" s="330">
        <v>45919</v>
      </c>
      <c r="HN191" s="330">
        <v>45919</v>
      </c>
      <c r="HO191" s="330" t="e">
        <v>#N/A</v>
      </c>
      <c r="HP191" s="331">
        <v>45894</v>
      </c>
      <c r="HQ19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191" s="330">
        <v>45926</v>
      </c>
      <c r="HS191" s="330"/>
      <c r="HT191" s="330">
        <v>45926</v>
      </c>
      <c r="HU191" s="527"/>
      <c r="HV191" s="331">
        <v>45931</v>
      </c>
      <c r="HW19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91" s="47"/>
      <c r="HY191" s="352"/>
      <c r="HZ191" s="352"/>
      <c r="IB191" s="618">
        <f>IFERROR(ROUND((Table1[[#This Row],[PLAN TC
finish]]-Table1[[#This Row],[PLAN MC-0
start]])/30,2),"")</f>
        <v>2.63</v>
      </c>
      <c r="IC191">
        <f>DATEDIF(Table1[[#This Row],[PLAN MC-0
start]],Table1[[#This Row],[PLAN TC
finish]],"m")</f>
        <v>2</v>
      </c>
    </row>
    <row r="192" spans="1:237" s="30" customFormat="1" ht="15" hidden="1" customHeight="1" x14ac:dyDescent="0.2">
      <c r="A192" s="77"/>
      <c r="B192" s="311">
        <f>SUBTOTAL(3,$D$5:D192)</f>
        <v>84</v>
      </c>
      <c r="C192" s="362">
        <v>188</v>
      </c>
      <c r="D192" s="366" t="s">
        <v>244</v>
      </c>
      <c r="E192" s="366" t="s">
        <v>1421</v>
      </c>
      <c r="F192" s="366" t="s">
        <v>1422</v>
      </c>
      <c r="G192" s="364">
        <v>45935</v>
      </c>
      <c r="H192" s="366" t="s">
        <v>681</v>
      </c>
      <c r="I192" s="366" t="s">
        <v>278</v>
      </c>
      <c r="J192" s="385" t="s">
        <v>389</v>
      </c>
      <c r="K192" s="366" t="s">
        <v>1165</v>
      </c>
      <c r="L192" s="367" t="s">
        <v>250</v>
      </c>
      <c r="M192" s="367" t="s">
        <v>269</v>
      </c>
      <c r="N192" s="368">
        <v>19</v>
      </c>
      <c r="O192" s="369" t="s">
        <v>252</v>
      </c>
      <c r="P192"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2" s="370" t="s">
        <v>389</v>
      </c>
      <c r="R192" s="371" t="e">
        <v>#N/A</v>
      </c>
      <c r="S192" s="371">
        <v>1</v>
      </c>
      <c r="T192" s="371">
        <f>Table1[[#This Row],[Progres Total Aktual
(%)]]</f>
        <v>0</v>
      </c>
      <c r="U192" s="372">
        <f>Table1[[#This Row],[Progres Aktual
(%)]]-Table1[[#This Row],[Target Progres
(%)]]</f>
        <v>-1</v>
      </c>
      <c r="V192" s="373">
        <f>Table1[[#This Row],["Volume
BA MC-0"]]</f>
        <v>18</v>
      </c>
      <c r="W192" s="374">
        <f>Table1[[#This Row],[Total Panjang Pipa Aktual
(Sum-&gt;)3]]</f>
        <v>0</v>
      </c>
      <c r="X192" s="47"/>
      <c r="Y192" s="67" t="s">
        <v>1423</v>
      </c>
      <c r="Z192" s="375">
        <v>44660203</v>
      </c>
      <c r="AA192" s="67">
        <f>Table1[[#This Row],[Nilai RAB Jaringan
(file pa aji)]]</f>
        <v>44660203</v>
      </c>
      <c r="AB192" s="370">
        <f>SUM(Table1[[#This Row],[RAB Kegiatan Umum]:[RAB Perizinan]])</f>
        <v>0</v>
      </c>
      <c r="AC192" s="370"/>
      <c r="AD192" s="370"/>
      <c r="AE192" s="370"/>
      <c r="AF192" s="370"/>
      <c r="AG192" s="439">
        <v>31605580</v>
      </c>
      <c r="AH192" s="371" t="e">
        <f>SUM(Table1[[#This Row],[Bobot Keg Umum]:[Bobot Perizinan]])</f>
        <v>#DIV/0!</v>
      </c>
      <c r="AI192" s="371" t="e">
        <f>Table1[[#This Row],[RAB Kegiatan Umum]]/Table1[[#This Row],[Nilai RAB Jaringan
(Exclude Ppn)]]</f>
        <v>#DIV/0!</v>
      </c>
      <c r="AJ192" s="371" t="e">
        <f>Table1[[#This Row],[RAB Pemasangan]]/Table1[[#This Row],[Nilai RAB Jaringan
(Exclude Ppn)]]</f>
        <v>#DIV/0!</v>
      </c>
      <c r="AK192" s="371" t="e">
        <f>Table1[[#This Row],[RAB Pengadaan]]/Table1[[#This Row],[Nilai RAB Jaringan
(Exclude Ppn)]]</f>
        <v>#DIV/0!</v>
      </c>
      <c r="AL192" s="371" t="e">
        <f>Table1[[#This Row],[RAB Perizinan]]/Table1[[#This Row],[Nilai RAB Jaringan
(Exclude Ppn)]]</f>
        <v>#DIV/0!</v>
      </c>
      <c r="AM192" s="47"/>
      <c r="AN192" s="376">
        <v>18</v>
      </c>
      <c r="AO192" s="376">
        <f>SUM(Table1[[#This Row],[Pipa 63 mm]:[Pipa 1,800 mm]])</f>
        <v>0</v>
      </c>
      <c r="AP192" s="376"/>
      <c r="AQ192" s="376"/>
      <c r="AR192" s="376"/>
      <c r="AS192" s="376"/>
      <c r="AT192" s="376"/>
      <c r="AU192" s="376"/>
      <c r="AV192" s="376"/>
      <c r="AW192" s="376"/>
      <c r="AX192" s="376"/>
      <c r="AY192" s="376"/>
      <c r="AZ192" s="376"/>
      <c r="BA192" s="376"/>
      <c r="BB192" s="376"/>
      <c r="BC192" s="376"/>
      <c r="BD192" s="376"/>
      <c r="BE192" s="376"/>
      <c r="BF192" s="376"/>
      <c r="BG192" s="376"/>
      <c r="BH192" s="376"/>
      <c r="BI192" s="376"/>
      <c r="BJ192" s="377">
        <f>SUM(Table1[[#This Row],[Pipa 63 mm2]:[Pipa 1,800 mm21]])</f>
        <v>0</v>
      </c>
      <c r="BK192" s="378"/>
      <c r="BL192" s="378"/>
      <c r="BM192" s="378"/>
      <c r="BN192" s="378"/>
      <c r="BO192" s="378"/>
      <c r="BP192" s="378"/>
      <c r="BQ192" s="378"/>
      <c r="BR192" s="378"/>
      <c r="BS192" s="378"/>
      <c r="BT192" s="378"/>
      <c r="BU192" s="378"/>
      <c r="BV192" s="378"/>
      <c r="BW192" s="378"/>
      <c r="BX192" s="378"/>
      <c r="BY192" s="378"/>
      <c r="BZ192" s="378"/>
      <c r="CA192" s="378"/>
      <c r="CB192" s="378"/>
      <c r="CC192" s="378"/>
      <c r="CD192" s="378"/>
      <c r="CE192" s="378">
        <v>0</v>
      </c>
      <c r="CF192" s="378">
        <v>19</v>
      </c>
      <c r="CG192" s="378">
        <v>0</v>
      </c>
      <c r="CH192" s="378">
        <v>0</v>
      </c>
      <c r="CI192" s="378">
        <f t="shared" si="10"/>
        <v>19</v>
      </c>
      <c r="CJ192" s="378">
        <f>IF((Table1[[#This Row],["Volume
BA MC-0"]]-Table1[[#This Row],[Total Panjang Pipa Aktual
(Sum-&gt;)3]]-Table1[[#This Row],[Total Volume
tidak dapat dipasang]])&gt;=0,Table1[[#This Row],["Volume
BA MC-0"]]-Table1[[#This Row],[Total Panjang Pipa Aktual
(Sum-&gt;)3]]-Table1[[#This Row],[Total Volume
tidak dapat dipasang]],0)</f>
        <v>0</v>
      </c>
      <c r="CK192" s="47"/>
      <c r="CL192" s="379"/>
      <c r="CM192" s="371"/>
      <c r="CN192" s="379"/>
      <c r="CO192" s="379"/>
      <c r="CP19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92" s="380">
        <f>IFERROR(Table1[[#This Row],[Progres Keg. Umum
(%)]]*Table1[[#This Row],[Nilai RAB Jaringan
(file pa aji)]],0)</f>
        <v>0</v>
      </c>
      <c r="CR192" s="380">
        <f>IFERROR(Table1[[#This Row],[Progres MOS
(%)]]*Table1[[#This Row],[Nilai RAB Jaringan
(file pa aji)]],0)</f>
        <v>0</v>
      </c>
      <c r="CS192" s="380">
        <f>IFERROR(Table1[[#This Row],[Progres Pemasangan
(%)]]*Table1[[#This Row],[Nilai RAB Jaringan
(file pa aji)]],0)</f>
        <v>0</v>
      </c>
      <c r="CT192" s="380">
        <f>IFERROR(Table1[[#This Row],[Progres Perizinan
(%)]]*Table1[[#This Row],[Nilai RAB Jaringan
(file pa aji)]],0)</f>
        <v>0</v>
      </c>
      <c r="CU192" s="329">
        <v>0</v>
      </c>
      <c r="CV192" s="329">
        <v>0</v>
      </c>
      <c r="CW192" s="582">
        <v>0</v>
      </c>
      <c r="CX192" s="329">
        <v>0</v>
      </c>
      <c r="CY192" s="47"/>
      <c r="CZ192" s="386">
        <v>45747</v>
      </c>
      <c r="DA192" s="386">
        <v>45774</v>
      </c>
      <c r="DB192" s="331">
        <v>45731</v>
      </c>
      <c r="DC192" s="367" t="s">
        <v>1424</v>
      </c>
      <c r="DD192" s="375">
        <v>44660203</v>
      </c>
      <c r="DE19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2" s="331">
        <v>45763</v>
      </c>
      <c r="DG192" s="367" t="s">
        <v>1425</v>
      </c>
      <c r="DH192" s="375">
        <v>44660203</v>
      </c>
      <c r="DI192"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2" s="386">
        <v>45775</v>
      </c>
      <c r="DK192" s="386">
        <v>45816</v>
      </c>
      <c r="DL192" s="331">
        <v>45782</v>
      </c>
      <c r="DM192" s="381" t="s">
        <v>1426</v>
      </c>
      <c r="DN19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2" s="331">
        <v>45831</v>
      </c>
      <c r="DP192" s="367" t="s">
        <v>1427</v>
      </c>
      <c r="DQ192" s="366" t="s">
        <v>312</v>
      </c>
      <c r="DR19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2" s="386">
        <v>45775</v>
      </c>
      <c r="DT192" s="386" t="e">
        <v>#N/A</v>
      </c>
      <c r="DU192" s="386">
        <v>45816</v>
      </c>
      <c r="DV192" s="386" t="e">
        <v>#N/A</v>
      </c>
      <c r="DW192" s="331"/>
      <c r="DX192" s="367">
        <v>0</v>
      </c>
      <c r="DY192" s="382"/>
      <c r="DZ192" s="382"/>
      <c r="EA19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92" s="331"/>
      <c r="EC192" s="332"/>
      <c r="ED192" s="332"/>
      <c r="EE192" s="330"/>
      <c r="EF192" s="371" t="b">
        <v>0</v>
      </c>
      <c r="EG192" s="383" t="b">
        <v>0</v>
      </c>
      <c r="EH192" s="316" t="str">
        <f>IF(Table1[[#This Row],[PO Material Aktual 
(%)]]&gt;=100%,"Selesai PO = 100%",IF(Table1[[#This Row],[PO Material Aktual 
(%)]]&gt;=50%,"Proses PO &gt; 100%",IF(Table1[[#This Row],[PO Material Aktual 
(%)]]&gt;0%,"Proses PO &gt; 50%",IF(Table1[[#This Row],[PO Material Aktual 
(%)]]=0,"Belum PO = 0%"))))</f>
        <v>Selesai PO = 100%</v>
      </c>
      <c r="EI19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2" s="386">
        <v>45817</v>
      </c>
      <c r="EK192" s="386" t="e">
        <v>#N/A</v>
      </c>
      <c r="EL192" s="386">
        <v>45865</v>
      </c>
      <c r="EM192" s="386" t="e">
        <v>#N/A</v>
      </c>
      <c r="EN192" s="331"/>
      <c r="EO192" s="332"/>
      <c r="EP192" s="332"/>
      <c r="EQ192" s="88" t="b">
        <v>0</v>
      </c>
      <c r="ER192" s="88" t="b">
        <v>0</v>
      </c>
      <c r="ES192" s="316" t="str">
        <f>IF(Table1[[#This Row],[Progres MOS]]&gt;=100%,"Selesai MOS = 100%",IF(Table1[[#This Row],[Progres MOS]]&gt;=50%,"Proses MOS &gt; 100%",IF(Table1[[#This Row],[Progres MOS]]&gt;0%,"Proses MOS &gt; 50%",IF(Table1[[#This Row],[Progres MOS]]=0,"Belum MOS = 0%"))))</f>
        <v>Selesai MOS = 100%</v>
      </c>
      <c r="ET19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2" s="47"/>
      <c r="EV192" s="386">
        <v>45775</v>
      </c>
      <c r="EW192" s="386" t="e">
        <v>#N/A</v>
      </c>
      <c r="EX192" s="386">
        <v>45865</v>
      </c>
      <c r="EY192" s="386" t="e">
        <v>#N/A</v>
      </c>
      <c r="EZ192" s="384" t="s">
        <v>298</v>
      </c>
      <c r="FA192" s="385" t="s">
        <v>389</v>
      </c>
      <c r="FB192" s="386"/>
      <c r="FC192" s="330"/>
      <c r="FD192" s="386"/>
      <c r="FE192" s="386"/>
      <c r="FF192" s="386"/>
      <c r="FG192" s="386"/>
      <c r="FH192" s="386"/>
      <c r="FI192" s="386"/>
      <c r="FJ192" s="386"/>
      <c r="FK192" s="386"/>
      <c r="FL192" s="336" t="str">
        <f>Table1[[#This Row],[IPPJU]]</f>
        <v>9.Proses Penerbitan Izin</v>
      </c>
      <c r="FM192" s="336"/>
      <c r="FN192" s="314" t="str">
        <f>IF(Table1[[#This Row],[Tanggal Pengajuan Dokumen]]="","",Table1[[#This Row],[PLAN PERMIT
start]]-Table1[[#This Row],[Tanggal Pengajuan Dokumen]])</f>
        <v/>
      </c>
      <c r="FO192" s="444">
        <v>46086</v>
      </c>
      <c r="FP192" s="316"/>
      <c r="FQ192" s="338"/>
      <c r="FR192" s="338"/>
      <c r="FS192" s="338" t="str">
        <f t="shared" si="9"/>
        <v>On Going</v>
      </c>
      <c r="FT192"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92" s="387">
        <f ca="1">IF(Table1[[#This Row],[Status Izin]]="Selesai",Table1[[#This Row],[PLAN PERMIT
finish]]-Table1[[#This Row],[Tanggal Terbit/ Target Izin Terbit]],ROUNDUP(Table1[[#This Row],[PLAN PERMIT
finish]]-NOW(),0))</f>
        <v>-326</v>
      </c>
      <c r="FV192"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2" s="387"/>
      <c r="FX192" s="47"/>
      <c r="FY192" s="340"/>
      <c r="FZ192" s="341"/>
      <c r="GA19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2" s="386">
        <v>45818</v>
      </c>
      <c r="GC192" s="384">
        <v>45826</v>
      </c>
      <c r="GD192"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2" s="386">
        <v>45825</v>
      </c>
      <c r="GF192" s="384" t="s">
        <v>1385</v>
      </c>
      <c r="GG192"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2" s="386">
        <v>45831</v>
      </c>
      <c r="GI192" s="386">
        <v>45832</v>
      </c>
      <c r="GJ192" s="384">
        <v>45467</v>
      </c>
      <c r="GK192"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2" s="386">
        <v>45866</v>
      </c>
      <c r="GM192" s="386" t="e">
        <v>#N/A</v>
      </c>
      <c r="GN192" s="386">
        <v>45886</v>
      </c>
      <c r="GO192" s="386" t="e">
        <v>#N/A</v>
      </c>
      <c r="GP192" s="367"/>
      <c r="GQ192"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2" s="386" t="s">
        <v>261</v>
      </c>
      <c r="GS192" s="386" t="s">
        <v>261</v>
      </c>
      <c r="GT192" s="390"/>
      <c r="GU192" s="387" t="str">
        <f>IF(Table1[[#This Row],[Hydro Tes Actual
(tanggal)]]&lt;&gt;"","Sudah","Belum")</f>
        <v>Belum</v>
      </c>
      <c r="GV192" s="386" t="s">
        <v>261</v>
      </c>
      <c r="GW192" s="386" t="s">
        <v>261</v>
      </c>
      <c r="GX192" s="388"/>
      <c r="GY192" s="344" t="str">
        <f>IF(Table1[[#This Row],[Interkoneksi Actual
(tanggal)]]&lt;&gt;"","Sudah","Belum")</f>
        <v>Belum</v>
      </c>
      <c r="GZ192" s="386" t="s">
        <v>261</v>
      </c>
      <c r="HA192" s="386" t="s">
        <v>261</v>
      </c>
      <c r="HB192" s="388"/>
      <c r="HC192" s="344" t="str">
        <f>IF(Table1[[#This Row],[Flushing Actual
(tanggal)]]&lt;&gt;"","Sudah","Belum")</f>
        <v>Belum</v>
      </c>
      <c r="HD192" s="386">
        <v>45877</v>
      </c>
      <c r="HE192" s="386" t="e">
        <v>#N/A</v>
      </c>
      <c r="HF192" s="386">
        <v>45882</v>
      </c>
      <c r="HG192" s="388"/>
      <c r="HH192"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92" s="386" t="s">
        <v>261</v>
      </c>
      <c r="HJ192" s="386" t="s">
        <v>261</v>
      </c>
      <c r="HK192" s="388"/>
      <c r="HL192" s="367"/>
      <c r="HM192" s="386">
        <v>45891</v>
      </c>
      <c r="HN192" s="386">
        <v>45891</v>
      </c>
      <c r="HO192" s="386" t="e">
        <v>#N/A</v>
      </c>
      <c r="HP192" s="388"/>
      <c r="HQ192"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92" s="386">
        <v>45898</v>
      </c>
      <c r="HS192" s="386"/>
      <c r="HT192" s="386">
        <v>45898</v>
      </c>
      <c r="HU192" s="613"/>
      <c r="HV192" s="388"/>
      <c r="HW192"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92" s="47"/>
      <c r="HY192" s="384"/>
      <c r="HZ192" s="384"/>
      <c r="IB192" s="618">
        <f>IFERROR(ROUND((Table1[[#This Row],[PLAN TC
finish]]-Table1[[#This Row],[PLAN MC-0
start]])/30,2),"")</f>
        <v>1.7</v>
      </c>
      <c r="IC192">
        <f>DATEDIF(Table1[[#This Row],[PLAN MC-0
start]],Table1[[#This Row],[PLAN TC
finish]],"m")</f>
        <v>1</v>
      </c>
    </row>
    <row r="193" spans="1:237" s="4" customFormat="1" ht="15" hidden="1" customHeight="1" x14ac:dyDescent="0.2">
      <c r="B193" s="311">
        <f>SUBTOTAL(3,$D$5:D193)</f>
        <v>84</v>
      </c>
      <c r="C193" s="348">
        <v>189</v>
      </c>
      <c r="D193" s="338" t="s">
        <v>244</v>
      </c>
      <c r="E193" s="338" t="s">
        <v>1428</v>
      </c>
      <c r="F193" s="338" t="s">
        <v>1429</v>
      </c>
      <c r="G193" s="349">
        <v>45935</v>
      </c>
      <c r="H193" s="338" t="s">
        <v>681</v>
      </c>
      <c r="I193" s="338" t="s">
        <v>278</v>
      </c>
      <c r="J193" s="315" t="s">
        <v>882</v>
      </c>
      <c r="K193" s="338" t="s">
        <v>1165</v>
      </c>
      <c r="L193" s="316" t="s">
        <v>250</v>
      </c>
      <c r="M193" s="316" t="s">
        <v>269</v>
      </c>
      <c r="N193" s="107">
        <v>889</v>
      </c>
      <c r="O193" s="31" t="s">
        <v>252</v>
      </c>
      <c r="P19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3" s="35" t="e">
        <v>#N/A</v>
      </c>
      <c r="S193" s="35">
        <v>1</v>
      </c>
      <c r="T193" s="35">
        <f>Table1[[#This Row],[Progres Total Aktual
(%)]]</f>
        <v>1</v>
      </c>
      <c r="U193" s="124">
        <f>Table1[[#This Row],[Progres Aktual
(%)]]-Table1[[#This Row],[Target Progres
(%)]]</f>
        <v>0</v>
      </c>
      <c r="V193" s="350">
        <f>Table1[[#This Row],["Volume
BA MC-0"]]</f>
        <v>978</v>
      </c>
      <c r="W193" s="351">
        <f>Table1[[#This Row],[Total Panjang Pipa Aktual
(Sum-&gt;)3]]</f>
        <v>889</v>
      </c>
      <c r="X193" s="47"/>
      <c r="Y193" s="67" t="s">
        <v>1430</v>
      </c>
      <c r="Z193" s="67">
        <v>1865946320</v>
      </c>
      <c r="AA193" s="67">
        <f>Table1[[#This Row],[Nilai RAB Jaringan
(file pa aji)]]</f>
        <v>1865946320</v>
      </c>
      <c r="AB193" s="320">
        <f>SUM(Table1[[#This Row],[RAB Kegiatan Umum]:[RAB Perizinan]])</f>
        <v>0</v>
      </c>
      <c r="AC193" s="320"/>
      <c r="AD193" s="320"/>
      <c r="AE193" s="320"/>
      <c r="AF193" s="320"/>
      <c r="AG193" s="436">
        <v>73746353</v>
      </c>
      <c r="AH193" s="35" t="e">
        <f>SUM(Table1[[#This Row],[Bobot Keg Umum]:[Bobot Perizinan]])</f>
        <v>#DIV/0!</v>
      </c>
      <c r="AI193" s="35" t="e">
        <f>Table1[[#This Row],[RAB Kegiatan Umum]]/Table1[[#This Row],[Nilai RAB Jaringan
(Exclude Ppn)]]</f>
        <v>#DIV/0!</v>
      </c>
      <c r="AJ193" s="35" t="e">
        <f>Table1[[#This Row],[RAB Pemasangan]]/Table1[[#This Row],[Nilai RAB Jaringan
(Exclude Ppn)]]</f>
        <v>#DIV/0!</v>
      </c>
      <c r="AK193" s="35" t="e">
        <f>Table1[[#This Row],[RAB Pengadaan]]/Table1[[#This Row],[Nilai RAB Jaringan
(Exclude Ppn)]]</f>
        <v>#DIV/0!</v>
      </c>
      <c r="AL193" s="35" t="e">
        <f>Table1[[#This Row],[RAB Perizinan]]/Table1[[#This Row],[Nilai RAB Jaringan
(Exclude Ppn)]]</f>
        <v>#DIV/0!</v>
      </c>
      <c r="AM193" s="47"/>
      <c r="AN193" s="285">
        <v>978</v>
      </c>
      <c r="AO193" s="285">
        <f>SUM(Table1[[#This Row],[Pipa 63 mm]:[Pipa 1,800 mm]])</f>
        <v>0</v>
      </c>
      <c r="AP193" s="285"/>
      <c r="AQ193" s="285"/>
      <c r="AR193" s="285"/>
      <c r="AS193" s="285"/>
      <c r="AT193" s="285"/>
      <c r="AU193" s="285"/>
      <c r="AV193" s="285"/>
      <c r="AW193" s="285"/>
      <c r="AX193" s="285"/>
      <c r="AY193" s="285"/>
      <c r="AZ193" s="285"/>
      <c r="BA193" s="285"/>
      <c r="BB193" s="285"/>
      <c r="BC193" s="285"/>
      <c r="BD193" s="285"/>
      <c r="BE193" s="285"/>
      <c r="BF193" s="285"/>
      <c r="BG193" s="285"/>
      <c r="BH193" s="285"/>
      <c r="BI193" s="285"/>
      <c r="BJ193" s="36">
        <f>SUM(Table1[[#This Row],[Pipa 63 mm2]:[Pipa 1,800 mm21]])</f>
        <v>889</v>
      </c>
      <c r="BK193" s="32">
        <v>760</v>
      </c>
      <c r="BL193" s="32">
        <v>129</v>
      </c>
      <c r="BM193" s="32"/>
      <c r="BN193" s="32"/>
      <c r="BO193" s="32"/>
      <c r="BP193" s="32"/>
      <c r="BQ193" s="32"/>
      <c r="BR193" s="32"/>
      <c r="BS193" s="32"/>
      <c r="BT193" s="32"/>
      <c r="BU193" s="32"/>
      <c r="BV193" s="32"/>
      <c r="BW193" s="32"/>
      <c r="BX193" s="32"/>
      <c r="BY193" s="32"/>
      <c r="BZ193" s="32"/>
      <c r="CA193" s="32"/>
      <c r="CB193" s="32"/>
      <c r="CC193" s="32"/>
      <c r="CD193" s="32"/>
      <c r="CE193" s="32">
        <v>0</v>
      </c>
      <c r="CF193" s="32">
        <v>0</v>
      </c>
      <c r="CG193" s="32">
        <v>0</v>
      </c>
      <c r="CH193" s="32">
        <v>0</v>
      </c>
      <c r="CI193" s="32">
        <f t="shared" si="10"/>
        <v>0</v>
      </c>
      <c r="CJ193" s="65">
        <f>IF((Table1[[#This Row],["Volume
BA MC-0"]]-Table1[[#This Row],[Total Panjang Pipa Aktual
(Sum-&gt;)3]]-Table1[[#This Row],[Total Volume
tidak dapat dipasang]])&gt;=0,Table1[[#This Row],["Volume
BA MC-0"]]-Table1[[#This Row],[Total Panjang Pipa Aktual
(Sum-&gt;)3]]-Table1[[#This Row],[Total Volume
tidak dapat dipasang]],0)</f>
        <v>89</v>
      </c>
      <c r="CK193" s="47"/>
      <c r="CL193" s="131"/>
      <c r="CM193" s="35"/>
      <c r="CN193" s="131"/>
      <c r="CO193" s="131"/>
      <c r="CP19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3" s="66">
        <f>IFERROR(Table1[[#This Row],[Progres Keg. Umum
(%)]]*Table1[[#This Row],[Nilai RAB Jaringan
(file pa aji)]],0)</f>
        <v>0</v>
      </c>
      <c r="CR193" s="66">
        <f>IFERROR(Table1[[#This Row],[Progres MOS
(%)]]*Table1[[#This Row],[Nilai RAB Jaringan
(file pa aji)]],0)</f>
        <v>0</v>
      </c>
      <c r="CS193" s="66">
        <f>IFERROR(Table1[[#This Row],[Progres Pemasangan
(%)]]*Table1[[#This Row],[Nilai RAB Jaringan
(file pa aji)]],0)</f>
        <v>0</v>
      </c>
      <c r="CT193" s="66">
        <f>IFERROR(Table1[[#This Row],[Progres Perizinan
(%)]]*Table1[[#This Row],[Nilai RAB Jaringan
(file pa aji)]],0)</f>
        <v>0</v>
      </c>
      <c r="CU193" s="329">
        <v>3061346007</v>
      </c>
      <c r="CV193" s="329">
        <v>3061346007</v>
      </c>
      <c r="CW193" s="583">
        <v>3061346007</v>
      </c>
      <c r="CX193" s="329">
        <v>3061346007</v>
      </c>
      <c r="CY193" s="47"/>
      <c r="CZ193" s="330">
        <v>45747</v>
      </c>
      <c r="DA193" s="330">
        <v>45774</v>
      </c>
      <c r="DB193" s="331">
        <v>45758</v>
      </c>
      <c r="DC193" s="316" t="s">
        <v>1431</v>
      </c>
      <c r="DD193" s="67">
        <v>1865946319</v>
      </c>
      <c r="DE19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3" s="331">
        <v>45771</v>
      </c>
      <c r="DG193" s="316" t="s">
        <v>1432</v>
      </c>
      <c r="DH193" s="67">
        <v>1865946319</v>
      </c>
      <c r="DI19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3" s="330">
        <v>45775</v>
      </c>
      <c r="DK193" s="330">
        <v>45816</v>
      </c>
      <c r="DL193" s="331">
        <v>45792</v>
      </c>
      <c r="DM193" s="316" t="s">
        <v>1433</v>
      </c>
      <c r="DN19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3" s="331">
        <v>45825</v>
      </c>
      <c r="DP193" s="316" t="s">
        <v>1434</v>
      </c>
      <c r="DQ193" s="338" t="s">
        <v>560</v>
      </c>
      <c r="DR19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3" s="330">
        <v>45775</v>
      </c>
      <c r="DT193" s="330" t="e">
        <v>#N/A</v>
      </c>
      <c r="DU193" s="330">
        <v>45816</v>
      </c>
      <c r="DV193" s="330" t="e">
        <v>#N/A</v>
      </c>
      <c r="DW193" s="331">
        <v>45792</v>
      </c>
      <c r="DX193" s="316" t="s">
        <v>1435</v>
      </c>
      <c r="DY193" s="334"/>
      <c r="DZ193" s="334"/>
      <c r="EA19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3" s="331">
        <v>46112</v>
      </c>
      <c r="EC193" s="332"/>
      <c r="ED193" s="332"/>
      <c r="EE193" s="330" t="s">
        <v>1436</v>
      </c>
      <c r="EF193" s="35" t="b">
        <v>0</v>
      </c>
      <c r="EG193" s="337" t="b">
        <v>0</v>
      </c>
      <c r="EH193" s="316" t="str">
        <f>IF(Table1[[#This Row],[PO Material Aktual 
(%)]]&gt;=100%,"Selesai PO = 100%",IF(Table1[[#This Row],[PO Material Aktual 
(%)]]&gt;=50%,"Proses PO &gt; 100%",IF(Table1[[#This Row],[PO Material Aktual 
(%)]]&gt;0%,"Proses PO &gt; 50%",IF(Table1[[#This Row],[PO Material Aktual 
(%)]]=0,"Belum PO = 0%"))))</f>
        <v>Selesai PO = 100%</v>
      </c>
      <c r="EI193" s="33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3" s="330">
        <v>45817</v>
      </c>
      <c r="EK193" s="330" t="e">
        <v>#N/A</v>
      </c>
      <c r="EL193" s="330">
        <v>45865</v>
      </c>
      <c r="EM193" s="330" t="e">
        <v>#N/A</v>
      </c>
      <c r="EN193" s="331">
        <v>46151</v>
      </c>
      <c r="EO193" s="332"/>
      <c r="EP193" s="332"/>
      <c r="EQ193" s="87" t="b">
        <v>0</v>
      </c>
      <c r="ER193" s="87" t="b">
        <v>0</v>
      </c>
      <c r="ES193" s="316" t="str">
        <f>IF(Table1[[#This Row],[Progres MOS]]&gt;=100%,"Selesai MOS = 100%",IF(Table1[[#This Row],[Progres MOS]]&gt;=50%,"Proses MOS &gt; 100%",IF(Table1[[#This Row],[Progres MOS]]&gt;0%,"Proses MOS &gt; 50%",IF(Table1[[#This Row],[Progres MOS]]=0,"Belum MOS = 0%"))))</f>
        <v>Selesai MOS = 100%</v>
      </c>
      <c r="ET19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3" s="47"/>
      <c r="EV193" s="330">
        <v>45775</v>
      </c>
      <c r="EW193" s="330" t="e">
        <v>#N/A</v>
      </c>
      <c r="EX193" s="330">
        <v>45865</v>
      </c>
      <c r="EY193" s="330" t="e">
        <v>#N/A</v>
      </c>
      <c r="EZ193" s="352" t="s">
        <v>298</v>
      </c>
      <c r="FA193" s="336" t="s">
        <v>259</v>
      </c>
      <c r="FB193" s="330" t="s">
        <v>260</v>
      </c>
      <c r="FC193" s="330">
        <v>45838</v>
      </c>
      <c r="FD193" s="330" t="s">
        <v>260</v>
      </c>
      <c r="FE193" s="330">
        <v>45888</v>
      </c>
      <c r="FF193" s="330">
        <v>45944</v>
      </c>
      <c r="FG193" s="330" t="s">
        <v>260</v>
      </c>
      <c r="FH193" s="330" t="s">
        <v>260</v>
      </c>
      <c r="FI193" s="330">
        <v>46010</v>
      </c>
      <c r="FJ193" s="330" t="s">
        <v>260</v>
      </c>
      <c r="FK193" s="330">
        <v>46113</v>
      </c>
      <c r="FL193" s="336" t="s">
        <v>298</v>
      </c>
      <c r="FM193" s="352">
        <v>45838</v>
      </c>
      <c r="FN193" s="338">
        <f>IF(Table1[[#This Row],[Tanggal Pengajuan Dokumen]]="","",Table1[[#This Row],[PLAN PERMIT
start]]-Table1[[#This Row],[Tanggal Pengajuan Dokumen]])</f>
        <v>-63</v>
      </c>
      <c r="FO193" s="437">
        <v>46086</v>
      </c>
      <c r="FP193" s="316"/>
      <c r="FQ193" s="338"/>
      <c r="FR193" s="338"/>
      <c r="FS193" s="338" t="str">
        <f t="shared" ref="FS193:FS256" si="11">IF(AND(COUNTIF(EZ193:FR193,"*terbit*")&gt;=1,COUNTBLANK(FP193:FR193)=3),"Sudah Terbit",IF(COUNTIF(EZ193:FR193,"*terbit*")=COUNTA(EZ193:FR193),"Sudah Terbit","On Going"))</f>
        <v>Sudah Terbit</v>
      </c>
      <c r="FT19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3" s="344">
        <f ca="1">IF(Table1[[#This Row],[Status Izin]]="Selesai",Table1[[#This Row],[PLAN PERMIT
finish]]-Table1[[#This Row],[Tanggal Terbit/ Target Izin Terbit]],ROUNDUP(Table1[[#This Row],[PLAN PERMIT
finish]]-NOW(),0))</f>
        <v>-221</v>
      </c>
      <c r="FV19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3" s="344"/>
      <c r="FX193" s="47"/>
      <c r="FY193" s="340"/>
      <c r="FZ193" s="341"/>
      <c r="GA19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3" s="330">
        <v>45818</v>
      </c>
      <c r="GC193" s="352">
        <v>45826</v>
      </c>
      <c r="GD19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3" s="330">
        <v>45825</v>
      </c>
      <c r="GF193" s="352" t="s">
        <v>1385</v>
      </c>
      <c r="GG19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3" s="330">
        <v>45831</v>
      </c>
      <c r="GI193" s="330">
        <v>45832</v>
      </c>
      <c r="GJ193" s="352">
        <v>45833</v>
      </c>
      <c r="GK19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93" s="330">
        <v>45866</v>
      </c>
      <c r="GM193" s="330" t="e">
        <v>#N/A</v>
      </c>
      <c r="GN193" s="330">
        <v>45914</v>
      </c>
      <c r="GO193" s="330" t="e">
        <v>#N/A</v>
      </c>
      <c r="GP193" s="316"/>
      <c r="GQ19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3" s="330" t="s">
        <v>261</v>
      </c>
      <c r="GS193" s="330" t="s">
        <v>261</v>
      </c>
      <c r="GT193" s="354">
        <v>46003</v>
      </c>
      <c r="GU193" s="344" t="str">
        <f>IF(Table1[[#This Row],[Hydro Tes Actual
(tanggal)]]&lt;&gt;"","Sudah","Belum")</f>
        <v>Sudah</v>
      </c>
      <c r="GV193" s="330" t="s">
        <v>261</v>
      </c>
      <c r="GW193" s="330" t="s">
        <v>261</v>
      </c>
      <c r="GX193" s="331">
        <v>45980</v>
      </c>
      <c r="GY193" s="344" t="str">
        <f>IF(Table1[[#This Row],[Interkoneksi Actual
(tanggal)]]&lt;&gt;"","Sudah","Belum")</f>
        <v>Sudah</v>
      </c>
      <c r="GZ193" s="330" t="s">
        <v>261</v>
      </c>
      <c r="HA193" s="330" t="s">
        <v>261</v>
      </c>
      <c r="HB193" s="331">
        <v>46007</v>
      </c>
      <c r="HC193" s="344" t="str">
        <f>IF(Table1[[#This Row],[Flushing Actual
(tanggal)]]&lt;&gt;"","Sudah","Belum")</f>
        <v>Sudah</v>
      </c>
      <c r="HD193" s="330">
        <v>45905</v>
      </c>
      <c r="HE193" s="330" t="e">
        <v>#N/A</v>
      </c>
      <c r="HF193" s="330">
        <v>45910</v>
      </c>
      <c r="HG193" s="331">
        <v>46010</v>
      </c>
      <c r="HH19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3" s="330" t="s">
        <v>261</v>
      </c>
      <c r="HJ193" s="330" t="s">
        <v>261</v>
      </c>
      <c r="HK193" s="331"/>
      <c r="HL193" s="316"/>
      <c r="HM193" s="330">
        <v>45919</v>
      </c>
      <c r="HN193" s="330">
        <v>45919</v>
      </c>
      <c r="HO193" s="330" t="e">
        <v>#N/A</v>
      </c>
      <c r="HP193" s="331">
        <v>46015</v>
      </c>
      <c r="HQ19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93" s="330">
        <v>45926</v>
      </c>
      <c r="HS193" s="330"/>
      <c r="HT193" s="330">
        <v>45926</v>
      </c>
      <c r="HU193" s="527"/>
      <c r="HV193" s="331">
        <v>46024</v>
      </c>
      <c r="HW19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93" s="47"/>
      <c r="HY193" s="352"/>
      <c r="HZ193" s="352"/>
      <c r="IB193" s="618">
        <f>IFERROR(ROUND((Table1[[#This Row],[PLAN TC
finish]]-Table1[[#This Row],[PLAN MC-0
start]])/30,2),"")</f>
        <v>2.63</v>
      </c>
      <c r="IC193">
        <f>DATEDIF(Table1[[#This Row],[PLAN MC-0
start]],Table1[[#This Row],[PLAN TC
finish]],"m")</f>
        <v>2</v>
      </c>
    </row>
    <row r="194" spans="1:237" s="4" customFormat="1" ht="15" hidden="1" customHeight="1" x14ac:dyDescent="0.2">
      <c r="B194" s="311">
        <f>SUBTOTAL(3,$D$5:D194)</f>
        <v>84</v>
      </c>
      <c r="C194" s="348">
        <v>190</v>
      </c>
      <c r="D194" s="338" t="s">
        <v>244</v>
      </c>
      <c r="E194" s="338" t="s">
        <v>1437</v>
      </c>
      <c r="F194" s="338" t="s">
        <v>1438</v>
      </c>
      <c r="G194" s="349">
        <v>45935</v>
      </c>
      <c r="H194" s="338" t="s">
        <v>681</v>
      </c>
      <c r="I194" s="338" t="s">
        <v>278</v>
      </c>
      <c r="J194" s="315"/>
      <c r="K194" s="338" t="s">
        <v>1165</v>
      </c>
      <c r="L194" s="316" t="s">
        <v>250</v>
      </c>
      <c r="M194" s="316" t="s">
        <v>269</v>
      </c>
      <c r="N194" s="107">
        <v>197</v>
      </c>
      <c r="O194" s="31" t="s">
        <v>252</v>
      </c>
      <c r="P19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4" s="35" t="e">
        <v>#N/A</v>
      </c>
      <c r="S194" s="35">
        <v>1</v>
      </c>
      <c r="T194" s="35">
        <f>Table1[[#This Row],[Progres Total Aktual
(%)]]</f>
        <v>1</v>
      </c>
      <c r="U194" s="124">
        <f>Table1[[#This Row],[Progres Aktual
(%)]]-Table1[[#This Row],[Target Progres
(%)]]</f>
        <v>0</v>
      </c>
      <c r="V194" s="350">
        <f>Table1[[#This Row],["Volume
BA MC-0"]]</f>
        <v>284.8</v>
      </c>
      <c r="W194" s="351">
        <f>Table1[[#This Row],[Total Panjang Pipa Aktual
(Sum-&gt;)3]]</f>
        <v>273.7</v>
      </c>
      <c r="X194" s="47"/>
      <c r="Y194" s="67" t="s">
        <v>1439</v>
      </c>
      <c r="Z194" s="67">
        <v>366257567</v>
      </c>
      <c r="AA194" s="67">
        <f>Table1[[#This Row],[Nilai RAB Jaringan
(file pa aji)]]</f>
        <v>366257567</v>
      </c>
      <c r="AB194" s="320">
        <f>SUM(Table1[[#This Row],[RAB Kegiatan Umum]:[RAB Perizinan]])</f>
        <v>0</v>
      </c>
      <c r="AC194" s="320"/>
      <c r="AD194" s="320"/>
      <c r="AE194" s="320"/>
      <c r="AF194" s="320"/>
      <c r="AG194" s="436">
        <v>50568928</v>
      </c>
      <c r="AH194" s="35" t="e">
        <f>SUM(Table1[[#This Row],[Bobot Keg Umum]:[Bobot Perizinan]])</f>
        <v>#DIV/0!</v>
      </c>
      <c r="AI194" s="35" t="e">
        <f>Table1[[#This Row],[RAB Kegiatan Umum]]/Table1[[#This Row],[Nilai RAB Jaringan
(Exclude Ppn)]]</f>
        <v>#DIV/0!</v>
      </c>
      <c r="AJ194" s="35" t="e">
        <f>Table1[[#This Row],[RAB Pemasangan]]/Table1[[#This Row],[Nilai RAB Jaringan
(Exclude Ppn)]]</f>
        <v>#DIV/0!</v>
      </c>
      <c r="AK194" s="35" t="e">
        <f>Table1[[#This Row],[RAB Pengadaan]]/Table1[[#This Row],[Nilai RAB Jaringan
(Exclude Ppn)]]</f>
        <v>#DIV/0!</v>
      </c>
      <c r="AL194" s="35" t="e">
        <f>Table1[[#This Row],[RAB Perizinan]]/Table1[[#This Row],[Nilai RAB Jaringan
(Exclude Ppn)]]</f>
        <v>#DIV/0!</v>
      </c>
      <c r="AM194" s="47"/>
      <c r="AN194" s="285">
        <v>284.8</v>
      </c>
      <c r="AO194" s="285">
        <f>SUM(Table1[[#This Row],[Pipa 63 mm]:[Pipa 1,800 mm]])</f>
        <v>0</v>
      </c>
      <c r="AP194" s="285"/>
      <c r="AQ194" s="285"/>
      <c r="AR194" s="285"/>
      <c r="AS194" s="285"/>
      <c r="AT194" s="285"/>
      <c r="AU194" s="285"/>
      <c r="AV194" s="285"/>
      <c r="AW194" s="285"/>
      <c r="AX194" s="285"/>
      <c r="AY194" s="285"/>
      <c r="AZ194" s="285"/>
      <c r="BA194" s="285"/>
      <c r="BB194" s="285"/>
      <c r="BC194" s="285"/>
      <c r="BD194" s="285"/>
      <c r="BE194" s="285"/>
      <c r="BF194" s="285"/>
      <c r="BG194" s="285"/>
      <c r="BH194" s="285"/>
      <c r="BI194" s="285"/>
      <c r="BJ194" s="36">
        <f>SUM(Table1[[#This Row],[Pipa 63 mm2]:[Pipa 1,800 mm21]])</f>
        <v>273.7</v>
      </c>
      <c r="BK194" s="32">
        <v>273.7</v>
      </c>
      <c r="BL194" s="32"/>
      <c r="BM194" s="32"/>
      <c r="BN194" s="32"/>
      <c r="BO194" s="32"/>
      <c r="BP194" s="32"/>
      <c r="BQ194" s="32"/>
      <c r="BR194" s="32"/>
      <c r="BS194" s="32"/>
      <c r="BT194" s="32"/>
      <c r="BU194" s="32"/>
      <c r="BV194" s="32"/>
      <c r="BW194" s="32"/>
      <c r="BX194" s="32"/>
      <c r="BY194" s="32"/>
      <c r="BZ194" s="32"/>
      <c r="CA194" s="32"/>
      <c r="CB194" s="32"/>
      <c r="CC194" s="32"/>
      <c r="CD194" s="32"/>
      <c r="CE194" s="32">
        <v>12.8</v>
      </c>
      <c r="CF194" s="32">
        <v>0</v>
      </c>
      <c r="CG194" s="32">
        <v>0</v>
      </c>
      <c r="CH194" s="32">
        <v>0</v>
      </c>
      <c r="CI194" s="32">
        <f t="shared" si="10"/>
        <v>12.8</v>
      </c>
      <c r="CJ194" s="65">
        <f>IF((Table1[[#This Row],["Volume
BA MC-0"]]-Table1[[#This Row],[Total Panjang Pipa Aktual
(Sum-&gt;)3]]-Table1[[#This Row],[Total Volume
tidak dapat dipasang]])&gt;=0,Table1[[#This Row],["Volume
BA MC-0"]]-Table1[[#This Row],[Total Panjang Pipa Aktual
(Sum-&gt;)3]]-Table1[[#This Row],[Total Volume
tidak dapat dipasang]],0)</f>
        <v>0</v>
      </c>
      <c r="CK194" s="47"/>
      <c r="CL194" s="131"/>
      <c r="CM194" s="35"/>
      <c r="CN194" s="131"/>
      <c r="CO194" s="131"/>
      <c r="CP19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4" s="66">
        <f>IFERROR(Table1[[#This Row],[Progres Keg. Umum
(%)]]*Table1[[#This Row],[Nilai RAB Jaringan
(file pa aji)]],0)</f>
        <v>0</v>
      </c>
      <c r="CR194" s="66">
        <f>IFERROR(Table1[[#This Row],[Progres MOS
(%)]]*Table1[[#This Row],[Nilai RAB Jaringan
(file pa aji)]],0)</f>
        <v>0</v>
      </c>
      <c r="CS194" s="66">
        <f>IFERROR(Table1[[#This Row],[Progres Pemasangan
(%)]]*Table1[[#This Row],[Nilai RAB Jaringan
(file pa aji)]],0)</f>
        <v>0</v>
      </c>
      <c r="CT194" s="66">
        <f>IFERROR(Table1[[#This Row],[Progres Perizinan
(%)]]*Table1[[#This Row],[Nilai RAB Jaringan
(file pa aji)]],0)</f>
        <v>0</v>
      </c>
      <c r="CU194" s="329">
        <v>384654388</v>
      </c>
      <c r="CV194" s="329">
        <v>384654388</v>
      </c>
      <c r="CW194" s="583">
        <v>384654388</v>
      </c>
      <c r="CX194" s="329">
        <v>384654388</v>
      </c>
      <c r="CY194" s="47"/>
      <c r="CZ194" s="330">
        <v>45747</v>
      </c>
      <c r="DA194" s="330">
        <v>45774</v>
      </c>
      <c r="DB194" s="331">
        <v>45761</v>
      </c>
      <c r="DC194" s="316" t="s">
        <v>1440</v>
      </c>
      <c r="DD194" s="67">
        <v>366257567</v>
      </c>
      <c r="DE19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4" s="331">
        <v>45771</v>
      </c>
      <c r="DG194" s="316" t="s">
        <v>1441</v>
      </c>
      <c r="DH194" s="67">
        <v>366257567</v>
      </c>
      <c r="DI19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4" s="330">
        <v>45775</v>
      </c>
      <c r="DK194" s="330">
        <v>45816</v>
      </c>
      <c r="DL194" s="331">
        <v>45784</v>
      </c>
      <c r="DM194" s="316" t="s">
        <v>1442</v>
      </c>
      <c r="DN19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4" s="331">
        <v>45825</v>
      </c>
      <c r="DP194" s="316" t="s">
        <v>1443</v>
      </c>
      <c r="DQ194" s="338" t="s">
        <v>560</v>
      </c>
      <c r="DR19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4" s="330">
        <v>45775</v>
      </c>
      <c r="DT194" s="330" t="e">
        <v>#N/A</v>
      </c>
      <c r="DU194" s="330">
        <v>45816</v>
      </c>
      <c r="DV194" s="330" t="e">
        <v>#N/A</v>
      </c>
      <c r="DW194" s="331">
        <v>45784</v>
      </c>
      <c r="DX194" s="316" t="s">
        <v>1444</v>
      </c>
      <c r="DY194" s="334"/>
      <c r="DZ194" s="334"/>
      <c r="EA19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4" s="331">
        <v>46160</v>
      </c>
      <c r="EC194" s="332"/>
      <c r="ED194" s="332"/>
      <c r="EE194" s="330" t="s">
        <v>1445</v>
      </c>
      <c r="EF194" s="35" t="b">
        <v>0</v>
      </c>
      <c r="EG194" s="337" t="b">
        <v>0</v>
      </c>
      <c r="EH194" s="316" t="str">
        <f>IF(Table1[[#This Row],[PO Material Aktual 
(%)]]&gt;=100%,"Selesai PO = 100%",IF(Table1[[#This Row],[PO Material Aktual 
(%)]]&gt;=50%,"Proses PO &gt; 100%",IF(Table1[[#This Row],[PO Material Aktual 
(%)]]&gt;0%,"Proses PO &gt; 50%",IF(Table1[[#This Row],[PO Material Aktual 
(%)]]=0,"Belum PO = 0%"))))</f>
        <v>Selesai PO = 100%</v>
      </c>
      <c r="EI19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4" s="330">
        <v>45817</v>
      </c>
      <c r="EK194" s="330" t="e">
        <v>#N/A</v>
      </c>
      <c r="EL194" s="330">
        <v>45865</v>
      </c>
      <c r="EM194" s="330" t="e">
        <v>#N/A</v>
      </c>
      <c r="EN194" s="331">
        <v>46061</v>
      </c>
      <c r="EO194" s="332"/>
      <c r="EP194" s="332"/>
      <c r="EQ194" s="87" t="b">
        <v>0</v>
      </c>
      <c r="ER194" s="87" t="b">
        <v>0</v>
      </c>
      <c r="ES194" s="316" t="str">
        <f>IF(Table1[[#This Row],[Progres MOS]]&gt;=100%,"Selesai MOS = 100%",IF(Table1[[#This Row],[Progres MOS]]&gt;=50%,"Proses MOS &gt; 100%",IF(Table1[[#This Row],[Progres MOS]]&gt;0%,"Proses MOS &gt; 50%",IF(Table1[[#This Row],[Progres MOS]]=0,"Belum MOS = 0%"))))</f>
        <v>Selesai MOS = 100%</v>
      </c>
      <c r="ET19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4" s="47"/>
      <c r="EV194" s="330">
        <v>45775</v>
      </c>
      <c r="EW194" s="330" t="e">
        <v>#N/A</v>
      </c>
      <c r="EX194" s="330">
        <v>45865</v>
      </c>
      <c r="EY194" s="330" t="e">
        <v>#N/A</v>
      </c>
      <c r="EZ194" s="352" t="s">
        <v>298</v>
      </c>
      <c r="FA194" s="336" t="s">
        <v>259</v>
      </c>
      <c r="FB194" s="330" t="s">
        <v>260</v>
      </c>
      <c r="FC194" s="330">
        <v>45838</v>
      </c>
      <c r="FD194" s="330" t="s">
        <v>260</v>
      </c>
      <c r="FE194" s="330">
        <v>45895</v>
      </c>
      <c r="FF194" s="330">
        <v>45929</v>
      </c>
      <c r="FG194" s="330" t="s">
        <v>260</v>
      </c>
      <c r="FH194" s="330" t="s">
        <v>260</v>
      </c>
      <c r="FI194" s="330">
        <v>46010</v>
      </c>
      <c r="FJ194" s="330" t="s">
        <v>260</v>
      </c>
      <c r="FK194" s="330">
        <v>46093</v>
      </c>
      <c r="FL194" s="336" t="s">
        <v>298</v>
      </c>
      <c r="FM194" s="352">
        <v>45838</v>
      </c>
      <c r="FN194" s="338">
        <f>IF(Table1[[#This Row],[Tanggal Pengajuan Dokumen]]="","",Table1[[#This Row],[PLAN PERMIT
start]]-Table1[[#This Row],[Tanggal Pengajuan Dokumen]])</f>
        <v>-63</v>
      </c>
      <c r="FO194" s="437">
        <v>46086</v>
      </c>
      <c r="FP194" s="316"/>
      <c r="FQ194" s="338"/>
      <c r="FR194" s="338"/>
      <c r="FS194" s="338" t="str">
        <f t="shared" si="11"/>
        <v>Sudah Terbit</v>
      </c>
      <c r="FT19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4" s="344">
        <f ca="1">IF(Table1[[#This Row],[Status Izin]]="Selesai",Table1[[#This Row],[PLAN PERMIT
finish]]-Table1[[#This Row],[Tanggal Terbit/ Target Izin Terbit]],ROUNDUP(Table1[[#This Row],[PLAN PERMIT
finish]]-NOW(),0))</f>
        <v>-221</v>
      </c>
      <c r="FV19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4" s="344"/>
      <c r="FX194" s="47"/>
      <c r="FY194" s="340"/>
      <c r="FZ194" s="341"/>
      <c r="GA19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4" s="330">
        <v>45818</v>
      </c>
      <c r="GC194" s="352">
        <v>45826</v>
      </c>
      <c r="GD19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4" s="330">
        <v>45825</v>
      </c>
      <c r="GF194" s="352" t="s">
        <v>1385</v>
      </c>
      <c r="GG19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4" s="330">
        <v>45831</v>
      </c>
      <c r="GI194" s="330">
        <v>45832</v>
      </c>
      <c r="GJ194" s="352">
        <v>45833</v>
      </c>
      <c r="GK19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94" s="330">
        <v>45866</v>
      </c>
      <c r="GM194" s="330" t="e">
        <v>#N/A</v>
      </c>
      <c r="GN194" s="330">
        <v>45886</v>
      </c>
      <c r="GO194" s="330" t="e">
        <v>#N/A</v>
      </c>
      <c r="GP194" s="316"/>
      <c r="GQ19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4" s="330" t="s">
        <v>261</v>
      </c>
      <c r="GS194" s="330" t="s">
        <v>261</v>
      </c>
      <c r="GT194" s="354">
        <v>45874</v>
      </c>
      <c r="GU194" s="344" t="str">
        <f>IF(Table1[[#This Row],[Hydro Tes Actual
(tanggal)]]&lt;&gt;"","Sudah","Belum")</f>
        <v>Sudah</v>
      </c>
      <c r="GV194" s="330" t="s">
        <v>261</v>
      </c>
      <c r="GW194" s="330" t="s">
        <v>261</v>
      </c>
      <c r="GX194" s="331">
        <v>45875</v>
      </c>
      <c r="GY194" s="344" t="str">
        <f>IF(Table1[[#This Row],[Interkoneksi Actual
(tanggal)]]&lt;&gt;"","Sudah","Belum")</f>
        <v>Sudah</v>
      </c>
      <c r="GZ194" s="330" t="s">
        <v>261</v>
      </c>
      <c r="HA194" s="330" t="s">
        <v>261</v>
      </c>
      <c r="HB194" s="331">
        <v>45882</v>
      </c>
      <c r="HC194" s="344" t="str">
        <f>IF(Table1[[#This Row],[Flushing Actual
(tanggal)]]&lt;&gt;"","Sudah","Belum")</f>
        <v>Sudah</v>
      </c>
      <c r="HD194" s="330">
        <v>45877</v>
      </c>
      <c r="HE194" s="330" t="e">
        <v>#N/A</v>
      </c>
      <c r="HF194" s="330">
        <v>45882</v>
      </c>
      <c r="HG194" s="331">
        <v>45894</v>
      </c>
      <c r="HH19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4" s="330" t="s">
        <v>261</v>
      </c>
      <c r="HJ194" s="330" t="s">
        <v>261</v>
      </c>
      <c r="HK194" s="331"/>
      <c r="HL194" s="316"/>
      <c r="HM194" s="330">
        <v>45891</v>
      </c>
      <c r="HN194" s="330">
        <v>45891</v>
      </c>
      <c r="HO194" s="330" t="e">
        <v>#N/A</v>
      </c>
      <c r="HP194" s="331">
        <v>45894</v>
      </c>
      <c r="HQ19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94" s="330">
        <v>45898</v>
      </c>
      <c r="HS194" s="330"/>
      <c r="HT194" s="330">
        <v>45898</v>
      </c>
      <c r="HU194" s="527"/>
      <c r="HV194" s="331">
        <v>45931</v>
      </c>
      <c r="HW19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94" s="47"/>
      <c r="HY194" s="352"/>
      <c r="HZ194" s="352"/>
      <c r="IB194" s="618">
        <f>IFERROR(ROUND((Table1[[#This Row],[PLAN TC
finish]]-Table1[[#This Row],[PLAN MC-0
start]])/30,2),"")</f>
        <v>1.7</v>
      </c>
      <c r="IC194">
        <f>DATEDIF(Table1[[#This Row],[PLAN MC-0
start]],Table1[[#This Row],[PLAN TC
finish]],"m")</f>
        <v>1</v>
      </c>
    </row>
    <row r="195" spans="1:237" s="4" customFormat="1" ht="15" hidden="1" customHeight="1" x14ac:dyDescent="0.2">
      <c r="B195" s="311">
        <f>SUBTOTAL(3,$D$5:D195)</f>
        <v>84</v>
      </c>
      <c r="C195" s="348">
        <v>191</v>
      </c>
      <c r="D195" s="338" t="s">
        <v>244</v>
      </c>
      <c r="E195" s="338" t="s">
        <v>1446</v>
      </c>
      <c r="F195" s="338" t="s">
        <v>1447</v>
      </c>
      <c r="G195" s="349">
        <v>45935</v>
      </c>
      <c r="H195" s="338" t="s">
        <v>681</v>
      </c>
      <c r="I195" s="338" t="s">
        <v>278</v>
      </c>
      <c r="J195" s="315"/>
      <c r="K195" s="338" t="s">
        <v>1165</v>
      </c>
      <c r="L195" s="316" t="s">
        <v>250</v>
      </c>
      <c r="M195" s="316" t="s">
        <v>269</v>
      </c>
      <c r="N195" s="107">
        <v>138</v>
      </c>
      <c r="O195" s="31" t="s">
        <v>252</v>
      </c>
      <c r="P19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5" s="35" t="e">
        <v>#N/A</v>
      </c>
      <c r="S195" s="35">
        <v>1</v>
      </c>
      <c r="T195" s="35">
        <f>Table1[[#This Row],[Progres Total Aktual
(%)]]</f>
        <v>1</v>
      </c>
      <c r="U195" s="124">
        <f>Table1[[#This Row],[Progres Aktual
(%)]]-Table1[[#This Row],[Target Progres
(%)]]</f>
        <v>0</v>
      </c>
      <c r="V195" s="350">
        <f>Table1[[#This Row],["Volume
BA MC-0"]]</f>
        <v>112</v>
      </c>
      <c r="W195" s="351">
        <f>Table1[[#This Row],[Total Panjang Pipa Aktual
(Sum-&gt;)3]]</f>
        <v>149.69999999999999</v>
      </c>
      <c r="X195" s="47"/>
      <c r="Y195" s="67" t="s">
        <v>1448</v>
      </c>
      <c r="Z195" s="67">
        <v>450632935</v>
      </c>
      <c r="AA195" s="67">
        <f>Table1[[#This Row],[Nilai RAB Jaringan
(file pa aji)]]</f>
        <v>450632935</v>
      </c>
      <c r="AB195" s="320">
        <f>SUM(Table1[[#This Row],[RAB Kegiatan Umum]:[RAB Perizinan]])</f>
        <v>0</v>
      </c>
      <c r="AC195" s="320"/>
      <c r="AD195" s="320"/>
      <c r="AE195" s="320"/>
      <c r="AF195" s="320"/>
      <c r="AG195" s="436">
        <v>86388584</v>
      </c>
      <c r="AH195" s="35" t="e">
        <f>SUM(Table1[[#This Row],[Bobot Keg Umum]:[Bobot Perizinan]])</f>
        <v>#DIV/0!</v>
      </c>
      <c r="AI195" s="35" t="e">
        <f>Table1[[#This Row],[RAB Kegiatan Umum]]/Table1[[#This Row],[Nilai RAB Jaringan
(Exclude Ppn)]]</f>
        <v>#DIV/0!</v>
      </c>
      <c r="AJ195" s="35" t="e">
        <f>Table1[[#This Row],[RAB Pemasangan]]/Table1[[#This Row],[Nilai RAB Jaringan
(Exclude Ppn)]]</f>
        <v>#DIV/0!</v>
      </c>
      <c r="AK195" s="35" t="e">
        <f>Table1[[#This Row],[RAB Pengadaan]]/Table1[[#This Row],[Nilai RAB Jaringan
(Exclude Ppn)]]</f>
        <v>#DIV/0!</v>
      </c>
      <c r="AL195" s="35" t="e">
        <f>Table1[[#This Row],[RAB Perizinan]]/Table1[[#This Row],[Nilai RAB Jaringan
(Exclude Ppn)]]</f>
        <v>#DIV/0!</v>
      </c>
      <c r="AM195" s="47"/>
      <c r="AN195" s="285">
        <v>112</v>
      </c>
      <c r="AO195" s="285">
        <f>SUM(Table1[[#This Row],[Pipa 63 mm]:[Pipa 1,800 mm]])</f>
        <v>0</v>
      </c>
      <c r="AP195" s="285"/>
      <c r="AQ195" s="285"/>
      <c r="AR195" s="285"/>
      <c r="AS195" s="285"/>
      <c r="AT195" s="285"/>
      <c r="AU195" s="285"/>
      <c r="AV195" s="285"/>
      <c r="AW195" s="285"/>
      <c r="AX195" s="285"/>
      <c r="AY195" s="285"/>
      <c r="AZ195" s="285"/>
      <c r="BA195" s="285"/>
      <c r="BB195" s="285"/>
      <c r="BC195" s="285"/>
      <c r="BD195" s="285"/>
      <c r="BE195" s="285"/>
      <c r="BF195" s="285"/>
      <c r="BG195" s="285"/>
      <c r="BH195" s="285"/>
      <c r="BI195" s="285"/>
      <c r="BJ195" s="36">
        <f>SUM(Table1[[#This Row],[Pipa 63 mm2]:[Pipa 1,800 mm21]])</f>
        <v>149.69999999999999</v>
      </c>
      <c r="BK195" s="32">
        <v>119.7</v>
      </c>
      <c r="BL195" s="32">
        <v>30</v>
      </c>
      <c r="BM195" s="32"/>
      <c r="BN195" s="32"/>
      <c r="BO195" s="32"/>
      <c r="BP195" s="32"/>
      <c r="BQ195" s="32"/>
      <c r="BR195" s="32"/>
      <c r="BS195" s="32"/>
      <c r="BT195" s="32"/>
      <c r="BU195" s="32"/>
      <c r="BV195" s="32"/>
      <c r="BW195" s="32"/>
      <c r="BX195" s="32"/>
      <c r="BY195" s="32"/>
      <c r="BZ195" s="32"/>
      <c r="CA195" s="32"/>
      <c r="CB195" s="32"/>
      <c r="CC195" s="32"/>
      <c r="CD195" s="32"/>
      <c r="CE195" s="32">
        <v>0</v>
      </c>
      <c r="CF195" s="32">
        <v>0</v>
      </c>
      <c r="CG195" s="32">
        <v>0</v>
      </c>
      <c r="CH195" s="32">
        <v>0</v>
      </c>
      <c r="CI195" s="32">
        <f t="shared" si="10"/>
        <v>0</v>
      </c>
      <c r="CJ195" s="65">
        <f>IF((Table1[[#This Row],["Volume
BA MC-0"]]-Table1[[#This Row],[Total Panjang Pipa Aktual
(Sum-&gt;)3]]-Table1[[#This Row],[Total Volume
tidak dapat dipasang]])&gt;=0,Table1[[#This Row],["Volume
BA MC-0"]]-Table1[[#This Row],[Total Panjang Pipa Aktual
(Sum-&gt;)3]]-Table1[[#This Row],[Total Volume
tidak dapat dipasang]],0)</f>
        <v>0</v>
      </c>
      <c r="CK195" s="47"/>
      <c r="CL195" s="131"/>
      <c r="CM195" s="35"/>
      <c r="CN195" s="131"/>
      <c r="CO195" s="131"/>
      <c r="CP19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5" s="66">
        <f>IFERROR(Table1[[#This Row],[Progres Keg. Umum
(%)]]*Table1[[#This Row],[Nilai RAB Jaringan
(file pa aji)]],0)</f>
        <v>0</v>
      </c>
      <c r="CR195" s="66">
        <f>IFERROR(Table1[[#This Row],[Progres MOS
(%)]]*Table1[[#This Row],[Nilai RAB Jaringan
(file pa aji)]],0)</f>
        <v>0</v>
      </c>
      <c r="CS195" s="66">
        <f>IFERROR(Table1[[#This Row],[Progres Pemasangan
(%)]]*Table1[[#This Row],[Nilai RAB Jaringan
(file pa aji)]],0)</f>
        <v>0</v>
      </c>
      <c r="CT195" s="66">
        <f>IFERROR(Table1[[#This Row],[Progres Perizinan
(%)]]*Table1[[#This Row],[Nilai RAB Jaringan
(file pa aji)]],0)</f>
        <v>0</v>
      </c>
      <c r="CU195" s="329">
        <v>494298884</v>
      </c>
      <c r="CV195" s="329">
        <v>494298884</v>
      </c>
      <c r="CW195" s="583">
        <v>494298884</v>
      </c>
      <c r="CX195" s="329">
        <v>494298884</v>
      </c>
      <c r="CY195" s="47"/>
      <c r="CZ195" s="330">
        <v>45747</v>
      </c>
      <c r="DA195" s="330">
        <v>45774</v>
      </c>
      <c r="DB195" s="331">
        <v>45757</v>
      </c>
      <c r="DC195" s="316" t="s">
        <v>1449</v>
      </c>
      <c r="DD195" s="67">
        <v>450632934</v>
      </c>
      <c r="DE19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5" s="331">
        <v>45792</v>
      </c>
      <c r="DG195" s="316" t="s">
        <v>1450</v>
      </c>
      <c r="DH195" s="67">
        <v>450632934</v>
      </c>
      <c r="DI19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95" s="330">
        <v>45775</v>
      </c>
      <c r="DK195" s="330">
        <v>45816</v>
      </c>
      <c r="DL195" s="331">
        <v>45810</v>
      </c>
      <c r="DM195" s="316" t="s">
        <v>1451</v>
      </c>
      <c r="DN19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5" s="331">
        <v>45876</v>
      </c>
      <c r="DP195" s="316" t="s">
        <v>1452</v>
      </c>
      <c r="DQ195" s="338" t="s">
        <v>560</v>
      </c>
      <c r="DR19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5" s="330">
        <v>45775</v>
      </c>
      <c r="DT195" s="330" t="e">
        <v>#N/A</v>
      </c>
      <c r="DU195" s="330">
        <v>45816</v>
      </c>
      <c r="DV195" s="330" t="e">
        <v>#N/A</v>
      </c>
      <c r="DW195" s="331">
        <v>45810</v>
      </c>
      <c r="DX195" s="316" t="s">
        <v>1453</v>
      </c>
      <c r="DY195" s="334"/>
      <c r="DZ195" s="334"/>
      <c r="EA19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5" s="331">
        <v>46160</v>
      </c>
      <c r="EC195" s="332"/>
      <c r="ED195" s="332"/>
      <c r="EE195" s="330" t="s">
        <v>1445</v>
      </c>
      <c r="EF195" s="35" t="b">
        <v>0</v>
      </c>
      <c r="EG195" s="337" t="b">
        <v>0</v>
      </c>
      <c r="EH195" s="316" t="str">
        <f>IF(Table1[[#This Row],[PO Material Aktual 
(%)]]&gt;=100%,"Selesai PO = 100%",IF(Table1[[#This Row],[PO Material Aktual 
(%)]]&gt;=50%,"Proses PO &gt; 100%",IF(Table1[[#This Row],[PO Material Aktual 
(%)]]&gt;0%,"Proses PO &gt; 50%",IF(Table1[[#This Row],[PO Material Aktual 
(%)]]=0,"Belum PO = 0%"))))</f>
        <v>Selesai PO = 100%</v>
      </c>
      <c r="EI19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5" s="330">
        <v>45817</v>
      </c>
      <c r="EK195" s="330" t="e">
        <v>#N/A</v>
      </c>
      <c r="EL195" s="330">
        <v>45865</v>
      </c>
      <c r="EM195" s="330" t="e">
        <v>#N/A</v>
      </c>
      <c r="EN195" s="331">
        <v>46091</v>
      </c>
      <c r="EO195" s="332"/>
      <c r="EP195" s="332"/>
      <c r="EQ195" s="87" t="b">
        <v>0</v>
      </c>
      <c r="ER195" s="87" t="b">
        <v>0</v>
      </c>
      <c r="ES195" s="316" t="str">
        <f>IF(Table1[[#This Row],[Progres MOS]]&gt;=100%,"Selesai MOS = 100%",IF(Table1[[#This Row],[Progres MOS]]&gt;=50%,"Proses MOS &gt; 100%",IF(Table1[[#This Row],[Progres MOS]]&gt;0%,"Proses MOS &gt; 50%",IF(Table1[[#This Row],[Progres MOS]]=0,"Belum MOS = 0%"))))</f>
        <v>Selesai MOS = 100%</v>
      </c>
      <c r="ET19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5" s="47"/>
      <c r="EV195" s="330">
        <v>45775</v>
      </c>
      <c r="EW195" s="330" t="e">
        <v>#N/A</v>
      </c>
      <c r="EX195" s="330">
        <v>45865</v>
      </c>
      <c r="EY195" s="330" t="e">
        <v>#N/A</v>
      </c>
      <c r="EZ195" s="352" t="s">
        <v>298</v>
      </c>
      <c r="FA195" s="336" t="s">
        <v>259</v>
      </c>
      <c r="FB195" s="330" t="s">
        <v>260</v>
      </c>
      <c r="FC195" s="330">
        <v>45838</v>
      </c>
      <c r="FD195" s="330" t="s">
        <v>260</v>
      </c>
      <c r="FE195" s="330">
        <v>45888</v>
      </c>
      <c r="FF195" s="330">
        <v>45944</v>
      </c>
      <c r="FG195" s="330" t="s">
        <v>260</v>
      </c>
      <c r="FH195" s="330" t="s">
        <v>260</v>
      </c>
      <c r="FI195" s="330">
        <v>46010</v>
      </c>
      <c r="FJ195" s="330" t="s">
        <v>260</v>
      </c>
      <c r="FK195" s="330">
        <v>46113</v>
      </c>
      <c r="FL195" s="336" t="s">
        <v>298</v>
      </c>
      <c r="FM195" s="352">
        <v>45838</v>
      </c>
      <c r="FN195" s="338">
        <f>IF(Table1[[#This Row],[Tanggal Pengajuan Dokumen]]="","",Table1[[#This Row],[PLAN PERMIT
start]]-Table1[[#This Row],[Tanggal Pengajuan Dokumen]])</f>
        <v>-63</v>
      </c>
      <c r="FO195" s="437">
        <v>46086</v>
      </c>
      <c r="FP195" s="316"/>
      <c r="FQ195" s="338"/>
      <c r="FR195" s="338"/>
      <c r="FS195" s="338" t="str">
        <f t="shared" si="11"/>
        <v>Sudah Terbit</v>
      </c>
      <c r="FT19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5" s="344">
        <f ca="1">IF(Table1[[#This Row],[Status Izin]]="Selesai",Table1[[#This Row],[PLAN PERMIT
finish]]-Table1[[#This Row],[Tanggal Terbit/ Target Izin Terbit]],ROUNDUP(Table1[[#This Row],[PLAN PERMIT
finish]]-NOW(),0))</f>
        <v>-221</v>
      </c>
      <c r="FV19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5" s="344"/>
      <c r="FX195" s="47"/>
      <c r="FY195" s="340"/>
      <c r="FZ195" s="341"/>
      <c r="GA19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5" s="330">
        <v>45818</v>
      </c>
      <c r="GC195" s="352">
        <v>45826</v>
      </c>
      <c r="GD19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5" s="330">
        <v>45825</v>
      </c>
      <c r="GF195" s="352" t="s">
        <v>1385</v>
      </c>
      <c r="GG19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5" s="330">
        <v>45831</v>
      </c>
      <c r="GI195" s="330">
        <v>45832</v>
      </c>
      <c r="GJ195" s="352">
        <v>45832</v>
      </c>
      <c r="GK195" s="316"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95" s="330">
        <v>45866</v>
      </c>
      <c r="GM195" s="330" t="e">
        <v>#N/A</v>
      </c>
      <c r="GN195" s="330">
        <v>45886</v>
      </c>
      <c r="GO195" s="330" t="e">
        <v>#N/A</v>
      </c>
      <c r="GP195" s="316"/>
      <c r="GQ19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5" s="330" t="s">
        <v>261</v>
      </c>
      <c r="GS195" s="330" t="s">
        <v>261</v>
      </c>
      <c r="GT195" s="354">
        <v>45901</v>
      </c>
      <c r="GU195" s="344" t="str">
        <f>IF(Table1[[#This Row],[Hydro Tes Actual
(tanggal)]]&lt;&gt;"","Sudah","Belum")</f>
        <v>Sudah</v>
      </c>
      <c r="GV195" s="330" t="s">
        <v>261</v>
      </c>
      <c r="GW195" s="330" t="s">
        <v>261</v>
      </c>
      <c r="GX195" s="331">
        <v>45904</v>
      </c>
      <c r="GY195" s="344" t="str">
        <f>IF(Table1[[#This Row],[Interkoneksi Actual
(tanggal)]]&lt;&gt;"","Sudah","Belum")</f>
        <v>Sudah</v>
      </c>
      <c r="GZ195" s="330" t="s">
        <v>261</v>
      </c>
      <c r="HA195" s="330" t="s">
        <v>261</v>
      </c>
      <c r="HB195" s="331">
        <v>45926</v>
      </c>
      <c r="HC195" s="344" t="str">
        <f>IF(Table1[[#This Row],[Flushing Actual
(tanggal)]]&lt;&gt;"","Sudah","Belum")</f>
        <v>Sudah</v>
      </c>
      <c r="HD195" s="330">
        <v>45877</v>
      </c>
      <c r="HE195" s="330" t="e">
        <v>#N/A</v>
      </c>
      <c r="HF195" s="330">
        <v>45882</v>
      </c>
      <c r="HG195" s="331">
        <v>45924</v>
      </c>
      <c r="HH19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5" s="330" t="s">
        <v>261</v>
      </c>
      <c r="HJ195" s="330" t="s">
        <v>261</v>
      </c>
      <c r="HK195" s="331"/>
      <c r="HL195" s="316"/>
      <c r="HM195" s="330">
        <v>45891</v>
      </c>
      <c r="HN195" s="330">
        <v>45891</v>
      </c>
      <c r="HO195" s="330" t="e">
        <v>#N/A</v>
      </c>
      <c r="HP195" s="331">
        <v>45929</v>
      </c>
      <c r="HQ19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95" s="330">
        <v>45898</v>
      </c>
      <c r="HS195" s="330"/>
      <c r="HT195" s="330">
        <v>45898</v>
      </c>
      <c r="HU195" s="527"/>
      <c r="HV195" s="331">
        <v>45934</v>
      </c>
      <c r="HW19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95" s="47"/>
      <c r="HY195" s="352"/>
      <c r="HZ195" s="352"/>
      <c r="IB195" s="618">
        <f>IFERROR(ROUND((Table1[[#This Row],[PLAN TC
finish]]-Table1[[#This Row],[PLAN MC-0
start]])/30,2),"")</f>
        <v>1.7</v>
      </c>
      <c r="IC195">
        <f>DATEDIF(Table1[[#This Row],[PLAN MC-0
start]],Table1[[#This Row],[PLAN TC
finish]],"m")</f>
        <v>1</v>
      </c>
    </row>
    <row r="196" spans="1:237" s="4" customFormat="1" ht="15" hidden="1" customHeight="1" x14ac:dyDescent="0.2">
      <c r="B196" s="311">
        <f>SUBTOTAL(3,$D$5:D196)</f>
        <v>84</v>
      </c>
      <c r="C196" s="348">
        <v>192</v>
      </c>
      <c r="D196" s="338" t="s">
        <v>244</v>
      </c>
      <c r="E196" s="338" t="s">
        <v>1454</v>
      </c>
      <c r="F196" s="338" t="s">
        <v>1455</v>
      </c>
      <c r="G196" s="349">
        <v>45935</v>
      </c>
      <c r="H196" s="338" t="s">
        <v>681</v>
      </c>
      <c r="I196" s="338" t="s">
        <v>278</v>
      </c>
      <c r="J196" s="315" t="s">
        <v>882</v>
      </c>
      <c r="K196" s="338" t="s">
        <v>1165</v>
      </c>
      <c r="L196" s="316" t="s">
        <v>250</v>
      </c>
      <c r="M196" s="316" t="s">
        <v>269</v>
      </c>
      <c r="N196" s="107">
        <v>216</v>
      </c>
      <c r="O196" s="31" t="s">
        <v>252</v>
      </c>
      <c r="P19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6" s="35" t="e">
        <v>#N/A</v>
      </c>
      <c r="S196" s="35">
        <v>1</v>
      </c>
      <c r="T196" s="35">
        <f>Table1[[#This Row],[Progres Total Aktual
(%)]]</f>
        <v>1</v>
      </c>
      <c r="U196" s="124">
        <f>Table1[[#This Row],[Progres Aktual
(%)]]-Table1[[#This Row],[Target Progres
(%)]]</f>
        <v>0</v>
      </c>
      <c r="V196" s="350">
        <f>Table1[[#This Row],["Volume
BA MC-0"]]</f>
        <v>333</v>
      </c>
      <c r="W196" s="351">
        <f>Table1[[#This Row],[Total Panjang Pipa Aktual
(Sum-&gt;)3]]</f>
        <v>456</v>
      </c>
      <c r="X196" s="47"/>
      <c r="Y196" s="67" t="s">
        <v>1456</v>
      </c>
      <c r="Z196" s="67">
        <v>471970179</v>
      </c>
      <c r="AA196" s="67">
        <f>Table1[[#This Row],[Nilai RAB Jaringan
(file pa aji)]]</f>
        <v>471970179</v>
      </c>
      <c r="AB196" s="320">
        <f>SUM(Table1[[#This Row],[RAB Kegiatan Umum]:[RAB Perizinan]])</f>
        <v>0</v>
      </c>
      <c r="AC196" s="320"/>
      <c r="AD196" s="320"/>
      <c r="AE196" s="320"/>
      <c r="AF196" s="320"/>
      <c r="AG196" s="436">
        <v>105351932</v>
      </c>
      <c r="AH196" s="35" t="e">
        <f>SUM(Table1[[#This Row],[Bobot Keg Umum]:[Bobot Perizinan]])</f>
        <v>#DIV/0!</v>
      </c>
      <c r="AI196" s="35" t="e">
        <f>Table1[[#This Row],[RAB Kegiatan Umum]]/Table1[[#This Row],[Nilai RAB Jaringan
(Exclude Ppn)]]</f>
        <v>#DIV/0!</v>
      </c>
      <c r="AJ196" s="35" t="e">
        <f>Table1[[#This Row],[RAB Pemasangan]]/Table1[[#This Row],[Nilai RAB Jaringan
(Exclude Ppn)]]</f>
        <v>#DIV/0!</v>
      </c>
      <c r="AK196" s="35" t="e">
        <f>Table1[[#This Row],[RAB Pengadaan]]/Table1[[#This Row],[Nilai RAB Jaringan
(Exclude Ppn)]]</f>
        <v>#DIV/0!</v>
      </c>
      <c r="AL196" s="35" t="e">
        <f>Table1[[#This Row],[RAB Perizinan]]/Table1[[#This Row],[Nilai RAB Jaringan
(Exclude Ppn)]]</f>
        <v>#DIV/0!</v>
      </c>
      <c r="AM196" s="47"/>
      <c r="AN196" s="285">
        <v>333</v>
      </c>
      <c r="AO196" s="285">
        <f>SUM(Table1[[#This Row],[Pipa 63 mm]:[Pipa 1,800 mm]])</f>
        <v>0</v>
      </c>
      <c r="AP196" s="285"/>
      <c r="AQ196" s="285"/>
      <c r="AR196" s="285"/>
      <c r="AS196" s="285"/>
      <c r="AT196" s="285"/>
      <c r="AU196" s="285"/>
      <c r="AV196" s="285"/>
      <c r="AW196" s="285"/>
      <c r="AX196" s="285"/>
      <c r="AY196" s="285"/>
      <c r="AZ196" s="285"/>
      <c r="BA196" s="285"/>
      <c r="BB196" s="285"/>
      <c r="BC196" s="285"/>
      <c r="BD196" s="285"/>
      <c r="BE196" s="285"/>
      <c r="BF196" s="285"/>
      <c r="BG196" s="285"/>
      <c r="BH196" s="285"/>
      <c r="BI196" s="285"/>
      <c r="BJ196" s="36">
        <f>SUM(Table1[[#This Row],[Pipa 63 mm2]:[Pipa 1,800 mm21]])</f>
        <v>456</v>
      </c>
      <c r="BK196" s="32">
        <v>456</v>
      </c>
      <c r="BL196" s="32"/>
      <c r="BM196" s="32"/>
      <c r="BN196" s="32"/>
      <c r="BO196" s="32"/>
      <c r="BP196" s="32"/>
      <c r="BQ196" s="32"/>
      <c r="BR196" s="32"/>
      <c r="BS196" s="32"/>
      <c r="BT196" s="32"/>
      <c r="BU196" s="32"/>
      <c r="BV196" s="32"/>
      <c r="BW196" s="32"/>
      <c r="BX196" s="32"/>
      <c r="BY196" s="32"/>
      <c r="BZ196" s="32"/>
      <c r="CA196" s="32"/>
      <c r="CB196" s="32"/>
      <c r="CC196" s="32"/>
      <c r="CD196" s="32"/>
      <c r="CE196" s="32">
        <v>0</v>
      </c>
      <c r="CF196" s="32">
        <v>0</v>
      </c>
      <c r="CG196" s="32">
        <v>0</v>
      </c>
      <c r="CH196" s="32">
        <v>0</v>
      </c>
      <c r="CI196" s="32">
        <f t="shared" si="10"/>
        <v>0</v>
      </c>
      <c r="CJ196" s="65">
        <f>IF((Table1[[#This Row],["Volume
BA MC-0"]]-Table1[[#This Row],[Total Panjang Pipa Aktual
(Sum-&gt;)3]]-Table1[[#This Row],[Total Volume
tidak dapat dipasang]])&gt;=0,Table1[[#This Row],["Volume
BA MC-0"]]-Table1[[#This Row],[Total Panjang Pipa Aktual
(Sum-&gt;)3]]-Table1[[#This Row],[Total Volume
tidak dapat dipasang]],0)</f>
        <v>0</v>
      </c>
      <c r="CK196" s="47"/>
      <c r="CL196" s="131"/>
      <c r="CM196" s="35"/>
      <c r="CN196" s="131"/>
      <c r="CO196" s="131"/>
      <c r="CP19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6" s="66">
        <f>IFERROR(Table1[[#This Row],[Progres Keg. Umum
(%)]]*Table1[[#This Row],[Nilai RAB Jaringan
(file pa aji)]],0)</f>
        <v>0</v>
      </c>
      <c r="CR196" s="66">
        <f>IFERROR(Table1[[#This Row],[Progres MOS
(%)]]*Table1[[#This Row],[Nilai RAB Jaringan
(file pa aji)]],0)</f>
        <v>0</v>
      </c>
      <c r="CS196" s="66">
        <f>IFERROR(Table1[[#This Row],[Progres Pemasangan
(%)]]*Table1[[#This Row],[Nilai RAB Jaringan
(file pa aji)]],0)</f>
        <v>0</v>
      </c>
      <c r="CT196" s="66">
        <f>IFERROR(Table1[[#This Row],[Progres Perizinan
(%)]]*Table1[[#This Row],[Nilai RAB Jaringan
(file pa aji)]],0)</f>
        <v>0</v>
      </c>
      <c r="CU196" s="329">
        <v>771524344</v>
      </c>
      <c r="CV196" s="329">
        <v>771524344</v>
      </c>
      <c r="CW196" s="583">
        <v>771524344</v>
      </c>
      <c r="CX196" s="329">
        <v>771524344</v>
      </c>
      <c r="CY196" s="47"/>
      <c r="CZ196" s="330">
        <v>45747</v>
      </c>
      <c r="DA196" s="330">
        <v>45774</v>
      </c>
      <c r="DB196" s="331">
        <v>45757</v>
      </c>
      <c r="DC196" s="316" t="s">
        <v>1457</v>
      </c>
      <c r="DD196" s="67">
        <v>724290992</v>
      </c>
      <c r="DE19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6" s="331">
        <v>45771</v>
      </c>
      <c r="DG196" s="316" t="s">
        <v>1458</v>
      </c>
      <c r="DH196" s="67">
        <v>724290992</v>
      </c>
      <c r="DI19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6" s="330">
        <v>45775</v>
      </c>
      <c r="DK196" s="330">
        <v>45816</v>
      </c>
      <c r="DL196" s="331">
        <v>45792</v>
      </c>
      <c r="DM196" s="316" t="s">
        <v>1459</v>
      </c>
      <c r="DN19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6" s="331">
        <v>45867</v>
      </c>
      <c r="DP196" s="316" t="s">
        <v>1460</v>
      </c>
      <c r="DQ196" s="338" t="s">
        <v>371</v>
      </c>
      <c r="DR19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6" s="330">
        <v>45775</v>
      </c>
      <c r="DT196" s="330" t="e">
        <v>#N/A</v>
      </c>
      <c r="DU196" s="330">
        <v>45816</v>
      </c>
      <c r="DV196" s="330" t="e">
        <v>#N/A</v>
      </c>
      <c r="DW196" s="331">
        <v>45792</v>
      </c>
      <c r="DX196" s="316" t="s">
        <v>1461</v>
      </c>
      <c r="DY196" s="334"/>
      <c r="DZ196" s="334"/>
      <c r="EA19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6" s="331">
        <v>46160</v>
      </c>
      <c r="EC196" s="332"/>
      <c r="ED196" s="332"/>
      <c r="EE196" s="330" t="s">
        <v>1445</v>
      </c>
      <c r="EF196" s="35" t="b">
        <v>0</v>
      </c>
      <c r="EG196" s="337" t="b">
        <v>0</v>
      </c>
      <c r="EH196" s="316" t="str">
        <f>IF(Table1[[#This Row],[PO Material Aktual 
(%)]]&gt;=100%,"Selesai PO = 100%",IF(Table1[[#This Row],[PO Material Aktual 
(%)]]&gt;=50%,"Proses PO &gt; 100%",IF(Table1[[#This Row],[PO Material Aktual 
(%)]]&gt;0%,"Proses PO &gt; 50%",IF(Table1[[#This Row],[PO Material Aktual 
(%)]]=0,"Belum PO = 0%"))))</f>
        <v>Selesai PO = 100%</v>
      </c>
      <c r="EI19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6" s="330">
        <v>45817</v>
      </c>
      <c r="EK196" s="330" t="e">
        <v>#N/A</v>
      </c>
      <c r="EL196" s="330">
        <v>45865</v>
      </c>
      <c r="EM196" s="330" t="e">
        <v>#N/A</v>
      </c>
      <c r="EN196" s="331">
        <v>46091</v>
      </c>
      <c r="EO196" s="332"/>
      <c r="EP196" s="332"/>
      <c r="EQ196" s="87" t="b">
        <v>0</v>
      </c>
      <c r="ER196" s="87" t="b">
        <v>0</v>
      </c>
      <c r="ES196" s="316" t="str">
        <f>IF(Table1[[#This Row],[Progres MOS]]&gt;=100%,"Selesai MOS = 100%",IF(Table1[[#This Row],[Progres MOS]]&gt;=50%,"Proses MOS &gt; 100%",IF(Table1[[#This Row],[Progres MOS]]&gt;0%,"Proses MOS &gt; 50%",IF(Table1[[#This Row],[Progres MOS]]=0,"Belum MOS = 0%"))))</f>
        <v>Selesai MOS = 100%</v>
      </c>
      <c r="ET19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6" s="47"/>
      <c r="EV196" s="330">
        <v>45775</v>
      </c>
      <c r="EW196" s="330" t="e">
        <v>#N/A</v>
      </c>
      <c r="EX196" s="330">
        <v>45865</v>
      </c>
      <c r="EY196" s="330" t="e">
        <v>#N/A</v>
      </c>
      <c r="EZ196" s="352" t="s">
        <v>298</v>
      </c>
      <c r="FA196" s="336" t="s">
        <v>259</v>
      </c>
      <c r="FB196" s="330" t="s">
        <v>260</v>
      </c>
      <c r="FC196" s="330">
        <v>45838</v>
      </c>
      <c r="FD196" s="330" t="s">
        <v>260</v>
      </c>
      <c r="FE196" s="330">
        <v>45888</v>
      </c>
      <c r="FF196" s="330">
        <v>45944</v>
      </c>
      <c r="FG196" s="330" t="s">
        <v>260</v>
      </c>
      <c r="FH196" s="330" t="s">
        <v>260</v>
      </c>
      <c r="FI196" s="330">
        <v>46010</v>
      </c>
      <c r="FJ196" s="330" t="s">
        <v>260</v>
      </c>
      <c r="FK196" s="330">
        <v>46113</v>
      </c>
      <c r="FL196" s="336" t="s">
        <v>298</v>
      </c>
      <c r="FM196" s="352">
        <v>45838</v>
      </c>
      <c r="FN196" s="338">
        <f>IF(Table1[[#This Row],[Tanggal Pengajuan Dokumen]]="","",Table1[[#This Row],[PLAN PERMIT
start]]-Table1[[#This Row],[Tanggal Pengajuan Dokumen]])</f>
        <v>-63</v>
      </c>
      <c r="FO196" s="437">
        <v>46086</v>
      </c>
      <c r="FP196" s="316"/>
      <c r="FQ196" s="338"/>
      <c r="FR196" s="338"/>
      <c r="FS196" s="338" t="str">
        <f t="shared" si="11"/>
        <v>Sudah Terbit</v>
      </c>
      <c r="FT19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6" s="344">
        <f ca="1">IF(Table1[[#This Row],[Status Izin]]="Selesai",Table1[[#This Row],[PLAN PERMIT
finish]]-Table1[[#This Row],[Tanggal Terbit/ Target Izin Terbit]],ROUNDUP(Table1[[#This Row],[PLAN PERMIT
finish]]-NOW(),0))</f>
        <v>-221</v>
      </c>
      <c r="FV19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6" s="344"/>
      <c r="FX196" s="47"/>
      <c r="FY196" s="340"/>
      <c r="FZ196" s="341"/>
      <c r="GA19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6" s="330">
        <v>45818</v>
      </c>
      <c r="GC196" s="352">
        <v>45826</v>
      </c>
      <c r="GD19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6" s="330">
        <v>45825</v>
      </c>
      <c r="GF196" s="352" t="s">
        <v>1385</v>
      </c>
      <c r="GG19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6" s="330">
        <v>45831</v>
      </c>
      <c r="GI196" s="330">
        <v>45832</v>
      </c>
      <c r="GJ196" s="352">
        <v>45827</v>
      </c>
      <c r="GK19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6" s="330">
        <v>45866</v>
      </c>
      <c r="GM196" s="330" t="e">
        <v>#N/A</v>
      </c>
      <c r="GN196" s="330">
        <v>45886</v>
      </c>
      <c r="GO196" s="330" t="e">
        <v>#N/A</v>
      </c>
      <c r="GP196" s="316"/>
      <c r="GQ19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6" s="330" t="s">
        <v>261</v>
      </c>
      <c r="GS196" s="330" t="s">
        <v>261</v>
      </c>
      <c r="GT196" s="354">
        <v>45973</v>
      </c>
      <c r="GU196" s="344" t="str">
        <f>IF(Table1[[#This Row],[Hydro Tes Actual
(tanggal)]]&lt;&gt;"","Sudah","Belum")</f>
        <v>Sudah</v>
      </c>
      <c r="GV196" s="330" t="s">
        <v>261</v>
      </c>
      <c r="GW196" s="330" t="s">
        <v>261</v>
      </c>
      <c r="GX196" s="331">
        <v>45974</v>
      </c>
      <c r="GY196" s="344" t="str">
        <f>IF(Table1[[#This Row],[Interkoneksi Actual
(tanggal)]]&lt;&gt;"","Sudah","Belum")</f>
        <v>Sudah</v>
      </c>
      <c r="GZ196" s="330" t="s">
        <v>261</v>
      </c>
      <c r="HA196" s="330" t="s">
        <v>261</v>
      </c>
      <c r="HB196" s="331">
        <v>45976</v>
      </c>
      <c r="HC196" s="344" t="str">
        <f>IF(Table1[[#This Row],[Flushing Actual
(tanggal)]]&lt;&gt;"","Sudah","Belum")</f>
        <v>Sudah</v>
      </c>
      <c r="HD196" s="330">
        <v>45877</v>
      </c>
      <c r="HE196" s="330" t="e">
        <v>#N/A</v>
      </c>
      <c r="HF196" s="330">
        <v>45882</v>
      </c>
      <c r="HG196" s="331">
        <v>45980</v>
      </c>
      <c r="HH19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6" s="330" t="s">
        <v>261</v>
      </c>
      <c r="HJ196" s="330" t="s">
        <v>261</v>
      </c>
      <c r="HK196" s="331"/>
      <c r="HL196" s="316"/>
      <c r="HM196" s="330">
        <v>45891</v>
      </c>
      <c r="HN196" s="330">
        <v>45891</v>
      </c>
      <c r="HO196" s="330" t="e">
        <v>#N/A</v>
      </c>
      <c r="HP196" s="331">
        <v>46008</v>
      </c>
      <c r="HQ19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96" s="330">
        <v>45898</v>
      </c>
      <c r="HS196" s="330"/>
      <c r="HT196" s="330">
        <v>45898</v>
      </c>
      <c r="HU196" s="527"/>
      <c r="HV196" s="331">
        <v>46024</v>
      </c>
      <c r="HW19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96" s="47"/>
      <c r="HY196" s="352"/>
      <c r="HZ196" s="352"/>
      <c r="IB196" s="618">
        <f>IFERROR(ROUND((Table1[[#This Row],[PLAN TC
finish]]-Table1[[#This Row],[PLAN MC-0
start]])/30,2),"")</f>
        <v>1.7</v>
      </c>
      <c r="IC196">
        <f>DATEDIF(Table1[[#This Row],[PLAN MC-0
start]],Table1[[#This Row],[PLAN TC
finish]],"m")</f>
        <v>1</v>
      </c>
    </row>
    <row r="197" spans="1:237" s="4" customFormat="1" ht="15" hidden="1" customHeight="1" x14ac:dyDescent="0.2">
      <c r="B197" s="311">
        <f>SUBTOTAL(3,$D$5:D197)</f>
        <v>84</v>
      </c>
      <c r="C197" s="348">
        <v>193</v>
      </c>
      <c r="D197" s="338" t="s">
        <v>244</v>
      </c>
      <c r="E197" s="338" t="s">
        <v>1462</v>
      </c>
      <c r="F197" s="338" t="s">
        <v>1463</v>
      </c>
      <c r="G197" s="349">
        <v>45935</v>
      </c>
      <c r="H197" s="338" t="s">
        <v>681</v>
      </c>
      <c r="I197" s="338" t="s">
        <v>278</v>
      </c>
      <c r="J197" s="315"/>
      <c r="K197" s="338" t="s">
        <v>1165</v>
      </c>
      <c r="L197" s="316" t="s">
        <v>250</v>
      </c>
      <c r="M197" s="316" t="s">
        <v>269</v>
      </c>
      <c r="N197" s="107">
        <v>142</v>
      </c>
      <c r="O197" s="31" t="s">
        <v>252</v>
      </c>
      <c r="P19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7" s="35" t="e">
        <v>#N/A</v>
      </c>
      <c r="S197" s="35">
        <v>1</v>
      </c>
      <c r="T197" s="35">
        <f>Table1[[#This Row],[Progres Total Aktual
(%)]]</f>
        <v>1</v>
      </c>
      <c r="U197" s="124">
        <f>Table1[[#This Row],[Progres Aktual
(%)]]-Table1[[#This Row],[Target Progres
(%)]]</f>
        <v>0</v>
      </c>
      <c r="V197" s="350">
        <f>Table1[[#This Row],["Volume
BA MC-0"]]</f>
        <v>130</v>
      </c>
      <c r="W197" s="351">
        <f>Table1[[#This Row],[Total Panjang Pipa Aktual
(Sum-&gt;)3]]</f>
        <v>123.89999999999999</v>
      </c>
      <c r="X197" s="47"/>
      <c r="Y197" s="67" t="s">
        <v>1464</v>
      </c>
      <c r="Z197" s="67">
        <v>326207745</v>
      </c>
      <c r="AA197" s="67">
        <f>Table1[[#This Row],[Nilai RAB Jaringan
(file pa aji)]]</f>
        <v>326207745</v>
      </c>
      <c r="AB197" s="320">
        <f>SUM(Table1[[#This Row],[RAB Kegiatan Umum]:[RAB Perizinan]])</f>
        <v>0</v>
      </c>
      <c r="AC197" s="320"/>
      <c r="AD197" s="320"/>
      <c r="AE197" s="320"/>
      <c r="AF197" s="320"/>
      <c r="AG197" s="436">
        <v>455839140</v>
      </c>
      <c r="AH197" s="35" t="e">
        <f>SUM(Table1[[#This Row],[Bobot Keg Umum]:[Bobot Perizinan]])</f>
        <v>#DIV/0!</v>
      </c>
      <c r="AI197" s="35" t="e">
        <f>Table1[[#This Row],[RAB Kegiatan Umum]]/Table1[[#This Row],[Nilai RAB Jaringan
(Exclude Ppn)]]</f>
        <v>#DIV/0!</v>
      </c>
      <c r="AJ197" s="35" t="e">
        <f>Table1[[#This Row],[RAB Pemasangan]]/Table1[[#This Row],[Nilai RAB Jaringan
(Exclude Ppn)]]</f>
        <v>#DIV/0!</v>
      </c>
      <c r="AK197" s="35" t="e">
        <f>Table1[[#This Row],[RAB Pengadaan]]/Table1[[#This Row],[Nilai RAB Jaringan
(Exclude Ppn)]]</f>
        <v>#DIV/0!</v>
      </c>
      <c r="AL197" s="35" t="e">
        <f>Table1[[#This Row],[RAB Perizinan]]/Table1[[#This Row],[Nilai RAB Jaringan
(Exclude Ppn)]]</f>
        <v>#DIV/0!</v>
      </c>
      <c r="AM197" s="47"/>
      <c r="AN197" s="285">
        <v>130</v>
      </c>
      <c r="AO197" s="285">
        <f>SUM(Table1[[#This Row],[Pipa 63 mm]:[Pipa 1,800 mm]])</f>
        <v>0</v>
      </c>
      <c r="AP197" s="285"/>
      <c r="AQ197" s="285"/>
      <c r="AR197" s="285"/>
      <c r="AS197" s="285"/>
      <c r="AT197" s="285"/>
      <c r="AU197" s="285"/>
      <c r="AV197" s="285"/>
      <c r="AW197" s="285"/>
      <c r="AX197" s="285"/>
      <c r="AY197" s="285"/>
      <c r="AZ197" s="285"/>
      <c r="BA197" s="285"/>
      <c r="BB197" s="285"/>
      <c r="BC197" s="285"/>
      <c r="BD197" s="285"/>
      <c r="BE197" s="285"/>
      <c r="BF197" s="285"/>
      <c r="BG197" s="285"/>
      <c r="BH197" s="285"/>
      <c r="BI197" s="285"/>
      <c r="BJ197" s="36">
        <f>SUM(Table1[[#This Row],[Pipa 63 mm2]:[Pipa 1,800 mm21]])</f>
        <v>123.89999999999999</v>
      </c>
      <c r="BK197" s="32">
        <f>43.8+80.1</f>
        <v>123.89999999999999</v>
      </c>
      <c r="BL197" s="32"/>
      <c r="BM197" s="32"/>
      <c r="BN197" s="32"/>
      <c r="BO197" s="32"/>
      <c r="BP197" s="32"/>
      <c r="BQ197" s="32"/>
      <c r="BR197" s="32"/>
      <c r="BS197" s="32"/>
      <c r="BT197" s="32"/>
      <c r="BU197" s="32"/>
      <c r="BV197" s="32"/>
      <c r="BW197" s="32"/>
      <c r="BX197" s="32"/>
      <c r="BY197" s="32"/>
      <c r="BZ197" s="32"/>
      <c r="CA197" s="32"/>
      <c r="CB197" s="32"/>
      <c r="CC197" s="32"/>
      <c r="CD197" s="32"/>
      <c r="CE197" s="32">
        <v>0</v>
      </c>
      <c r="CF197" s="32">
        <v>0</v>
      </c>
      <c r="CG197" s="32">
        <v>0</v>
      </c>
      <c r="CH197" s="32">
        <v>0</v>
      </c>
      <c r="CI197" s="32">
        <f t="shared" ref="CI197:CI253" si="12">SUM(CE197:CH197)</f>
        <v>0</v>
      </c>
      <c r="CJ197" s="65">
        <f>IF((Table1[[#This Row],["Volume
BA MC-0"]]-Table1[[#This Row],[Total Panjang Pipa Aktual
(Sum-&gt;)3]]-Table1[[#This Row],[Total Volume
tidak dapat dipasang]])&gt;=0,Table1[[#This Row],["Volume
BA MC-0"]]-Table1[[#This Row],[Total Panjang Pipa Aktual
(Sum-&gt;)3]]-Table1[[#This Row],[Total Volume
tidak dapat dipasang]],0)</f>
        <v>6.1000000000000085</v>
      </c>
      <c r="CK197" s="47"/>
      <c r="CL197" s="131"/>
      <c r="CM197" s="35"/>
      <c r="CN197" s="131"/>
      <c r="CO197" s="131"/>
      <c r="CP19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7" s="66">
        <f>IFERROR(Table1[[#This Row],[Progres Keg. Umum
(%)]]*Table1[[#This Row],[Nilai RAB Jaringan
(file pa aji)]],0)</f>
        <v>0</v>
      </c>
      <c r="CR197" s="66">
        <f>IFERROR(Table1[[#This Row],[Progres MOS
(%)]]*Table1[[#This Row],[Nilai RAB Jaringan
(file pa aji)]],0)</f>
        <v>0</v>
      </c>
      <c r="CS197" s="66">
        <f>IFERROR(Table1[[#This Row],[Progres Pemasangan
(%)]]*Table1[[#This Row],[Nilai RAB Jaringan
(file pa aji)]],0)</f>
        <v>0</v>
      </c>
      <c r="CT197" s="66">
        <f>IFERROR(Table1[[#This Row],[Progres Perizinan
(%)]]*Table1[[#This Row],[Nilai RAB Jaringan
(file pa aji)]],0)</f>
        <v>0</v>
      </c>
      <c r="CU197" s="329">
        <v>239740973</v>
      </c>
      <c r="CV197" s="329">
        <v>239740973</v>
      </c>
      <c r="CW197" s="583">
        <v>239740973</v>
      </c>
      <c r="CX197" s="329">
        <v>239740973</v>
      </c>
      <c r="CY197" s="47"/>
      <c r="CZ197" s="330">
        <v>45775</v>
      </c>
      <c r="DA197" s="330">
        <v>45802</v>
      </c>
      <c r="DB197" s="331">
        <v>45779</v>
      </c>
      <c r="DC197" s="316" t="s">
        <v>1465</v>
      </c>
      <c r="DD197" s="67">
        <v>326207746</v>
      </c>
      <c r="DE19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7" s="331">
        <v>45790</v>
      </c>
      <c r="DG197" s="316" t="s">
        <v>1466</v>
      </c>
      <c r="DH197" s="67">
        <v>326207746</v>
      </c>
      <c r="DI19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7" s="330">
        <v>45803</v>
      </c>
      <c r="DK197" s="330">
        <v>45872</v>
      </c>
      <c r="DL197" s="331">
        <v>45811</v>
      </c>
      <c r="DM197" s="316" t="s">
        <v>1467</v>
      </c>
      <c r="DN19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7" s="331">
        <v>45834</v>
      </c>
      <c r="DP197" s="316" t="s">
        <v>1468</v>
      </c>
      <c r="DQ197" s="338" t="s">
        <v>479</v>
      </c>
      <c r="DR19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97" s="330">
        <v>45803</v>
      </c>
      <c r="DT197" s="330" t="e">
        <v>#N/A</v>
      </c>
      <c r="DU197" s="330">
        <v>45844</v>
      </c>
      <c r="DV197" s="330" t="e">
        <v>#N/A</v>
      </c>
      <c r="DW197" s="331">
        <v>45811</v>
      </c>
      <c r="DX197" s="316" t="s">
        <v>1469</v>
      </c>
      <c r="DY197" s="334"/>
      <c r="DZ197" s="334"/>
      <c r="EA19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7" s="331">
        <v>46007</v>
      </c>
      <c r="EC197" s="332"/>
      <c r="ED197" s="332"/>
      <c r="EE197" s="330" t="s">
        <v>1470</v>
      </c>
      <c r="EF197" s="35" t="b">
        <v>0</v>
      </c>
      <c r="EG197" s="337" t="b">
        <v>0</v>
      </c>
      <c r="EH197" s="316" t="str">
        <f>IF(Table1[[#This Row],[PO Material Aktual 
(%)]]&gt;=100%,"Selesai PO = 100%",IF(Table1[[#This Row],[PO Material Aktual 
(%)]]&gt;=50%,"Proses PO &gt; 100%",IF(Table1[[#This Row],[PO Material Aktual 
(%)]]&gt;0%,"Proses PO &gt; 50%",IF(Table1[[#This Row],[PO Material Aktual 
(%)]]=0,"Belum PO = 0%"))))</f>
        <v>Selesai PO = 100%</v>
      </c>
      <c r="EI19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7" s="330">
        <v>45845</v>
      </c>
      <c r="EK197" s="330" t="e">
        <v>#N/A</v>
      </c>
      <c r="EL197" s="330">
        <v>45900</v>
      </c>
      <c r="EM197" s="330" t="e">
        <v>#N/A</v>
      </c>
      <c r="EN197" s="331">
        <v>46156</v>
      </c>
      <c r="EO197" s="332"/>
      <c r="EP197" s="332"/>
      <c r="EQ197" s="87" t="b">
        <v>0</v>
      </c>
      <c r="ER197" s="87" t="b">
        <v>0</v>
      </c>
      <c r="ES197" s="316" t="str">
        <f>IF(Table1[[#This Row],[Progres MOS]]&gt;=100%,"Selesai MOS = 100%",IF(Table1[[#This Row],[Progres MOS]]&gt;=50%,"Proses MOS &gt; 100%",IF(Table1[[#This Row],[Progres MOS]]&gt;0%,"Proses MOS &gt; 50%",IF(Table1[[#This Row],[Progres MOS]]=0,"Belum MOS = 0%"))))</f>
        <v>Selesai MOS = 100%</v>
      </c>
      <c r="ET19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7" s="47"/>
      <c r="EV197" s="330">
        <v>45803</v>
      </c>
      <c r="EW197" s="330" t="e">
        <v>#N/A</v>
      </c>
      <c r="EX197" s="330">
        <v>45900</v>
      </c>
      <c r="EY197" s="330" t="e">
        <v>#N/A</v>
      </c>
      <c r="EZ197" s="352" t="s">
        <v>259</v>
      </c>
      <c r="FA197" s="336" t="s">
        <v>259</v>
      </c>
      <c r="FB197" s="330" t="s">
        <v>260</v>
      </c>
      <c r="FC197" s="330" t="s">
        <v>282</v>
      </c>
      <c r="FD197" s="330" t="s">
        <v>282</v>
      </c>
      <c r="FE197" s="330" t="s">
        <v>282</v>
      </c>
      <c r="FF197" s="330" t="s">
        <v>282</v>
      </c>
      <c r="FG197" s="330" t="s">
        <v>282</v>
      </c>
      <c r="FH197" s="330" t="s">
        <v>282</v>
      </c>
      <c r="FI197" s="330" t="s">
        <v>282</v>
      </c>
      <c r="FJ197" s="330" t="s">
        <v>282</v>
      </c>
      <c r="FK197" s="330" t="s">
        <v>283</v>
      </c>
      <c r="FL197" s="336" t="s">
        <v>259</v>
      </c>
      <c r="FM197" s="352" t="s">
        <v>282</v>
      </c>
      <c r="FN197" s="338" t="e">
        <f>IF(Table1[[#This Row],[Tanggal Pengajuan Dokumen]]="","",Table1[[#This Row],[PLAN PERMIT
start]]-Table1[[#This Row],[Tanggal Pengajuan Dokumen]])</f>
        <v>#VALUE!</v>
      </c>
      <c r="FO197" s="437">
        <v>45188</v>
      </c>
      <c r="FP197" s="316"/>
      <c r="FQ197" s="338"/>
      <c r="FR197" s="338"/>
      <c r="FS197" s="338" t="str">
        <f t="shared" si="11"/>
        <v>Sudah Terbit</v>
      </c>
      <c r="FT19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7" s="344">
        <f ca="1">IF(Table1[[#This Row],[Status Izin]]="Selesai",Table1[[#This Row],[PLAN PERMIT
finish]]-Table1[[#This Row],[Tanggal Terbit/ Target Izin Terbit]],ROUNDUP(Table1[[#This Row],[PLAN PERMIT
finish]]-NOW(),0))</f>
        <v>712</v>
      </c>
      <c r="FV19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97" s="344"/>
      <c r="FX197" s="47"/>
      <c r="FY197" s="340"/>
      <c r="FZ197" s="341"/>
      <c r="GA19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7" s="330">
        <v>45874</v>
      </c>
      <c r="GC197" s="352">
        <v>45840</v>
      </c>
      <c r="GD19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7" s="330">
        <v>45881</v>
      </c>
      <c r="GF197" s="352" t="s">
        <v>1385</v>
      </c>
      <c r="GG19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7" s="330">
        <v>45887</v>
      </c>
      <c r="GI197" s="330">
        <v>45893</v>
      </c>
      <c r="GJ197" s="352">
        <v>45845</v>
      </c>
      <c r="GK19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7" s="330">
        <v>45901</v>
      </c>
      <c r="GM197" s="330" t="e">
        <v>#N/A</v>
      </c>
      <c r="GN197" s="330">
        <v>45914</v>
      </c>
      <c r="GO197" s="330" t="e">
        <v>#N/A</v>
      </c>
      <c r="GP197" s="316"/>
      <c r="GQ19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7" s="330" t="s">
        <v>261</v>
      </c>
      <c r="GS197" s="330" t="s">
        <v>261</v>
      </c>
      <c r="GT197" s="354">
        <v>45910</v>
      </c>
      <c r="GU197" s="344" t="str">
        <f>IF(Table1[[#This Row],[Hydro Tes Actual
(tanggal)]]&lt;&gt;"","Sudah","Belum")</f>
        <v>Sudah</v>
      </c>
      <c r="GV197" s="330" t="s">
        <v>261</v>
      </c>
      <c r="GW197" s="330" t="s">
        <v>261</v>
      </c>
      <c r="GX197" s="331">
        <v>45910</v>
      </c>
      <c r="GY197" s="344" t="str">
        <f>IF(Table1[[#This Row],[Interkoneksi Actual
(tanggal)]]&lt;&gt;"","Sudah","Belum")</f>
        <v>Sudah</v>
      </c>
      <c r="GZ197" s="330" t="s">
        <v>261</v>
      </c>
      <c r="HA197" s="330" t="s">
        <v>261</v>
      </c>
      <c r="HB197" s="331">
        <v>45922</v>
      </c>
      <c r="HC197" s="344" t="str">
        <f>IF(Table1[[#This Row],[Flushing Actual
(tanggal)]]&lt;&gt;"","Sudah","Belum")</f>
        <v>Sudah</v>
      </c>
      <c r="HD197" s="330">
        <v>45905</v>
      </c>
      <c r="HE197" s="330" t="e">
        <v>#N/A</v>
      </c>
      <c r="HF197" s="330">
        <v>45914</v>
      </c>
      <c r="HG197" s="331">
        <v>45922</v>
      </c>
      <c r="HH19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7" s="330" t="s">
        <v>261</v>
      </c>
      <c r="HJ197" s="330" t="s">
        <v>261</v>
      </c>
      <c r="HK197" s="331"/>
      <c r="HL197" s="316"/>
      <c r="HM197" s="330">
        <v>45919</v>
      </c>
      <c r="HN197" s="330">
        <v>45919</v>
      </c>
      <c r="HO197" s="330" t="e">
        <v>#N/A</v>
      </c>
      <c r="HP197" s="331">
        <v>45926</v>
      </c>
      <c r="HQ19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97" s="330">
        <v>45926</v>
      </c>
      <c r="HS197" s="330"/>
      <c r="HT197" s="330">
        <v>45926</v>
      </c>
      <c r="HU197" s="527"/>
      <c r="HV197" s="331">
        <v>45933</v>
      </c>
      <c r="HW19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97" s="47"/>
      <c r="HY197" s="352"/>
      <c r="HZ197" s="352"/>
      <c r="IB197" s="618">
        <f>IFERROR(ROUND((Table1[[#This Row],[PLAN TC
finish]]-Table1[[#This Row],[PLAN MC-0
start]])/30,2),"")</f>
        <v>0.9</v>
      </c>
      <c r="IC197">
        <f>DATEDIF(Table1[[#This Row],[PLAN MC-0
start]],Table1[[#This Row],[PLAN TC
finish]],"m")</f>
        <v>0</v>
      </c>
    </row>
    <row r="198" spans="1:237" s="30" customFormat="1" ht="15" hidden="1" customHeight="1" x14ac:dyDescent="0.2">
      <c r="A198" s="77"/>
      <c r="B198" s="311">
        <f>SUBTOTAL(3,$D$5:D198)</f>
        <v>84</v>
      </c>
      <c r="C198" s="362">
        <v>194</v>
      </c>
      <c r="D198" s="366" t="s">
        <v>244</v>
      </c>
      <c r="E198" s="366" t="s">
        <v>1471</v>
      </c>
      <c r="F198" s="366" t="s">
        <v>1472</v>
      </c>
      <c r="G198" s="364">
        <v>45935</v>
      </c>
      <c r="H198" s="366" t="s">
        <v>681</v>
      </c>
      <c r="I198" s="366" t="s">
        <v>278</v>
      </c>
      <c r="J198" s="385" t="s">
        <v>389</v>
      </c>
      <c r="K198" s="366" t="s">
        <v>1165</v>
      </c>
      <c r="L198" s="367" t="s">
        <v>250</v>
      </c>
      <c r="M198" s="367" t="s">
        <v>269</v>
      </c>
      <c r="N198" s="368">
        <v>42</v>
      </c>
      <c r="O198" s="369" t="s">
        <v>252</v>
      </c>
      <c r="P198"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8" s="370" t="s">
        <v>389</v>
      </c>
      <c r="R198" s="371" t="e">
        <v>#N/A</v>
      </c>
      <c r="S198" s="371">
        <v>1</v>
      </c>
      <c r="T198" s="371">
        <f>Table1[[#This Row],[Progres Total Aktual
(%)]]</f>
        <v>0</v>
      </c>
      <c r="U198" s="372">
        <f>Table1[[#This Row],[Progres Aktual
(%)]]-Table1[[#This Row],[Target Progres
(%)]]</f>
        <v>-1</v>
      </c>
      <c r="V198" s="373">
        <f>Table1[[#This Row],["Volume
BA MC-0"]]</f>
        <v>0</v>
      </c>
      <c r="W198" s="374">
        <f>Table1[[#This Row],[Total Panjang Pipa Aktual
(Sum-&gt;)3]]</f>
        <v>0</v>
      </c>
      <c r="X198" s="47"/>
      <c r="Y198" s="67" t="s">
        <v>1473</v>
      </c>
      <c r="Z198" s="375">
        <v>120504095</v>
      </c>
      <c r="AA198" s="67">
        <f>Table1[[#This Row],[Nilai RAB Jaringan
(file pa aji)]]</f>
        <v>120504095</v>
      </c>
      <c r="AB198" s="370">
        <f>SUM(Table1[[#This Row],[RAB Kegiatan Umum]:[RAB Perizinan]])</f>
        <v>0</v>
      </c>
      <c r="AC198" s="370"/>
      <c r="AD198" s="370"/>
      <c r="AE198" s="370"/>
      <c r="AF198" s="370"/>
      <c r="AG198" s="439">
        <v>178838223</v>
      </c>
      <c r="AH198" s="371" t="e">
        <f>SUM(Table1[[#This Row],[Bobot Keg Umum]:[Bobot Perizinan]])</f>
        <v>#DIV/0!</v>
      </c>
      <c r="AI198" s="371" t="e">
        <f>Table1[[#This Row],[RAB Kegiatan Umum]]/Table1[[#This Row],[Nilai RAB Jaringan
(Exclude Ppn)]]</f>
        <v>#DIV/0!</v>
      </c>
      <c r="AJ198" s="371" t="e">
        <f>Table1[[#This Row],[RAB Pemasangan]]/Table1[[#This Row],[Nilai RAB Jaringan
(Exclude Ppn)]]</f>
        <v>#DIV/0!</v>
      </c>
      <c r="AK198" s="371" t="e">
        <f>Table1[[#This Row],[RAB Pengadaan]]/Table1[[#This Row],[Nilai RAB Jaringan
(Exclude Ppn)]]</f>
        <v>#DIV/0!</v>
      </c>
      <c r="AL198" s="371" t="e">
        <f>Table1[[#This Row],[RAB Perizinan]]/Table1[[#This Row],[Nilai RAB Jaringan
(Exclude Ppn)]]</f>
        <v>#DIV/0!</v>
      </c>
      <c r="AM198" s="47"/>
      <c r="AN198" s="376">
        <v>0</v>
      </c>
      <c r="AO198" s="376">
        <f>SUM(Table1[[#This Row],[Pipa 63 mm]:[Pipa 1,800 mm]])</f>
        <v>0</v>
      </c>
      <c r="AP198" s="376"/>
      <c r="AQ198" s="376"/>
      <c r="AR198" s="376"/>
      <c r="AS198" s="376"/>
      <c r="AT198" s="376"/>
      <c r="AU198" s="376"/>
      <c r="AV198" s="376"/>
      <c r="AW198" s="376"/>
      <c r="AX198" s="376"/>
      <c r="AY198" s="376"/>
      <c r="AZ198" s="376"/>
      <c r="BA198" s="376"/>
      <c r="BB198" s="376"/>
      <c r="BC198" s="376"/>
      <c r="BD198" s="376"/>
      <c r="BE198" s="376"/>
      <c r="BF198" s="376"/>
      <c r="BG198" s="376"/>
      <c r="BH198" s="376"/>
      <c r="BI198" s="376"/>
      <c r="BJ198" s="377">
        <f>SUM(Table1[[#This Row],[Pipa 63 mm2]:[Pipa 1,800 mm21]])</f>
        <v>0</v>
      </c>
      <c r="BK198" s="378"/>
      <c r="BL198" s="378"/>
      <c r="BM198" s="378"/>
      <c r="BN198" s="378"/>
      <c r="BO198" s="378"/>
      <c r="BP198" s="378"/>
      <c r="BQ198" s="378"/>
      <c r="BR198" s="378"/>
      <c r="BS198" s="378"/>
      <c r="BT198" s="378"/>
      <c r="BU198" s="378"/>
      <c r="BV198" s="378"/>
      <c r="BW198" s="378"/>
      <c r="BX198" s="378"/>
      <c r="BY198" s="378"/>
      <c r="BZ198" s="378"/>
      <c r="CA198" s="378"/>
      <c r="CB198" s="378"/>
      <c r="CC198" s="378"/>
      <c r="CD198" s="378"/>
      <c r="CE198" s="378">
        <v>0</v>
      </c>
      <c r="CF198" s="378">
        <v>0</v>
      </c>
      <c r="CG198" s="378">
        <v>0</v>
      </c>
      <c r="CH198" s="378">
        <v>0</v>
      </c>
      <c r="CI198" s="378">
        <f t="shared" si="12"/>
        <v>0</v>
      </c>
      <c r="CJ198" s="378">
        <f>IF((Table1[[#This Row],["Volume
BA MC-0"]]-Table1[[#This Row],[Total Panjang Pipa Aktual
(Sum-&gt;)3]]-Table1[[#This Row],[Total Volume
tidak dapat dipasang]])&gt;=0,Table1[[#This Row],["Volume
BA MC-0"]]-Table1[[#This Row],[Total Panjang Pipa Aktual
(Sum-&gt;)3]]-Table1[[#This Row],[Total Volume
tidak dapat dipasang]],0)</f>
        <v>0</v>
      </c>
      <c r="CK198" s="47"/>
      <c r="CL198" s="379"/>
      <c r="CM198" s="371"/>
      <c r="CN198" s="379"/>
      <c r="CO198" s="379"/>
      <c r="CP19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98" s="380">
        <f>IFERROR(Table1[[#This Row],[Progres Keg. Umum
(%)]]*Table1[[#This Row],[Nilai RAB Jaringan
(file pa aji)]],0)</f>
        <v>0</v>
      </c>
      <c r="CR198" s="380">
        <f>IFERROR(Table1[[#This Row],[Progres MOS
(%)]]*Table1[[#This Row],[Nilai RAB Jaringan
(file pa aji)]],0)</f>
        <v>0</v>
      </c>
      <c r="CS198" s="380">
        <f>IFERROR(Table1[[#This Row],[Progres Pemasangan
(%)]]*Table1[[#This Row],[Nilai RAB Jaringan
(file pa aji)]],0)</f>
        <v>0</v>
      </c>
      <c r="CT198" s="380">
        <f>IFERROR(Table1[[#This Row],[Progres Perizinan
(%)]]*Table1[[#This Row],[Nilai RAB Jaringan
(file pa aji)]],0)</f>
        <v>0</v>
      </c>
      <c r="CU198" s="329">
        <v>0</v>
      </c>
      <c r="CV198" s="329">
        <v>0</v>
      </c>
      <c r="CW198" s="582">
        <v>0</v>
      </c>
      <c r="CX198" s="329">
        <v>0</v>
      </c>
      <c r="CY198" s="47"/>
      <c r="CZ198" s="386">
        <v>45775</v>
      </c>
      <c r="DA198" s="386">
        <v>45802</v>
      </c>
      <c r="DB198" s="331">
        <v>45779</v>
      </c>
      <c r="DC198" s="367" t="s">
        <v>1474</v>
      </c>
      <c r="DD198" s="375">
        <v>120504096</v>
      </c>
      <c r="DE19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8" s="331">
        <v>45803</v>
      </c>
      <c r="DG198" s="367" t="s">
        <v>1475</v>
      </c>
      <c r="DH198" s="375">
        <v>120504096</v>
      </c>
      <c r="DI198"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98" s="386">
        <v>45803</v>
      </c>
      <c r="DK198" s="386">
        <v>45872</v>
      </c>
      <c r="DL198" s="331">
        <v>45836</v>
      </c>
      <c r="DM198" s="381" t="s">
        <v>1476</v>
      </c>
      <c r="DN19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8" s="331">
        <v>45876</v>
      </c>
      <c r="DP198" s="367" t="s">
        <v>1477</v>
      </c>
      <c r="DQ198" s="366" t="s">
        <v>479</v>
      </c>
      <c r="DR19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8" s="386">
        <v>45803</v>
      </c>
      <c r="DT198" s="386" t="e">
        <v>#N/A</v>
      </c>
      <c r="DU198" s="386">
        <v>45844</v>
      </c>
      <c r="DV198" s="386" t="e">
        <v>#N/A</v>
      </c>
      <c r="DW198" s="331"/>
      <c r="DX198" s="367">
        <v>0</v>
      </c>
      <c r="DY198" s="382"/>
      <c r="DZ198" s="382"/>
      <c r="EA19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98" s="331"/>
      <c r="EC198" s="332"/>
      <c r="ED198" s="332"/>
      <c r="EE198" s="330"/>
      <c r="EF198" s="371" t="b">
        <v>0</v>
      </c>
      <c r="EG198" s="383" t="b">
        <v>0</v>
      </c>
      <c r="EH198" s="316" t="str">
        <f>IF(Table1[[#This Row],[PO Material Aktual 
(%)]]&gt;=100%,"Selesai PO = 100%",IF(Table1[[#This Row],[PO Material Aktual 
(%)]]&gt;=50%,"Proses PO &gt; 100%",IF(Table1[[#This Row],[PO Material Aktual 
(%)]]&gt;0%,"Proses PO &gt; 50%",IF(Table1[[#This Row],[PO Material Aktual 
(%)]]=0,"Belum PO = 0%"))))</f>
        <v>Selesai PO = 100%</v>
      </c>
      <c r="EI19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8" s="386">
        <v>45845</v>
      </c>
      <c r="EK198" s="386" t="e">
        <v>#N/A</v>
      </c>
      <c r="EL198" s="386">
        <v>45900</v>
      </c>
      <c r="EM198" s="386" t="e">
        <v>#N/A</v>
      </c>
      <c r="EN198" s="331"/>
      <c r="EO198" s="332"/>
      <c r="EP198" s="332"/>
      <c r="EQ198" s="88" t="b">
        <v>0</v>
      </c>
      <c r="ER198" s="88" t="b">
        <v>0</v>
      </c>
      <c r="ES198" s="316" t="str">
        <f>IF(Table1[[#This Row],[Progres MOS]]&gt;=100%,"Selesai MOS = 100%",IF(Table1[[#This Row],[Progres MOS]]&gt;=50%,"Proses MOS &gt; 100%",IF(Table1[[#This Row],[Progres MOS]]&gt;0%,"Proses MOS &gt; 50%",IF(Table1[[#This Row],[Progres MOS]]=0,"Belum MOS = 0%"))))</f>
        <v>Selesai MOS = 100%</v>
      </c>
      <c r="ET19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8" s="47"/>
      <c r="EV198" s="386">
        <v>45803</v>
      </c>
      <c r="EW198" s="386" t="e">
        <v>#N/A</v>
      </c>
      <c r="EX198" s="386">
        <v>45900</v>
      </c>
      <c r="EY198" s="386" t="e">
        <v>#N/A</v>
      </c>
      <c r="EZ198" s="384" t="s">
        <v>1337</v>
      </c>
      <c r="FA198" s="385" t="s">
        <v>389</v>
      </c>
      <c r="FB198" s="386"/>
      <c r="FC198" s="330"/>
      <c r="FD198" s="386"/>
      <c r="FE198" s="386"/>
      <c r="FF198" s="386"/>
      <c r="FG198" s="386"/>
      <c r="FH198" s="386"/>
      <c r="FI198" s="386"/>
      <c r="FJ198" s="386"/>
      <c r="FK198" s="386"/>
      <c r="FL198" s="336" t="str">
        <f>Table1[[#This Row],[IPPJU]]</f>
        <v>Izin Dari PPKK</v>
      </c>
      <c r="FM198" s="336"/>
      <c r="FN198" s="314" t="str">
        <f>IF(Table1[[#This Row],[Tanggal Pengajuan Dokumen]]="","",Table1[[#This Row],[PLAN PERMIT
start]]-Table1[[#This Row],[Tanggal Pengajuan Dokumen]])</f>
        <v/>
      </c>
      <c r="FO198" s="444">
        <v>45188</v>
      </c>
      <c r="FP198" s="316"/>
      <c r="FQ198" s="338"/>
      <c r="FR198" s="338"/>
      <c r="FS198" s="338" t="str">
        <f t="shared" si="11"/>
        <v>On Going</v>
      </c>
      <c r="FT198"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98" s="387">
        <f ca="1">IF(Table1[[#This Row],[Status Izin]]="Selesai",Table1[[#This Row],[PLAN PERMIT
finish]]-Table1[[#This Row],[Tanggal Terbit/ Target Izin Terbit]],ROUNDUP(Table1[[#This Row],[PLAN PERMIT
finish]]-NOW(),0))</f>
        <v>-291</v>
      </c>
      <c r="FV198"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98" s="387"/>
      <c r="FX198" s="47"/>
      <c r="FY198" s="340"/>
      <c r="FZ198" s="341"/>
      <c r="GA19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8" s="386">
        <v>45874</v>
      </c>
      <c r="GC198" s="384">
        <v>45840</v>
      </c>
      <c r="GD198"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8" s="386">
        <v>45881</v>
      </c>
      <c r="GF198" s="384" t="s">
        <v>1385</v>
      </c>
      <c r="GG198"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8" s="386">
        <v>45887</v>
      </c>
      <c r="GI198" s="386">
        <v>45893</v>
      </c>
      <c r="GJ198" s="384">
        <v>45845</v>
      </c>
      <c r="GK198"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8" s="386">
        <v>45901</v>
      </c>
      <c r="GM198" s="386" t="e">
        <v>#N/A</v>
      </c>
      <c r="GN198" s="386">
        <v>45914</v>
      </c>
      <c r="GO198" s="386" t="e">
        <v>#N/A</v>
      </c>
      <c r="GP198" s="367"/>
      <c r="GQ198"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8" s="386" t="s">
        <v>261</v>
      </c>
      <c r="GS198" s="386" t="s">
        <v>261</v>
      </c>
      <c r="GT198" s="390"/>
      <c r="GU198" s="387" t="str">
        <f>IF(Table1[[#This Row],[Hydro Tes Actual
(tanggal)]]&lt;&gt;"","Sudah","Belum")</f>
        <v>Belum</v>
      </c>
      <c r="GV198" s="386" t="s">
        <v>261</v>
      </c>
      <c r="GW198" s="386" t="s">
        <v>261</v>
      </c>
      <c r="GX198" s="388"/>
      <c r="GY198" s="344" t="str">
        <f>IF(Table1[[#This Row],[Interkoneksi Actual
(tanggal)]]&lt;&gt;"","Sudah","Belum")</f>
        <v>Belum</v>
      </c>
      <c r="GZ198" s="386" t="s">
        <v>261</v>
      </c>
      <c r="HA198" s="386" t="s">
        <v>261</v>
      </c>
      <c r="HB198" s="388"/>
      <c r="HC198" s="344" t="str">
        <f>IF(Table1[[#This Row],[Flushing Actual
(tanggal)]]&lt;&gt;"","Sudah","Belum")</f>
        <v>Belum</v>
      </c>
      <c r="HD198" s="386">
        <v>45905</v>
      </c>
      <c r="HE198" s="386" t="e">
        <v>#N/A</v>
      </c>
      <c r="HF198" s="386">
        <v>45914</v>
      </c>
      <c r="HG198" s="388"/>
      <c r="HH198"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98" s="386" t="s">
        <v>261</v>
      </c>
      <c r="HJ198" s="386" t="s">
        <v>261</v>
      </c>
      <c r="HK198" s="388"/>
      <c r="HL198" s="367"/>
      <c r="HM198" s="386">
        <v>45919</v>
      </c>
      <c r="HN198" s="386">
        <v>45919</v>
      </c>
      <c r="HO198" s="386" t="e">
        <v>#N/A</v>
      </c>
      <c r="HP198" s="388"/>
      <c r="HQ198"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198" s="386">
        <v>45926</v>
      </c>
      <c r="HS198" s="386"/>
      <c r="HT198" s="386">
        <v>45926</v>
      </c>
      <c r="HU198" s="613"/>
      <c r="HV198" s="388"/>
      <c r="HW198"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198" s="47"/>
      <c r="HY198" s="384"/>
      <c r="HZ198" s="384"/>
      <c r="IB198" s="618">
        <f>IFERROR(ROUND((Table1[[#This Row],[PLAN TC
finish]]-Table1[[#This Row],[PLAN MC-0
start]])/30,2),"")</f>
        <v>0.9</v>
      </c>
      <c r="IC198">
        <f>DATEDIF(Table1[[#This Row],[PLAN MC-0
start]],Table1[[#This Row],[PLAN TC
finish]],"m")</f>
        <v>0</v>
      </c>
    </row>
    <row r="199" spans="1:237" s="4" customFormat="1" ht="15" hidden="1" customHeight="1" x14ac:dyDescent="0.2">
      <c r="B199" s="311">
        <f>SUBTOTAL(3,$D$5:D199)</f>
        <v>84</v>
      </c>
      <c r="C199" s="348">
        <v>195</v>
      </c>
      <c r="D199" s="338" t="s">
        <v>244</v>
      </c>
      <c r="E199" s="338" t="s">
        <v>1478</v>
      </c>
      <c r="F199" s="338" t="s">
        <v>1479</v>
      </c>
      <c r="G199" s="349">
        <v>45935</v>
      </c>
      <c r="H199" s="338" t="s">
        <v>681</v>
      </c>
      <c r="I199" s="338" t="s">
        <v>278</v>
      </c>
      <c r="J199" s="315"/>
      <c r="K199" s="338" t="s">
        <v>1165</v>
      </c>
      <c r="L199" s="316" t="s">
        <v>250</v>
      </c>
      <c r="M199" s="316" t="s">
        <v>269</v>
      </c>
      <c r="N199" s="107">
        <v>25</v>
      </c>
      <c r="O199" s="31" t="s">
        <v>252</v>
      </c>
      <c r="P19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9" s="35" t="e">
        <v>#N/A</v>
      </c>
      <c r="S199" s="35">
        <v>1</v>
      </c>
      <c r="T199" s="35">
        <f>Table1[[#This Row],[Progres Total Aktual
(%)]]</f>
        <v>1</v>
      </c>
      <c r="U199" s="124">
        <f>Table1[[#This Row],[Progres Aktual
(%)]]-Table1[[#This Row],[Target Progres
(%)]]</f>
        <v>0</v>
      </c>
      <c r="V199" s="350">
        <f>Table1[[#This Row],["Volume
BA MC-0"]]</f>
        <v>32</v>
      </c>
      <c r="W199" s="351">
        <f>Table1[[#This Row],[Total Panjang Pipa Aktual
(Sum-&gt;)3]]</f>
        <v>26</v>
      </c>
      <c r="X199" s="47"/>
      <c r="Y199" s="67" t="s">
        <v>1480</v>
      </c>
      <c r="Z199" s="67">
        <v>90513781</v>
      </c>
      <c r="AA199" s="67">
        <f>Table1[[#This Row],[Nilai RAB Jaringan
(file pa aji)]]</f>
        <v>90513781</v>
      </c>
      <c r="AB199" s="320">
        <f>SUM(Table1[[#This Row],[RAB Kegiatan Umum]:[RAB Perizinan]])</f>
        <v>0</v>
      </c>
      <c r="AC199" s="320"/>
      <c r="AD199" s="320"/>
      <c r="AE199" s="320"/>
      <c r="AF199" s="320"/>
      <c r="AG199" s="436">
        <v>2107039</v>
      </c>
      <c r="AH199" s="35" t="e">
        <f>SUM(Table1[[#This Row],[Bobot Keg Umum]:[Bobot Perizinan]])</f>
        <v>#DIV/0!</v>
      </c>
      <c r="AI199" s="35" t="e">
        <f>Table1[[#This Row],[RAB Kegiatan Umum]]/Table1[[#This Row],[Nilai RAB Jaringan
(Exclude Ppn)]]</f>
        <v>#DIV/0!</v>
      </c>
      <c r="AJ199" s="35" t="e">
        <f>Table1[[#This Row],[RAB Pemasangan]]/Table1[[#This Row],[Nilai RAB Jaringan
(Exclude Ppn)]]</f>
        <v>#DIV/0!</v>
      </c>
      <c r="AK199" s="35" t="e">
        <f>Table1[[#This Row],[RAB Pengadaan]]/Table1[[#This Row],[Nilai RAB Jaringan
(Exclude Ppn)]]</f>
        <v>#DIV/0!</v>
      </c>
      <c r="AL199" s="35" t="e">
        <f>Table1[[#This Row],[RAB Perizinan]]/Table1[[#This Row],[Nilai RAB Jaringan
(Exclude Ppn)]]</f>
        <v>#DIV/0!</v>
      </c>
      <c r="AM199" s="47"/>
      <c r="AN199" s="285">
        <v>32</v>
      </c>
      <c r="AO199" s="285">
        <f>SUM(Table1[[#This Row],[Pipa 63 mm]:[Pipa 1,800 mm]])</f>
        <v>0</v>
      </c>
      <c r="AP199" s="285"/>
      <c r="AQ199" s="285"/>
      <c r="AR199" s="285"/>
      <c r="AS199" s="285"/>
      <c r="AT199" s="285"/>
      <c r="AU199" s="285"/>
      <c r="AV199" s="285"/>
      <c r="AW199" s="285"/>
      <c r="AX199" s="285"/>
      <c r="AY199" s="285"/>
      <c r="AZ199" s="285"/>
      <c r="BA199" s="285"/>
      <c r="BB199" s="285"/>
      <c r="BC199" s="285"/>
      <c r="BD199" s="285"/>
      <c r="BE199" s="285"/>
      <c r="BF199" s="285"/>
      <c r="BG199" s="285"/>
      <c r="BH199" s="285"/>
      <c r="BI199" s="285"/>
      <c r="BJ199" s="36">
        <f>SUM(Table1[[#This Row],[Pipa 63 mm2]:[Pipa 1,800 mm21]])</f>
        <v>26</v>
      </c>
      <c r="BK199" s="32">
        <v>26</v>
      </c>
      <c r="BL199" s="32"/>
      <c r="BM199" s="32"/>
      <c r="BN199" s="32"/>
      <c r="BO199" s="32"/>
      <c r="BP199" s="32"/>
      <c r="BQ199" s="32"/>
      <c r="BR199" s="32"/>
      <c r="BS199" s="32"/>
      <c r="BT199" s="32"/>
      <c r="BU199" s="32"/>
      <c r="BV199" s="32"/>
      <c r="BW199" s="32"/>
      <c r="BX199" s="32"/>
      <c r="BY199" s="32"/>
      <c r="BZ199" s="32"/>
      <c r="CA199" s="32"/>
      <c r="CB199" s="32"/>
      <c r="CC199" s="32"/>
      <c r="CD199" s="32"/>
      <c r="CE199" s="32">
        <v>0</v>
      </c>
      <c r="CF199" s="32">
        <v>0</v>
      </c>
      <c r="CG199" s="32">
        <v>0</v>
      </c>
      <c r="CH199" s="32">
        <v>0</v>
      </c>
      <c r="CI199" s="32">
        <f t="shared" si="12"/>
        <v>0</v>
      </c>
      <c r="CJ199" s="65">
        <f>IF((Table1[[#This Row],["Volume
BA MC-0"]]-Table1[[#This Row],[Total Panjang Pipa Aktual
(Sum-&gt;)3]]-Table1[[#This Row],[Total Volume
tidak dapat dipasang]])&gt;=0,Table1[[#This Row],["Volume
BA MC-0"]]-Table1[[#This Row],[Total Panjang Pipa Aktual
(Sum-&gt;)3]]-Table1[[#This Row],[Total Volume
tidak dapat dipasang]],0)</f>
        <v>6</v>
      </c>
      <c r="CK199" s="47"/>
      <c r="CL199" s="131"/>
      <c r="CM199" s="35"/>
      <c r="CN199" s="131"/>
      <c r="CO199" s="131"/>
      <c r="CP19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9" s="66">
        <f>IFERROR(Table1[[#This Row],[Progres Keg. Umum
(%)]]*Table1[[#This Row],[Nilai RAB Jaringan
(file pa aji)]],0)</f>
        <v>0</v>
      </c>
      <c r="CR199" s="66">
        <f>IFERROR(Table1[[#This Row],[Progres MOS
(%)]]*Table1[[#This Row],[Nilai RAB Jaringan
(file pa aji)]],0)</f>
        <v>0</v>
      </c>
      <c r="CS199" s="66">
        <f>IFERROR(Table1[[#This Row],[Progres Pemasangan
(%)]]*Table1[[#This Row],[Nilai RAB Jaringan
(file pa aji)]],0)</f>
        <v>0</v>
      </c>
      <c r="CT199" s="66">
        <f>IFERROR(Table1[[#This Row],[Progres Perizinan
(%)]]*Table1[[#This Row],[Nilai RAB Jaringan
(file pa aji)]],0)</f>
        <v>0</v>
      </c>
      <c r="CU199" s="329">
        <v>80554153</v>
      </c>
      <c r="CV199" s="329">
        <v>80554153</v>
      </c>
      <c r="CW199" s="583">
        <v>80554153</v>
      </c>
      <c r="CX199" s="329">
        <v>80554153</v>
      </c>
      <c r="CY199" s="47"/>
      <c r="CZ199" s="330">
        <v>45775</v>
      </c>
      <c r="DA199" s="330">
        <v>45802</v>
      </c>
      <c r="DB199" s="331">
        <v>45782</v>
      </c>
      <c r="DC199" s="316" t="s">
        <v>1481</v>
      </c>
      <c r="DD199" s="67">
        <v>90513782</v>
      </c>
      <c r="DE19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9" s="331">
        <v>45798</v>
      </c>
      <c r="DG199" s="316" t="s">
        <v>1482</v>
      </c>
      <c r="DH199" s="67">
        <v>90513782</v>
      </c>
      <c r="DI19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9" s="330">
        <v>45803</v>
      </c>
      <c r="DK199" s="330">
        <v>45872</v>
      </c>
      <c r="DL199" s="331">
        <v>45828</v>
      </c>
      <c r="DM199" s="316" t="s">
        <v>1483</v>
      </c>
      <c r="DN19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9" s="331">
        <v>45876</v>
      </c>
      <c r="DP199" s="316" t="s">
        <v>1484</v>
      </c>
      <c r="DQ199" s="338" t="s">
        <v>479</v>
      </c>
      <c r="DR19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9" s="330">
        <v>45803</v>
      </c>
      <c r="DT199" s="330" t="e">
        <v>#N/A</v>
      </c>
      <c r="DU199" s="330">
        <v>45844</v>
      </c>
      <c r="DV199" s="330" t="e">
        <v>#N/A</v>
      </c>
      <c r="DW199" s="331">
        <v>45828</v>
      </c>
      <c r="DX199" s="316" t="s">
        <v>1485</v>
      </c>
      <c r="DY199" s="334"/>
      <c r="DZ199" s="334"/>
      <c r="EA19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9" s="331">
        <v>46007</v>
      </c>
      <c r="EC199" s="332"/>
      <c r="ED199" s="332"/>
      <c r="EE199" s="330" t="s">
        <v>1486</v>
      </c>
      <c r="EF199" s="35">
        <v>1</v>
      </c>
      <c r="EG199" s="337">
        <v>1</v>
      </c>
      <c r="EH199" s="316" t="str">
        <f>IF(Table1[[#This Row],[PO Material Aktual 
(%)]]&gt;=100%,"Selesai PO = 100%",IF(Table1[[#This Row],[PO Material Aktual 
(%)]]&gt;=50%,"Proses PO &gt; 100%",IF(Table1[[#This Row],[PO Material Aktual 
(%)]]&gt;0%,"Proses PO &gt; 50%",IF(Table1[[#This Row],[PO Material Aktual 
(%)]]=0,"Belum PO = 0%"))))</f>
        <v>Selesai PO = 100%</v>
      </c>
      <c r="EI19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9" s="330">
        <v>45845</v>
      </c>
      <c r="EK199" s="330" t="e">
        <v>#N/A</v>
      </c>
      <c r="EL199" s="330">
        <v>45900</v>
      </c>
      <c r="EM199" s="330" t="e">
        <v>#N/A</v>
      </c>
      <c r="EN199" s="331">
        <v>46091</v>
      </c>
      <c r="EO199" s="332"/>
      <c r="EP199" s="332"/>
      <c r="EQ199" s="87">
        <v>1</v>
      </c>
      <c r="ER199" s="87">
        <v>1</v>
      </c>
      <c r="ES199" s="316" t="str">
        <f>IF(Table1[[#This Row],[Progres MOS]]&gt;=100%,"Selesai MOS = 100%",IF(Table1[[#This Row],[Progres MOS]]&gt;=50%,"Proses MOS &gt; 100%",IF(Table1[[#This Row],[Progres MOS]]&gt;0%,"Proses MOS &gt; 50%",IF(Table1[[#This Row],[Progres MOS]]=0,"Belum MOS = 0%"))))</f>
        <v>Selesai MOS = 100%</v>
      </c>
      <c r="ET19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9" s="47"/>
      <c r="EV199" s="330">
        <v>45803</v>
      </c>
      <c r="EW199" s="330" t="e">
        <v>#N/A</v>
      </c>
      <c r="EX199" s="330">
        <v>45900</v>
      </c>
      <c r="EY199" s="330" t="e">
        <v>#N/A</v>
      </c>
      <c r="EZ199" s="352" t="s">
        <v>1337</v>
      </c>
      <c r="FA199" s="336" t="s">
        <v>259</v>
      </c>
      <c r="FB199" s="330" t="s">
        <v>260</v>
      </c>
      <c r="FC199" s="330" t="s">
        <v>282</v>
      </c>
      <c r="FD199" s="330" t="s">
        <v>282</v>
      </c>
      <c r="FE199" s="330" t="s">
        <v>282</v>
      </c>
      <c r="FF199" s="330" t="s">
        <v>282</v>
      </c>
      <c r="FG199" s="330" t="s">
        <v>282</v>
      </c>
      <c r="FH199" s="330" t="s">
        <v>282</v>
      </c>
      <c r="FI199" s="330" t="s">
        <v>282</v>
      </c>
      <c r="FJ199" s="330" t="s">
        <v>282</v>
      </c>
      <c r="FK199" s="330" t="s">
        <v>283</v>
      </c>
      <c r="FL199" s="336" t="str">
        <f>Table1[[#This Row],[IPPJU]]</f>
        <v>Izin Dari PPKK</v>
      </c>
      <c r="FM199" s="352" t="s">
        <v>282</v>
      </c>
      <c r="FN199" s="338" t="e">
        <f>IF(Table1[[#This Row],[Tanggal Pengajuan Dokumen]]="","",Table1[[#This Row],[PLAN PERMIT
start]]-Table1[[#This Row],[Tanggal Pengajuan Dokumen]])</f>
        <v>#VALUE!</v>
      </c>
      <c r="FO199" s="437">
        <v>45188</v>
      </c>
      <c r="FP199" s="316"/>
      <c r="FQ199" s="338"/>
      <c r="FR199" s="338"/>
      <c r="FS199" s="338" t="str">
        <f t="shared" si="11"/>
        <v>Sudah Terbit</v>
      </c>
      <c r="FT19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9" s="344">
        <f ca="1">IF(Table1[[#This Row],[Status Izin]]="Selesai",Table1[[#This Row],[PLAN PERMIT
finish]]-Table1[[#This Row],[Tanggal Terbit/ Target Izin Terbit]],ROUNDUP(Table1[[#This Row],[PLAN PERMIT
finish]]-NOW(),0))</f>
        <v>712</v>
      </c>
      <c r="FV19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99" s="344"/>
      <c r="FX199" s="47"/>
      <c r="FY199" s="340"/>
      <c r="FZ199" s="341"/>
      <c r="GA19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9" s="330">
        <v>45874</v>
      </c>
      <c r="GC199" s="352">
        <v>45840</v>
      </c>
      <c r="GD19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9" s="330">
        <v>45881</v>
      </c>
      <c r="GF199" s="352" t="s">
        <v>1385</v>
      </c>
      <c r="GG19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9" s="330">
        <v>45887</v>
      </c>
      <c r="GI199" s="330">
        <v>45893</v>
      </c>
      <c r="GJ199" s="352">
        <v>45845</v>
      </c>
      <c r="GK19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9" s="330">
        <v>45901</v>
      </c>
      <c r="GM199" s="330" t="e">
        <v>#N/A</v>
      </c>
      <c r="GN199" s="330">
        <v>45914</v>
      </c>
      <c r="GO199" s="330" t="e">
        <v>#N/A</v>
      </c>
      <c r="GP199" s="316"/>
      <c r="GQ19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9" s="330" t="s">
        <v>261</v>
      </c>
      <c r="GS199" s="330" t="s">
        <v>261</v>
      </c>
      <c r="GT199" s="354">
        <v>45916</v>
      </c>
      <c r="GU199" s="344" t="str">
        <f>IF(Table1[[#This Row],[Hydro Tes Actual
(tanggal)]]&lt;&gt;"","Sudah","Belum")</f>
        <v>Sudah</v>
      </c>
      <c r="GV199" s="330" t="s">
        <v>261</v>
      </c>
      <c r="GW199" s="330" t="s">
        <v>261</v>
      </c>
      <c r="GX199" s="331">
        <v>45916</v>
      </c>
      <c r="GY199" s="344" t="str">
        <f>IF(Table1[[#This Row],[Interkoneksi Actual
(tanggal)]]&lt;&gt;"","Sudah","Belum")</f>
        <v>Sudah</v>
      </c>
      <c r="GZ199" s="330" t="s">
        <v>261</v>
      </c>
      <c r="HA199" s="330" t="s">
        <v>261</v>
      </c>
      <c r="HB199" s="331">
        <v>45916</v>
      </c>
      <c r="HC199" s="344" t="str">
        <f>IF(Table1[[#This Row],[Flushing Actual
(tanggal)]]&lt;&gt;"","Sudah","Belum")</f>
        <v>Sudah</v>
      </c>
      <c r="HD199" s="330">
        <v>45905</v>
      </c>
      <c r="HE199" s="330" t="e">
        <v>#N/A</v>
      </c>
      <c r="HF199" s="330">
        <v>45914</v>
      </c>
      <c r="HG199" s="331">
        <v>45922</v>
      </c>
      <c r="HH19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9" s="330" t="s">
        <v>261</v>
      </c>
      <c r="HJ199" s="330" t="s">
        <v>261</v>
      </c>
      <c r="HK199" s="331"/>
      <c r="HL199" s="316"/>
      <c r="HM199" s="330">
        <v>45919</v>
      </c>
      <c r="HN199" s="330">
        <v>45919</v>
      </c>
      <c r="HO199" s="330" t="e">
        <v>#N/A</v>
      </c>
      <c r="HP199" s="331">
        <v>45926</v>
      </c>
      <c r="HQ19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199" s="330">
        <v>45926</v>
      </c>
      <c r="HS199" s="330"/>
      <c r="HT199" s="330">
        <v>45926</v>
      </c>
      <c r="HU199" s="527"/>
      <c r="HV199" s="331">
        <v>45933</v>
      </c>
      <c r="HW19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199" s="47"/>
      <c r="HY199" s="352"/>
      <c r="HZ199" s="352"/>
      <c r="IB199" s="618">
        <f>IFERROR(ROUND((Table1[[#This Row],[PLAN TC
finish]]-Table1[[#This Row],[PLAN MC-0
start]])/30,2),"")</f>
        <v>0.9</v>
      </c>
      <c r="IC199">
        <f>DATEDIF(Table1[[#This Row],[PLAN MC-0
start]],Table1[[#This Row],[PLAN TC
finish]],"m")</f>
        <v>0</v>
      </c>
    </row>
    <row r="200" spans="1:237" s="4" customFormat="1" ht="15" hidden="1" customHeight="1" x14ac:dyDescent="0.2">
      <c r="B200" s="311">
        <f>SUBTOTAL(3,$D$5:D200)</f>
        <v>84</v>
      </c>
      <c r="C200" s="348">
        <v>196</v>
      </c>
      <c r="D200" s="338" t="s">
        <v>244</v>
      </c>
      <c r="E200" s="338" t="s">
        <v>1487</v>
      </c>
      <c r="F200" s="338" t="s">
        <v>1488</v>
      </c>
      <c r="G200" s="349">
        <v>45935</v>
      </c>
      <c r="H200" s="338" t="s">
        <v>681</v>
      </c>
      <c r="I200" s="338" t="s">
        <v>278</v>
      </c>
      <c r="J200" s="315"/>
      <c r="K200" s="338" t="s">
        <v>1165</v>
      </c>
      <c r="L200" s="316" t="s">
        <v>250</v>
      </c>
      <c r="M200" s="316" t="s">
        <v>269</v>
      </c>
      <c r="N200" s="107">
        <v>143</v>
      </c>
      <c r="O200" s="31" t="s">
        <v>252</v>
      </c>
      <c r="P20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0" s="35" t="e">
        <v>#N/A</v>
      </c>
      <c r="S200" s="35">
        <v>1</v>
      </c>
      <c r="T200" s="35">
        <f>Table1[[#This Row],[Progres Total Aktual
(%)]]</f>
        <v>1</v>
      </c>
      <c r="U200" s="124">
        <f>Table1[[#This Row],[Progres Aktual
(%)]]-Table1[[#This Row],[Target Progres
(%)]]</f>
        <v>0</v>
      </c>
      <c r="V200" s="350">
        <f>Table1[[#This Row],["Volume
BA MC-0"]]</f>
        <v>152</v>
      </c>
      <c r="W200" s="351">
        <f>Table1[[#This Row],[Total Panjang Pipa Aktual
(Sum-&gt;)3]]</f>
        <v>128</v>
      </c>
      <c r="X200" s="47"/>
      <c r="Y200" s="67" t="s">
        <v>1489</v>
      </c>
      <c r="Z200" s="67">
        <v>256419378</v>
      </c>
      <c r="AA200" s="67">
        <f>Table1[[#This Row],[Nilai RAB Jaringan
(file pa aji)]]</f>
        <v>256419378</v>
      </c>
      <c r="AB200" s="320">
        <f>SUM(Table1[[#This Row],[RAB Kegiatan Umum]:[RAB Perizinan]])</f>
        <v>0</v>
      </c>
      <c r="AC200" s="320"/>
      <c r="AD200" s="320"/>
      <c r="AE200" s="320"/>
      <c r="AF200" s="320"/>
      <c r="AG200" s="436">
        <v>21070387</v>
      </c>
      <c r="AH200" s="35" t="e">
        <f>SUM(Table1[[#This Row],[Bobot Keg Umum]:[Bobot Perizinan]])</f>
        <v>#DIV/0!</v>
      </c>
      <c r="AI200" s="35" t="e">
        <f>Table1[[#This Row],[RAB Kegiatan Umum]]/Table1[[#This Row],[Nilai RAB Jaringan
(Exclude Ppn)]]</f>
        <v>#DIV/0!</v>
      </c>
      <c r="AJ200" s="35" t="e">
        <f>Table1[[#This Row],[RAB Pemasangan]]/Table1[[#This Row],[Nilai RAB Jaringan
(Exclude Ppn)]]</f>
        <v>#DIV/0!</v>
      </c>
      <c r="AK200" s="35" t="e">
        <f>Table1[[#This Row],[RAB Pengadaan]]/Table1[[#This Row],[Nilai RAB Jaringan
(Exclude Ppn)]]</f>
        <v>#DIV/0!</v>
      </c>
      <c r="AL200" s="35" t="e">
        <f>Table1[[#This Row],[RAB Perizinan]]/Table1[[#This Row],[Nilai RAB Jaringan
(Exclude Ppn)]]</f>
        <v>#DIV/0!</v>
      </c>
      <c r="AM200" s="47"/>
      <c r="AN200" s="285">
        <v>152</v>
      </c>
      <c r="AO200" s="285">
        <f>SUM(Table1[[#This Row],[Pipa 63 mm]:[Pipa 1,800 mm]])</f>
        <v>0</v>
      </c>
      <c r="AP200" s="285"/>
      <c r="AQ200" s="285"/>
      <c r="AR200" s="285"/>
      <c r="AS200" s="285"/>
      <c r="AT200" s="285"/>
      <c r="AU200" s="285"/>
      <c r="AV200" s="285"/>
      <c r="AW200" s="285"/>
      <c r="AX200" s="285"/>
      <c r="AY200" s="285"/>
      <c r="AZ200" s="285"/>
      <c r="BA200" s="285"/>
      <c r="BB200" s="285"/>
      <c r="BC200" s="285"/>
      <c r="BD200" s="285"/>
      <c r="BE200" s="285"/>
      <c r="BF200" s="285"/>
      <c r="BG200" s="285"/>
      <c r="BH200" s="285"/>
      <c r="BI200" s="285"/>
      <c r="BJ200" s="36">
        <f>SUM(Table1[[#This Row],[Pipa 63 mm2]:[Pipa 1,800 mm21]])</f>
        <v>128</v>
      </c>
      <c r="BK200" s="32">
        <v>128</v>
      </c>
      <c r="BL200" s="32"/>
      <c r="BM200" s="32"/>
      <c r="BN200" s="32"/>
      <c r="BO200" s="32"/>
      <c r="BP200" s="32"/>
      <c r="BQ200" s="32"/>
      <c r="BR200" s="32"/>
      <c r="BS200" s="32"/>
      <c r="BT200" s="32"/>
      <c r="BU200" s="32"/>
      <c r="BV200" s="32"/>
      <c r="BW200" s="32"/>
      <c r="BX200" s="32"/>
      <c r="BY200" s="32"/>
      <c r="BZ200" s="32"/>
      <c r="CA200" s="32"/>
      <c r="CB200" s="32"/>
      <c r="CC200" s="32"/>
      <c r="CD200" s="32"/>
      <c r="CE200" s="32">
        <v>0</v>
      </c>
      <c r="CF200" s="32">
        <v>0</v>
      </c>
      <c r="CG200" s="32">
        <v>0</v>
      </c>
      <c r="CH200" s="32">
        <v>0</v>
      </c>
      <c r="CI200" s="32">
        <f t="shared" si="12"/>
        <v>0</v>
      </c>
      <c r="CJ200" s="65">
        <f>IF((Table1[[#This Row],["Volume
BA MC-0"]]-Table1[[#This Row],[Total Panjang Pipa Aktual
(Sum-&gt;)3]]-Table1[[#This Row],[Total Volume
tidak dapat dipasang]])&gt;=0,Table1[[#This Row],["Volume
BA MC-0"]]-Table1[[#This Row],[Total Panjang Pipa Aktual
(Sum-&gt;)3]]-Table1[[#This Row],[Total Volume
tidak dapat dipasang]],0)</f>
        <v>24</v>
      </c>
      <c r="CK200" s="47"/>
      <c r="CL200" s="131"/>
      <c r="CM200" s="35"/>
      <c r="CN200" s="131"/>
      <c r="CO200" s="131"/>
      <c r="CP20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0" s="66">
        <f>IFERROR(Table1[[#This Row],[Progres Keg. Umum
(%)]]*Table1[[#This Row],[Nilai RAB Jaringan
(file pa aji)]],0)</f>
        <v>0</v>
      </c>
      <c r="CR200" s="66">
        <f>IFERROR(Table1[[#This Row],[Progres MOS
(%)]]*Table1[[#This Row],[Nilai RAB Jaringan
(file pa aji)]],0)</f>
        <v>0</v>
      </c>
      <c r="CS200" s="66">
        <f>IFERROR(Table1[[#This Row],[Progres Pemasangan
(%)]]*Table1[[#This Row],[Nilai RAB Jaringan
(file pa aji)]],0)</f>
        <v>0</v>
      </c>
      <c r="CT200" s="66">
        <f>IFERROR(Table1[[#This Row],[Progres Perizinan
(%)]]*Table1[[#This Row],[Nilai RAB Jaringan
(file pa aji)]],0)</f>
        <v>0</v>
      </c>
      <c r="CU200" s="329">
        <v>176583904</v>
      </c>
      <c r="CV200" s="329">
        <v>176583904</v>
      </c>
      <c r="CW200" s="583">
        <v>176583904</v>
      </c>
      <c r="CX200" s="329">
        <v>176583904</v>
      </c>
      <c r="CY200" s="47"/>
      <c r="CZ200" s="330">
        <v>45775</v>
      </c>
      <c r="DA200" s="330">
        <v>45802</v>
      </c>
      <c r="DB200" s="331">
        <v>45782</v>
      </c>
      <c r="DC200" s="316" t="s">
        <v>1490</v>
      </c>
      <c r="DD200" s="67">
        <v>256419379</v>
      </c>
      <c r="DE20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0" s="331">
        <v>45799</v>
      </c>
      <c r="DG200" s="316" t="s">
        <v>1491</v>
      </c>
      <c r="DH200" s="67">
        <v>256419379</v>
      </c>
      <c r="DI20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0" s="330">
        <v>45803</v>
      </c>
      <c r="DK200" s="330">
        <v>45872</v>
      </c>
      <c r="DL200" s="331">
        <v>45822</v>
      </c>
      <c r="DM200" s="316" t="s">
        <v>1492</v>
      </c>
      <c r="DN20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0" s="331">
        <v>45876</v>
      </c>
      <c r="DP200" s="316" t="s">
        <v>1493</v>
      </c>
      <c r="DQ200" s="338" t="s">
        <v>479</v>
      </c>
      <c r="DR20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0" s="330">
        <v>45803</v>
      </c>
      <c r="DT200" s="330" t="e">
        <v>#N/A</v>
      </c>
      <c r="DU200" s="330">
        <v>45844</v>
      </c>
      <c r="DV200" s="330" t="e">
        <v>#N/A</v>
      </c>
      <c r="DW200" s="331">
        <v>45821</v>
      </c>
      <c r="DX200" s="316" t="s">
        <v>1494</v>
      </c>
      <c r="DY200" s="334"/>
      <c r="DZ200" s="334"/>
      <c r="EA20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00" s="331">
        <v>46160</v>
      </c>
      <c r="EC200" s="332"/>
      <c r="ED200" s="332"/>
      <c r="EE200" s="330" t="s">
        <v>1495</v>
      </c>
      <c r="EF200" s="35">
        <v>1</v>
      </c>
      <c r="EG200" s="337">
        <v>1</v>
      </c>
      <c r="EH200" s="316" t="str">
        <f>IF(Table1[[#This Row],[PO Material Aktual 
(%)]]&gt;=100%,"Selesai PO = 100%",IF(Table1[[#This Row],[PO Material Aktual 
(%)]]&gt;=50%,"Proses PO &gt; 100%",IF(Table1[[#This Row],[PO Material Aktual 
(%)]]&gt;0%,"Proses PO &gt; 50%",IF(Table1[[#This Row],[PO Material Aktual 
(%)]]=0,"Belum PO = 0%"))))</f>
        <v>Selesai PO = 100%</v>
      </c>
      <c r="EI20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0" s="330">
        <v>45845</v>
      </c>
      <c r="EK200" s="330" t="e">
        <v>#N/A</v>
      </c>
      <c r="EL200" s="330">
        <v>45900</v>
      </c>
      <c r="EM200" s="330" t="e">
        <v>#N/A</v>
      </c>
      <c r="EN200" s="331">
        <v>46091</v>
      </c>
      <c r="EO200" s="332"/>
      <c r="EP200" s="332"/>
      <c r="EQ200" s="87">
        <v>1</v>
      </c>
      <c r="ER200" s="87">
        <v>1</v>
      </c>
      <c r="ES200" s="316" t="str">
        <f>IF(Table1[[#This Row],[Progres MOS]]&gt;=100%,"Selesai MOS = 100%",IF(Table1[[#This Row],[Progres MOS]]&gt;=50%,"Proses MOS &gt; 100%",IF(Table1[[#This Row],[Progres MOS]]&gt;0%,"Proses MOS &gt; 50%",IF(Table1[[#This Row],[Progres MOS]]=0,"Belum MOS = 0%"))))</f>
        <v>Selesai MOS = 100%</v>
      </c>
      <c r="ET20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0" s="47"/>
      <c r="EV200" s="330">
        <v>45803</v>
      </c>
      <c r="EW200" s="330" t="e">
        <v>#N/A</v>
      </c>
      <c r="EX200" s="330">
        <v>45900</v>
      </c>
      <c r="EY200" s="330" t="e">
        <v>#N/A</v>
      </c>
      <c r="EZ200" s="352" t="s">
        <v>1337</v>
      </c>
      <c r="FA200" s="336" t="s">
        <v>259</v>
      </c>
      <c r="FB200" s="330" t="s">
        <v>260</v>
      </c>
      <c r="FC200" s="330" t="s">
        <v>282</v>
      </c>
      <c r="FD200" s="330" t="s">
        <v>282</v>
      </c>
      <c r="FE200" s="330" t="s">
        <v>282</v>
      </c>
      <c r="FF200" s="330" t="s">
        <v>282</v>
      </c>
      <c r="FG200" s="330" t="s">
        <v>282</v>
      </c>
      <c r="FH200" s="330" t="s">
        <v>282</v>
      </c>
      <c r="FI200" s="330" t="s">
        <v>282</v>
      </c>
      <c r="FJ200" s="330" t="s">
        <v>282</v>
      </c>
      <c r="FK200" s="330" t="s">
        <v>283</v>
      </c>
      <c r="FL200" s="336" t="str">
        <f>Table1[[#This Row],[IPPJU]]</f>
        <v>Izin Dari PPKK</v>
      </c>
      <c r="FM200" s="352" t="s">
        <v>282</v>
      </c>
      <c r="FN200" s="338" t="e">
        <f>IF(Table1[[#This Row],[Tanggal Pengajuan Dokumen]]="","",Table1[[#This Row],[PLAN PERMIT
start]]-Table1[[#This Row],[Tanggal Pengajuan Dokumen]])</f>
        <v>#VALUE!</v>
      </c>
      <c r="FO200" s="437">
        <v>45188</v>
      </c>
      <c r="FP200" s="316"/>
      <c r="FQ200" s="338"/>
      <c r="FR200" s="338"/>
      <c r="FS200" s="338" t="str">
        <f t="shared" si="11"/>
        <v>Sudah Terbit</v>
      </c>
      <c r="FT20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0" s="344">
        <f ca="1">IF(Table1[[#This Row],[Status Izin]]="Selesai",Table1[[#This Row],[PLAN PERMIT
finish]]-Table1[[#This Row],[Tanggal Terbit/ Target Izin Terbit]],ROUNDUP(Table1[[#This Row],[PLAN PERMIT
finish]]-NOW(),0))</f>
        <v>712</v>
      </c>
      <c r="FV20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00" s="344"/>
      <c r="FX200" s="47"/>
      <c r="FY200" s="340"/>
      <c r="FZ200" s="341"/>
      <c r="GA20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0" s="330">
        <v>45874</v>
      </c>
      <c r="GC200" s="352">
        <v>45840</v>
      </c>
      <c r="GD20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0" s="330">
        <v>45881</v>
      </c>
      <c r="GF200" s="352" t="s">
        <v>1385</v>
      </c>
      <c r="GG20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0" s="330">
        <v>45887</v>
      </c>
      <c r="GI200" s="330">
        <v>45893</v>
      </c>
      <c r="GJ200" s="352">
        <v>45845</v>
      </c>
      <c r="GK20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0" s="330">
        <v>45901</v>
      </c>
      <c r="GM200" s="330" t="e">
        <v>#N/A</v>
      </c>
      <c r="GN200" s="330">
        <v>45914</v>
      </c>
      <c r="GO200" s="330" t="e">
        <v>#N/A</v>
      </c>
      <c r="GP200" s="316"/>
      <c r="GQ20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0" s="330" t="s">
        <v>261</v>
      </c>
      <c r="GS200" s="330" t="s">
        <v>261</v>
      </c>
      <c r="GT200" s="354" t="s">
        <v>1496</v>
      </c>
      <c r="GU200" s="344" t="str">
        <f>IF(Table1[[#This Row],[Hydro Tes Actual
(tanggal)]]&lt;&gt;"","Sudah","Belum")</f>
        <v>Sudah</v>
      </c>
      <c r="GV200" s="330" t="s">
        <v>261</v>
      </c>
      <c r="GW200" s="330" t="s">
        <v>261</v>
      </c>
      <c r="GX200" s="331">
        <v>45916</v>
      </c>
      <c r="GY200" s="344" t="str">
        <f>IF(Table1[[#This Row],[Interkoneksi Actual
(tanggal)]]&lt;&gt;"","Sudah","Belum")</f>
        <v>Sudah</v>
      </c>
      <c r="GZ200" s="330" t="s">
        <v>261</v>
      </c>
      <c r="HA200" s="330" t="s">
        <v>261</v>
      </c>
      <c r="HB200" s="331">
        <v>45922</v>
      </c>
      <c r="HC200" s="344" t="str">
        <f>IF(Table1[[#This Row],[Flushing Actual
(tanggal)]]&lt;&gt;"","Sudah","Belum")</f>
        <v>Sudah</v>
      </c>
      <c r="HD200" s="330">
        <v>45905</v>
      </c>
      <c r="HE200" s="330" t="e">
        <v>#N/A</v>
      </c>
      <c r="HF200" s="330">
        <v>45914</v>
      </c>
      <c r="HG200" s="331">
        <v>45922</v>
      </c>
      <c r="HH20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0" s="330" t="s">
        <v>261</v>
      </c>
      <c r="HJ200" s="330" t="s">
        <v>261</v>
      </c>
      <c r="HK200" s="331"/>
      <c r="HL200" s="316"/>
      <c r="HM200" s="330">
        <v>45919</v>
      </c>
      <c r="HN200" s="330">
        <v>45919</v>
      </c>
      <c r="HO200" s="330" t="e">
        <v>#N/A</v>
      </c>
      <c r="HP200" s="331">
        <v>45926</v>
      </c>
      <c r="HQ20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00" s="330">
        <v>45926</v>
      </c>
      <c r="HS200" s="330"/>
      <c r="HT200" s="330">
        <v>45926</v>
      </c>
      <c r="HU200" s="527"/>
      <c r="HV200" s="331">
        <v>45933</v>
      </c>
      <c r="HW20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00" s="47"/>
      <c r="HY200" s="352"/>
      <c r="HZ200" s="352"/>
      <c r="IB200" s="618">
        <f>IFERROR(ROUND((Table1[[#This Row],[PLAN TC
finish]]-Table1[[#This Row],[PLAN MC-0
start]])/30,2),"")</f>
        <v>0.9</v>
      </c>
      <c r="IC200">
        <f>DATEDIF(Table1[[#This Row],[PLAN MC-0
start]],Table1[[#This Row],[PLAN TC
finish]],"m")</f>
        <v>0</v>
      </c>
    </row>
    <row r="201" spans="1:237" s="4" customFormat="1" ht="15" hidden="1" customHeight="1" x14ac:dyDescent="0.2">
      <c r="B201" s="311">
        <f>SUBTOTAL(3,$D$5:D201)</f>
        <v>84</v>
      </c>
      <c r="C201" s="348">
        <v>197</v>
      </c>
      <c r="D201" s="338" t="s">
        <v>244</v>
      </c>
      <c r="E201" s="338" t="s">
        <v>1497</v>
      </c>
      <c r="F201" s="620" t="s">
        <v>1498</v>
      </c>
      <c r="G201" s="349">
        <v>45935</v>
      </c>
      <c r="H201" s="338" t="s">
        <v>681</v>
      </c>
      <c r="I201" s="338" t="s">
        <v>278</v>
      </c>
      <c r="J201" s="315"/>
      <c r="K201" s="338" t="s">
        <v>1165</v>
      </c>
      <c r="L201" s="316" t="s">
        <v>250</v>
      </c>
      <c r="M201" s="316" t="s">
        <v>269</v>
      </c>
      <c r="N201" s="107">
        <v>563</v>
      </c>
      <c r="O201" s="31" t="s">
        <v>252</v>
      </c>
      <c r="P20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1" s="35" t="e">
        <v>#N/A</v>
      </c>
      <c r="S201" s="35">
        <v>1</v>
      </c>
      <c r="T201" s="35">
        <f>Table1[[#This Row],[Progres Total Aktual
(%)]]</f>
        <v>1</v>
      </c>
      <c r="U201" s="124">
        <f>Table1[[#This Row],[Progres Aktual
(%)]]-Table1[[#This Row],[Target Progres
(%)]]</f>
        <v>0</v>
      </c>
      <c r="V201" s="350">
        <f>Table1[[#This Row],["Volume
BA MC-0"]]</f>
        <v>84</v>
      </c>
      <c r="W201" s="351">
        <f>Table1[[#This Row],[Total Panjang Pipa Aktual
(Sum-&gt;)3]]</f>
        <v>84</v>
      </c>
      <c r="X201" s="47"/>
      <c r="Y201" s="67" t="s">
        <v>1499</v>
      </c>
      <c r="Z201" s="67">
        <v>166261796</v>
      </c>
      <c r="AA201" s="67">
        <f>Table1[[#This Row],[Nilai RAB Jaringan
(file pa aji)]]</f>
        <v>166261796</v>
      </c>
      <c r="AB201" s="320">
        <f>SUM(Table1[[#This Row],[RAB Kegiatan Umum]:[RAB Perizinan]])</f>
        <v>0</v>
      </c>
      <c r="AC201" s="320"/>
      <c r="AD201" s="320"/>
      <c r="AE201" s="320"/>
      <c r="AF201" s="320"/>
      <c r="AG201" s="436">
        <v>172743367</v>
      </c>
      <c r="AH201" s="35" t="e">
        <f>SUM(Table1[[#This Row],[Bobot Keg Umum]:[Bobot Perizinan]])</f>
        <v>#DIV/0!</v>
      </c>
      <c r="AI201" s="35" t="e">
        <f>Table1[[#This Row],[RAB Kegiatan Umum]]/Table1[[#This Row],[Nilai RAB Jaringan
(Exclude Ppn)]]</f>
        <v>#DIV/0!</v>
      </c>
      <c r="AJ201" s="35" t="e">
        <f>Table1[[#This Row],[RAB Pemasangan]]/Table1[[#This Row],[Nilai RAB Jaringan
(Exclude Ppn)]]</f>
        <v>#DIV/0!</v>
      </c>
      <c r="AK201" s="35" t="e">
        <f>Table1[[#This Row],[RAB Pengadaan]]/Table1[[#This Row],[Nilai RAB Jaringan
(Exclude Ppn)]]</f>
        <v>#DIV/0!</v>
      </c>
      <c r="AL201" s="35" t="e">
        <f>Table1[[#This Row],[RAB Perizinan]]/Table1[[#This Row],[Nilai RAB Jaringan
(Exclude Ppn)]]</f>
        <v>#DIV/0!</v>
      </c>
      <c r="AM201" s="47"/>
      <c r="AN201" s="285">
        <v>84</v>
      </c>
      <c r="AO201" s="285">
        <f>SUM(Table1[[#This Row],[Pipa 63 mm]:[Pipa 1,800 mm]])</f>
        <v>0</v>
      </c>
      <c r="AP201" s="285"/>
      <c r="AQ201" s="285"/>
      <c r="AR201" s="285"/>
      <c r="AS201" s="285"/>
      <c r="AT201" s="285"/>
      <c r="AU201" s="285"/>
      <c r="AV201" s="285"/>
      <c r="AW201" s="285"/>
      <c r="AX201" s="285"/>
      <c r="AY201" s="285"/>
      <c r="AZ201" s="285"/>
      <c r="BA201" s="285"/>
      <c r="BB201" s="285"/>
      <c r="BC201" s="285"/>
      <c r="BD201" s="285"/>
      <c r="BE201" s="285"/>
      <c r="BF201" s="285"/>
      <c r="BG201" s="285"/>
      <c r="BH201" s="285"/>
      <c r="BI201" s="285"/>
      <c r="BJ201" s="36">
        <f>SUM(Table1[[#This Row],[Pipa 63 mm2]:[Pipa 1,800 mm21]])</f>
        <v>84</v>
      </c>
      <c r="BK201" s="32">
        <v>84</v>
      </c>
      <c r="BL201" s="32"/>
      <c r="BM201" s="32"/>
      <c r="BN201" s="32"/>
      <c r="BO201" s="32"/>
      <c r="BP201" s="32"/>
      <c r="BQ201" s="32"/>
      <c r="BR201" s="32"/>
      <c r="BS201" s="32"/>
      <c r="BT201" s="32"/>
      <c r="BU201" s="32"/>
      <c r="BV201" s="32"/>
      <c r="BW201" s="32"/>
      <c r="BX201" s="32"/>
      <c r="BY201" s="32"/>
      <c r="BZ201" s="32"/>
      <c r="CA201" s="32"/>
      <c r="CB201" s="32"/>
      <c r="CC201" s="32"/>
      <c r="CD201" s="32"/>
      <c r="CE201" s="32">
        <v>0</v>
      </c>
      <c r="CF201" s="32">
        <v>0</v>
      </c>
      <c r="CG201" s="32">
        <v>0</v>
      </c>
      <c r="CH201" s="32">
        <v>0</v>
      </c>
      <c r="CI201" s="32">
        <f t="shared" si="12"/>
        <v>0</v>
      </c>
      <c r="CJ201" s="65">
        <f>IF((Table1[[#This Row],["Volume
BA MC-0"]]-Table1[[#This Row],[Total Panjang Pipa Aktual
(Sum-&gt;)3]]-Table1[[#This Row],[Total Volume
tidak dapat dipasang]])&gt;=0,Table1[[#This Row],["Volume
BA MC-0"]]-Table1[[#This Row],[Total Panjang Pipa Aktual
(Sum-&gt;)3]]-Table1[[#This Row],[Total Volume
tidak dapat dipasang]],0)</f>
        <v>0</v>
      </c>
      <c r="CK201" s="47"/>
      <c r="CL201" s="131"/>
      <c r="CM201" s="35"/>
      <c r="CN201" s="131"/>
      <c r="CO201" s="131"/>
      <c r="CP20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1" s="66">
        <f>IFERROR(Table1[[#This Row],[Progres Keg. Umum
(%)]]*Table1[[#This Row],[Nilai RAB Jaringan
(file pa aji)]],0)</f>
        <v>0</v>
      </c>
      <c r="CR201" s="66">
        <f>IFERROR(Table1[[#This Row],[Progres MOS
(%)]]*Table1[[#This Row],[Nilai RAB Jaringan
(file pa aji)]],0)</f>
        <v>0</v>
      </c>
      <c r="CS201" s="66">
        <f>IFERROR(Table1[[#This Row],[Progres Pemasangan
(%)]]*Table1[[#This Row],[Nilai RAB Jaringan
(file pa aji)]],0)</f>
        <v>0</v>
      </c>
      <c r="CT201" s="66">
        <f>IFERROR(Table1[[#This Row],[Progres Perizinan
(%)]]*Table1[[#This Row],[Nilai RAB Jaringan
(file pa aji)]],0)</f>
        <v>0</v>
      </c>
      <c r="CU201" s="329">
        <v>169813524</v>
      </c>
      <c r="CV201" s="329">
        <v>169813524</v>
      </c>
      <c r="CW201" s="583">
        <v>169813524</v>
      </c>
      <c r="CX201" s="329">
        <v>169813524</v>
      </c>
      <c r="CY201" s="47"/>
      <c r="CZ201" s="330">
        <v>45775</v>
      </c>
      <c r="DA201" s="330">
        <v>45802</v>
      </c>
      <c r="DB201" s="331">
        <v>45779</v>
      </c>
      <c r="DC201" s="316" t="s">
        <v>1500</v>
      </c>
      <c r="DD201" s="67">
        <v>166261797</v>
      </c>
      <c r="DE20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1" s="331">
        <v>45799</v>
      </c>
      <c r="DG201" s="316" t="s">
        <v>1501</v>
      </c>
      <c r="DH201" s="67">
        <v>166261797</v>
      </c>
      <c r="DI20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1" s="330">
        <v>45803</v>
      </c>
      <c r="DK201" s="330">
        <v>45865</v>
      </c>
      <c r="DL201" s="331">
        <v>45831</v>
      </c>
      <c r="DM201" s="316" t="s">
        <v>1502</v>
      </c>
      <c r="DN20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1" s="331">
        <v>45888</v>
      </c>
      <c r="DP201" s="316" t="s">
        <v>1503</v>
      </c>
      <c r="DQ201" s="338" t="s">
        <v>365</v>
      </c>
      <c r="DR20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1" s="330">
        <v>45803</v>
      </c>
      <c r="DT201" s="330" t="e">
        <v>#N/A</v>
      </c>
      <c r="DU201" s="330">
        <v>45844</v>
      </c>
      <c r="DV201" s="330" t="e">
        <v>#N/A</v>
      </c>
      <c r="DW201" s="331">
        <v>45831</v>
      </c>
      <c r="DX201" s="316" t="s">
        <v>1504</v>
      </c>
      <c r="DY201" s="334"/>
      <c r="DZ201" s="334"/>
      <c r="EA20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01" s="331">
        <v>46038</v>
      </c>
      <c r="EC201" s="332"/>
      <c r="ED201" s="332"/>
      <c r="EE201" s="330" t="s">
        <v>1505</v>
      </c>
      <c r="EF201" s="35">
        <v>1</v>
      </c>
      <c r="EG201" s="337">
        <v>1</v>
      </c>
      <c r="EH201" s="316" t="str">
        <f>IF(Table1[[#This Row],[PO Material Aktual 
(%)]]&gt;=100%,"Selesai PO = 100%",IF(Table1[[#This Row],[PO Material Aktual 
(%)]]&gt;=50%,"Proses PO &gt; 100%",IF(Table1[[#This Row],[PO Material Aktual 
(%)]]&gt;0%,"Proses PO &gt; 50%",IF(Table1[[#This Row],[PO Material Aktual 
(%)]]=0,"Belum PO = 0%"))))</f>
        <v>Selesai PO = 100%</v>
      </c>
      <c r="EI20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1" s="330">
        <v>45845</v>
      </c>
      <c r="EK201" s="330" t="e">
        <v>#N/A</v>
      </c>
      <c r="EL201" s="330">
        <v>45893</v>
      </c>
      <c r="EM201" s="330" t="e">
        <v>#N/A</v>
      </c>
      <c r="EN201" s="331">
        <v>46091</v>
      </c>
      <c r="EO201" s="332"/>
      <c r="EP201" s="332"/>
      <c r="EQ201" s="87">
        <v>1</v>
      </c>
      <c r="ER201" s="87">
        <v>1</v>
      </c>
      <c r="ES201" s="316" t="str">
        <f>IF(Table1[[#This Row],[Progres MOS]]&gt;=100%,"Selesai MOS = 100%",IF(Table1[[#This Row],[Progres MOS]]&gt;=50%,"Proses MOS &gt; 100%",IF(Table1[[#This Row],[Progres MOS]]&gt;0%,"Proses MOS &gt; 50%",IF(Table1[[#This Row],[Progres MOS]]=0,"Belum MOS = 0%"))))</f>
        <v>Selesai MOS = 100%</v>
      </c>
      <c r="ET20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1" s="47"/>
      <c r="EV201" s="330">
        <v>45803</v>
      </c>
      <c r="EW201" s="330" t="e">
        <v>#N/A</v>
      </c>
      <c r="EX201" s="330">
        <v>45893</v>
      </c>
      <c r="EY201" s="330" t="e">
        <v>#N/A</v>
      </c>
      <c r="EZ201" s="352" t="s">
        <v>298</v>
      </c>
      <c r="FA201" s="336" t="s">
        <v>298</v>
      </c>
      <c r="FB201" s="330" t="s">
        <v>260</v>
      </c>
      <c r="FC201" s="330">
        <v>45853</v>
      </c>
      <c r="FD201" s="330" t="s">
        <v>260</v>
      </c>
      <c r="FE201" s="330">
        <v>45882</v>
      </c>
      <c r="FF201" s="330">
        <v>45958</v>
      </c>
      <c r="FG201" s="330" t="s">
        <v>260</v>
      </c>
      <c r="FH201" s="330" t="s">
        <v>260</v>
      </c>
      <c r="FI201" s="330">
        <v>46003</v>
      </c>
      <c r="FJ201" s="330" t="s">
        <v>260</v>
      </c>
      <c r="FK201" s="330"/>
      <c r="FL201" s="336" t="s">
        <v>298</v>
      </c>
      <c r="FM201" s="352">
        <v>45853</v>
      </c>
      <c r="FN201" s="338">
        <f>IF(Table1[[#This Row],[Tanggal Pengajuan Dokumen]]="","",Table1[[#This Row],[PLAN PERMIT
start]]-Table1[[#This Row],[Tanggal Pengajuan Dokumen]])</f>
        <v>-50</v>
      </c>
      <c r="FO201" s="437">
        <v>46086</v>
      </c>
      <c r="FP201" s="316"/>
      <c r="FQ201" s="338"/>
      <c r="FR201" s="338"/>
      <c r="FS201" s="338" t="str">
        <f t="shared" si="11"/>
        <v>On Going</v>
      </c>
      <c r="FT20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1" s="344">
        <f ca="1">IF(Table1[[#This Row],[Status Izin]]="Selesai",Table1[[#This Row],[PLAN PERMIT
finish]]-Table1[[#This Row],[Tanggal Terbit/ Target Izin Terbit]],ROUNDUP(Table1[[#This Row],[PLAN PERMIT
finish]]-NOW(),0))</f>
        <v>-298</v>
      </c>
      <c r="FV20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1" s="344"/>
      <c r="FX201" s="47"/>
      <c r="FY201" s="340"/>
      <c r="FZ201" s="341"/>
      <c r="GA20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1" s="330">
        <v>45867</v>
      </c>
      <c r="GC201" s="352">
        <v>45840</v>
      </c>
      <c r="GD20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1" s="330">
        <v>45874</v>
      </c>
      <c r="GF201" s="352" t="s">
        <v>1385</v>
      </c>
      <c r="GG20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1" s="330">
        <v>45880</v>
      </c>
      <c r="GI201" s="330">
        <v>45886</v>
      </c>
      <c r="GJ201" s="352">
        <v>45841</v>
      </c>
      <c r="GK20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1" s="330">
        <v>45894</v>
      </c>
      <c r="GM201" s="330" t="e">
        <v>#N/A</v>
      </c>
      <c r="GN201" s="330">
        <v>45914</v>
      </c>
      <c r="GO201" s="330" t="e">
        <v>#N/A</v>
      </c>
      <c r="GP201" s="316"/>
      <c r="GQ20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1" s="330" t="s">
        <v>261</v>
      </c>
      <c r="GS201" s="330" t="s">
        <v>261</v>
      </c>
      <c r="GT201" s="354">
        <v>45907</v>
      </c>
      <c r="GU201" s="344" t="str">
        <f>IF(Table1[[#This Row],[Hydro Tes Actual
(tanggal)]]&lt;&gt;"","Sudah","Belum")</f>
        <v>Sudah</v>
      </c>
      <c r="GV201" s="330" t="s">
        <v>261</v>
      </c>
      <c r="GW201" s="330" t="s">
        <v>261</v>
      </c>
      <c r="GX201" s="331">
        <v>45907</v>
      </c>
      <c r="GY201" s="344" t="str">
        <f>IF(Table1[[#This Row],[Interkoneksi Actual
(tanggal)]]&lt;&gt;"","Sudah","Belum")</f>
        <v>Sudah</v>
      </c>
      <c r="GZ201" s="330" t="s">
        <v>261</v>
      </c>
      <c r="HA201" s="330" t="s">
        <v>261</v>
      </c>
      <c r="HB201" s="331">
        <v>45909</v>
      </c>
      <c r="HC201" s="344" t="str">
        <f>IF(Table1[[#This Row],[Flushing Actual
(tanggal)]]&lt;&gt;"","Sudah","Belum")</f>
        <v>Sudah</v>
      </c>
      <c r="HD201" s="330">
        <v>45905</v>
      </c>
      <c r="HE201" s="330" t="e">
        <v>#N/A</v>
      </c>
      <c r="HF201" s="330">
        <v>45914</v>
      </c>
      <c r="HG201" s="331">
        <v>45917</v>
      </c>
      <c r="HH20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1" s="330" t="s">
        <v>261</v>
      </c>
      <c r="HJ201" s="330" t="s">
        <v>261</v>
      </c>
      <c r="HK201" s="331"/>
      <c r="HL201" s="316"/>
      <c r="HM201" s="330">
        <v>45919</v>
      </c>
      <c r="HN201" s="330">
        <v>45919</v>
      </c>
      <c r="HO201" s="330" t="e">
        <v>#N/A</v>
      </c>
      <c r="HP201" s="331">
        <v>45927</v>
      </c>
      <c r="HQ20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01" s="330">
        <v>45926</v>
      </c>
      <c r="HS201" s="330"/>
      <c r="HT201" s="330">
        <v>45926</v>
      </c>
      <c r="HU201" s="527"/>
      <c r="HV201" s="331">
        <v>45933</v>
      </c>
      <c r="HW20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01" s="47"/>
      <c r="HY201" s="352"/>
      <c r="HZ201" s="352"/>
      <c r="IB201" s="618">
        <f>IFERROR(ROUND((Table1[[#This Row],[PLAN TC
finish]]-Table1[[#This Row],[PLAN MC-0
start]])/30,2),"")</f>
        <v>1.1299999999999999</v>
      </c>
      <c r="IC201">
        <f>DATEDIF(Table1[[#This Row],[PLAN MC-0
start]],Table1[[#This Row],[PLAN TC
finish]],"m")</f>
        <v>1</v>
      </c>
    </row>
    <row r="202" spans="1:237" s="4" customFormat="1" ht="15" hidden="1" customHeight="1" x14ac:dyDescent="0.2">
      <c r="B202" s="311">
        <f>SUBTOTAL(3,$D$5:D202)</f>
        <v>84</v>
      </c>
      <c r="C202" s="348">
        <v>198</v>
      </c>
      <c r="D202" s="338" t="s">
        <v>244</v>
      </c>
      <c r="E202" s="338" t="s">
        <v>1506</v>
      </c>
      <c r="F202" s="338" t="s">
        <v>1507</v>
      </c>
      <c r="G202" s="349">
        <v>45935</v>
      </c>
      <c r="H202" s="338" t="s">
        <v>681</v>
      </c>
      <c r="I202" s="338" t="s">
        <v>278</v>
      </c>
      <c r="J202" s="315"/>
      <c r="K202" s="338" t="s">
        <v>1165</v>
      </c>
      <c r="L202" s="316" t="s">
        <v>250</v>
      </c>
      <c r="M202" s="316" t="s">
        <v>269</v>
      </c>
      <c r="N202" s="107">
        <v>50</v>
      </c>
      <c r="O202" s="31" t="s">
        <v>252</v>
      </c>
      <c r="P20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2" s="35" t="e">
        <v>#N/A</v>
      </c>
      <c r="S202" s="35">
        <v>1</v>
      </c>
      <c r="T202" s="35">
        <f>Table1[[#This Row],[Progres Total Aktual
(%)]]</f>
        <v>1</v>
      </c>
      <c r="U202" s="124">
        <f>Table1[[#This Row],[Progres Aktual
(%)]]-Table1[[#This Row],[Target Progres
(%)]]</f>
        <v>0</v>
      </c>
      <c r="V202" s="350">
        <f>Table1[[#This Row],["Volume
BA MC-0"]]</f>
        <v>51</v>
      </c>
      <c r="W202" s="351">
        <f>Table1[[#This Row],[Total Panjang Pipa Aktual
(Sum-&gt;)3]]</f>
        <v>48</v>
      </c>
      <c r="X202" s="47"/>
      <c r="Y202" s="67" t="s">
        <v>1508</v>
      </c>
      <c r="Z202" s="67">
        <v>108210089</v>
      </c>
      <c r="AA202" s="67">
        <f>Table1[[#This Row],[Nilai RAB Jaringan
(file pa aji)]]</f>
        <v>108210089</v>
      </c>
      <c r="AB202" s="320">
        <f>SUM(Table1[[#This Row],[RAB Kegiatan Umum]:[RAB Perizinan]])</f>
        <v>0</v>
      </c>
      <c r="AC202" s="320"/>
      <c r="AD202" s="320"/>
      <c r="AE202" s="320"/>
      <c r="AF202" s="320"/>
      <c r="AG202" s="436">
        <v>52675966</v>
      </c>
      <c r="AH202" s="35" t="e">
        <f>SUM(Table1[[#This Row],[Bobot Keg Umum]:[Bobot Perizinan]])</f>
        <v>#DIV/0!</v>
      </c>
      <c r="AI202" s="35" t="e">
        <f>Table1[[#This Row],[RAB Kegiatan Umum]]/Table1[[#This Row],[Nilai RAB Jaringan
(Exclude Ppn)]]</f>
        <v>#DIV/0!</v>
      </c>
      <c r="AJ202" s="35" t="e">
        <f>Table1[[#This Row],[RAB Pemasangan]]/Table1[[#This Row],[Nilai RAB Jaringan
(Exclude Ppn)]]</f>
        <v>#DIV/0!</v>
      </c>
      <c r="AK202" s="35" t="e">
        <f>Table1[[#This Row],[RAB Pengadaan]]/Table1[[#This Row],[Nilai RAB Jaringan
(Exclude Ppn)]]</f>
        <v>#DIV/0!</v>
      </c>
      <c r="AL202" s="35" t="e">
        <f>Table1[[#This Row],[RAB Perizinan]]/Table1[[#This Row],[Nilai RAB Jaringan
(Exclude Ppn)]]</f>
        <v>#DIV/0!</v>
      </c>
      <c r="AM202" s="47"/>
      <c r="AN202" s="285">
        <v>51</v>
      </c>
      <c r="AO202" s="285">
        <f>SUM(Table1[[#This Row],[Pipa 63 mm]:[Pipa 1,800 mm]])</f>
        <v>0</v>
      </c>
      <c r="AP202" s="285"/>
      <c r="AQ202" s="285"/>
      <c r="AR202" s="285"/>
      <c r="AS202" s="285"/>
      <c r="AT202" s="285"/>
      <c r="AU202" s="285"/>
      <c r="AV202" s="285"/>
      <c r="AW202" s="285"/>
      <c r="AX202" s="285"/>
      <c r="AY202" s="285"/>
      <c r="AZ202" s="285"/>
      <c r="BA202" s="285"/>
      <c r="BB202" s="285"/>
      <c r="BC202" s="285"/>
      <c r="BD202" s="285"/>
      <c r="BE202" s="285"/>
      <c r="BF202" s="285"/>
      <c r="BG202" s="285"/>
      <c r="BH202" s="285"/>
      <c r="BI202" s="285"/>
      <c r="BJ202" s="36">
        <f>SUM(Table1[[#This Row],[Pipa 63 mm2]:[Pipa 1,800 mm21]])</f>
        <v>48</v>
      </c>
      <c r="BK202" s="32">
        <v>48</v>
      </c>
      <c r="BL202" s="32"/>
      <c r="BM202" s="32"/>
      <c r="BN202" s="32"/>
      <c r="BO202" s="32"/>
      <c r="BP202" s="32"/>
      <c r="BQ202" s="32"/>
      <c r="BR202" s="32"/>
      <c r="BS202" s="32"/>
      <c r="BT202" s="32"/>
      <c r="BU202" s="32"/>
      <c r="BV202" s="32"/>
      <c r="BW202" s="32"/>
      <c r="BX202" s="32"/>
      <c r="BY202" s="32"/>
      <c r="BZ202" s="32"/>
      <c r="CA202" s="32"/>
      <c r="CB202" s="32"/>
      <c r="CC202" s="32"/>
      <c r="CD202" s="32"/>
      <c r="CE202" s="32">
        <v>0</v>
      </c>
      <c r="CF202" s="32">
        <v>0</v>
      </c>
      <c r="CG202" s="32">
        <v>0</v>
      </c>
      <c r="CH202" s="32">
        <v>0</v>
      </c>
      <c r="CI202" s="32">
        <f t="shared" si="12"/>
        <v>0</v>
      </c>
      <c r="CJ202" s="65">
        <f>IF((Table1[[#This Row],["Volume
BA MC-0"]]-Table1[[#This Row],[Total Panjang Pipa Aktual
(Sum-&gt;)3]]-Table1[[#This Row],[Total Volume
tidak dapat dipasang]])&gt;=0,Table1[[#This Row],["Volume
BA MC-0"]]-Table1[[#This Row],[Total Panjang Pipa Aktual
(Sum-&gt;)3]]-Table1[[#This Row],[Total Volume
tidak dapat dipasang]],0)</f>
        <v>3</v>
      </c>
      <c r="CK202" s="47"/>
      <c r="CL202" s="131"/>
      <c r="CM202" s="35"/>
      <c r="CN202" s="131"/>
      <c r="CO202" s="131"/>
      <c r="CP20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2" s="66">
        <f>IFERROR(Table1[[#This Row],[Progres Keg. Umum
(%)]]*Table1[[#This Row],[Nilai RAB Jaringan
(file pa aji)]],0)</f>
        <v>0</v>
      </c>
      <c r="CR202" s="66">
        <f>IFERROR(Table1[[#This Row],[Progres MOS
(%)]]*Table1[[#This Row],[Nilai RAB Jaringan
(file pa aji)]],0)</f>
        <v>0</v>
      </c>
      <c r="CS202" s="66">
        <f>IFERROR(Table1[[#This Row],[Progres Pemasangan
(%)]]*Table1[[#This Row],[Nilai RAB Jaringan
(file pa aji)]],0)</f>
        <v>0</v>
      </c>
      <c r="CT202" s="66">
        <f>IFERROR(Table1[[#This Row],[Progres Perizinan
(%)]]*Table1[[#This Row],[Nilai RAB Jaringan
(file pa aji)]],0)</f>
        <v>0</v>
      </c>
      <c r="CU202" s="329">
        <v>78757722</v>
      </c>
      <c r="CV202" s="329">
        <v>78757722</v>
      </c>
      <c r="CW202" s="583">
        <v>78757722</v>
      </c>
      <c r="CX202" s="329">
        <v>78757722</v>
      </c>
      <c r="CY202" s="47"/>
      <c r="CZ202" s="330">
        <v>45775</v>
      </c>
      <c r="DA202" s="330">
        <v>45802</v>
      </c>
      <c r="DB202" s="331">
        <v>45783</v>
      </c>
      <c r="DC202" s="316" t="s">
        <v>1509</v>
      </c>
      <c r="DD202" s="67">
        <v>108210090</v>
      </c>
      <c r="DE20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2" s="331">
        <v>45799</v>
      </c>
      <c r="DG202" s="316" t="s">
        <v>1510</v>
      </c>
      <c r="DH202" s="67">
        <v>108210090</v>
      </c>
      <c r="DI20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2" s="330">
        <v>45803</v>
      </c>
      <c r="DK202" s="330">
        <v>45872</v>
      </c>
      <c r="DL202" s="331">
        <v>45831</v>
      </c>
      <c r="DM202" s="316" t="s">
        <v>1511</v>
      </c>
      <c r="DN20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2" s="331">
        <v>45876</v>
      </c>
      <c r="DP202" s="316" t="s">
        <v>1512</v>
      </c>
      <c r="DQ202" s="338" t="s">
        <v>371</v>
      </c>
      <c r="DR20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2" s="330">
        <v>45803</v>
      </c>
      <c r="DT202" s="330" t="e">
        <v>#N/A</v>
      </c>
      <c r="DU202" s="330">
        <v>45844</v>
      </c>
      <c r="DV202" s="330" t="e">
        <v>#N/A</v>
      </c>
      <c r="DW202" s="331">
        <v>45831</v>
      </c>
      <c r="DX202" s="316" t="s">
        <v>1513</v>
      </c>
      <c r="DY202" s="334"/>
      <c r="DZ202" s="334"/>
      <c r="EA20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02" s="331">
        <v>46039</v>
      </c>
      <c r="EC202" s="332"/>
      <c r="ED202" s="332"/>
      <c r="EE202" s="330" t="s">
        <v>1514</v>
      </c>
      <c r="EF202" s="35">
        <v>1</v>
      </c>
      <c r="EG202" s="337">
        <v>1</v>
      </c>
      <c r="EH202" s="316" t="str">
        <f>IF(Table1[[#This Row],[PO Material Aktual 
(%)]]&gt;=100%,"Selesai PO = 100%",IF(Table1[[#This Row],[PO Material Aktual 
(%)]]&gt;=50%,"Proses PO &gt; 100%",IF(Table1[[#This Row],[PO Material Aktual 
(%)]]&gt;0%,"Proses PO &gt; 50%",IF(Table1[[#This Row],[PO Material Aktual 
(%)]]=0,"Belum PO = 0%"))))</f>
        <v>Selesai PO = 100%</v>
      </c>
      <c r="EI20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2" s="330">
        <v>45845</v>
      </c>
      <c r="EK202" s="330" t="e">
        <v>#N/A</v>
      </c>
      <c r="EL202" s="330">
        <v>45900</v>
      </c>
      <c r="EM202" s="330" t="e">
        <v>#N/A</v>
      </c>
      <c r="EN202" s="331">
        <v>46091</v>
      </c>
      <c r="EO202" s="332"/>
      <c r="EP202" s="332"/>
      <c r="EQ202" s="87">
        <v>1</v>
      </c>
      <c r="ER202" s="87">
        <v>1</v>
      </c>
      <c r="ES202" s="316" t="str">
        <f>IF(Table1[[#This Row],[Progres MOS]]&gt;=100%,"Selesai MOS = 100%",IF(Table1[[#This Row],[Progres MOS]]&gt;=50%,"Proses MOS &gt; 100%",IF(Table1[[#This Row],[Progres MOS]]&gt;0%,"Proses MOS &gt; 50%",IF(Table1[[#This Row],[Progres MOS]]=0,"Belum MOS = 0%"))))</f>
        <v>Selesai MOS = 100%</v>
      </c>
      <c r="ET20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2" s="47"/>
      <c r="EV202" s="330">
        <v>45803</v>
      </c>
      <c r="EW202" s="330" t="e">
        <v>#N/A</v>
      </c>
      <c r="EX202" s="330">
        <v>45900</v>
      </c>
      <c r="EY202" s="330" t="e">
        <v>#N/A</v>
      </c>
      <c r="EZ202" s="352" t="s">
        <v>298</v>
      </c>
      <c r="FA202" s="336" t="s">
        <v>259</v>
      </c>
      <c r="FB202" s="330" t="s">
        <v>260</v>
      </c>
      <c r="FC202" s="330">
        <v>45840</v>
      </c>
      <c r="FD202" s="330" t="s">
        <v>260</v>
      </c>
      <c r="FE202" s="330">
        <v>45895</v>
      </c>
      <c r="FF202" s="330">
        <v>45919</v>
      </c>
      <c r="FG202" s="330" t="s">
        <v>260</v>
      </c>
      <c r="FH202" s="330" t="s">
        <v>260</v>
      </c>
      <c r="FI202" s="330">
        <v>46003</v>
      </c>
      <c r="FJ202" s="330" t="s">
        <v>260</v>
      </c>
      <c r="FK202" s="330">
        <v>46112</v>
      </c>
      <c r="FL202" s="336" t="s">
        <v>298</v>
      </c>
      <c r="FM202" s="352">
        <v>45840</v>
      </c>
      <c r="FN202" s="338">
        <f>IF(Table1[[#This Row],[Tanggal Pengajuan Dokumen]]="","",Table1[[#This Row],[PLAN PERMIT
start]]-Table1[[#This Row],[Tanggal Pengajuan Dokumen]])</f>
        <v>-37</v>
      </c>
      <c r="FO202" s="437">
        <v>46086</v>
      </c>
      <c r="FP202" s="316"/>
      <c r="FQ202" s="338"/>
      <c r="FR202" s="338"/>
      <c r="FS202" s="338" t="str">
        <f t="shared" si="11"/>
        <v>Sudah Terbit</v>
      </c>
      <c r="FT20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2" s="344">
        <f ca="1">IF(Table1[[#This Row],[Status Izin]]="Selesai",Table1[[#This Row],[PLAN PERMIT
finish]]-Table1[[#This Row],[Tanggal Terbit/ Target Izin Terbit]],ROUNDUP(Table1[[#This Row],[PLAN PERMIT
finish]]-NOW(),0))</f>
        <v>-186</v>
      </c>
      <c r="FV20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2" s="344"/>
      <c r="FX202" s="47"/>
      <c r="FY202" s="340"/>
      <c r="FZ202" s="341"/>
      <c r="GA20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2" s="330">
        <v>45874</v>
      </c>
      <c r="GC202" s="352">
        <v>45840</v>
      </c>
      <c r="GD20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2" s="330">
        <v>45881</v>
      </c>
      <c r="GF202" s="352" t="s">
        <v>1385</v>
      </c>
      <c r="GG20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2" s="330">
        <v>45887</v>
      </c>
      <c r="GI202" s="330">
        <v>45893</v>
      </c>
      <c r="GJ202" s="352">
        <v>45842</v>
      </c>
      <c r="GK20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2" s="330">
        <v>45901</v>
      </c>
      <c r="GM202" s="330" t="e">
        <v>#N/A</v>
      </c>
      <c r="GN202" s="330">
        <v>45914</v>
      </c>
      <c r="GO202" s="330" t="e">
        <v>#N/A</v>
      </c>
      <c r="GP202" s="316"/>
      <c r="GQ20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2" s="330" t="s">
        <v>261</v>
      </c>
      <c r="GS202" s="330" t="s">
        <v>261</v>
      </c>
      <c r="GT202" s="419">
        <v>45927</v>
      </c>
      <c r="GU202" s="344" t="str">
        <f>IF(Table1[[#This Row],[Hydro Tes Actual
(tanggal)]]&lt;&gt;"","Sudah","Belum")</f>
        <v>Sudah</v>
      </c>
      <c r="GV202" s="330" t="s">
        <v>261</v>
      </c>
      <c r="GW202" s="330" t="s">
        <v>261</v>
      </c>
      <c r="GX202" s="331">
        <v>45927</v>
      </c>
      <c r="GY202" s="344" t="str">
        <f>IF(Table1[[#This Row],[Interkoneksi Actual
(tanggal)]]&lt;&gt;"","Sudah","Belum")</f>
        <v>Sudah</v>
      </c>
      <c r="GZ202" s="330" t="s">
        <v>261</v>
      </c>
      <c r="HA202" s="330" t="s">
        <v>261</v>
      </c>
      <c r="HB202" s="331">
        <v>45927</v>
      </c>
      <c r="HC202" s="344" t="str">
        <f>IF(Table1[[#This Row],[Flushing Actual
(tanggal)]]&lt;&gt;"","Sudah","Belum")</f>
        <v>Sudah</v>
      </c>
      <c r="HD202" s="330">
        <v>45905</v>
      </c>
      <c r="HE202" s="330" t="e">
        <v>#N/A</v>
      </c>
      <c r="HF202" s="330">
        <v>45914</v>
      </c>
      <c r="HG202" s="331">
        <v>45927</v>
      </c>
      <c r="HH20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2" s="330" t="s">
        <v>261</v>
      </c>
      <c r="HJ202" s="330" t="s">
        <v>261</v>
      </c>
      <c r="HK202" s="331"/>
      <c r="HL202" s="316"/>
      <c r="HM202" s="330">
        <v>45919</v>
      </c>
      <c r="HN202" s="330">
        <v>45919</v>
      </c>
      <c r="HO202" s="330" t="e">
        <v>#N/A</v>
      </c>
      <c r="HP202" s="331">
        <v>45930</v>
      </c>
      <c r="HQ20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02" s="330">
        <v>45926</v>
      </c>
      <c r="HS202" s="330"/>
      <c r="HT202" s="330">
        <v>45926</v>
      </c>
      <c r="HU202" s="527"/>
      <c r="HV202" s="331">
        <v>45933</v>
      </c>
      <c r="HW20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02" s="47"/>
      <c r="HY202" s="352"/>
      <c r="HZ202" s="352"/>
      <c r="IB202" s="618">
        <f>IFERROR(ROUND((Table1[[#This Row],[PLAN TC
finish]]-Table1[[#This Row],[PLAN MC-0
start]])/30,2),"")</f>
        <v>0.9</v>
      </c>
      <c r="IC202">
        <f>DATEDIF(Table1[[#This Row],[PLAN MC-0
start]],Table1[[#This Row],[PLAN TC
finish]],"m")</f>
        <v>0</v>
      </c>
    </row>
    <row r="203" spans="1:237" s="4" customFormat="1" ht="15" hidden="1" customHeight="1" x14ac:dyDescent="0.2">
      <c r="B203" s="311">
        <f>SUBTOTAL(3,$D$5:D203)</f>
        <v>84</v>
      </c>
      <c r="C203" s="348">
        <v>199</v>
      </c>
      <c r="D203" s="315" t="s">
        <v>673</v>
      </c>
      <c r="E203" s="338" t="s">
        <v>1515</v>
      </c>
      <c r="F203" s="338" t="s">
        <v>1516</v>
      </c>
      <c r="G203" s="349">
        <v>45935</v>
      </c>
      <c r="H203" s="314" t="s">
        <v>247</v>
      </c>
      <c r="I203" s="338" t="s">
        <v>248</v>
      </c>
      <c r="J203" s="315" t="s">
        <v>943</v>
      </c>
      <c r="K203" s="338" t="s">
        <v>1517</v>
      </c>
      <c r="L203" s="316" t="s">
        <v>250</v>
      </c>
      <c r="M203" s="316" t="s">
        <v>251</v>
      </c>
      <c r="N203" s="107">
        <v>3460</v>
      </c>
      <c r="O203" s="131" t="s">
        <v>252</v>
      </c>
      <c r="P20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3" s="35" t="e">
        <v>#N/A</v>
      </c>
      <c r="S203" s="35">
        <v>1</v>
      </c>
      <c r="T203" s="35">
        <f>Table1[[#This Row],[Progres Total Aktual
(%)]]</f>
        <v>1</v>
      </c>
      <c r="U203" s="124">
        <f>Table1[[#This Row],[Progres Aktual
(%)]]-Table1[[#This Row],[Target Progres
(%)]]</f>
        <v>0</v>
      </c>
      <c r="V203" s="350">
        <f>Table1[[#This Row],["Volume
BA MC-0"]]</f>
        <v>3460</v>
      </c>
      <c r="W203" s="351">
        <f>Table1[[#This Row],[Total Panjang Pipa Aktual
(Sum-&gt;)3]]</f>
        <v>3738.5</v>
      </c>
      <c r="X203" s="47"/>
      <c r="Y203" s="67" t="s">
        <v>1518</v>
      </c>
      <c r="Z203" s="67">
        <v>257573804579</v>
      </c>
      <c r="AA203" s="67">
        <f>Table1[[#This Row],[Nilai RAB Jaringan
(file pa aji)]]</f>
        <v>257573804579</v>
      </c>
      <c r="AB203" s="320">
        <f>SUM(Table1[[#This Row],[RAB Kegiatan Umum]:[RAB Perizinan]])</f>
        <v>0</v>
      </c>
      <c r="AC203" s="320"/>
      <c r="AD203" s="320"/>
      <c r="AE203" s="320"/>
      <c r="AF203" s="320"/>
      <c r="AG203" s="436">
        <v>0</v>
      </c>
      <c r="AH203" s="35" t="e">
        <f>SUM(Table1[[#This Row],[Bobot Keg Umum]:[Bobot Perizinan]])</f>
        <v>#DIV/0!</v>
      </c>
      <c r="AI203" s="35" t="e">
        <f>Table1[[#This Row],[RAB Kegiatan Umum]]/Table1[[#This Row],[Nilai RAB Jaringan
(Exclude Ppn)]]</f>
        <v>#DIV/0!</v>
      </c>
      <c r="AJ203" s="35" t="e">
        <f>Table1[[#This Row],[RAB Pemasangan]]/Table1[[#This Row],[Nilai RAB Jaringan
(Exclude Ppn)]]</f>
        <v>#DIV/0!</v>
      </c>
      <c r="AK203" s="35" t="e">
        <f>Table1[[#This Row],[RAB Pengadaan]]/Table1[[#This Row],[Nilai RAB Jaringan
(Exclude Ppn)]]</f>
        <v>#DIV/0!</v>
      </c>
      <c r="AL203" s="35" t="e">
        <f>Table1[[#This Row],[RAB Perizinan]]/Table1[[#This Row],[Nilai RAB Jaringan
(Exclude Ppn)]]</f>
        <v>#DIV/0!</v>
      </c>
      <c r="AM203" s="47"/>
      <c r="AN203" s="285">
        <v>3460</v>
      </c>
      <c r="AO203" s="285">
        <f>SUM(Table1[[#This Row],[Pipa 63 mm]:[Pipa 1,800 mm]])</f>
        <v>0</v>
      </c>
      <c r="AP203" s="285"/>
      <c r="AQ203" s="285"/>
      <c r="AR203" s="285"/>
      <c r="AS203" s="285"/>
      <c r="AT203" s="285"/>
      <c r="AU203" s="285"/>
      <c r="AV203" s="285"/>
      <c r="AW203" s="285"/>
      <c r="AX203" s="285"/>
      <c r="AY203" s="285"/>
      <c r="AZ203" s="285"/>
      <c r="BA203" s="285"/>
      <c r="BB203" s="285"/>
      <c r="BC203" s="285"/>
      <c r="BD203" s="285"/>
      <c r="BE203" s="285"/>
      <c r="BF203" s="285"/>
      <c r="BG203" s="285"/>
      <c r="BH203" s="285"/>
      <c r="BI203" s="285"/>
      <c r="BJ203" s="446">
        <f>SUM(Table1[[#This Row],[Pipa 63 mm2]:[Pipa 1,800 mm21]])</f>
        <v>3738.5</v>
      </c>
      <c r="BK203" s="447"/>
      <c r="BL203" s="447"/>
      <c r="BM203" s="447"/>
      <c r="BN203" s="447"/>
      <c r="BO203" s="447"/>
      <c r="BP203" s="447"/>
      <c r="BQ203" s="447"/>
      <c r="BR203" s="447"/>
      <c r="BS203" s="447"/>
      <c r="BT203" s="447"/>
      <c r="BU203" s="447"/>
      <c r="BV203" s="447"/>
      <c r="BW203" s="447"/>
      <c r="BX203" s="447"/>
      <c r="BY203" s="447">
        <v>3738.5</v>
      </c>
      <c r="BZ203" s="447"/>
      <c r="CA203" s="447"/>
      <c r="CB203" s="447"/>
      <c r="CC203" s="447"/>
      <c r="CD203" s="447"/>
      <c r="CE203" s="32">
        <v>0</v>
      </c>
      <c r="CF203" s="32">
        <v>0</v>
      </c>
      <c r="CG203" s="32">
        <v>0</v>
      </c>
      <c r="CH203" s="32">
        <v>0</v>
      </c>
      <c r="CI203" s="32">
        <f t="shared" si="12"/>
        <v>0</v>
      </c>
      <c r="CJ203" s="65">
        <f>IF((Table1[[#This Row],["Volume
BA MC-0"]]-Table1[[#This Row],[Total Panjang Pipa Aktual
(Sum-&gt;)3]]-Table1[[#This Row],[Total Volume
tidak dapat dipasang]])&gt;=0,Table1[[#This Row],["Volume
BA MC-0"]]-Table1[[#This Row],[Total Panjang Pipa Aktual
(Sum-&gt;)3]]-Table1[[#This Row],[Total Volume
tidak dapat dipasang]],0)</f>
        <v>0</v>
      </c>
      <c r="CK203" s="47"/>
      <c r="CL203" s="131"/>
      <c r="CM203" s="35"/>
      <c r="CN203" s="131"/>
      <c r="CO203" s="131"/>
      <c r="CP20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3" s="66">
        <f>IFERROR(Table1[[#This Row],[Progres Keg. Umum
(%)]]*Table1[[#This Row],[Nilai RAB Jaringan
(file pa aji)]],0)</f>
        <v>0</v>
      </c>
      <c r="CR203" s="66">
        <f>IFERROR(Table1[[#This Row],[Progres MOS
(%)]]*Table1[[#This Row],[Nilai RAB Jaringan
(file pa aji)]],0)</f>
        <v>0</v>
      </c>
      <c r="CS203" s="66">
        <f>IFERROR(Table1[[#This Row],[Progres Pemasangan
(%)]]*Table1[[#This Row],[Nilai RAB Jaringan
(file pa aji)]],0)</f>
        <v>0</v>
      </c>
      <c r="CT203" s="66">
        <f>IFERROR(Table1[[#This Row],[Progres Perizinan
(%)]]*Table1[[#This Row],[Nilai RAB Jaringan
(file pa aji)]],0)</f>
        <v>0</v>
      </c>
      <c r="CU203" s="329">
        <v>211105238794</v>
      </c>
      <c r="CV203" s="329">
        <v>211105238794</v>
      </c>
      <c r="CW203" s="583">
        <v>211105238794</v>
      </c>
      <c r="CX203" s="329">
        <v>211105238794</v>
      </c>
      <c r="CY203" s="47"/>
      <c r="CZ203" s="330">
        <v>45656</v>
      </c>
      <c r="DA203" s="330">
        <v>45683</v>
      </c>
      <c r="DB203" s="331">
        <v>45573</v>
      </c>
      <c r="DC203" s="316" t="s">
        <v>1519</v>
      </c>
      <c r="DD203" s="67">
        <v>257573804578</v>
      </c>
      <c r="DE20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3" s="331">
        <v>45588</v>
      </c>
      <c r="DG203" s="316" t="s">
        <v>1520</v>
      </c>
      <c r="DH203" s="67">
        <v>257573804578</v>
      </c>
      <c r="DI20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3" s="330">
        <v>45684</v>
      </c>
      <c r="DK203" s="330">
        <v>45725</v>
      </c>
      <c r="DL203" s="331">
        <v>45773</v>
      </c>
      <c r="DM203" s="316" t="s">
        <v>1521</v>
      </c>
      <c r="DN20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3" s="331">
        <v>45810</v>
      </c>
      <c r="DP203" s="316" t="s">
        <v>1522</v>
      </c>
      <c r="DQ203" s="338" t="s">
        <v>910</v>
      </c>
      <c r="DR20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3" s="330">
        <v>45684</v>
      </c>
      <c r="DT203" s="330" t="e">
        <v>#N/A</v>
      </c>
      <c r="DU203" s="330">
        <v>45725</v>
      </c>
      <c r="DV203" s="330" t="e">
        <v>#N/A</v>
      </c>
      <c r="DW203" s="331">
        <v>45973</v>
      </c>
      <c r="DX203" s="316" t="s">
        <v>1523</v>
      </c>
      <c r="DY203" s="334"/>
      <c r="DZ203" s="334"/>
      <c r="EA20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3" s="331">
        <v>45985</v>
      </c>
      <c r="EC203" s="332"/>
      <c r="ED203" s="332"/>
      <c r="EE203" s="330" t="s">
        <v>1524</v>
      </c>
      <c r="EF203" s="35">
        <v>1</v>
      </c>
      <c r="EG203" s="337">
        <v>1</v>
      </c>
      <c r="EH203" s="316" t="str">
        <f>IF(Table1[[#This Row],[PO Material Aktual 
(%)]]&gt;=100%,"Selesai PO = 100%",IF(Table1[[#This Row],[PO Material Aktual 
(%)]]&gt;=50%,"Proses PO &gt; 100%",IF(Table1[[#This Row],[PO Material Aktual 
(%)]]&gt;0%,"Proses PO &gt; 50%",IF(Table1[[#This Row],[PO Material Aktual 
(%)]]=0,"Belum PO = 0%"))))</f>
        <v>Selesai PO = 100%</v>
      </c>
      <c r="EI20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3" s="330">
        <v>45726</v>
      </c>
      <c r="EK203" s="330" t="e">
        <v>#N/A</v>
      </c>
      <c r="EL203" s="330">
        <v>45816</v>
      </c>
      <c r="EM203" s="330" t="e">
        <v>#N/A</v>
      </c>
      <c r="EN203" s="331">
        <v>46078</v>
      </c>
      <c r="EO203" s="332"/>
      <c r="EP203" s="332"/>
      <c r="EQ203" s="87">
        <v>0.94771241830065356</v>
      </c>
      <c r="ER203" s="87">
        <v>0.94771241830065356</v>
      </c>
      <c r="ES203" s="316" t="str">
        <f>IF(Table1[[#This Row],[Progres MOS]]&gt;=100%,"Selesai MOS = 100%",IF(Table1[[#This Row],[Progres MOS]]&gt;=50%,"Proses MOS &gt; 100%",IF(Table1[[#This Row],[Progres MOS]]&gt;0%,"Proses MOS &gt; 50%",IF(Table1[[#This Row],[Progres MOS]]=0,"Belum MOS = 0%"))))</f>
        <v>Proses MOS &gt; 100%</v>
      </c>
      <c r="ET20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3" s="47"/>
      <c r="EV203" s="330">
        <v>45698</v>
      </c>
      <c r="EW203" s="330" t="e">
        <v>#N/A</v>
      </c>
      <c r="EX203" s="330">
        <v>45774</v>
      </c>
      <c r="EY203" s="330" t="e">
        <v>#N/A</v>
      </c>
      <c r="EZ203" s="352" t="s">
        <v>259</v>
      </c>
      <c r="FA203" s="336" t="s">
        <v>259</v>
      </c>
      <c r="FB203" s="330" t="s">
        <v>260</v>
      </c>
      <c r="FC203" s="330">
        <v>45716</v>
      </c>
      <c r="FD203" s="330" t="s">
        <v>260</v>
      </c>
      <c r="FE203" s="330">
        <v>45736</v>
      </c>
      <c r="FF203" s="330">
        <v>45764</v>
      </c>
      <c r="FG203" s="330" t="s">
        <v>260</v>
      </c>
      <c r="FH203" s="330" t="s">
        <v>260</v>
      </c>
      <c r="FI203" s="330">
        <v>45805</v>
      </c>
      <c r="FJ203" s="330" t="s">
        <v>260</v>
      </c>
      <c r="FK203" s="330">
        <v>45866</v>
      </c>
      <c r="FL203" s="336" t="s">
        <v>259</v>
      </c>
      <c r="FM203" s="352">
        <v>45716</v>
      </c>
      <c r="FN203" s="338">
        <f>IF(Table1[[#This Row],[Tanggal Pengajuan Dokumen]]="","",Table1[[#This Row],[PLAN PERMIT
start]]-Table1[[#This Row],[Tanggal Pengajuan Dokumen]])</f>
        <v>-18</v>
      </c>
      <c r="FO203" s="437">
        <v>45866</v>
      </c>
      <c r="FP203" s="316" t="s">
        <v>175</v>
      </c>
      <c r="FQ203" s="448"/>
      <c r="FR203" s="448" t="s">
        <v>175</v>
      </c>
      <c r="FS203" s="338" t="str">
        <f t="shared" si="11"/>
        <v>On Going</v>
      </c>
      <c r="FT20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3" s="344">
        <f ca="1">IF(Table1[[#This Row],[Status Izin]]="Selesai",Table1[[#This Row],[PLAN PERMIT
finish]]-Table1[[#This Row],[Tanggal Terbit/ Target Izin Terbit]],ROUNDUP(Table1[[#This Row],[PLAN PERMIT
finish]]-NOW(),0))</f>
        <v>-417</v>
      </c>
      <c r="FV20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3" s="344"/>
      <c r="FX203" s="47"/>
      <c r="FY203" s="340"/>
      <c r="FZ203" s="341"/>
      <c r="GA20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3" s="330">
        <v>45739</v>
      </c>
      <c r="GC203" s="352">
        <v>45817</v>
      </c>
      <c r="GD20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3" s="330">
        <v>45732</v>
      </c>
      <c r="GF203" s="352">
        <v>45821</v>
      </c>
      <c r="GG20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3" s="330">
        <v>45726</v>
      </c>
      <c r="GI203" s="330">
        <v>45732</v>
      </c>
      <c r="GJ203" s="352">
        <v>45831</v>
      </c>
      <c r="GK20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3" s="330">
        <v>45775</v>
      </c>
      <c r="GM203" s="330" t="e">
        <v>#N/A</v>
      </c>
      <c r="GN203" s="330">
        <v>45907</v>
      </c>
      <c r="GO203" s="330" t="e">
        <v>#N/A</v>
      </c>
      <c r="GP203" s="316"/>
      <c r="GQ20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3" s="330" t="s">
        <v>261</v>
      </c>
      <c r="GS203" s="421" t="s">
        <v>261</v>
      </c>
      <c r="GT203" s="449" t="s">
        <v>1525</v>
      </c>
      <c r="GU203" s="423" t="str">
        <f>IF(Table1[[#This Row],[Hydro Tes Actual
(tanggal)]]&lt;&gt;"","Sudah","Belum")</f>
        <v>Sudah</v>
      </c>
      <c r="GV203" s="330" t="s">
        <v>261</v>
      </c>
      <c r="GW203" s="330" t="s">
        <v>261</v>
      </c>
      <c r="GX203" s="331"/>
      <c r="GY203" s="344" t="str">
        <f>IF(Table1[[#This Row],[Interkoneksi Actual
(tanggal)]]&lt;&gt;"","Sudah","Belum")</f>
        <v>Belum</v>
      </c>
      <c r="GZ203" s="330" t="s">
        <v>261</v>
      </c>
      <c r="HA203" s="330" t="s">
        <v>261</v>
      </c>
      <c r="HB203" s="331"/>
      <c r="HC203" s="344" t="str">
        <f>IF(Table1[[#This Row],[Flushing Actual
(tanggal)]]&lt;&gt;"","Sudah","Belum")</f>
        <v>Belum</v>
      </c>
      <c r="HD203" s="330">
        <v>45880</v>
      </c>
      <c r="HE203" s="330" t="e">
        <v>#N/A</v>
      </c>
      <c r="HF203" s="330">
        <v>45900</v>
      </c>
      <c r="HG203" s="352">
        <v>46119</v>
      </c>
      <c r="HH20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3" s="330" t="s">
        <v>261</v>
      </c>
      <c r="HJ203" s="330" t="s">
        <v>261</v>
      </c>
      <c r="HK203" s="331"/>
      <c r="HL203" s="316"/>
      <c r="HM203" s="330">
        <v>45919</v>
      </c>
      <c r="HN203" s="330">
        <v>45919</v>
      </c>
      <c r="HO203" s="421" t="e">
        <v>#N/A</v>
      </c>
      <c r="HP203" s="331">
        <v>46122</v>
      </c>
      <c r="HQ20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03" s="330">
        <v>45926</v>
      </c>
      <c r="HS203" s="330"/>
      <c r="HT203" s="330">
        <v>45926</v>
      </c>
      <c r="HU203" s="330"/>
      <c r="HV203" s="331">
        <v>46129</v>
      </c>
      <c r="HW20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03" s="47"/>
      <c r="HY203" s="352"/>
      <c r="HZ203" s="352"/>
      <c r="IB203" s="618">
        <f>IFERROR(ROUND((Table1[[#This Row],[PLAN TC
finish]]-Table1[[#This Row],[PLAN MC-0
start]])/30,2),"")</f>
        <v>5.8</v>
      </c>
      <c r="IC203">
        <f>DATEDIF(Table1[[#This Row],[PLAN MC-0
start]],Table1[[#This Row],[PLAN TC
finish]],"m")</f>
        <v>5</v>
      </c>
    </row>
    <row r="204" spans="1:237" s="4" customFormat="1" ht="15" hidden="1" customHeight="1" x14ac:dyDescent="0.2">
      <c r="B204" s="311">
        <f>SUBTOTAL(3,$D$5:D204)</f>
        <v>84</v>
      </c>
      <c r="C204" s="348">
        <v>200</v>
      </c>
      <c r="D204" s="315" t="s">
        <v>673</v>
      </c>
      <c r="E204" s="338" t="s">
        <v>1526</v>
      </c>
      <c r="F204" s="338" t="s">
        <v>1527</v>
      </c>
      <c r="G204" s="349">
        <v>45935</v>
      </c>
      <c r="H204" s="314" t="s">
        <v>247</v>
      </c>
      <c r="I204" s="338" t="s">
        <v>248</v>
      </c>
      <c r="J204" s="315" t="s">
        <v>943</v>
      </c>
      <c r="K204" s="338" t="s">
        <v>1517</v>
      </c>
      <c r="L204" s="316" t="s">
        <v>250</v>
      </c>
      <c r="M204" s="316" t="s">
        <v>251</v>
      </c>
      <c r="N204" s="107">
        <v>2000</v>
      </c>
      <c r="O204" s="131" t="s">
        <v>252</v>
      </c>
      <c r="P20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4" s="35" t="e">
        <v>#N/A</v>
      </c>
      <c r="S204" s="35">
        <v>1</v>
      </c>
      <c r="T204" s="35">
        <f>Table1[[#This Row],[Progres Total Aktual
(%)]]</f>
        <v>0.85293851210947458</v>
      </c>
      <c r="U204" s="124">
        <f>Table1[[#This Row],[Progres Aktual
(%)]]-Table1[[#This Row],[Target Progres
(%)]]</f>
        <v>-0.14706148789052542</v>
      </c>
      <c r="V204" s="350">
        <f>Table1[[#This Row],["Volume
BA MC-0"]]</f>
        <v>2000</v>
      </c>
      <c r="W204" s="351">
        <f>Table1[[#This Row],[Total Panjang Pipa Aktual
(Sum-&gt;)3]]</f>
        <v>1823.9</v>
      </c>
      <c r="X204" s="47"/>
      <c r="Y204" s="67" t="s">
        <v>1528</v>
      </c>
      <c r="Z204" s="67">
        <v>108549343103</v>
      </c>
      <c r="AA204" s="67">
        <f>Table1[[#This Row],[Nilai RAB Jaringan
(file pa aji)]]</f>
        <v>108549343103</v>
      </c>
      <c r="AB204" s="320">
        <f>SUM(Table1[[#This Row],[RAB Kegiatan Umum]:[RAB Perizinan]])</f>
        <v>0</v>
      </c>
      <c r="AC204" s="320"/>
      <c r="AD204" s="320"/>
      <c r="AE204" s="320"/>
      <c r="AF204" s="320"/>
      <c r="AG204" s="436">
        <v>0</v>
      </c>
      <c r="AH204" s="35" t="e">
        <f>SUM(Table1[[#This Row],[Bobot Keg Umum]:[Bobot Perizinan]])</f>
        <v>#DIV/0!</v>
      </c>
      <c r="AI204" s="35" t="e">
        <f>Table1[[#This Row],[RAB Kegiatan Umum]]/Table1[[#This Row],[Nilai RAB Jaringan
(Exclude Ppn)]]</f>
        <v>#DIV/0!</v>
      </c>
      <c r="AJ204" s="35" t="e">
        <f>Table1[[#This Row],[RAB Pemasangan]]/Table1[[#This Row],[Nilai RAB Jaringan
(Exclude Ppn)]]</f>
        <v>#DIV/0!</v>
      </c>
      <c r="AK204" s="35" t="e">
        <f>Table1[[#This Row],[RAB Pengadaan]]/Table1[[#This Row],[Nilai RAB Jaringan
(Exclude Ppn)]]</f>
        <v>#DIV/0!</v>
      </c>
      <c r="AL204" s="35" t="e">
        <f>Table1[[#This Row],[RAB Perizinan]]/Table1[[#This Row],[Nilai RAB Jaringan
(Exclude Ppn)]]</f>
        <v>#DIV/0!</v>
      </c>
      <c r="AM204" s="47"/>
      <c r="AN204" s="285">
        <v>2000</v>
      </c>
      <c r="AO204" s="285">
        <f>SUM(Table1[[#This Row],[Pipa 63 mm]:[Pipa 1,800 mm]])</f>
        <v>0</v>
      </c>
      <c r="AP204" s="285"/>
      <c r="AQ204" s="285"/>
      <c r="AR204" s="285"/>
      <c r="AS204" s="285"/>
      <c r="AT204" s="285"/>
      <c r="AU204" s="285"/>
      <c r="AV204" s="285"/>
      <c r="AW204" s="285"/>
      <c r="AX204" s="285"/>
      <c r="AY204" s="285"/>
      <c r="AZ204" s="285"/>
      <c r="BA204" s="285"/>
      <c r="BB204" s="285"/>
      <c r="BC204" s="285"/>
      <c r="BD204" s="285"/>
      <c r="BE204" s="285"/>
      <c r="BF204" s="285"/>
      <c r="BG204" s="285"/>
      <c r="BH204" s="285"/>
      <c r="BI204" s="285"/>
      <c r="BJ204" s="446">
        <f>SUM(Table1[[#This Row],[Pipa 63 mm2]:[Pipa 1,800 mm21]])</f>
        <v>1823.9</v>
      </c>
      <c r="BK204" s="32"/>
      <c r="BL204" s="32"/>
      <c r="BM204" s="32"/>
      <c r="BN204" s="32"/>
      <c r="BO204" s="32"/>
      <c r="BP204" s="32"/>
      <c r="BQ204" s="32"/>
      <c r="BR204" s="32"/>
      <c r="BS204" s="32"/>
      <c r="BT204" s="32"/>
      <c r="BU204" s="32"/>
      <c r="BV204" s="32"/>
      <c r="BW204" s="32">
        <v>1823.9</v>
      </c>
      <c r="BX204" s="32"/>
      <c r="BY204" s="32"/>
      <c r="BZ204" s="32"/>
      <c r="CA204" s="32"/>
      <c r="CB204" s="32"/>
      <c r="CC204" s="32"/>
      <c r="CD204" s="32"/>
      <c r="CE204" s="32">
        <v>0</v>
      </c>
      <c r="CF204" s="32">
        <v>0</v>
      </c>
      <c r="CG204" s="32">
        <v>0</v>
      </c>
      <c r="CH204" s="32">
        <v>0</v>
      </c>
      <c r="CI204" s="32">
        <f t="shared" si="12"/>
        <v>0</v>
      </c>
      <c r="CJ204" s="65">
        <f>IF((Table1[[#This Row],["Volume
BA MC-0"]]-Table1[[#This Row],[Total Panjang Pipa Aktual
(Sum-&gt;)3]]-Table1[[#This Row],[Total Volume
tidak dapat dipasang]])&gt;=0,Table1[[#This Row],["Volume
BA MC-0"]]-Table1[[#This Row],[Total Panjang Pipa Aktual
(Sum-&gt;)3]]-Table1[[#This Row],[Total Volume
tidak dapat dipasang]],0)</f>
        <v>176.09999999999991</v>
      </c>
      <c r="CK204" s="47"/>
      <c r="CL204" s="131"/>
      <c r="CM204" s="35"/>
      <c r="CN204" s="131"/>
      <c r="CO204" s="131"/>
      <c r="CP20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0.85293851210947458</v>
      </c>
      <c r="CQ204" s="66">
        <f>IFERROR(Table1[[#This Row],[Progres Keg. Umum
(%)]]*Table1[[#This Row],[Nilai RAB Jaringan
(file pa aji)]],0)</f>
        <v>0</v>
      </c>
      <c r="CR204" s="66">
        <f>IFERROR(Table1[[#This Row],[Progres MOS
(%)]]*Table1[[#This Row],[Nilai RAB Jaringan
(file pa aji)]],0)</f>
        <v>0</v>
      </c>
      <c r="CS204" s="66">
        <f>IFERROR(Table1[[#This Row],[Progres Pemasangan
(%)]]*Table1[[#This Row],[Nilai RAB Jaringan
(file pa aji)]],0)</f>
        <v>0</v>
      </c>
      <c r="CT204" s="66">
        <f>IFERROR(Table1[[#This Row],[Progres Perizinan
(%)]]*Table1[[#This Row],[Nilai RAB Jaringan
(file pa aji)]],0)</f>
        <v>0</v>
      </c>
      <c r="CU204" s="329">
        <v>92585915196.733673</v>
      </c>
      <c r="CV204" s="329">
        <v>92585915196.733673</v>
      </c>
      <c r="CW204" s="583">
        <v>0</v>
      </c>
      <c r="CX204" s="329">
        <v>0</v>
      </c>
      <c r="CY204" s="47"/>
      <c r="CZ204" s="330">
        <v>45656</v>
      </c>
      <c r="DA204" s="330">
        <v>45683</v>
      </c>
      <c r="DB204" s="331">
        <v>45573</v>
      </c>
      <c r="DC204" s="316" t="s">
        <v>1529</v>
      </c>
      <c r="DD204" s="67">
        <v>108549343104</v>
      </c>
      <c r="DE20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4" s="331">
        <v>45798</v>
      </c>
      <c r="DG204" s="316" t="s">
        <v>1530</v>
      </c>
      <c r="DH204" s="67">
        <v>108549343104</v>
      </c>
      <c r="DI20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04" s="330">
        <v>45684</v>
      </c>
      <c r="DK204" s="330">
        <v>45725</v>
      </c>
      <c r="DL204" s="331">
        <v>46029</v>
      </c>
      <c r="DM204" s="316" t="s">
        <v>1531</v>
      </c>
      <c r="DN20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4" s="331">
        <v>46071</v>
      </c>
      <c r="DP204" s="316" t="s">
        <v>1532</v>
      </c>
      <c r="DQ204" s="338" t="s">
        <v>910</v>
      </c>
      <c r="DR20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4" s="330">
        <v>45684</v>
      </c>
      <c r="DT204" s="330" t="e">
        <v>#N/A</v>
      </c>
      <c r="DU204" s="330">
        <v>45725</v>
      </c>
      <c r="DV204" s="330" t="e">
        <v>#N/A</v>
      </c>
      <c r="DW204" s="331">
        <v>46022</v>
      </c>
      <c r="DX204" s="316" t="s">
        <v>1533</v>
      </c>
      <c r="DY204" s="334"/>
      <c r="DZ204" s="334"/>
      <c r="EA20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4" s="331">
        <v>46049</v>
      </c>
      <c r="EC204" s="332"/>
      <c r="ED204" s="332"/>
      <c r="EE204" s="330" t="s">
        <v>1534</v>
      </c>
      <c r="EF204" s="35">
        <v>1</v>
      </c>
      <c r="EG204" s="337">
        <v>1</v>
      </c>
      <c r="EH204" s="316" t="str">
        <f>IF(Table1[[#This Row],[PO Material Aktual 
(%)]]&gt;=100%,"Selesai PO = 100%",IF(Table1[[#This Row],[PO Material Aktual 
(%)]]&gt;=50%,"Proses PO &gt; 100%",IF(Table1[[#This Row],[PO Material Aktual 
(%)]]&gt;0%,"Proses PO &gt; 50%",IF(Table1[[#This Row],[PO Material Aktual 
(%)]]=0,"Belum PO = 0%"))))</f>
        <v>Selesai PO = 100%</v>
      </c>
      <c r="EI20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4" s="330">
        <v>45726</v>
      </c>
      <c r="EK204" s="330" t="e">
        <v>#N/A</v>
      </c>
      <c r="EL204" s="330">
        <v>45816</v>
      </c>
      <c r="EM204" s="330" t="e">
        <v>#N/A</v>
      </c>
      <c r="EN204" s="331"/>
      <c r="EO204" s="332"/>
      <c r="EP204" s="332"/>
      <c r="EQ204" s="87">
        <v>0.74117647058823533</v>
      </c>
      <c r="ER204" s="87">
        <v>0.74117647058823533</v>
      </c>
      <c r="ES204" s="316" t="str">
        <f>IF(Table1[[#This Row],[Progres MOS]]&gt;=100%,"Selesai MOS = 100%",IF(Table1[[#This Row],[Progres MOS]]&gt;=50%,"Proses MOS &gt; 100%",IF(Table1[[#This Row],[Progres MOS]]&gt;0%,"Proses MOS &gt; 50%",IF(Table1[[#This Row],[Progres MOS]]=0,"Belum MOS = 0%"))))</f>
        <v>Proses MOS &gt; 100%</v>
      </c>
      <c r="ET20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4" s="47"/>
      <c r="EV204" s="330">
        <v>45698</v>
      </c>
      <c r="EW204" s="330" t="e">
        <v>#N/A</v>
      </c>
      <c r="EX204" s="330">
        <v>45774</v>
      </c>
      <c r="EY204" s="330" t="e">
        <v>#N/A</v>
      </c>
      <c r="EZ204" s="352" t="s">
        <v>259</v>
      </c>
      <c r="FA204" s="336" t="s">
        <v>259</v>
      </c>
      <c r="FB204" s="330" t="s">
        <v>260</v>
      </c>
      <c r="FC204" s="330">
        <v>45721</v>
      </c>
      <c r="FD204" s="330" t="s">
        <v>260</v>
      </c>
      <c r="FE204" s="330">
        <v>45741</v>
      </c>
      <c r="FF204" s="330">
        <v>45764</v>
      </c>
      <c r="FG204" s="330" t="s">
        <v>260</v>
      </c>
      <c r="FH204" s="330" t="s">
        <v>260</v>
      </c>
      <c r="FI204" s="330">
        <v>45805</v>
      </c>
      <c r="FJ204" s="330" t="s">
        <v>260</v>
      </c>
      <c r="FK204" s="330">
        <v>45866</v>
      </c>
      <c r="FL204" s="336" t="s">
        <v>259</v>
      </c>
      <c r="FM204" s="352">
        <v>45721</v>
      </c>
      <c r="FN204" s="338">
        <f>IF(Table1[[#This Row],[Tanggal Pengajuan Dokumen]]="","",Table1[[#This Row],[PLAN PERMIT
start]]-Table1[[#This Row],[Tanggal Pengajuan Dokumen]])</f>
        <v>-23</v>
      </c>
      <c r="FO204" s="437">
        <v>45866</v>
      </c>
      <c r="FP204" s="316" t="s">
        <v>173</v>
      </c>
      <c r="FQ204" s="338"/>
      <c r="FR204" s="338"/>
      <c r="FS204" s="338" t="str">
        <f t="shared" si="11"/>
        <v>On Going</v>
      </c>
      <c r="FT20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4" s="344">
        <f ca="1">IF(Table1[[#This Row],[Status Izin]]="Selesai",Table1[[#This Row],[PLAN PERMIT
finish]]-Table1[[#This Row],[Tanggal Terbit/ Target Izin Terbit]],ROUNDUP(Table1[[#This Row],[PLAN PERMIT
finish]]-NOW(),0))</f>
        <v>-417</v>
      </c>
      <c r="FV20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4" s="344"/>
      <c r="FX204" s="47"/>
      <c r="FY204" s="340"/>
      <c r="FZ204" s="341"/>
      <c r="GA20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4" s="330">
        <v>45739</v>
      </c>
      <c r="GC204" s="352">
        <v>45840</v>
      </c>
      <c r="GD20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4" s="330">
        <v>45732</v>
      </c>
      <c r="GF204" s="352">
        <v>45842</v>
      </c>
      <c r="GG20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4" s="330">
        <v>45726</v>
      </c>
      <c r="GI204" s="330">
        <v>45732</v>
      </c>
      <c r="GJ204" s="352">
        <v>45845</v>
      </c>
      <c r="GK20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4" s="330">
        <v>45775</v>
      </c>
      <c r="GM204" s="330" t="e">
        <v>#N/A</v>
      </c>
      <c r="GN204" s="330">
        <v>45907</v>
      </c>
      <c r="GO204" s="330" t="e">
        <v>#N/A</v>
      </c>
      <c r="GP204" s="316"/>
      <c r="GQ20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4" s="330" t="s">
        <v>261</v>
      </c>
      <c r="GS204" s="421" t="s">
        <v>261</v>
      </c>
      <c r="GT204" s="354"/>
      <c r="GU204" s="423" t="str">
        <f>IF(Table1[[#This Row],[Hydro Tes Actual
(tanggal)]]&lt;&gt;"","Sudah","Belum")</f>
        <v>Belum</v>
      </c>
      <c r="GV204" s="330" t="s">
        <v>261</v>
      </c>
      <c r="GW204" s="330" t="s">
        <v>261</v>
      </c>
      <c r="GX204" s="331"/>
      <c r="GY204" s="344" t="str">
        <f>IF(Table1[[#This Row],[Interkoneksi Actual
(tanggal)]]&lt;&gt;"","Sudah","Belum")</f>
        <v>Belum</v>
      </c>
      <c r="GZ204" s="330" t="s">
        <v>261</v>
      </c>
      <c r="HA204" s="330" t="s">
        <v>261</v>
      </c>
      <c r="HB204" s="331"/>
      <c r="HC204" s="344" t="str">
        <f>IF(Table1[[#This Row],[Flushing Actual
(tanggal)]]&lt;&gt;"","Sudah","Belum")</f>
        <v>Belum</v>
      </c>
      <c r="HD204" s="330">
        <v>45880</v>
      </c>
      <c r="HE204" s="330" t="e">
        <v>#N/A</v>
      </c>
      <c r="HF204" s="330">
        <v>45900</v>
      </c>
      <c r="HG204" s="352"/>
      <c r="HH20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4" s="330" t="s">
        <v>261</v>
      </c>
      <c r="HJ204" s="330" t="s">
        <v>261</v>
      </c>
      <c r="HK204" s="331"/>
      <c r="HL204" s="316"/>
      <c r="HM204" s="330">
        <v>45919</v>
      </c>
      <c r="HN204" s="330">
        <v>45919</v>
      </c>
      <c r="HO204" s="421" t="e">
        <v>#N/A</v>
      </c>
      <c r="HP204" s="331"/>
      <c r="HQ20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04" s="330">
        <v>45926</v>
      </c>
      <c r="HS204" s="330"/>
      <c r="HT204" s="330">
        <v>45926</v>
      </c>
      <c r="HU204" s="330"/>
      <c r="HV204" s="331"/>
      <c r="HW20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04" s="47"/>
      <c r="HY204" s="352"/>
      <c r="HZ204" s="352"/>
      <c r="IB204" s="618">
        <f>IFERROR(ROUND((Table1[[#This Row],[PLAN TC
finish]]-Table1[[#This Row],[PLAN MC-0
start]])/30,2),"")</f>
        <v>5.8</v>
      </c>
      <c r="IC204">
        <f>DATEDIF(Table1[[#This Row],[PLAN MC-0
start]],Table1[[#This Row],[PLAN TC
finish]],"m")</f>
        <v>5</v>
      </c>
    </row>
    <row r="205" spans="1:237" s="4" customFormat="1" ht="15" hidden="1" customHeight="1" x14ac:dyDescent="0.2">
      <c r="B205" s="311">
        <f>SUBTOTAL(3,$D$5:D205)</f>
        <v>84</v>
      </c>
      <c r="C205" s="348">
        <v>201</v>
      </c>
      <c r="D205" s="315" t="s">
        <v>673</v>
      </c>
      <c r="E205" s="338" t="s">
        <v>1535</v>
      </c>
      <c r="F205" s="338" t="s">
        <v>1536</v>
      </c>
      <c r="G205" s="349">
        <v>45935</v>
      </c>
      <c r="H205" s="314" t="s">
        <v>247</v>
      </c>
      <c r="I205" s="338" t="s">
        <v>248</v>
      </c>
      <c r="J205" s="315" t="s">
        <v>882</v>
      </c>
      <c r="K205" s="338" t="s">
        <v>1517</v>
      </c>
      <c r="L205" s="316" t="s">
        <v>250</v>
      </c>
      <c r="M205" s="316" t="s">
        <v>251</v>
      </c>
      <c r="N205" s="107">
        <v>764</v>
      </c>
      <c r="O205" s="131" t="s">
        <v>252</v>
      </c>
      <c r="P20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5" s="35" t="e">
        <v>#N/A</v>
      </c>
      <c r="S205" s="35">
        <v>1</v>
      </c>
      <c r="T205" s="35">
        <f>Table1[[#This Row],[Progres Total Aktual
(%)]]</f>
        <v>1</v>
      </c>
      <c r="U205" s="124">
        <f>Table1[[#This Row],[Progres Aktual
(%)]]-Table1[[#This Row],[Target Progres
(%)]]</f>
        <v>0</v>
      </c>
      <c r="V205" s="350">
        <f>Table1[[#This Row],["Volume
BA MC-0"]]</f>
        <v>764</v>
      </c>
      <c r="W205" s="351">
        <f>Table1[[#This Row],[Total Panjang Pipa Aktual
(Sum-&gt;)3]]</f>
        <v>780</v>
      </c>
      <c r="X205" s="47"/>
      <c r="Y205" s="67" t="s">
        <v>1537</v>
      </c>
      <c r="Z205" s="67">
        <v>3542527649</v>
      </c>
      <c r="AA205" s="67">
        <f>Table1[[#This Row],[Nilai RAB Jaringan
(file pa aji)]]</f>
        <v>3542527649</v>
      </c>
      <c r="AB205" s="320">
        <f>SUM(Table1[[#This Row],[RAB Kegiatan Umum]:[RAB Perizinan]])</f>
        <v>0</v>
      </c>
      <c r="AC205" s="320"/>
      <c r="AD205" s="320"/>
      <c r="AE205" s="320"/>
      <c r="AF205" s="320"/>
      <c r="AG205" s="436">
        <v>0</v>
      </c>
      <c r="AH205" s="35" t="e">
        <f>SUM(Table1[[#This Row],[Bobot Keg Umum]:[Bobot Perizinan]])</f>
        <v>#DIV/0!</v>
      </c>
      <c r="AI205" s="35" t="e">
        <f>Table1[[#This Row],[RAB Kegiatan Umum]]/Table1[[#This Row],[Nilai RAB Jaringan
(Exclude Ppn)]]</f>
        <v>#DIV/0!</v>
      </c>
      <c r="AJ205" s="35" t="e">
        <f>Table1[[#This Row],[RAB Pemasangan]]/Table1[[#This Row],[Nilai RAB Jaringan
(Exclude Ppn)]]</f>
        <v>#DIV/0!</v>
      </c>
      <c r="AK205" s="35" t="e">
        <f>Table1[[#This Row],[RAB Pengadaan]]/Table1[[#This Row],[Nilai RAB Jaringan
(Exclude Ppn)]]</f>
        <v>#DIV/0!</v>
      </c>
      <c r="AL205" s="35" t="e">
        <f>Table1[[#This Row],[RAB Perizinan]]/Table1[[#This Row],[Nilai RAB Jaringan
(Exclude Ppn)]]</f>
        <v>#DIV/0!</v>
      </c>
      <c r="AM205" s="47"/>
      <c r="AN205" s="285">
        <v>764</v>
      </c>
      <c r="AO205" s="285">
        <f>SUM(Table1[[#This Row],[Pipa 63 mm]:[Pipa 1,800 mm]])</f>
        <v>0</v>
      </c>
      <c r="AP205" s="285"/>
      <c r="AQ205" s="285"/>
      <c r="AR205" s="285"/>
      <c r="AS205" s="285"/>
      <c r="AT205" s="285"/>
      <c r="AU205" s="285"/>
      <c r="AV205" s="285"/>
      <c r="AW205" s="285"/>
      <c r="AX205" s="285"/>
      <c r="AY205" s="285"/>
      <c r="AZ205" s="285"/>
      <c r="BA205" s="285"/>
      <c r="BB205" s="285"/>
      <c r="BC205" s="285"/>
      <c r="BD205" s="285"/>
      <c r="BE205" s="285"/>
      <c r="BF205" s="285"/>
      <c r="BG205" s="285"/>
      <c r="BH205" s="285"/>
      <c r="BI205" s="285"/>
      <c r="BJ205" s="446">
        <f>SUM(Table1[[#This Row],[Pipa 63 mm2]:[Pipa 1,800 mm21]])</f>
        <v>780</v>
      </c>
      <c r="BK205" s="32"/>
      <c r="BL205" s="32"/>
      <c r="BM205" s="32"/>
      <c r="BN205" s="32"/>
      <c r="BO205" s="32"/>
      <c r="BP205" s="32"/>
      <c r="BQ205" s="32">
        <v>780</v>
      </c>
      <c r="BR205" s="32"/>
      <c r="BS205" s="32"/>
      <c r="BT205" s="32"/>
      <c r="BU205" s="32"/>
      <c r="BV205" s="32"/>
      <c r="BW205" s="32"/>
      <c r="BX205" s="32"/>
      <c r="BY205" s="32"/>
      <c r="BZ205" s="32"/>
      <c r="CA205" s="32"/>
      <c r="CB205" s="32"/>
      <c r="CC205" s="32"/>
      <c r="CD205" s="32"/>
      <c r="CE205" s="32">
        <v>0</v>
      </c>
      <c r="CF205" s="32">
        <v>0</v>
      </c>
      <c r="CG205" s="32">
        <v>0</v>
      </c>
      <c r="CH205" s="32">
        <v>0</v>
      </c>
      <c r="CI205" s="32">
        <f t="shared" si="12"/>
        <v>0</v>
      </c>
      <c r="CJ205" s="65">
        <f>IF((Table1[[#This Row],["Volume
BA MC-0"]]-Table1[[#This Row],[Total Panjang Pipa Aktual
(Sum-&gt;)3]]-Table1[[#This Row],[Total Volume
tidak dapat dipasang]])&gt;=0,Table1[[#This Row],["Volume
BA MC-0"]]-Table1[[#This Row],[Total Panjang Pipa Aktual
(Sum-&gt;)3]]-Table1[[#This Row],[Total Volume
tidak dapat dipasang]],0)</f>
        <v>0</v>
      </c>
      <c r="CK205" s="47"/>
      <c r="CL205" s="131"/>
      <c r="CM205" s="35"/>
      <c r="CN205" s="131"/>
      <c r="CO205" s="131"/>
      <c r="CP20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5" s="66">
        <f>IFERROR(Table1[[#This Row],[Progres Keg. Umum
(%)]]*Table1[[#This Row],[Nilai RAB Jaringan
(file pa aji)]],0)</f>
        <v>0</v>
      </c>
      <c r="CR205" s="66">
        <f>IFERROR(Table1[[#This Row],[Progres MOS
(%)]]*Table1[[#This Row],[Nilai RAB Jaringan
(file pa aji)]],0)</f>
        <v>0</v>
      </c>
      <c r="CS205" s="66">
        <f>IFERROR(Table1[[#This Row],[Progres Pemasangan
(%)]]*Table1[[#This Row],[Nilai RAB Jaringan
(file pa aji)]],0)</f>
        <v>0</v>
      </c>
      <c r="CT205" s="66">
        <f>IFERROR(Table1[[#This Row],[Progres Perizinan
(%)]]*Table1[[#This Row],[Nilai RAB Jaringan
(file pa aji)]],0)</f>
        <v>0</v>
      </c>
      <c r="CU205" s="329">
        <v>3503528123</v>
      </c>
      <c r="CV205" s="329">
        <v>3503528123</v>
      </c>
      <c r="CW205" s="583">
        <v>3503528123</v>
      </c>
      <c r="CX205" s="329">
        <v>3503528123</v>
      </c>
      <c r="CY205" s="47"/>
      <c r="CZ205" s="330">
        <v>45656</v>
      </c>
      <c r="DA205" s="330">
        <v>45683</v>
      </c>
      <c r="DB205" s="331">
        <v>45573</v>
      </c>
      <c r="DC205" s="316" t="s">
        <v>1538</v>
      </c>
      <c r="DD205" s="67">
        <v>3542527648</v>
      </c>
      <c r="DE20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5" s="331">
        <v>45586</v>
      </c>
      <c r="DG205" s="316" t="s">
        <v>1539</v>
      </c>
      <c r="DH205" s="67">
        <v>3542527648</v>
      </c>
      <c r="DI20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5" s="330">
        <v>45684</v>
      </c>
      <c r="DK205" s="330">
        <v>45725</v>
      </c>
      <c r="DL205" s="331">
        <v>45772</v>
      </c>
      <c r="DM205" s="316" t="s">
        <v>1540</v>
      </c>
      <c r="DN20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5" s="331">
        <v>46010</v>
      </c>
      <c r="DP205" s="316" t="s">
        <v>1541</v>
      </c>
      <c r="DQ205" s="338" t="s">
        <v>1542</v>
      </c>
      <c r="DR20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5" s="330">
        <v>45684</v>
      </c>
      <c r="DT205" s="330" t="e">
        <v>#N/A</v>
      </c>
      <c r="DU205" s="330">
        <v>45725</v>
      </c>
      <c r="DV205" s="330" t="e">
        <v>#N/A</v>
      </c>
      <c r="DW205" s="331">
        <v>45772</v>
      </c>
      <c r="DX205" s="316" t="s">
        <v>1543</v>
      </c>
      <c r="DY205" s="334"/>
      <c r="DZ205" s="334"/>
      <c r="EA20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5" s="331">
        <v>46161</v>
      </c>
      <c r="EC205" s="332"/>
      <c r="ED205" s="332"/>
      <c r="EE205" s="330" t="s">
        <v>1544</v>
      </c>
      <c r="EF205" s="35">
        <v>1</v>
      </c>
      <c r="EG205" s="337">
        <v>1</v>
      </c>
      <c r="EH205" s="316" t="str">
        <f>IF(Table1[[#This Row],[PO Material Aktual 
(%)]]&gt;=100%,"Selesai PO = 100%",IF(Table1[[#This Row],[PO Material Aktual 
(%)]]&gt;=50%,"Proses PO &gt; 100%",IF(Table1[[#This Row],[PO Material Aktual 
(%)]]&gt;0%,"Proses PO &gt; 50%",IF(Table1[[#This Row],[PO Material Aktual 
(%)]]=0,"Belum PO = 0%"))))</f>
        <v>Selesai PO = 100%</v>
      </c>
      <c r="EI20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5" s="330">
        <v>45726</v>
      </c>
      <c r="EK205" s="330" t="e">
        <v>#N/A</v>
      </c>
      <c r="EL205" s="330">
        <v>45837</v>
      </c>
      <c r="EM205" s="330" t="e">
        <v>#N/A</v>
      </c>
      <c r="EN205" s="331">
        <v>46013</v>
      </c>
      <c r="EO205" s="332"/>
      <c r="EP205" s="332"/>
      <c r="EQ205" s="87">
        <v>1</v>
      </c>
      <c r="ER205" s="87">
        <v>1</v>
      </c>
      <c r="ES205" s="316" t="str">
        <f>IF(Table1[[#This Row],[Progres MOS]]&gt;=100%,"Selesai MOS = 100%",IF(Table1[[#This Row],[Progres MOS]]&gt;=50%,"Proses MOS &gt; 100%",IF(Table1[[#This Row],[Progres MOS]]&gt;0%,"Proses MOS &gt; 50%",IF(Table1[[#This Row],[Progres MOS]]=0,"Belum MOS = 0%"))))</f>
        <v>Selesai MOS = 100%</v>
      </c>
      <c r="ET20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5" s="47"/>
      <c r="EV205" s="330">
        <v>45712</v>
      </c>
      <c r="EW205" s="330" t="e">
        <v>#N/A</v>
      </c>
      <c r="EX205" s="330">
        <v>45837</v>
      </c>
      <c r="EY205" s="330" t="e">
        <v>#N/A</v>
      </c>
      <c r="EZ205" s="352" t="s">
        <v>259</v>
      </c>
      <c r="FA205" s="336" t="s">
        <v>259</v>
      </c>
      <c r="FB205" s="330" t="s">
        <v>260</v>
      </c>
      <c r="FC205" s="330">
        <v>45720</v>
      </c>
      <c r="FD205" s="330" t="s">
        <v>260</v>
      </c>
      <c r="FE205" s="330">
        <v>45736</v>
      </c>
      <c r="FF205" s="330">
        <v>45764</v>
      </c>
      <c r="FG205" s="330" t="s">
        <v>260</v>
      </c>
      <c r="FH205" s="330" t="s">
        <v>260</v>
      </c>
      <c r="FI205" s="330">
        <v>45805</v>
      </c>
      <c r="FJ205" s="330" t="s">
        <v>260</v>
      </c>
      <c r="FK205" s="330">
        <v>45866</v>
      </c>
      <c r="FL205" s="336" t="s">
        <v>259</v>
      </c>
      <c r="FM205" s="352">
        <v>45720</v>
      </c>
      <c r="FN205" s="338">
        <f>IF(Table1[[#This Row],[Tanggal Pengajuan Dokumen]]="","",Table1[[#This Row],[PLAN PERMIT
start]]-Table1[[#This Row],[Tanggal Pengajuan Dokumen]])</f>
        <v>-8</v>
      </c>
      <c r="FO205" s="437">
        <v>45866</v>
      </c>
      <c r="FP205" s="316"/>
      <c r="FQ205" s="338"/>
      <c r="FR205" s="338"/>
      <c r="FS205" s="338" t="str">
        <f t="shared" si="11"/>
        <v>Sudah Terbit</v>
      </c>
      <c r="FT20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5" s="344">
        <f ca="1">IF(Table1[[#This Row],[Status Izin]]="Selesai",Table1[[#This Row],[PLAN PERMIT
finish]]-Table1[[#This Row],[Tanggal Terbit/ Target Izin Terbit]],ROUNDUP(Table1[[#This Row],[PLAN PERMIT
finish]]-NOW(),0))</f>
        <v>-29</v>
      </c>
      <c r="FV20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5" s="344"/>
      <c r="FX205" s="47"/>
      <c r="FY205" s="340"/>
      <c r="FZ205" s="341"/>
      <c r="GA20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5" s="330">
        <v>45760</v>
      </c>
      <c r="GC205" s="352">
        <v>45817</v>
      </c>
      <c r="GD20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5" s="330">
        <v>45739</v>
      </c>
      <c r="GF205" s="352">
        <v>45821</v>
      </c>
      <c r="GG20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5" s="330">
        <v>45733</v>
      </c>
      <c r="GI205" s="330">
        <v>45739</v>
      </c>
      <c r="GJ205" s="352">
        <v>45831</v>
      </c>
      <c r="GK20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5" s="330">
        <v>45803</v>
      </c>
      <c r="GM205" s="330" t="e">
        <v>#N/A</v>
      </c>
      <c r="GN205" s="330">
        <v>45907</v>
      </c>
      <c r="GO205" s="330" t="e">
        <v>#N/A</v>
      </c>
      <c r="GP205" s="316"/>
      <c r="GQ20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5" s="330" t="s">
        <v>261</v>
      </c>
      <c r="GS205" s="421" t="s">
        <v>261</v>
      </c>
      <c r="GT205" s="354">
        <v>45985</v>
      </c>
      <c r="GU205" s="423" t="str">
        <f>IF(Table1[[#This Row],[Hydro Tes Actual
(tanggal)]]&lt;&gt;"","Sudah","Belum")</f>
        <v>Sudah</v>
      </c>
      <c r="GV205" s="330" t="s">
        <v>261</v>
      </c>
      <c r="GW205" s="330" t="s">
        <v>261</v>
      </c>
      <c r="GX205" s="331"/>
      <c r="GY205" s="344" t="str">
        <f>IF(Table1[[#This Row],[Interkoneksi Actual
(tanggal)]]&lt;&gt;"","Sudah","Belum")</f>
        <v>Belum</v>
      </c>
      <c r="GZ205" s="330" t="s">
        <v>261</v>
      </c>
      <c r="HA205" s="330" t="s">
        <v>261</v>
      </c>
      <c r="HB205" s="331">
        <v>46007</v>
      </c>
      <c r="HC205" s="344" t="str">
        <f>IF(Table1[[#This Row],[Flushing Actual
(tanggal)]]&lt;&gt;"","Sudah","Belum")</f>
        <v>Sudah</v>
      </c>
      <c r="HD205" s="330">
        <v>45880</v>
      </c>
      <c r="HE205" s="330" t="e">
        <v>#N/A</v>
      </c>
      <c r="HF205" s="330">
        <v>45900</v>
      </c>
      <c r="HG205" s="352">
        <v>46013</v>
      </c>
      <c r="HH20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5" s="330" t="s">
        <v>261</v>
      </c>
      <c r="HJ205" s="330" t="s">
        <v>261</v>
      </c>
      <c r="HK205" s="331"/>
      <c r="HL205" s="316"/>
      <c r="HM205" s="330">
        <v>45919</v>
      </c>
      <c r="HN205" s="330">
        <v>45919</v>
      </c>
      <c r="HO205" s="330" t="e">
        <v>#N/A</v>
      </c>
      <c r="HP205" s="331">
        <v>46015</v>
      </c>
      <c r="HQ20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05" s="330">
        <v>45926</v>
      </c>
      <c r="HS205" s="330"/>
      <c r="HT205" s="330">
        <v>45926</v>
      </c>
      <c r="HU205" s="527"/>
      <c r="HV205" s="331">
        <v>46022</v>
      </c>
      <c r="HW20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05" s="47"/>
      <c r="HY205" s="352"/>
      <c r="HZ205" s="352"/>
      <c r="IB205" s="618">
        <f>IFERROR(ROUND((Table1[[#This Row],[PLAN TC
finish]]-Table1[[#This Row],[PLAN MC-0
start]])/30,2),"")</f>
        <v>5.57</v>
      </c>
      <c r="IC205">
        <f>DATEDIF(Table1[[#This Row],[PLAN MC-0
start]],Table1[[#This Row],[PLAN TC
finish]],"m")</f>
        <v>5</v>
      </c>
    </row>
    <row r="206" spans="1:237" s="4" customFormat="1" ht="15" hidden="1" customHeight="1" x14ac:dyDescent="0.2">
      <c r="B206" s="311">
        <f>SUBTOTAL(3,$D$5:D206)</f>
        <v>84</v>
      </c>
      <c r="C206" s="348">
        <v>202</v>
      </c>
      <c r="D206" s="315" t="s">
        <v>673</v>
      </c>
      <c r="E206" s="338" t="s">
        <v>1545</v>
      </c>
      <c r="F206" s="338" t="s">
        <v>1546</v>
      </c>
      <c r="G206" s="349">
        <v>45935</v>
      </c>
      <c r="H206" s="314" t="s">
        <v>247</v>
      </c>
      <c r="I206" s="338" t="s">
        <v>248</v>
      </c>
      <c r="J206" s="315" t="s">
        <v>943</v>
      </c>
      <c r="K206" s="338" t="s">
        <v>1517</v>
      </c>
      <c r="L206" s="316" t="s">
        <v>250</v>
      </c>
      <c r="M206" s="316" t="s">
        <v>251</v>
      </c>
      <c r="N206" s="107">
        <v>4922</v>
      </c>
      <c r="O206" s="131" t="s">
        <v>252</v>
      </c>
      <c r="P20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6" s="35" t="e">
        <v>#N/A</v>
      </c>
      <c r="S206" s="35">
        <v>1</v>
      </c>
      <c r="T206" s="35">
        <f>Table1[[#This Row],[Progres Total Aktual
(%)]]</f>
        <v>0.69557710916655635</v>
      </c>
      <c r="U206" s="124">
        <f>Table1[[#This Row],[Progres Aktual
(%)]]-Table1[[#This Row],[Target Progres
(%)]]</f>
        <v>-0.30442289083344365</v>
      </c>
      <c r="V206" s="350">
        <f>Table1[[#This Row],["Volume
BA MC-0"]]</f>
        <v>4922</v>
      </c>
      <c r="W206" s="351">
        <f>Table1[[#This Row],[Total Panjang Pipa Aktual
(Sum-&gt;)3]]</f>
        <v>3836.32</v>
      </c>
      <c r="X206" s="47"/>
      <c r="Y206" s="67" t="s">
        <v>1547</v>
      </c>
      <c r="Z206" s="67">
        <v>256222695433</v>
      </c>
      <c r="AA206" s="67">
        <f>Table1[[#This Row],[Nilai RAB Jaringan
(file pa aji)]]</f>
        <v>256222695433</v>
      </c>
      <c r="AB206" s="320">
        <f>SUM(Table1[[#This Row],[RAB Kegiatan Umum]:[RAB Perizinan]])</f>
        <v>0</v>
      </c>
      <c r="AC206" s="320"/>
      <c r="AD206" s="320"/>
      <c r="AE206" s="320"/>
      <c r="AF206" s="320"/>
      <c r="AG206" s="436">
        <v>0</v>
      </c>
      <c r="AH206" s="35" t="e">
        <f>SUM(Table1[[#This Row],[Bobot Keg Umum]:[Bobot Perizinan]])</f>
        <v>#DIV/0!</v>
      </c>
      <c r="AI206" s="35" t="e">
        <f>Table1[[#This Row],[RAB Kegiatan Umum]]/Table1[[#This Row],[Nilai RAB Jaringan
(Exclude Ppn)]]</f>
        <v>#DIV/0!</v>
      </c>
      <c r="AJ206" s="35" t="e">
        <f>Table1[[#This Row],[RAB Pemasangan]]/Table1[[#This Row],[Nilai RAB Jaringan
(Exclude Ppn)]]</f>
        <v>#DIV/0!</v>
      </c>
      <c r="AK206" s="35" t="e">
        <f>Table1[[#This Row],[RAB Pengadaan]]/Table1[[#This Row],[Nilai RAB Jaringan
(Exclude Ppn)]]</f>
        <v>#DIV/0!</v>
      </c>
      <c r="AL206" s="35" t="e">
        <f>Table1[[#This Row],[RAB Perizinan]]/Table1[[#This Row],[Nilai RAB Jaringan
(Exclude Ppn)]]</f>
        <v>#DIV/0!</v>
      </c>
      <c r="AM206" s="47"/>
      <c r="AN206" s="285">
        <v>4922</v>
      </c>
      <c r="AO206" s="285">
        <f>SUM(Table1[[#This Row],[Pipa 63 mm]:[Pipa 1,800 mm]])</f>
        <v>0</v>
      </c>
      <c r="AP206" s="285"/>
      <c r="AQ206" s="285"/>
      <c r="AR206" s="285"/>
      <c r="AS206" s="285"/>
      <c r="AT206" s="285"/>
      <c r="AU206" s="285"/>
      <c r="AV206" s="285"/>
      <c r="AW206" s="285"/>
      <c r="AX206" s="285"/>
      <c r="AY206" s="285"/>
      <c r="AZ206" s="285"/>
      <c r="BA206" s="285"/>
      <c r="BB206" s="285"/>
      <c r="BC206" s="285"/>
      <c r="BD206" s="285"/>
      <c r="BE206" s="285"/>
      <c r="BF206" s="285"/>
      <c r="BG206" s="285"/>
      <c r="BH206" s="285"/>
      <c r="BI206" s="285"/>
      <c r="BJ206" s="446">
        <f>SUM(Table1[[#This Row],[Pipa 63 mm2]:[Pipa 1,800 mm21]])</f>
        <v>3836.32</v>
      </c>
      <c r="BK206" s="32"/>
      <c r="BL206" s="32"/>
      <c r="BM206" s="32"/>
      <c r="BN206" s="32"/>
      <c r="BO206" s="32"/>
      <c r="BP206" s="32"/>
      <c r="BQ206" s="32"/>
      <c r="BR206" s="32"/>
      <c r="BS206" s="32"/>
      <c r="BT206" s="32"/>
      <c r="BU206" s="32"/>
      <c r="BV206" s="32"/>
      <c r="BW206" s="32">
        <v>3836.32</v>
      </c>
      <c r="BX206" s="32"/>
      <c r="BY206" s="32"/>
      <c r="BZ206" s="32"/>
      <c r="CA206" s="32"/>
      <c r="CB206" s="32"/>
      <c r="CC206" s="32"/>
      <c r="CD206" s="32"/>
      <c r="CE206" s="32">
        <v>0</v>
      </c>
      <c r="CF206" s="32">
        <v>0</v>
      </c>
      <c r="CG206" s="32">
        <v>0</v>
      </c>
      <c r="CH206" s="32">
        <v>0</v>
      </c>
      <c r="CI206" s="32">
        <f t="shared" si="12"/>
        <v>0</v>
      </c>
      <c r="CJ206" s="65">
        <f>IF((Table1[[#This Row],["Volume
BA MC-0"]]-Table1[[#This Row],[Total Panjang Pipa Aktual
(Sum-&gt;)3]]-Table1[[#This Row],[Total Volume
tidak dapat dipasang]])&gt;=0,Table1[[#This Row],["Volume
BA MC-0"]]-Table1[[#This Row],[Total Panjang Pipa Aktual
(Sum-&gt;)3]]-Table1[[#This Row],[Total Volume
tidak dapat dipasang]],0)</f>
        <v>1085.6799999999998</v>
      </c>
      <c r="CK206" s="47"/>
      <c r="CL206" s="131"/>
      <c r="CM206" s="35"/>
      <c r="CN206" s="131"/>
      <c r="CO206" s="131"/>
      <c r="CP20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0.69557710916655635</v>
      </c>
      <c r="CQ206" s="66">
        <f>IFERROR(Table1[[#This Row],[Progres Keg. Umum
(%)]]*Table1[[#This Row],[Nilai RAB Jaringan
(file pa aji)]],0)</f>
        <v>0</v>
      </c>
      <c r="CR206" s="66">
        <f>IFERROR(Table1[[#This Row],[Progres MOS
(%)]]*Table1[[#This Row],[Nilai RAB Jaringan
(file pa aji)]],0)</f>
        <v>0</v>
      </c>
      <c r="CS206" s="66">
        <f>IFERROR(Table1[[#This Row],[Progres Pemasangan
(%)]]*Table1[[#This Row],[Nilai RAB Jaringan
(file pa aji)]],0)</f>
        <v>0</v>
      </c>
      <c r="CT206" s="66">
        <f>IFERROR(Table1[[#This Row],[Progres Perizinan
(%)]]*Table1[[#This Row],[Nilai RAB Jaringan
(file pa aji)]],0)</f>
        <v>0</v>
      </c>
      <c r="CU206" s="329">
        <v>178222641792.14917</v>
      </c>
      <c r="CV206" s="329">
        <v>178222641792.14917</v>
      </c>
      <c r="CW206" s="583">
        <v>0</v>
      </c>
      <c r="CX206" s="329">
        <v>0</v>
      </c>
      <c r="CY206" s="47"/>
      <c r="CZ206" s="330">
        <v>45656</v>
      </c>
      <c r="DA206" s="330">
        <v>45683</v>
      </c>
      <c r="DB206" s="331">
        <v>45573</v>
      </c>
      <c r="DC206" s="316" t="s">
        <v>1548</v>
      </c>
      <c r="DD206" s="67">
        <v>256222695434</v>
      </c>
      <c r="DE20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6" s="331">
        <v>45798</v>
      </c>
      <c r="DG206" s="316" t="s">
        <v>1549</v>
      </c>
      <c r="DH206" s="67">
        <v>256222695434</v>
      </c>
      <c r="DI20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06" s="330">
        <v>45684</v>
      </c>
      <c r="DK206" s="330">
        <v>45725</v>
      </c>
      <c r="DL206" s="331">
        <v>45800</v>
      </c>
      <c r="DM206" s="316" t="s">
        <v>1550</v>
      </c>
      <c r="DN20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6" s="331">
        <v>45832</v>
      </c>
      <c r="DP206" s="316" t="s">
        <v>1551</v>
      </c>
      <c r="DQ206" s="338" t="s">
        <v>910</v>
      </c>
      <c r="DR20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6" s="330">
        <v>45684</v>
      </c>
      <c r="DT206" s="330" t="e">
        <v>#N/A</v>
      </c>
      <c r="DU206" s="330">
        <v>45725</v>
      </c>
      <c r="DV206" s="330" t="e">
        <v>#N/A</v>
      </c>
      <c r="DW206" s="331">
        <v>46022</v>
      </c>
      <c r="DX206" s="316" t="s">
        <v>1552</v>
      </c>
      <c r="DY206" s="334"/>
      <c r="DZ206" s="334"/>
      <c r="EA20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6" s="331"/>
      <c r="EC206" s="332"/>
      <c r="ED206" s="332"/>
      <c r="EE206" s="330"/>
      <c r="EF206" s="35">
        <v>0.98484848484848486</v>
      </c>
      <c r="EG206" s="337">
        <v>0.98484848484848486</v>
      </c>
      <c r="EH206" s="316" t="str">
        <f>IF(Table1[[#This Row],[PO Material Aktual 
(%)]]&gt;=100%,"Selesai PO = 100%",IF(Table1[[#This Row],[PO Material Aktual 
(%)]]&gt;=50%,"Proses PO &gt; 100%",IF(Table1[[#This Row],[PO Material Aktual 
(%)]]&gt;0%,"Proses PO &gt; 50%",IF(Table1[[#This Row],[PO Material Aktual 
(%)]]=0,"Belum PO = 0%"))))</f>
        <v>Proses PO &gt; 100%</v>
      </c>
      <c r="EI20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06" s="330">
        <v>45726</v>
      </c>
      <c r="EK206" s="330" t="e">
        <v>#N/A</v>
      </c>
      <c r="EL206" s="330">
        <v>45816</v>
      </c>
      <c r="EM206" s="330" t="e">
        <v>#N/A</v>
      </c>
      <c r="EN206" s="331"/>
      <c r="EO206" s="332"/>
      <c r="EP206" s="332"/>
      <c r="EQ206" s="87">
        <v>0.74603174603174605</v>
      </c>
      <c r="ER206" s="87">
        <v>0.74603174603174605</v>
      </c>
      <c r="ES206" s="316" t="str">
        <f>IF(Table1[[#This Row],[Progres MOS]]&gt;=100%,"Selesai MOS = 100%",IF(Table1[[#This Row],[Progres MOS]]&gt;=50%,"Proses MOS &gt; 100%",IF(Table1[[#This Row],[Progres MOS]]&gt;0%,"Proses MOS &gt; 50%",IF(Table1[[#This Row],[Progres MOS]]=0,"Belum MOS = 0%"))))</f>
        <v>Proses MOS &gt; 100%</v>
      </c>
      <c r="ET20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6" s="47"/>
      <c r="EV206" s="330">
        <v>45698</v>
      </c>
      <c r="EW206" s="330" t="e">
        <v>#N/A</v>
      </c>
      <c r="EX206" s="330">
        <v>45774</v>
      </c>
      <c r="EY206" s="330" t="e">
        <v>#N/A</v>
      </c>
      <c r="EZ206" s="352" t="s">
        <v>259</v>
      </c>
      <c r="FA206" s="336" t="s">
        <v>259</v>
      </c>
      <c r="FB206" s="330" t="s">
        <v>260</v>
      </c>
      <c r="FC206" s="330">
        <v>45699</v>
      </c>
      <c r="FD206" s="330" t="s">
        <v>260</v>
      </c>
      <c r="FE206" s="330">
        <v>45736</v>
      </c>
      <c r="FF206" s="330">
        <v>45764</v>
      </c>
      <c r="FG206" s="330" t="s">
        <v>260</v>
      </c>
      <c r="FH206" s="330" t="s">
        <v>260</v>
      </c>
      <c r="FI206" s="330">
        <v>45805</v>
      </c>
      <c r="FJ206" s="330" t="s">
        <v>260</v>
      </c>
      <c r="FK206" s="330">
        <v>45874</v>
      </c>
      <c r="FL206" s="336" t="s">
        <v>259</v>
      </c>
      <c r="FM206" s="352">
        <v>45699</v>
      </c>
      <c r="FN206" s="338">
        <f>IF(Table1[[#This Row],[Tanggal Pengajuan Dokumen]]="","",Table1[[#This Row],[PLAN PERMIT
start]]-Table1[[#This Row],[Tanggal Pengajuan Dokumen]])</f>
        <v>-1</v>
      </c>
      <c r="FO206" s="437">
        <v>45874</v>
      </c>
      <c r="FP206" s="316"/>
      <c r="FQ206" s="338" t="s">
        <v>923</v>
      </c>
      <c r="FR206" s="338"/>
      <c r="FS206" s="338" t="str">
        <f t="shared" si="11"/>
        <v>On Going</v>
      </c>
      <c r="FT20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6" s="344">
        <f ca="1">IF(Table1[[#This Row],[Status Izin]]="Selesai",Table1[[#This Row],[PLAN PERMIT
finish]]-Table1[[#This Row],[Tanggal Terbit/ Target Izin Terbit]],ROUNDUP(Table1[[#This Row],[PLAN PERMIT
finish]]-NOW(),0))</f>
        <v>-417</v>
      </c>
      <c r="FV20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6" s="344"/>
      <c r="FX206" s="47"/>
      <c r="FY206" s="340"/>
      <c r="FZ206" s="341"/>
      <c r="GA20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6" s="330">
        <v>45739</v>
      </c>
      <c r="GC206" s="352">
        <v>45840</v>
      </c>
      <c r="GD20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6" s="330">
        <v>45732</v>
      </c>
      <c r="GF206" s="352">
        <v>45842</v>
      </c>
      <c r="GG20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6" s="330">
        <v>45726</v>
      </c>
      <c r="GI206" s="330">
        <v>45732</v>
      </c>
      <c r="GJ206" s="352">
        <v>45846</v>
      </c>
      <c r="GK20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6" s="330">
        <v>45775</v>
      </c>
      <c r="GM206" s="330" t="e">
        <v>#N/A</v>
      </c>
      <c r="GN206" s="330">
        <v>45907</v>
      </c>
      <c r="GO206" s="330" t="e">
        <v>#N/A</v>
      </c>
      <c r="GP206" s="316"/>
      <c r="GQ20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6" s="330" t="s">
        <v>261</v>
      </c>
      <c r="GS206" s="421" t="s">
        <v>261</v>
      </c>
      <c r="GT206" s="354">
        <v>46161</v>
      </c>
      <c r="GU206" s="423" t="str">
        <f>IF(Table1[[#This Row],[Hydro Tes Actual
(tanggal)]]&lt;&gt;"","Sudah","Belum")</f>
        <v>Sudah</v>
      </c>
      <c r="GV206" s="330" t="s">
        <v>261</v>
      </c>
      <c r="GW206" s="330" t="s">
        <v>261</v>
      </c>
      <c r="GX206" s="331"/>
      <c r="GY206" s="344" t="str">
        <f>IF(Table1[[#This Row],[Interkoneksi Actual
(tanggal)]]&lt;&gt;"","Sudah","Belum")</f>
        <v>Belum</v>
      </c>
      <c r="GZ206" s="330" t="s">
        <v>261</v>
      </c>
      <c r="HA206" s="330" t="s">
        <v>261</v>
      </c>
      <c r="HB206" s="331"/>
      <c r="HC206" s="344" t="str">
        <f>IF(Table1[[#This Row],[Flushing Actual
(tanggal)]]&lt;&gt;"","Sudah","Belum")</f>
        <v>Belum</v>
      </c>
      <c r="HD206" s="330">
        <v>45880</v>
      </c>
      <c r="HE206" s="330" t="e">
        <v>#N/A</v>
      </c>
      <c r="HF206" s="330">
        <v>45900</v>
      </c>
      <c r="HG206" s="352"/>
      <c r="HH20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6" s="330" t="s">
        <v>261</v>
      </c>
      <c r="HJ206" s="330" t="s">
        <v>261</v>
      </c>
      <c r="HK206" s="331"/>
      <c r="HL206" s="316"/>
      <c r="HM206" s="330">
        <v>45919</v>
      </c>
      <c r="HN206" s="330">
        <v>45919</v>
      </c>
      <c r="HO206" s="421" t="e">
        <v>#N/A</v>
      </c>
      <c r="HP206" s="331"/>
      <c r="HQ20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06" s="330">
        <v>45926</v>
      </c>
      <c r="HS206" s="330"/>
      <c r="HT206" s="330">
        <v>45926</v>
      </c>
      <c r="HU206" s="330"/>
      <c r="HV206" s="331"/>
      <c r="HW20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06" s="47"/>
      <c r="HY206" s="352"/>
      <c r="HZ206" s="352"/>
      <c r="IB206" s="618">
        <f>IFERROR(ROUND((Table1[[#This Row],[PLAN TC
finish]]-Table1[[#This Row],[PLAN MC-0
start]])/30,2),"")</f>
        <v>5.8</v>
      </c>
      <c r="IC206">
        <f>DATEDIF(Table1[[#This Row],[PLAN MC-0
start]],Table1[[#This Row],[PLAN TC
finish]],"m")</f>
        <v>5</v>
      </c>
    </row>
    <row r="207" spans="1:237" s="4" customFormat="1" ht="15" hidden="1" customHeight="1" x14ac:dyDescent="0.2">
      <c r="B207" s="311">
        <f>SUBTOTAL(3,$D$5:D207)</f>
        <v>84</v>
      </c>
      <c r="C207" s="348">
        <v>203</v>
      </c>
      <c r="D207" s="315" t="s">
        <v>673</v>
      </c>
      <c r="E207" s="338" t="s">
        <v>1553</v>
      </c>
      <c r="F207" s="338" t="s">
        <v>1554</v>
      </c>
      <c r="G207" s="349">
        <v>45935</v>
      </c>
      <c r="H207" s="314" t="s">
        <v>247</v>
      </c>
      <c r="I207" s="338" t="s">
        <v>248</v>
      </c>
      <c r="J207" s="315" t="s">
        <v>943</v>
      </c>
      <c r="K207" s="338" t="s">
        <v>1517</v>
      </c>
      <c r="L207" s="316" t="s">
        <v>250</v>
      </c>
      <c r="M207" s="316" t="s">
        <v>251</v>
      </c>
      <c r="N207" s="107">
        <v>2150</v>
      </c>
      <c r="O207" s="131" t="s">
        <v>252</v>
      </c>
      <c r="P20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7" s="35" t="e">
        <v>#N/A</v>
      </c>
      <c r="S207" s="35">
        <v>1</v>
      </c>
      <c r="T207" s="35">
        <f>Table1[[#This Row],[Progres Total Aktual
(%)]]</f>
        <v>1</v>
      </c>
      <c r="U207" s="124">
        <f>Table1[[#This Row],[Progres Aktual
(%)]]-Table1[[#This Row],[Target Progres
(%)]]</f>
        <v>0</v>
      </c>
      <c r="V207" s="350">
        <f>Table1[[#This Row],["Volume
BA MC-0"]]</f>
        <v>2150</v>
      </c>
      <c r="W207" s="351">
        <f>Table1[[#This Row],[Total Panjang Pipa Aktual
(Sum-&gt;)3]]</f>
        <v>2162.6999999999998</v>
      </c>
      <c r="X207" s="47"/>
      <c r="Y207" s="67" t="s">
        <v>1555</v>
      </c>
      <c r="Z207" s="67">
        <v>24912861367</v>
      </c>
      <c r="AA207" s="67">
        <f>Table1[[#This Row],[Nilai RAB Jaringan
(file pa aji)]]</f>
        <v>24912861367</v>
      </c>
      <c r="AB207" s="320">
        <f>SUM(Table1[[#This Row],[RAB Kegiatan Umum]:[RAB Perizinan]])</f>
        <v>0</v>
      </c>
      <c r="AC207" s="320"/>
      <c r="AD207" s="320"/>
      <c r="AE207" s="320"/>
      <c r="AF207" s="320"/>
      <c r="AG207" s="436">
        <v>0</v>
      </c>
      <c r="AH207" s="35" t="e">
        <f>SUM(Table1[[#This Row],[Bobot Keg Umum]:[Bobot Perizinan]])</f>
        <v>#DIV/0!</v>
      </c>
      <c r="AI207" s="35" t="e">
        <f>Table1[[#This Row],[RAB Kegiatan Umum]]/Table1[[#This Row],[Nilai RAB Jaringan
(Exclude Ppn)]]</f>
        <v>#DIV/0!</v>
      </c>
      <c r="AJ207" s="35" t="e">
        <f>Table1[[#This Row],[RAB Pemasangan]]/Table1[[#This Row],[Nilai RAB Jaringan
(Exclude Ppn)]]</f>
        <v>#DIV/0!</v>
      </c>
      <c r="AK207" s="35" t="e">
        <f>Table1[[#This Row],[RAB Pengadaan]]/Table1[[#This Row],[Nilai RAB Jaringan
(Exclude Ppn)]]</f>
        <v>#DIV/0!</v>
      </c>
      <c r="AL207" s="35" t="e">
        <f>Table1[[#This Row],[RAB Perizinan]]/Table1[[#This Row],[Nilai RAB Jaringan
(Exclude Ppn)]]</f>
        <v>#DIV/0!</v>
      </c>
      <c r="AM207" s="47"/>
      <c r="AN207" s="285">
        <v>2150</v>
      </c>
      <c r="AO207" s="285">
        <f>SUM(Table1[[#This Row],[Pipa 63 mm]:[Pipa 1,800 mm]])</f>
        <v>0</v>
      </c>
      <c r="AP207" s="285"/>
      <c r="AQ207" s="285"/>
      <c r="AR207" s="285"/>
      <c r="AS207" s="285"/>
      <c r="AT207" s="285"/>
      <c r="AU207" s="285"/>
      <c r="AV207" s="285"/>
      <c r="AW207" s="285"/>
      <c r="AX207" s="285"/>
      <c r="AY207" s="285"/>
      <c r="AZ207" s="285"/>
      <c r="BA207" s="285"/>
      <c r="BB207" s="285"/>
      <c r="BC207" s="285"/>
      <c r="BD207" s="285"/>
      <c r="BE207" s="285"/>
      <c r="BF207" s="285"/>
      <c r="BG207" s="285"/>
      <c r="BH207" s="285"/>
      <c r="BI207" s="285"/>
      <c r="BJ207" s="446">
        <f>SUM(Table1[[#This Row],[Pipa 63 mm2]:[Pipa 1,800 mm21]])</f>
        <v>2162.6999999999998</v>
      </c>
      <c r="BK207" s="32"/>
      <c r="BL207" s="32"/>
      <c r="BM207" s="32"/>
      <c r="BN207" s="32"/>
      <c r="BO207" s="32"/>
      <c r="BP207" s="32"/>
      <c r="BQ207" s="32"/>
      <c r="BR207" s="32"/>
      <c r="BS207" s="32">
        <v>2046.7</v>
      </c>
      <c r="BT207" s="32"/>
      <c r="BU207" s="32"/>
      <c r="BV207" s="32"/>
      <c r="BW207" s="621"/>
      <c r="BX207" s="32"/>
      <c r="BY207" s="32">
        <v>116</v>
      </c>
      <c r="BZ207" s="32"/>
      <c r="CA207" s="32"/>
      <c r="CB207" s="32"/>
      <c r="CC207" s="32"/>
      <c r="CD207" s="32"/>
      <c r="CE207" s="32">
        <v>0</v>
      </c>
      <c r="CF207" s="32">
        <v>0</v>
      </c>
      <c r="CG207" s="32">
        <v>0</v>
      </c>
      <c r="CH207" s="32">
        <v>0</v>
      </c>
      <c r="CI207" s="32">
        <f t="shared" si="12"/>
        <v>0</v>
      </c>
      <c r="CJ207" s="65">
        <f>IF((Table1[[#This Row],["Volume
BA MC-0"]]-Table1[[#This Row],[Total Panjang Pipa Aktual
(Sum-&gt;)3]]-Table1[[#This Row],[Total Volume
tidak dapat dipasang]])&gt;=0,Table1[[#This Row],["Volume
BA MC-0"]]-Table1[[#This Row],[Total Panjang Pipa Aktual
(Sum-&gt;)3]]-Table1[[#This Row],[Total Volume
tidak dapat dipasang]],0)</f>
        <v>0</v>
      </c>
      <c r="CK207" s="47"/>
      <c r="CL207" s="131"/>
      <c r="CM207" s="35"/>
      <c r="CN207" s="131"/>
      <c r="CO207" s="131"/>
      <c r="CP20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7" s="66">
        <f>IFERROR(Table1[[#This Row],[Progres Keg. Umum
(%)]]*Table1[[#This Row],[Nilai RAB Jaringan
(file pa aji)]],0)</f>
        <v>0</v>
      </c>
      <c r="CR207" s="66">
        <f>IFERROR(Table1[[#This Row],[Progres MOS
(%)]]*Table1[[#This Row],[Nilai RAB Jaringan
(file pa aji)]],0)</f>
        <v>0</v>
      </c>
      <c r="CS207" s="66">
        <f>IFERROR(Table1[[#This Row],[Progres Pemasangan
(%)]]*Table1[[#This Row],[Nilai RAB Jaringan
(file pa aji)]],0)</f>
        <v>0</v>
      </c>
      <c r="CT207" s="66">
        <f>IFERROR(Table1[[#This Row],[Progres Perizinan
(%)]]*Table1[[#This Row],[Nilai RAB Jaringan
(file pa aji)]],0)</f>
        <v>0</v>
      </c>
      <c r="CU207" s="329">
        <v>23676334624</v>
      </c>
      <c r="CV207" s="329">
        <v>23676334624</v>
      </c>
      <c r="CW207" s="583">
        <v>23676334624</v>
      </c>
      <c r="CX207" s="329">
        <v>23676334624</v>
      </c>
      <c r="CY207" s="47"/>
      <c r="CZ207" s="330">
        <v>45656</v>
      </c>
      <c r="DA207" s="330">
        <v>45683</v>
      </c>
      <c r="DB207" s="331">
        <v>45573</v>
      </c>
      <c r="DC207" s="316" t="s">
        <v>1556</v>
      </c>
      <c r="DD207" s="67">
        <v>24912861366</v>
      </c>
      <c r="DE20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7" s="331">
        <v>45798</v>
      </c>
      <c r="DG207" s="316" t="s">
        <v>1557</v>
      </c>
      <c r="DH207" s="67">
        <v>24912861366</v>
      </c>
      <c r="DI20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07" s="330">
        <v>45684</v>
      </c>
      <c r="DK207" s="330">
        <v>45725</v>
      </c>
      <c r="DL207" s="331">
        <v>46029</v>
      </c>
      <c r="DM207" s="316" t="s">
        <v>1558</v>
      </c>
      <c r="DN20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7" s="331">
        <v>46071</v>
      </c>
      <c r="DP207" s="316" t="s">
        <v>1559</v>
      </c>
      <c r="DQ207" s="338" t="s">
        <v>910</v>
      </c>
      <c r="DR20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7" s="330">
        <v>45684</v>
      </c>
      <c r="DT207" s="330" t="e">
        <v>#N/A</v>
      </c>
      <c r="DU207" s="330">
        <v>45725</v>
      </c>
      <c r="DV207" s="330" t="e">
        <v>#N/A</v>
      </c>
      <c r="DW207" s="331">
        <v>46042</v>
      </c>
      <c r="DX207" s="316" t="s">
        <v>1560</v>
      </c>
      <c r="DY207" s="334"/>
      <c r="DZ207" s="334"/>
      <c r="EA20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7" s="331">
        <v>46037</v>
      </c>
      <c r="EC207" s="332"/>
      <c r="ED207" s="332"/>
      <c r="EE207" s="425" t="s">
        <v>1561</v>
      </c>
      <c r="EF207" s="35">
        <v>1</v>
      </c>
      <c r="EG207" s="337">
        <v>1</v>
      </c>
      <c r="EH207" s="316" t="str">
        <f>IF(Table1[[#This Row],[PO Material Aktual 
(%)]]&gt;=100%,"Selesai PO = 100%",IF(Table1[[#This Row],[PO Material Aktual 
(%)]]&gt;=50%,"Proses PO &gt; 100%",IF(Table1[[#This Row],[PO Material Aktual 
(%)]]&gt;0%,"Proses PO &gt; 50%",IF(Table1[[#This Row],[PO Material Aktual 
(%)]]=0,"Belum PO = 0%"))))</f>
        <v>Selesai PO = 100%</v>
      </c>
      <c r="EI20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7" s="330">
        <v>45726</v>
      </c>
      <c r="EK207" s="330" t="e">
        <v>#N/A</v>
      </c>
      <c r="EL207" s="330">
        <v>45816</v>
      </c>
      <c r="EM207" s="330" t="e">
        <v>#N/A</v>
      </c>
      <c r="EN207" s="331">
        <v>46151</v>
      </c>
      <c r="EO207" s="332"/>
      <c r="EP207" s="332"/>
      <c r="EQ207" s="87">
        <v>1</v>
      </c>
      <c r="ER207" s="87">
        <v>1</v>
      </c>
      <c r="ES207" s="316" t="str">
        <f>IF(Table1[[#This Row],[Progres MOS]]&gt;=100%,"Selesai MOS = 100%",IF(Table1[[#This Row],[Progres MOS]]&gt;=50%,"Proses MOS &gt; 100%",IF(Table1[[#This Row],[Progres MOS]]&gt;0%,"Proses MOS &gt; 50%",IF(Table1[[#This Row],[Progres MOS]]=0,"Belum MOS = 0%"))))</f>
        <v>Selesai MOS = 100%</v>
      </c>
      <c r="ET20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7" s="47"/>
      <c r="EV207" s="330">
        <v>45698</v>
      </c>
      <c r="EW207" s="330" t="e">
        <v>#N/A</v>
      </c>
      <c r="EX207" s="330">
        <v>45774</v>
      </c>
      <c r="EY207" s="330" t="e">
        <v>#N/A</v>
      </c>
      <c r="EZ207" s="352" t="s">
        <v>259</v>
      </c>
      <c r="FA207" s="336" t="s">
        <v>259</v>
      </c>
      <c r="FB207" s="330" t="s">
        <v>260</v>
      </c>
      <c r="FC207" s="330">
        <v>45721</v>
      </c>
      <c r="FD207" s="330" t="s">
        <v>260</v>
      </c>
      <c r="FE207" s="330">
        <v>45736</v>
      </c>
      <c r="FF207" s="330">
        <v>45764</v>
      </c>
      <c r="FG207" s="330" t="s">
        <v>260</v>
      </c>
      <c r="FH207" s="330" t="s">
        <v>260</v>
      </c>
      <c r="FI207" s="330">
        <v>45805</v>
      </c>
      <c r="FJ207" s="330" t="s">
        <v>260</v>
      </c>
      <c r="FK207" s="330">
        <v>45866</v>
      </c>
      <c r="FL207" s="336" t="s">
        <v>259</v>
      </c>
      <c r="FM207" s="352">
        <v>45721</v>
      </c>
      <c r="FN207" s="338">
        <f>IF(Table1[[#This Row],[Tanggal Pengajuan Dokumen]]="","",Table1[[#This Row],[PLAN PERMIT
start]]-Table1[[#This Row],[Tanggal Pengajuan Dokumen]])</f>
        <v>-23</v>
      </c>
      <c r="FO207" s="437">
        <v>45866</v>
      </c>
      <c r="FP207" s="316"/>
      <c r="FQ207" s="338"/>
      <c r="FR207" s="338"/>
      <c r="FS207" s="338" t="str">
        <f t="shared" si="11"/>
        <v>Sudah Terbit</v>
      </c>
      <c r="FT20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7" s="344">
        <f ca="1">IF(Table1[[#This Row],[Status Izin]]="Selesai",Table1[[#This Row],[PLAN PERMIT
finish]]-Table1[[#This Row],[Tanggal Terbit/ Target Izin Terbit]],ROUNDUP(Table1[[#This Row],[PLAN PERMIT
finish]]-NOW(),0))</f>
        <v>-92</v>
      </c>
      <c r="FV20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7" s="344"/>
      <c r="FX207" s="47"/>
      <c r="FY207" s="340"/>
      <c r="FZ207" s="341"/>
      <c r="GA20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7" s="330">
        <v>45739</v>
      </c>
      <c r="GC207" s="352">
        <v>45840</v>
      </c>
      <c r="GD20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7" s="330">
        <v>45732</v>
      </c>
      <c r="GF207" s="352">
        <v>45842</v>
      </c>
      <c r="GG20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7" s="330">
        <v>45726</v>
      </c>
      <c r="GI207" s="330">
        <v>45732</v>
      </c>
      <c r="GJ207" s="352">
        <v>45845</v>
      </c>
      <c r="GK20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7" s="330">
        <v>45775</v>
      </c>
      <c r="GM207" s="330" t="e">
        <v>#N/A</v>
      </c>
      <c r="GN207" s="330">
        <v>45907</v>
      </c>
      <c r="GO207" s="330" t="e">
        <v>#N/A</v>
      </c>
      <c r="GP207" s="316"/>
      <c r="GQ20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7" s="330" t="s">
        <v>261</v>
      </c>
      <c r="GS207" s="421" t="s">
        <v>261</v>
      </c>
      <c r="GT207" s="354">
        <v>46087</v>
      </c>
      <c r="GU207" s="423" t="str">
        <f>IF(Table1[[#This Row],[Hydro Tes Actual
(tanggal)]]&lt;&gt;"","Sudah","Belum")</f>
        <v>Sudah</v>
      </c>
      <c r="GV207" s="330" t="s">
        <v>261</v>
      </c>
      <c r="GW207" s="330" t="s">
        <v>261</v>
      </c>
      <c r="GX207" s="331"/>
      <c r="GY207" s="344" t="str">
        <f>IF(Table1[[#This Row],[Interkoneksi Actual
(tanggal)]]&lt;&gt;"","Sudah","Belum")</f>
        <v>Belum</v>
      </c>
      <c r="GZ207" s="330" t="s">
        <v>261</v>
      </c>
      <c r="HA207" s="330" t="s">
        <v>261</v>
      </c>
      <c r="HB207" s="331">
        <v>46127</v>
      </c>
      <c r="HC207" s="344" t="str">
        <f>IF(Table1[[#This Row],[Flushing Actual
(tanggal)]]&lt;&gt;"","Sudah","Belum")</f>
        <v>Sudah</v>
      </c>
      <c r="HD207" s="330">
        <v>45880</v>
      </c>
      <c r="HE207" s="330" t="e">
        <v>#N/A</v>
      </c>
      <c r="HF207" s="330">
        <v>45900</v>
      </c>
      <c r="HG207" s="352">
        <v>46129</v>
      </c>
      <c r="HH20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7" s="330" t="s">
        <v>261</v>
      </c>
      <c r="HJ207" s="330" t="s">
        <v>261</v>
      </c>
      <c r="HK207" s="331"/>
      <c r="HL207" s="316"/>
      <c r="HM207" s="330">
        <v>45919</v>
      </c>
      <c r="HN207" s="330">
        <v>45919</v>
      </c>
      <c r="HO207" s="421" t="e">
        <v>#N/A</v>
      </c>
      <c r="HP207" s="331">
        <v>46134</v>
      </c>
      <c r="HQ20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07" s="330">
        <v>45926</v>
      </c>
      <c r="HS207" s="330"/>
      <c r="HT207" s="330">
        <v>45926</v>
      </c>
      <c r="HU207" s="330"/>
      <c r="HV207" s="331">
        <v>46141</v>
      </c>
      <c r="HW20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07" s="47"/>
      <c r="HY207" s="352"/>
      <c r="HZ207" s="352"/>
      <c r="IB207" s="618">
        <f>IFERROR(ROUND((Table1[[#This Row],[PLAN TC
finish]]-Table1[[#This Row],[PLAN MC-0
start]])/30,2),"")</f>
        <v>5.8</v>
      </c>
      <c r="IC207">
        <f>DATEDIF(Table1[[#This Row],[PLAN MC-0
start]],Table1[[#This Row],[PLAN TC
finish]],"m")</f>
        <v>5</v>
      </c>
    </row>
    <row r="208" spans="1:237" s="4" customFormat="1" ht="15" hidden="1" customHeight="1" x14ac:dyDescent="0.2">
      <c r="B208" s="311">
        <f>SUBTOTAL(3,$D$5:D208)</f>
        <v>84</v>
      </c>
      <c r="C208" s="348">
        <v>204</v>
      </c>
      <c r="D208" s="315" t="s">
        <v>673</v>
      </c>
      <c r="E208" s="338" t="s">
        <v>1562</v>
      </c>
      <c r="F208" s="338" t="s">
        <v>1563</v>
      </c>
      <c r="G208" s="349">
        <v>45935</v>
      </c>
      <c r="H208" s="314" t="s">
        <v>247</v>
      </c>
      <c r="I208" s="338" t="s">
        <v>278</v>
      </c>
      <c r="J208" s="315" t="s">
        <v>943</v>
      </c>
      <c r="K208" s="338" t="s">
        <v>676</v>
      </c>
      <c r="L208" s="316" t="s">
        <v>250</v>
      </c>
      <c r="M208" s="316" t="s">
        <v>269</v>
      </c>
      <c r="N208" s="107">
        <v>14805</v>
      </c>
      <c r="O208" s="131" t="s">
        <v>252</v>
      </c>
      <c r="P20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8" s="35" t="e">
        <v>#N/A</v>
      </c>
      <c r="S208" s="35">
        <v>1</v>
      </c>
      <c r="T208" s="35">
        <f>Table1[[#This Row],[Progres Total Aktual
(%)]]</f>
        <v>0.65119875276563988</v>
      </c>
      <c r="U208" s="124">
        <f>Table1[[#This Row],[Progres Aktual
(%)]]-Table1[[#This Row],[Target Progres
(%)]]</f>
        <v>-0.34880124723436012</v>
      </c>
      <c r="V208" s="350">
        <f>Table1[[#This Row],["Volume
BA MC-0"]]</f>
        <v>12190</v>
      </c>
      <c r="W208" s="351">
        <f>Table1[[#This Row],[Total Panjang Pipa Aktual
(Sum-&gt;)3]]</f>
        <v>7422</v>
      </c>
      <c r="X208" s="47"/>
      <c r="Y208" s="67" t="s">
        <v>682</v>
      </c>
      <c r="Z208" s="67">
        <v>13743779767</v>
      </c>
      <c r="AA208" s="67">
        <f>Table1[[#This Row],[Nilai RAB Jaringan
(file pa aji)]]</f>
        <v>13743779767</v>
      </c>
      <c r="AB208" s="320">
        <f>SUM(Table1[[#This Row],[RAB Kegiatan Umum]:[RAB Perizinan]])</f>
        <v>0</v>
      </c>
      <c r="AC208" s="320"/>
      <c r="AD208" s="320"/>
      <c r="AE208" s="320"/>
      <c r="AF208" s="320"/>
      <c r="AG208" s="436">
        <v>1380618000</v>
      </c>
      <c r="AH208" s="35" t="e">
        <f>SUM(Table1[[#This Row],[Bobot Keg Umum]:[Bobot Perizinan]])</f>
        <v>#DIV/0!</v>
      </c>
      <c r="AI208" s="35" t="e">
        <f>Table1[[#This Row],[RAB Kegiatan Umum]]/Table1[[#This Row],[Nilai RAB Jaringan
(Exclude Ppn)]]</f>
        <v>#DIV/0!</v>
      </c>
      <c r="AJ208" s="35" t="e">
        <f>Table1[[#This Row],[RAB Pemasangan]]/Table1[[#This Row],[Nilai RAB Jaringan
(Exclude Ppn)]]</f>
        <v>#DIV/0!</v>
      </c>
      <c r="AK208" s="35" t="e">
        <f>Table1[[#This Row],[RAB Pengadaan]]/Table1[[#This Row],[Nilai RAB Jaringan
(Exclude Ppn)]]</f>
        <v>#DIV/0!</v>
      </c>
      <c r="AL208" s="35" t="e">
        <f>Table1[[#This Row],[RAB Perizinan]]/Table1[[#This Row],[Nilai RAB Jaringan
(Exclude Ppn)]]</f>
        <v>#DIV/0!</v>
      </c>
      <c r="AM208" s="47"/>
      <c r="AN208" s="285">
        <v>12190</v>
      </c>
      <c r="AO208" s="285">
        <f>SUM(Table1[[#This Row],[Pipa 63 mm]:[Pipa 1,800 mm]])</f>
        <v>0</v>
      </c>
      <c r="AP208" s="285"/>
      <c r="AQ208" s="285"/>
      <c r="AR208" s="285"/>
      <c r="AS208" s="285"/>
      <c r="AT208" s="285"/>
      <c r="AU208" s="285"/>
      <c r="AV208" s="285"/>
      <c r="AW208" s="285"/>
      <c r="AX208" s="285"/>
      <c r="AY208" s="285"/>
      <c r="AZ208" s="285"/>
      <c r="BA208" s="285"/>
      <c r="BB208" s="285"/>
      <c r="BC208" s="285"/>
      <c r="BD208" s="285"/>
      <c r="BE208" s="285"/>
      <c r="BF208" s="285"/>
      <c r="BG208" s="285"/>
      <c r="BH208" s="285"/>
      <c r="BI208" s="285"/>
      <c r="BJ208" s="446">
        <f>SUM(Table1[[#This Row],[Pipa 63 mm2]:[Pipa 1,800 mm21]])</f>
        <v>7422</v>
      </c>
      <c r="BK208" s="32">
        <v>6</v>
      </c>
      <c r="BL208" s="32">
        <v>4812</v>
      </c>
      <c r="BM208" s="32">
        <v>4</v>
      </c>
      <c r="BN208" s="32">
        <v>372</v>
      </c>
      <c r="BO208" s="32">
        <v>678</v>
      </c>
      <c r="BP208" s="32"/>
      <c r="BQ208" s="32">
        <v>1550</v>
      </c>
      <c r="BR208" s="32"/>
      <c r="BS208" s="32"/>
      <c r="BT208" s="32"/>
      <c r="BU208" s="32"/>
      <c r="BV208" s="32"/>
      <c r="BW208" s="32"/>
      <c r="BX208" s="32"/>
      <c r="BY208" s="32"/>
      <c r="BZ208" s="32"/>
      <c r="CA208" s="32"/>
      <c r="CB208" s="32"/>
      <c r="CC208" s="32"/>
      <c r="CD208" s="32"/>
      <c r="CE208" s="32">
        <v>0</v>
      </c>
      <c r="CF208" s="32">
        <v>0</v>
      </c>
      <c r="CG208" s="32">
        <v>0</v>
      </c>
      <c r="CH208" s="32">
        <v>0</v>
      </c>
      <c r="CI208" s="32">
        <f t="shared" si="12"/>
        <v>0</v>
      </c>
      <c r="CJ208" s="65">
        <f>IF((Table1[[#This Row],["Volume
BA MC-0"]]-Table1[[#This Row],[Total Panjang Pipa Aktual
(Sum-&gt;)3]]-Table1[[#This Row],[Total Volume
tidak dapat dipasang]])&gt;=0,Table1[[#This Row],["Volume
BA MC-0"]]-Table1[[#This Row],[Total Panjang Pipa Aktual
(Sum-&gt;)3]]-Table1[[#This Row],[Total Volume
tidak dapat dipasang]],0)</f>
        <v>4768</v>
      </c>
      <c r="CK208" s="47"/>
      <c r="CL208" s="131"/>
      <c r="CM208" s="35"/>
      <c r="CN208" s="131"/>
      <c r="CO208" s="131"/>
      <c r="CP20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0.65119875276563988</v>
      </c>
      <c r="CQ208" s="66">
        <f>IFERROR(Table1[[#This Row],[Progres Keg. Umum
(%)]]*Table1[[#This Row],[Nilai RAB Jaringan
(file pa aji)]],0)</f>
        <v>0</v>
      </c>
      <c r="CR208" s="66">
        <f>IFERROR(Table1[[#This Row],[Progres MOS
(%)]]*Table1[[#This Row],[Nilai RAB Jaringan
(file pa aji)]],0)</f>
        <v>0</v>
      </c>
      <c r="CS208" s="66">
        <f>IFERROR(Table1[[#This Row],[Progres Pemasangan
(%)]]*Table1[[#This Row],[Nilai RAB Jaringan
(file pa aji)]],0)</f>
        <v>0</v>
      </c>
      <c r="CT208" s="66">
        <f>IFERROR(Table1[[#This Row],[Progres Perizinan
(%)]]*Table1[[#This Row],[Nilai RAB Jaringan
(file pa aji)]],0)</f>
        <v>0</v>
      </c>
      <c r="CU208" s="329">
        <v>8949932242.556036</v>
      </c>
      <c r="CV208" s="329">
        <v>8949932242.556036</v>
      </c>
      <c r="CW208" s="583">
        <v>0</v>
      </c>
      <c r="CX208" s="329">
        <v>0</v>
      </c>
      <c r="CY208" s="47"/>
      <c r="CZ208" s="330">
        <v>45292</v>
      </c>
      <c r="DA208" s="330">
        <v>45319</v>
      </c>
      <c r="DB208" s="331">
        <v>45175</v>
      </c>
      <c r="DC208" s="316" t="s">
        <v>1564</v>
      </c>
      <c r="DD208" s="67">
        <v>13743779790.370001</v>
      </c>
      <c r="DE20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8" s="331">
        <v>45288</v>
      </c>
      <c r="DG208" s="316" t="s">
        <v>1565</v>
      </c>
      <c r="DH208" s="67">
        <v>13743779792</v>
      </c>
      <c r="DI20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8" s="330">
        <v>45320</v>
      </c>
      <c r="DK208" s="330">
        <v>45410</v>
      </c>
      <c r="DL208" s="331">
        <v>45470</v>
      </c>
      <c r="DM208" s="316" t="s">
        <v>1566</v>
      </c>
      <c r="DN20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8" s="331">
        <v>45476</v>
      </c>
      <c r="DP208" s="316" t="s">
        <v>1567</v>
      </c>
      <c r="DQ208" s="338" t="s">
        <v>371</v>
      </c>
      <c r="DR20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8" s="330">
        <v>45320</v>
      </c>
      <c r="DT208" s="330" t="e">
        <v>#N/A</v>
      </c>
      <c r="DU208" s="330">
        <v>45361</v>
      </c>
      <c r="DV208" s="330" t="e">
        <v>#N/A</v>
      </c>
      <c r="DW208" s="331">
        <v>45871</v>
      </c>
      <c r="DX208" s="316" t="s">
        <v>1568</v>
      </c>
      <c r="DY208" s="334"/>
      <c r="DZ208" s="334"/>
      <c r="EA20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8" s="331">
        <v>45867</v>
      </c>
      <c r="EC208" s="332"/>
      <c r="ED208" s="332"/>
      <c r="EE208" s="330" t="s">
        <v>1569</v>
      </c>
      <c r="EF208" s="35">
        <v>1</v>
      </c>
      <c r="EG208" s="337">
        <v>1</v>
      </c>
      <c r="EH208" s="316" t="str">
        <f>IF(Table1[[#This Row],[PO Material Aktual 
(%)]]&gt;=100%,"Selesai PO = 100%",IF(Table1[[#This Row],[PO Material Aktual 
(%)]]&gt;=50%,"Proses PO &gt; 100%",IF(Table1[[#This Row],[PO Material Aktual 
(%)]]&gt;0%,"Proses PO &gt; 50%",IF(Table1[[#This Row],[PO Material Aktual 
(%)]]=0,"Belum PO = 0%"))))</f>
        <v>Selesai PO = 100%</v>
      </c>
      <c r="EI20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8" s="330">
        <v>45362</v>
      </c>
      <c r="EK208" s="330" t="e">
        <v>#N/A</v>
      </c>
      <c r="EL208" s="330">
        <v>45529</v>
      </c>
      <c r="EM208" s="330" t="e">
        <v>#N/A</v>
      </c>
      <c r="EN208" s="331"/>
      <c r="EO208" s="332"/>
      <c r="EP208" s="332"/>
      <c r="EQ208" s="87">
        <v>0.91333333333333333</v>
      </c>
      <c r="ER208" s="87">
        <v>0.91333333333333333</v>
      </c>
      <c r="ES208" s="316" t="str">
        <f>IF(Table1[[#This Row],[Progres MOS]]&gt;=100%,"Selesai MOS = 100%",IF(Table1[[#This Row],[Progres MOS]]&gt;=50%,"Proses MOS &gt; 100%",IF(Table1[[#This Row],[Progres MOS]]&gt;0%,"Proses MOS &gt; 50%",IF(Table1[[#This Row],[Progres MOS]]=0,"Belum MOS = 0%"))))</f>
        <v>Proses MOS &gt; 100%</v>
      </c>
      <c r="ET20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8" s="47"/>
      <c r="EV208" s="330">
        <v>45320</v>
      </c>
      <c r="EW208" s="330" t="e">
        <v>#N/A</v>
      </c>
      <c r="EX208" s="330">
        <v>45438</v>
      </c>
      <c r="EY208" s="330" t="e">
        <v>#N/A</v>
      </c>
      <c r="EZ208" s="352" t="s">
        <v>259</v>
      </c>
      <c r="FA208" s="336" t="s">
        <v>259</v>
      </c>
      <c r="FB208" s="330" t="s">
        <v>260</v>
      </c>
      <c r="FC208" s="330">
        <v>45237</v>
      </c>
      <c r="FD208" s="330" t="s">
        <v>260</v>
      </c>
      <c r="FE208" s="330"/>
      <c r="FF208" s="330">
        <v>45348</v>
      </c>
      <c r="FG208" s="330" t="s">
        <v>260</v>
      </c>
      <c r="FH208" s="330" t="s">
        <v>260</v>
      </c>
      <c r="FI208" s="330">
        <v>45473</v>
      </c>
      <c r="FJ208" s="330" t="s">
        <v>260</v>
      </c>
      <c r="FK208" s="330">
        <v>45537</v>
      </c>
      <c r="FL208" s="336" t="s">
        <v>259</v>
      </c>
      <c r="FM208" s="352">
        <v>45237</v>
      </c>
      <c r="FN208" s="338">
        <f>IF(Table1[[#This Row],[Tanggal Pengajuan Dokumen]]="","",Table1[[#This Row],[PLAN PERMIT
start]]-Table1[[#This Row],[Tanggal Pengajuan Dokumen]])</f>
        <v>83</v>
      </c>
      <c r="FO208" s="437">
        <v>45896</v>
      </c>
      <c r="FP208" s="316"/>
      <c r="FQ208" s="338"/>
      <c r="FR208" s="338"/>
      <c r="FS208" s="338" t="str">
        <f t="shared" si="11"/>
        <v>Sudah Terbit</v>
      </c>
      <c r="FT20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8" s="344">
        <f ca="1">IF(Table1[[#This Row],[Status Izin]]="Selesai",Table1[[#This Row],[PLAN PERMIT
finish]]-Table1[[#This Row],[Tanggal Terbit/ Target Izin Terbit]],ROUNDUP(Table1[[#This Row],[PLAN PERMIT
finish]]-NOW(),0))</f>
        <v>-458</v>
      </c>
      <c r="FV20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8" s="344"/>
      <c r="FX208" s="47"/>
      <c r="FY208" s="340"/>
      <c r="FZ208" s="341"/>
      <c r="GA20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8" s="330">
        <v>45412</v>
      </c>
      <c r="GC208" s="352">
        <v>45181</v>
      </c>
      <c r="GD20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8" s="330">
        <v>45419</v>
      </c>
      <c r="GF208" s="352">
        <v>45181</v>
      </c>
      <c r="GG20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08" s="330">
        <v>45425</v>
      </c>
      <c r="GI208" s="330">
        <v>45431</v>
      </c>
      <c r="GJ208" s="352">
        <v>45338</v>
      </c>
      <c r="GK20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8" s="330">
        <v>45439</v>
      </c>
      <c r="GM208" s="330" t="e">
        <v>#N/A</v>
      </c>
      <c r="GN208" s="330">
        <v>45725</v>
      </c>
      <c r="GO208" s="330" t="e">
        <v>#N/A</v>
      </c>
      <c r="GP208" s="316"/>
      <c r="GQ20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8" s="330" t="s">
        <v>261</v>
      </c>
      <c r="GS208" s="421" t="s">
        <v>261</v>
      </c>
      <c r="GT208" s="354"/>
      <c r="GU208" s="423" t="str">
        <f>IF(Table1[[#This Row],[Hydro Tes Actual
(tanggal)]]&lt;&gt;"","Sudah","Belum")</f>
        <v>Belum</v>
      </c>
      <c r="GV208" s="330" t="s">
        <v>261</v>
      </c>
      <c r="GW208" s="330" t="s">
        <v>261</v>
      </c>
      <c r="GX208" s="331"/>
      <c r="GY208" s="344" t="str">
        <f>IF(Table1[[#This Row],[Interkoneksi Actual
(tanggal)]]&lt;&gt;"","Sudah","Belum")</f>
        <v>Belum</v>
      </c>
      <c r="GZ208" s="330" t="s">
        <v>261</v>
      </c>
      <c r="HA208" s="330" t="s">
        <v>261</v>
      </c>
      <c r="HB208" s="331"/>
      <c r="HC208" s="344" t="str">
        <f>IF(Table1[[#This Row],[Flushing Actual
(tanggal)]]&lt;&gt;"","Sudah","Belum")</f>
        <v>Belum</v>
      </c>
      <c r="HD208" s="330">
        <v>45698</v>
      </c>
      <c r="HE208" s="330" t="e">
        <v>#N/A</v>
      </c>
      <c r="HF208" s="330">
        <v>45718</v>
      </c>
      <c r="HG208" s="352"/>
      <c r="HH20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8" s="330" t="s">
        <v>261</v>
      </c>
      <c r="HJ208" s="330" t="s">
        <v>261</v>
      </c>
      <c r="HK208" s="331"/>
      <c r="HL208" s="316"/>
      <c r="HM208" s="330">
        <v>45737</v>
      </c>
      <c r="HN208" s="330">
        <v>45737</v>
      </c>
      <c r="HO208" s="421" t="e">
        <v>#N/A</v>
      </c>
      <c r="HP208" s="331"/>
      <c r="HQ20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08" s="330">
        <v>45744</v>
      </c>
      <c r="HS208" s="330"/>
      <c r="HT208" s="330">
        <v>45744</v>
      </c>
      <c r="HU208" s="330"/>
      <c r="HV208" s="331"/>
      <c r="HW20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08" s="47"/>
      <c r="HY208" s="352"/>
      <c r="HZ208" s="352"/>
      <c r="IB208" s="618">
        <f>IFERROR(ROUND((Table1[[#This Row],[PLAN TC
finish]]-Table1[[#This Row],[PLAN MC-0
start]])/30,2),"")</f>
        <v>9.77</v>
      </c>
      <c r="IC208">
        <f>DATEDIF(Table1[[#This Row],[PLAN MC-0
start]],Table1[[#This Row],[PLAN TC
finish]],"m")</f>
        <v>9</v>
      </c>
    </row>
    <row r="209" spans="1:237" s="4" customFormat="1" ht="15" hidden="1" customHeight="1" x14ac:dyDescent="0.2">
      <c r="B209" s="311">
        <f>SUBTOTAL(3,$D$5:D209)</f>
        <v>84</v>
      </c>
      <c r="C209" s="348">
        <v>205</v>
      </c>
      <c r="D209" s="315" t="s">
        <v>673</v>
      </c>
      <c r="E209" s="338" t="s">
        <v>1570</v>
      </c>
      <c r="F209" s="338" t="s">
        <v>1571</v>
      </c>
      <c r="G209" s="349">
        <v>45935</v>
      </c>
      <c r="H209" s="314" t="s">
        <v>247</v>
      </c>
      <c r="I209" s="338" t="s">
        <v>278</v>
      </c>
      <c r="J209" s="315" t="s">
        <v>943</v>
      </c>
      <c r="K209" s="338" t="s">
        <v>676</v>
      </c>
      <c r="L209" s="316" t="s">
        <v>250</v>
      </c>
      <c r="M209" s="316" t="s">
        <v>269</v>
      </c>
      <c r="N209" s="107">
        <v>18447</v>
      </c>
      <c r="O209" s="131" t="s">
        <v>252</v>
      </c>
      <c r="P20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9" s="35" t="e">
        <v>#N/A</v>
      </c>
      <c r="S209" s="35">
        <v>1</v>
      </c>
      <c r="T209" s="35">
        <f>Table1[[#This Row],[Progres Total Aktual
(%)]]</f>
        <v>0.85562308552364053</v>
      </c>
      <c r="U209" s="124">
        <f>Table1[[#This Row],[Progres Aktual
(%)]]-Table1[[#This Row],[Target Progres
(%)]]</f>
        <v>-0.14437691447635947</v>
      </c>
      <c r="V209" s="350">
        <f>Table1[[#This Row],["Volume
BA MC-0"]]</f>
        <v>18591</v>
      </c>
      <c r="W209" s="351">
        <f>Table1[[#This Row],[Total Panjang Pipa Aktual
(Sum-&gt;)3]]</f>
        <v>18446</v>
      </c>
      <c r="X209" s="47"/>
      <c r="Y209" s="67" t="s">
        <v>1572</v>
      </c>
      <c r="Z209" s="67">
        <v>15754484146</v>
      </c>
      <c r="AA209" s="67">
        <f>Table1[[#This Row],[Nilai RAB Jaringan
(file pa aji)]]</f>
        <v>15754484146</v>
      </c>
      <c r="AB209" s="320">
        <f>SUM(Table1[[#This Row],[RAB Kegiatan Umum]:[RAB Perizinan]])</f>
        <v>0</v>
      </c>
      <c r="AC209" s="320"/>
      <c r="AD209" s="320"/>
      <c r="AE209" s="320"/>
      <c r="AF209" s="320"/>
      <c r="AG209" s="436">
        <v>3052944000</v>
      </c>
      <c r="AH209" s="35" t="e">
        <f>SUM(Table1[[#This Row],[Bobot Keg Umum]:[Bobot Perizinan]])</f>
        <v>#DIV/0!</v>
      </c>
      <c r="AI209" s="35" t="e">
        <f>Table1[[#This Row],[RAB Kegiatan Umum]]/Table1[[#This Row],[Nilai RAB Jaringan
(Exclude Ppn)]]</f>
        <v>#DIV/0!</v>
      </c>
      <c r="AJ209" s="35" t="e">
        <f>Table1[[#This Row],[RAB Pemasangan]]/Table1[[#This Row],[Nilai RAB Jaringan
(Exclude Ppn)]]</f>
        <v>#DIV/0!</v>
      </c>
      <c r="AK209" s="35" t="e">
        <f>Table1[[#This Row],[RAB Pengadaan]]/Table1[[#This Row],[Nilai RAB Jaringan
(Exclude Ppn)]]</f>
        <v>#DIV/0!</v>
      </c>
      <c r="AL209" s="35" t="e">
        <f>Table1[[#This Row],[RAB Perizinan]]/Table1[[#This Row],[Nilai RAB Jaringan
(Exclude Ppn)]]</f>
        <v>#DIV/0!</v>
      </c>
      <c r="AM209" s="47"/>
      <c r="AN209" s="285">
        <v>18591</v>
      </c>
      <c r="AO209" s="285">
        <f>SUM(Table1[[#This Row],[Pipa 63 mm]:[Pipa 1,800 mm]])</f>
        <v>0</v>
      </c>
      <c r="AP209" s="285"/>
      <c r="AQ209" s="285"/>
      <c r="AR209" s="285"/>
      <c r="AS209" s="285"/>
      <c r="AT209" s="285"/>
      <c r="AU209" s="285"/>
      <c r="AV209" s="285"/>
      <c r="AW209" s="285"/>
      <c r="AX209" s="285"/>
      <c r="AY209" s="285"/>
      <c r="AZ209" s="285"/>
      <c r="BA209" s="285"/>
      <c r="BB209" s="285"/>
      <c r="BC209" s="285"/>
      <c r="BD209" s="285"/>
      <c r="BE209" s="285"/>
      <c r="BF209" s="285"/>
      <c r="BG209" s="285"/>
      <c r="BH209" s="285"/>
      <c r="BI209" s="285"/>
      <c r="BJ209" s="446">
        <f>SUM(Table1[[#This Row],[Pipa 63 mm2]:[Pipa 1,800 mm21]])</f>
        <v>18446</v>
      </c>
      <c r="BK209" s="32">
        <v>58</v>
      </c>
      <c r="BL209" s="32">
        <f>15463</f>
        <v>15463</v>
      </c>
      <c r="BM209" s="32">
        <v>879</v>
      </c>
      <c r="BN209" s="32">
        <v>1381</v>
      </c>
      <c r="BO209" s="32">
        <v>557</v>
      </c>
      <c r="BP209" s="32"/>
      <c r="BQ209" s="32">
        <v>108</v>
      </c>
      <c r="BR209" s="32"/>
      <c r="BS209" s="32"/>
      <c r="BT209" s="32"/>
      <c r="BU209" s="32"/>
      <c r="BV209" s="32"/>
      <c r="BW209" s="32"/>
      <c r="BX209" s="32"/>
      <c r="BY209" s="32"/>
      <c r="BZ209" s="32"/>
      <c r="CA209" s="32"/>
      <c r="CB209" s="32"/>
      <c r="CC209" s="32"/>
      <c r="CD209" s="32"/>
      <c r="CE209" s="32">
        <v>0</v>
      </c>
      <c r="CF209" s="32">
        <v>0</v>
      </c>
      <c r="CG209" s="32">
        <v>0</v>
      </c>
      <c r="CH209" s="32">
        <v>0</v>
      </c>
      <c r="CI209" s="32">
        <f t="shared" si="12"/>
        <v>0</v>
      </c>
      <c r="CJ209" s="65">
        <f>IF((Table1[[#This Row],["Volume
BA MC-0"]]-Table1[[#This Row],[Total Panjang Pipa Aktual
(Sum-&gt;)3]]-Table1[[#This Row],[Total Volume
tidak dapat dipasang]])&gt;=0,Table1[[#This Row],["Volume
BA MC-0"]]-Table1[[#This Row],[Total Panjang Pipa Aktual
(Sum-&gt;)3]]-Table1[[#This Row],[Total Volume
tidak dapat dipasang]],0)</f>
        <v>145</v>
      </c>
      <c r="CK209" s="47"/>
      <c r="CL209" s="131"/>
      <c r="CM209" s="35"/>
      <c r="CN209" s="131"/>
      <c r="CO209" s="131"/>
      <c r="CP20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0.85562308552364053</v>
      </c>
      <c r="CQ209" s="66">
        <f>IFERROR(Table1[[#This Row],[Progres Keg. Umum
(%)]]*Table1[[#This Row],[Nilai RAB Jaringan
(file pa aji)]],0)</f>
        <v>0</v>
      </c>
      <c r="CR209" s="66">
        <f>IFERROR(Table1[[#This Row],[Progres MOS
(%)]]*Table1[[#This Row],[Nilai RAB Jaringan
(file pa aji)]],0)</f>
        <v>0</v>
      </c>
      <c r="CS209" s="66">
        <f>IFERROR(Table1[[#This Row],[Progres Pemasangan
(%)]]*Table1[[#This Row],[Nilai RAB Jaringan
(file pa aji)]],0)</f>
        <v>0</v>
      </c>
      <c r="CT209" s="66">
        <f>IFERROR(Table1[[#This Row],[Progres Perizinan
(%)]]*Table1[[#This Row],[Nilai RAB Jaringan
(file pa aji)]],0)</f>
        <v>0</v>
      </c>
      <c r="CU209" s="329">
        <v>13479900335.833797</v>
      </c>
      <c r="CV209" s="329">
        <v>13479900335.833797</v>
      </c>
      <c r="CW209" s="583">
        <v>0</v>
      </c>
      <c r="CX209" s="329">
        <v>0</v>
      </c>
      <c r="CY209" s="47"/>
      <c r="CZ209" s="330">
        <v>45565</v>
      </c>
      <c r="DA209" s="330">
        <v>45585</v>
      </c>
      <c r="DB209" s="331">
        <v>45181</v>
      </c>
      <c r="DC209" s="316" t="s">
        <v>1573</v>
      </c>
      <c r="DD209" s="67">
        <v>15754484184.459999</v>
      </c>
      <c r="DE20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9" s="331">
        <v>45188</v>
      </c>
      <c r="DG209" s="316" t="s">
        <v>1574</v>
      </c>
      <c r="DH209" s="67">
        <v>15754484187</v>
      </c>
      <c r="DI20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9" s="330">
        <v>45586</v>
      </c>
      <c r="DK209" s="330">
        <v>45627</v>
      </c>
      <c r="DL209" s="331">
        <v>45549</v>
      </c>
      <c r="DM209" s="316" t="s">
        <v>1575</v>
      </c>
      <c r="DN20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9" s="331">
        <v>45677</v>
      </c>
      <c r="DP209" s="316" t="s">
        <v>1576</v>
      </c>
      <c r="DQ209" s="338" t="s">
        <v>762</v>
      </c>
      <c r="DR20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9" s="330">
        <v>45586</v>
      </c>
      <c r="DT209" s="330" t="e">
        <v>#N/A</v>
      </c>
      <c r="DU209" s="330">
        <v>45620</v>
      </c>
      <c r="DV209" s="330" t="e">
        <v>#N/A</v>
      </c>
      <c r="DW209" s="331">
        <v>46037</v>
      </c>
      <c r="DX209" s="316" t="s">
        <v>1577</v>
      </c>
      <c r="DY209" s="334"/>
      <c r="DZ209" s="334"/>
      <c r="EA20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9" s="331"/>
      <c r="EC209" s="332"/>
      <c r="ED209" s="332"/>
      <c r="EE209" s="330"/>
      <c r="EF209" s="35">
        <v>0.96850393700787396</v>
      </c>
      <c r="EG209" s="337">
        <v>0.96850393700787396</v>
      </c>
      <c r="EH209" s="316" t="str">
        <f>IF(Table1[[#This Row],[PO Material Aktual 
(%)]]&gt;=100%,"Selesai PO = 100%",IF(Table1[[#This Row],[PO Material Aktual 
(%)]]&gt;=50%,"Proses PO &gt; 100%",IF(Table1[[#This Row],[PO Material Aktual 
(%)]]&gt;0%,"Proses PO &gt; 50%",IF(Table1[[#This Row],[PO Material Aktual 
(%)]]=0,"Belum PO = 0%"))))</f>
        <v>Proses PO &gt; 100%</v>
      </c>
      <c r="EI20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09" s="330">
        <v>45621</v>
      </c>
      <c r="EK209" s="330" t="e">
        <v>#N/A</v>
      </c>
      <c r="EL209" s="330">
        <v>45746</v>
      </c>
      <c r="EM209" s="330" t="e">
        <v>#N/A</v>
      </c>
      <c r="EN209" s="331"/>
      <c r="EO209" s="332"/>
      <c r="EP209" s="332"/>
      <c r="EQ209" s="87">
        <v>0.81889763779527558</v>
      </c>
      <c r="ER209" s="87">
        <v>0.81889763779527558</v>
      </c>
      <c r="ES209" s="316" t="str">
        <f>IF(Table1[[#This Row],[Progres MOS]]&gt;=100%,"Selesai MOS = 100%",IF(Table1[[#This Row],[Progres MOS]]&gt;=50%,"Proses MOS &gt; 100%",IF(Table1[[#This Row],[Progres MOS]]&gt;0%,"Proses MOS &gt; 50%",IF(Table1[[#This Row],[Progres MOS]]=0,"Belum MOS = 0%"))))</f>
        <v>Proses MOS &gt; 100%</v>
      </c>
      <c r="ET20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9" s="47"/>
      <c r="EV209" s="330">
        <v>45586</v>
      </c>
      <c r="EW209" s="330" t="e">
        <v>#N/A</v>
      </c>
      <c r="EX209" s="330">
        <v>45655</v>
      </c>
      <c r="EY209" s="330" t="e">
        <v>#N/A</v>
      </c>
      <c r="EZ209" s="352" t="s">
        <v>259</v>
      </c>
      <c r="FA209" s="336" t="s">
        <v>259</v>
      </c>
      <c r="FB209" s="330" t="s">
        <v>260</v>
      </c>
      <c r="FC209" s="330">
        <v>45238</v>
      </c>
      <c r="FD209" s="330" t="s">
        <v>260</v>
      </c>
      <c r="FE209" s="330"/>
      <c r="FF209" s="330">
        <v>45579</v>
      </c>
      <c r="FG209" s="330" t="s">
        <v>260</v>
      </c>
      <c r="FH209" s="330" t="s">
        <v>260</v>
      </c>
      <c r="FI209" s="330">
        <v>45511</v>
      </c>
      <c r="FJ209" s="330" t="s">
        <v>260</v>
      </c>
      <c r="FK209" s="330">
        <v>45936</v>
      </c>
      <c r="FL209" s="336" t="s">
        <v>259</v>
      </c>
      <c r="FM209" s="352">
        <v>45238</v>
      </c>
      <c r="FN209" s="338">
        <f>IF(Table1[[#This Row],[Tanggal Pengajuan Dokumen]]="","",Table1[[#This Row],[PLAN PERMIT
start]]-Table1[[#This Row],[Tanggal Pengajuan Dokumen]])</f>
        <v>348</v>
      </c>
      <c r="FO209" s="437">
        <v>46064</v>
      </c>
      <c r="FP209" s="316"/>
      <c r="FQ209" s="338"/>
      <c r="FR209" s="338"/>
      <c r="FS209" s="338" t="str">
        <f t="shared" si="11"/>
        <v>Sudah Terbit</v>
      </c>
      <c r="FT20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9" s="344">
        <f ca="1">IF(Table1[[#This Row],[Status Izin]]="Selesai",Table1[[#This Row],[PLAN PERMIT
finish]]-Table1[[#This Row],[Tanggal Terbit/ Target Izin Terbit]],ROUNDUP(Table1[[#This Row],[PLAN PERMIT
finish]]-NOW(),0))</f>
        <v>-409</v>
      </c>
      <c r="FV20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9" s="344"/>
      <c r="FX209" s="47"/>
      <c r="FY209" s="340"/>
      <c r="FZ209" s="341"/>
      <c r="GA20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9" s="330">
        <v>45629</v>
      </c>
      <c r="GC209" s="352">
        <v>45610</v>
      </c>
      <c r="GD20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9" s="330">
        <v>45636</v>
      </c>
      <c r="GF209" s="352">
        <v>45610</v>
      </c>
      <c r="GG20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09" s="330">
        <v>45642</v>
      </c>
      <c r="GI209" s="330">
        <v>45648</v>
      </c>
      <c r="GJ209" s="352">
        <v>45624</v>
      </c>
      <c r="GK20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9" s="330">
        <v>45656</v>
      </c>
      <c r="GM209" s="330" t="e">
        <v>#N/A</v>
      </c>
      <c r="GN209" s="330">
        <v>45907</v>
      </c>
      <c r="GO209" s="330" t="e">
        <v>#N/A</v>
      </c>
      <c r="GP209" s="316"/>
      <c r="GQ20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9" s="330" t="s">
        <v>261</v>
      </c>
      <c r="GS209" s="421" t="s">
        <v>261</v>
      </c>
      <c r="GT209" s="354">
        <v>46155</v>
      </c>
      <c r="GU209" s="423" t="str">
        <f>IF(Table1[[#This Row],[Hydro Tes Actual
(tanggal)]]&lt;&gt;"","Sudah","Belum")</f>
        <v>Sudah</v>
      </c>
      <c r="GV209" s="330" t="s">
        <v>261</v>
      </c>
      <c r="GW209" s="330" t="s">
        <v>261</v>
      </c>
      <c r="GX209" s="331"/>
      <c r="GY209" s="344" t="str">
        <f>IF(Table1[[#This Row],[Interkoneksi Actual
(tanggal)]]&lt;&gt;"","Sudah","Belum")</f>
        <v>Belum</v>
      </c>
      <c r="GZ209" s="330" t="s">
        <v>261</v>
      </c>
      <c r="HA209" s="330" t="s">
        <v>261</v>
      </c>
      <c r="HB209" s="331"/>
      <c r="HC209" s="344" t="str">
        <f>IF(Table1[[#This Row],[Flushing Actual
(tanggal)]]&lt;&gt;"","Sudah","Belum")</f>
        <v>Belum</v>
      </c>
      <c r="HD209" s="330">
        <v>45880</v>
      </c>
      <c r="HE209" s="330" t="e">
        <v>#N/A</v>
      </c>
      <c r="HF209" s="330">
        <v>45900</v>
      </c>
      <c r="HG209" s="352"/>
      <c r="HH20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9" s="330" t="s">
        <v>261</v>
      </c>
      <c r="HJ209" s="330" t="s">
        <v>261</v>
      </c>
      <c r="HK209" s="331"/>
      <c r="HL209" s="316"/>
      <c r="HM209" s="330">
        <v>45919</v>
      </c>
      <c r="HN209" s="330">
        <v>45919</v>
      </c>
      <c r="HO209" s="421" t="e">
        <v>#N/A</v>
      </c>
      <c r="HP209" s="331"/>
      <c r="HQ20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09" s="330">
        <v>45926</v>
      </c>
      <c r="HS209" s="330"/>
      <c r="HT209" s="330">
        <v>45926</v>
      </c>
      <c r="HU209" s="330"/>
      <c r="HV209" s="331"/>
      <c r="HW20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09" s="47"/>
      <c r="HY209" s="352"/>
      <c r="HZ209" s="352"/>
      <c r="IB209" s="618">
        <f>IFERROR(ROUND((Table1[[#This Row],[PLAN TC
finish]]-Table1[[#This Row],[PLAN MC-0
start]])/30,2),"")</f>
        <v>8.6</v>
      </c>
      <c r="IC209">
        <f>DATEDIF(Table1[[#This Row],[PLAN MC-0
start]],Table1[[#This Row],[PLAN TC
finish]],"m")</f>
        <v>8</v>
      </c>
    </row>
    <row r="210" spans="1:237" s="4" customFormat="1" ht="15" hidden="1" customHeight="1" x14ac:dyDescent="0.2">
      <c r="B210" s="311">
        <f>SUBTOTAL(3,$D$5:D210)</f>
        <v>84</v>
      </c>
      <c r="C210" s="348">
        <v>206</v>
      </c>
      <c r="D210" s="315" t="s">
        <v>673</v>
      </c>
      <c r="E210" s="338" t="s">
        <v>1578</v>
      </c>
      <c r="F210" s="338" t="s">
        <v>1579</v>
      </c>
      <c r="G210" s="349">
        <v>45935</v>
      </c>
      <c r="H210" s="314" t="s">
        <v>247</v>
      </c>
      <c r="I210" s="338" t="s">
        <v>278</v>
      </c>
      <c r="J210" s="315" t="s">
        <v>943</v>
      </c>
      <c r="K210" s="338" t="s">
        <v>676</v>
      </c>
      <c r="L210" s="316" t="s">
        <v>250</v>
      </c>
      <c r="M210" s="316" t="s">
        <v>269</v>
      </c>
      <c r="N210" s="107">
        <v>27576</v>
      </c>
      <c r="O210" s="131" t="s">
        <v>252</v>
      </c>
      <c r="P21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10" s="35" t="e">
        <v>#N/A</v>
      </c>
      <c r="S210" s="35">
        <v>1</v>
      </c>
      <c r="T210" s="35">
        <f>Table1[[#This Row],[Progres Total Aktual
(%)]]</f>
        <v>0.90327936950739918</v>
      </c>
      <c r="U210" s="124">
        <f>Table1[[#This Row],[Progres Aktual
(%)]]-Table1[[#This Row],[Target Progres
(%)]]</f>
        <v>-9.6720630492600823E-2</v>
      </c>
      <c r="V210" s="350">
        <f>Table1[[#This Row],["Volume
BA MC-0"]]</f>
        <v>28242</v>
      </c>
      <c r="W210" s="351">
        <f>Table1[[#This Row],[Total Panjang Pipa Aktual
(Sum-&gt;)3]]</f>
        <v>28540</v>
      </c>
      <c r="X210" s="47"/>
      <c r="Y210" s="67" t="s">
        <v>1580</v>
      </c>
      <c r="Z210" s="67">
        <v>24006962850</v>
      </c>
      <c r="AA210" s="67">
        <f>Table1[[#This Row],[Nilai RAB Jaringan
(file pa aji)]]</f>
        <v>24006962850</v>
      </c>
      <c r="AB210" s="320">
        <f>SUM(Table1[[#This Row],[RAB Kegiatan Umum]:[RAB Perizinan]])</f>
        <v>0</v>
      </c>
      <c r="AC210" s="320"/>
      <c r="AD210" s="320"/>
      <c r="AE210" s="320"/>
      <c r="AF210" s="320"/>
      <c r="AG210" s="436">
        <v>4139856000</v>
      </c>
      <c r="AH210" s="35" t="e">
        <f>SUM(Table1[[#This Row],[Bobot Keg Umum]:[Bobot Perizinan]])</f>
        <v>#DIV/0!</v>
      </c>
      <c r="AI210" s="35" t="e">
        <f>Table1[[#This Row],[RAB Kegiatan Umum]]/Table1[[#This Row],[Nilai RAB Jaringan
(Exclude Ppn)]]</f>
        <v>#DIV/0!</v>
      </c>
      <c r="AJ210" s="35" t="e">
        <f>Table1[[#This Row],[RAB Pemasangan]]/Table1[[#This Row],[Nilai RAB Jaringan
(Exclude Ppn)]]</f>
        <v>#DIV/0!</v>
      </c>
      <c r="AK210" s="35" t="e">
        <f>Table1[[#This Row],[RAB Pengadaan]]/Table1[[#This Row],[Nilai RAB Jaringan
(Exclude Ppn)]]</f>
        <v>#DIV/0!</v>
      </c>
      <c r="AL210" s="35" t="e">
        <f>Table1[[#This Row],[RAB Perizinan]]/Table1[[#This Row],[Nilai RAB Jaringan
(Exclude Ppn)]]</f>
        <v>#DIV/0!</v>
      </c>
      <c r="AM210" s="47"/>
      <c r="AN210" s="285">
        <v>28242</v>
      </c>
      <c r="AO210" s="285">
        <f>SUM(Table1[[#This Row],[Pipa 63 mm]:[Pipa 1,800 mm]])</f>
        <v>0</v>
      </c>
      <c r="AP210" s="285"/>
      <c r="AQ210" s="285"/>
      <c r="AR210" s="285"/>
      <c r="AS210" s="285"/>
      <c r="AT210" s="285"/>
      <c r="AU210" s="285"/>
      <c r="AV210" s="285"/>
      <c r="AW210" s="285"/>
      <c r="AX210" s="285"/>
      <c r="AY210" s="285"/>
      <c r="AZ210" s="285"/>
      <c r="BA210" s="285"/>
      <c r="BB210" s="285"/>
      <c r="BC210" s="285"/>
      <c r="BD210" s="285"/>
      <c r="BE210" s="285"/>
      <c r="BF210" s="285"/>
      <c r="BG210" s="285"/>
      <c r="BH210" s="285"/>
      <c r="BI210" s="285"/>
      <c r="BJ210" s="446">
        <f>SUM(Table1[[#This Row],[Pipa 63 mm2]:[Pipa 1,800 mm21]])</f>
        <v>28540</v>
      </c>
      <c r="BK210" s="32">
        <v>18</v>
      </c>
      <c r="BL210" s="32">
        <f>23435</f>
        <v>23435</v>
      </c>
      <c r="BM210" s="32">
        <v>665</v>
      </c>
      <c r="BN210" s="32">
        <v>1271</v>
      </c>
      <c r="BO210" s="32">
        <v>1389</v>
      </c>
      <c r="BP210" s="32"/>
      <c r="BQ210" s="32">
        <v>1762</v>
      </c>
      <c r="BR210" s="32"/>
      <c r="BS210" s="32"/>
      <c r="BT210" s="32"/>
      <c r="BU210" s="32"/>
      <c r="BV210" s="32"/>
      <c r="BW210" s="32"/>
      <c r="BX210" s="32"/>
      <c r="BY210" s="32"/>
      <c r="BZ210" s="32"/>
      <c r="CA210" s="32"/>
      <c r="CB210" s="32"/>
      <c r="CC210" s="32"/>
      <c r="CD210" s="32"/>
      <c r="CE210" s="32">
        <v>0</v>
      </c>
      <c r="CF210" s="32">
        <v>0</v>
      </c>
      <c r="CG210" s="32">
        <v>0</v>
      </c>
      <c r="CH210" s="32">
        <v>0</v>
      </c>
      <c r="CI210" s="32">
        <f t="shared" si="12"/>
        <v>0</v>
      </c>
      <c r="CJ210" s="65">
        <f>IF((Table1[[#This Row],["Volume
BA MC-0"]]-Table1[[#This Row],[Total Panjang Pipa Aktual
(Sum-&gt;)3]]-Table1[[#This Row],[Total Volume
tidak dapat dipasang]])&gt;=0,Table1[[#This Row],["Volume
BA MC-0"]]-Table1[[#This Row],[Total Panjang Pipa Aktual
(Sum-&gt;)3]]-Table1[[#This Row],[Total Volume
tidak dapat dipasang]],0)</f>
        <v>0</v>
      </c>
      <c r="CK210" s="47"/>
      <c r="CL210" s="131"/>
      <c r="CM210" s="35"/>
      <c r="CN210" s="131"/>
      <c r="CO210" s="131"/>
      <c r="CP21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0.90327936950739918</v>
      </c>
      <c r="CQ210" s="66">
        <f>IFERROR(Table1[[#This Row],[Progres Keg. Umum
(%)]]*Table1[[#This Row],[Nilai RAB Jaringan
(file pa aji)]],0)</f>
        <v>0</v>
      </c>
      <c r="CR210" s="66">
        <f>IFERROR(Table1[[#This Row],[Progres MOS
(%)]]*Table1[[#This Row],[Nilai RAB Jaringan
(file pa aji)]],0)</f>
        <v>0</v>
      </c>
      <c r="CS210" s="66">
        <f>IFERROR(Table1[[#This Row],[Progres Pemasangan
(%)]]*Table1[[#This Row],[Nilai RAB Jaringan
(file pa aji)]],0)</f>
        <v>0</v>
      </c>
      <c r="CT210" s="66">
        <f>IFERROR(Table1[[#This Row],[Progres Perizinan
(%)]]*Table1[[#This Row],[Nilai RAB Jaringan
(file pa aji)]],0)</f>
        <v>0</v>
      </c>
      <c r="CU210" s="329">
        <v>21684994266.935555</v>
      </c>
      <c r="CV210" s="329">
        <v>21684994266.935555</v>
      </c>
      <c r="CW210" s="583">
        <v>0</v>
      </c>
      <c r="CX210" s="329">
        <v>0</v>
      </c>
      <c r="CY210" s="47"/>
      <c r="CZ210" s="330">
        <v>45565</v>
      </c>
      <c r="DA210" s="330">
        <v>45585</v>
      </c>
      <c r="DB210" s="331">
        <v>45181</v>
      </c>
      <c r="DC210" s="316" t="s">
        <v>1581</v>
      </c>
      <c r="DD210" s="67">
        <v>24006962899.650002</v>
      </c>
      <c r="DE21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0" s="331">
        <v>45190</v>
      </c>
      <c r="DG210" s="316" t="s">
        <v>1582</v>
      </c>
      <c r="DH210" s="67">
        <v>24006962897</v>
      </c>
      <c r="DI21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0" s="330">
        <v>45586</v>
      </c>
      <c r="DK210" s="330">
        <v>45627</v>
      </c>
      <c r="DL210" s="331">
        <v>45549</v>
      </c>
      <c r="DM210" s="316" t="s">
        <v>1583</v>
      </c>
      <c r="DN21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0" s="331">
        <v>45630</v>
      </c>
      <c r="DP210" s="316" t="s">
        <v>1584</v>
      </c>
      <c r="DQ210" s="338" t="s">
        <v>560</v>
      </c>
      <c r="DR21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0" s="330">
        <v>45586</v>
      </c>
      <c r="DT210" s="330" t="e">
        <v>#N/A</v>
      </c>
      <c r="DU210" s="330">
        <v>45620</v>
      </c>
      <c r="DV210" s="330" t="e">
        <v>#N/A</v>
      </c>
      <c r="DW210" s="331">
        <v>46048</v>
      </c>
      <c r="DX210" s="316" t="s">
        <v>1585</v>
      </c>
      <c r="DY210" s="334"/>
      <c r="DZ210" s="334"/>
      <c r="EA21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0" s="331"/>
      <c r="EC210" s="332"/>
      <c r="ED210" s="332"/>
      <c r="EE210" s="330"/>
      <c r="EF210" s="35">
        <v>0.98412698412698407</v>
      </c>
      <c r="EG210" s="337">
        <v>0.98412698412698407</v>
      </c>
      <c r="EH210" s="316" t="str">
        <f>IF(Table1[[#This Row],[PO Material Aktual 
(%)]]&gt;=100%,"Selesai PO = 100%",IF(Table1[[#This Row],[PO Material Aktual 
(%)]]&gt;=50%,"Proses PO &gt; 100%",IF(Table1[[#This Row],[PO Material Aktual 
(%)]]&gt;0%,"Proses PO &gt; 50%",IF(Table1[[#This Row],[PO Material Aktual 
(%)]]=0,"Belum PO = 0%"))))</f>
        <v>Proses PO &gt; 100%</v>
      </c>
      <c r="EI21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0" s="330">
        <v>45621</v>
      </c>
      <c r="EK210" s="330" t="e">
        <v>#N/A</v>
      </c>
      <c r="EL210" s="330">
        <v>45746</v>
      </c>
      <c r="EM210" s="330" t="e">
        <v>#N/A</v>
      </c>
      <c r="EN210" s="331"/>
      <c r="EO210" s="332"/>
      <c r="EP210" s="332"/>
      <c r="EQ210" s="87">
        <v>0.94399999999999995</v>
      </c>
      <c r="ER210" s="87">
        <v>0.94399999999999995</v>
      </c>
      <c r="ES210" s="316" t="str">
        <f>IF(Table1[[#This Row],[Progres MOS]]&gt;=100%,"Selesai MOS = 100%",IF(Table1[[#This Row],[Progres MOS]]&gt;=50%,"Proses MOS &gt; 100%",IF(Table1[[#This Row],[Progres MOS]]&gt;0%,"Proses MOS &gt; 50%",IF(Table1[[#This Row],[Progres MOS]]=0,"Belum MOS = 0%"))))</f>
        <v>Proses MOS &gt; 100%</v>
      </c>
      <c r="ET21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0" s="47"/>
      <c r="EV210" s="330">
        <v>45586</v>
      </c>
      <c r="EW210" s="330" t="e">
        <v>#N/A</v>
      </c>
      <c r="EX210" s="330">
        <v>45655</v>
      </c>
      <c r="EY210" s="330" t="e">
        <v>#N/A</v>
      </c>
      <c r="EZ210" s="352" t="s">
        <v>259</v>
      </c>
      <c r="FA210" s="336" t="s">
        <v>259</v>
      </c>
      <c r="FB210" s="330" t="s">
        <v>260</v>
      </c>
      <c r="FC210" s="330">
        <v>45238</v>
      </c>
      <c r="FD210" s="330" t="s">
        <v>260</v>
      </c>
      <c r="FE210" s="330"/>
      <c r="FF210" s="330">
        <v>45572</v>
      </c>
      <c r="FG210" s="330" t="s">
        <v>260</v>
      </c>
      <c r="FH210" s="330" t="s">
        <v>260</v>
      </c>
      <c r="FI210" s="330">
        <v>45838</v>
      </c>
      <c r="FJ210" s="330" t="s">
        <v>260</v>
      </c>
      <c r="FK210" s="330">
        <v>45936</v>
      </c>
      <c r="FL210" s="336" t="s">
        <v>259</v>
      </c>
      <c r="FM210" s="352">
        <v>45238</v>
      </c>
      <c r="FN210" s="338">
        <f>IF(Table1[[#This Row],[Tanggal Pengajuan Dokumen]]="","",Table1[[#This Row],[PLAN PERMIT
start]]-Table1[[#This Row],[Tanggal Pengajuan Dokumen]])</f>
        <v>348</v>
      </c>
      <c r="FO210" s="437">
        <v>46064</v>
      </c>
      <c r="FP210" s="316"/>
      <c r="FQ210" s="338"/>
      <c r="FR210" s="338"/>
      <c r="FS210" s="338" t="str">
        <f t="shared" si="11"/>
        <v>Sudah Terbit</v>
      </c>
      <c r="FT21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0" s="344">
        <f ca="1">IF(Table1[[#This Row],[Status Izin]]="Selesai",Table1[[#This Row],[PLAN PERMIT
finish]]-Table1[[#This Row],[Tanggal Terbit/ Target Izin Terbit]],ROUNDUP(Table1[[#This Row],[PLAN PERMIT
finish]]-NOW(),0))</f>
        <v>-409</v>
      </c>
      <c r="FV21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0" s="344"/>
      <c r="FX210" s="47"/>
      <c r="FY210" s="340"/>
      <c r="FZ210" s="341"/>
      <c r="GA21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0" s="330">
        <v>45629</v>
      </c>
      <c r="GC210" s="352">
        <v>45610</v>
      </c>
      <c r="GD21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0" s="330">
        <v>45636</v>
      </c>
      <c r="GF210" s="352">
        <v>45610</v>
      </c>
      <c r="GG21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0" s="330">
        <v>45642</v>
      </c>
      <c r="GI210" s="330">
        <v>45648</v>
      </c>
      <c r="GJ210" s="352">
        <v>45621</v>
      </c>
      <c r="GK21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0" s="330">
        <v>45656</v>
      </c>
      <c r="GM210" s="330" t="e">
        <v>#N/A</v>
      </c>
      <c r="GN210" s="330">
        <v>45907</v>
      </c>
      <c r="GO210" s="330" t="e">
        <v>#N/A</v>
      </c>
      <c r="GP210" s="316"/>
      <c r="GQ21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0" s="330" t="s">
        <v>261</v>
      </c>
      <c r="GS210" s="421" t="s">
        <v>261</v>
      </c>
      <c r="GT210" s="450" t="s">
        <v>1586</v>
      </c>
      <c r="GU210" s="423" t="str">
        <f>IF(Table1[[#This Row],[Hydro Tes Actual
(tanggal)]]&lt;&gt;"","Sudah","Belum")</f>
        <v>Sudah</v>
      </c>
      <c r="GV210" s="330" t="s">
        <v>261</v>
      </c>
      <c r="GW210" s="330" t="s">
        <v>261</v>
      </c>
      <c r="GX210" s="331"/>
      <c r="GY210" s="344" t="str">
        <f>IF(Table1[[#This Row],[Interkoneksi Actual
(tanggal)]]&lt;&gt;"","Sudah","Belum")</f>
        <v>Belum</v>
      </c>
      <c r="GZ210" s="330" t="s">
        <v>261</v>
      </c>
      <c r="HA210" s="330" t="s">
        <v>261</v>
      </c>
      <c r="HB210" s="331"/>
      <c r="HC210" s="344" t="str">
        <f>IF(Table1[[#This Row],[Flushing Actual
(tanggal)]]&lt;&gt;"","Sudah","Belum")</f>
        <v>Belum</v>
      </c>
      <c r="HD210" s="330">
        <v>45880</v>
      </c>
      <c r="HE210" s="330" t="e">
        <v>#N/A</v>
      </c>
      <c r="HF210" s="330">
        <v>45900</v>
      </c>
      <c r="HG210" s="352"/>
      <c r="HH21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0" s="330" t="s">
        <v>261</v>
      </c>
      <c r="HJ210" s="330" t="s">
        <v>261</v>
      </c>
      <c r="HK210" s="331"/>
      <c r="HL210" s="316"/>
      <c r="HM210" s="330">
        <v>45919</v>
      </c>
      <c r="HN210" s="330">
        <v>45919</v>
      </c>
      <c r="HO210" s="421" t="e">
        <v>#N/A</v>
      </c>
      <c r="HP210" s="331"/>
      <c r="HQ21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10" s="330">
        <v>45926</v>
      </c>
      <c r="HS210" s="330"/>
      <c r="HT210" s="330">
        <v>45926</v>
      </c>
      <c r="HU210" s="330"/>
      <c r="HV210" s="331"/>
      <c r="HW21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10" s="47"/>
      <c r="HY210" s="352"/>
      <c r="HZ210" s="352"/>
      <c r="IB210" s="618">
        <f>IFERROR(ROUND((Table1[[#This Row],[PLAN TC
finish]]-Table1[[#This Row],[PLAN MC-0
start]])/30,2),"")</f>
        <v>8.6</v>
      </c>
      <c r="IC210">
        <f>DATEDIF(Table1[[#This Row],[PLAN MC-0
start]],Table1[[#This Row],[PLAN TC
finish]],"m")</f>
        <v>8</v>
      </c>
    </row>
    <row r="211" spans="1:237" s="30" customFormat="1" ht="15" hidden="1" customHeight="1" x14ac:dyDescent="0.2">
      <c r="A211" s="77"/>
      <c r="B211" s="311">
        <f>SUBTOTAL(3,$D$5:D211)</f>
        <v>84</v>
      </c>
      <c r="C211" s="362">
        <v>207</v>
      </c>
      <c r="D211" s="363" t="s">
        <v>673</v>
      </c>
      <c r="E211" s="366" t="s">
        <v>1587</v>
      </c>
      <c r="F211" s="366" t="s">
        <v>1588</v>
      </c>
      <c r="G211" s="364">
        <v>45935</v>
      </c>
      <c r="H211" s="365" t="s">
        <v>247</v>
      </c>
      <c r="I211" s="366" t="s">
        <v>278</v>
      </c>
      <c r="J211" s="385" t="s">
        <v>389</v>
      </c>
      <c r="K211" s="366" t="s">
        <v>676</v>
      </c>
      <c r="L211" s="367" t="s">
        <v>250</v>
      </c>
      <c r="M211" s="367" t="s">
        <v>269</v>
      </c>
      <c r="N211" s="368">
        <v>4982</v>
      </c>
      <c r="O211" s="379" t="s">
        <v>252</v>
      </c>
      <c r="P211"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1" s="370" t="s">
        <v>389</v>
      </c>
      <c r="R211" s="371" t="e">
        <v>#N/A</v>
      </c>
      <c r="S211" s="371">
        <v>1</v>
      </c>
      <c r="T211" s="371">
        <f>Table1[[#This Row],[Progres Total Aktual
(%)]]</f>
        <v>0</v>
      </c>
      <c r="U211" s="372">
        <f>Table1[[#This Row],[Progres Aktual
(%)]]-Table1[[#This Row],[Target Progres
(%)]]</f>
        <v>-1</v>
      </c>
      <c r="V211" s="373">
        <f>Table1[[#This Row],["Volume
BA MC-0"]]</f>
        <v>0</v>
      </c>
      <c r="W211" s="374">
        <f>Table1[[#This Row],[Total Panjang Pipa Aktual
(Sum-&gt;)3]]</f>
        <v>0</v>
      </c>
      <c r="X211" s="47"/>
      <c r="Y211" s="375" t="s">
        <v>1589</v>
      </c>
      <c r="Z211" s="375">
        <v>9866059312</v>
      </c>
      <c r="AA211" s="67">
        <f>Table1[[#This Row],[Nilai RAB Jaringan
(file pa aji)]]</f>
        <v>9866059312</v>
      </c>
      <c r="AB211" s="370">
        <f>SUM(Table1[[#This Row],[RAB Kegiatan Umum]:[RAB Perizinan]])</f>
        <v>0</v>
      </c>
      <c r="AC211" s="370"/>
      <c r="AD211" s="370"/>
      <c r="AE211" s="370"/>
      <c r="AF211" s="370"/>
      <c r="AG211" s="439">
        <v>2527216354</v>
      </c>
      <c r="AH211" s="371" t="e">
        <f>SUM(Table1[[#This Row],[Bobot Keg Umum]:[Bobot Perizinan]])</f>
        <v>#DIV/0!</v>
      </c>
      <c r="AI211" s="371" t="e">
        <f>Table1[[#This Row],[RAB Kegiatan Umum]]/Table1[[#This Row],[Nilai RAB Jaringan
(Exclude Ppn)]]</f>
        <v>#DIV/0!</v>
      </c>
      <c r="AJ211" s="371" t="e">
        <f>Table1[[#This Row],[RAB Pemasangan]]/Table1[[#This Row],[Nilai RAB Jaringan
(Exclude Ppn)]]</f>
        <v>#DIV/0!</v>
      </c>
      <c r="AK211" s="371" t="e">
        <f>Table1[[#This Row],[RAB Pengadaan]]/Table1[[#This Row],[Nilai RAB Jaringan
(Exclude Ppn)]]</f>
        <v>#DIV/0!</v>
      </c>
      <c r="AL211" s="371" t="e">
        <f>Table1[[#This Row],[RAB Perizinan]]/Table1[[#This Row],[Nilai RAB Jaringan
(Exclude Ppn)]]</f>
        <v>#DIV/0!</v>
      </c>
      <c r="AM211" s="47"/>
      <c r="AN211" s="376">
        <v>0</v>
      </c>
      <c r="AO211" s="376">
        <f>SUM(Table1[[#This Row],[Pipa 63 mm]:[Pipa 1,800 mm]])</f>
        <v>0</v>
      </c>
      <c r="AP211" s="376"/>
      <c r="AQ211" s="376"/>
      <c r="AR211" s="376"/>
      <c r="AS211" s="376"/>
      <c r="AT211" s="376"/>
      <c r="AU211" s="376"/>
      <c r="AV211" s="376"/>
      <c r="AW211" s="376"/>
      <c r="AX211" s="376"/>
      <c r="AY211" s="376"/>
      <c r="AZ211" s="376"/>
      <c r="BA211" s="376"/>
      <c r="BB211" s="376"/>
      <c r="BC211" s="376"/>
      <c r="BD211" s="376"/>
      <c r="BE211" s="376"/>
      <c r="BF211" s="376"/>
      <c r="BG211" s="376"/>
      <c r="BH211" s="376"/>
      <c r="BI211" s="376"/>
      <c r="BJ211" s="451">
        <f>SUM(Table1[[#This Row],[Pipa 63 mm2]:[Pipa 1,800 mm21]])</f>
        <v>0</v>
      </c>
      <c r="BK211" s="378"/>
      <c r="BL211" s="378"/>
      <c r="BM211" s="378"/>
      <c r="BN211" s="378"/>
      <c r="BO211" s="378"/>
      <c r="BP211" s="378"/>
      <c r="BQ211" s="378"/>
      <c r="BR211" s="378"/>
      <c r="BS211" s="378"/>
      <c r="BT211" s="378"/>
      <c r="BU211" s="378"/>
      <c r="BV211" s="378"/>
      <c r="BW211" s="378"/>
      <c r="BX211" s="378"/>
      <c r="BY211" s="378"/>
      <c r="BZ211" s="378"/>
      <c r="CA211" s="378"/>
      <c r="CB211" s="378"/>
      <c r="CC211" s="378"/>
      <c r="CD211" s="378"/>
      <c r="CE211" s="378">
        <v>0</v>
      </c>
      <c r="CF211" s="378">
        <v>0</v>
      </c>
      <c r="CG211" s="378">
        <v>0</v>
      </c>
      <c r="CH211" s="378">
        <v>0</v>
      </c>
      <c r="CI211" s="378">
        <f t="shared" si="12"/>
        <v>0</v>
      </c>
      <c r="CJ211" s="378">
        <f>IF((Table1[[#This Row],["Volume
BA MC-0"]]-Table1[[#This Row],[Total Panjang Pipa Aktual
(Sum-&gt;)3]]-Table1[[#This Row],[Total Volume
tidak dapat dipasang]])&gt;=0,Table1[[#This Row],["Volume
BA MC-0"]]-Table1[[#This Row],[Total Panjang Pipa Aktual
(Sum-&gt;)3]]-Table1[[#This Row],[Total Volume
tidak dapat dipasang]],0)</f>
        <v>0</v>
      </c>
      <c r="CK211" s="47"/>
      <c r="CL211" s="379"/>
      <c r="CM211" s="371"/>
      <c r="CN211" s="379"/>
      <c r="CO211" s="379"/>
      <c r="CP21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11" s="380">
        <f>IFERROR(Table1[[#This Row],[Progres Keg. Umum
(%)]]*Table1[[#This Row],[Nilai RAB Jaringan
(file pa aji)]],0)</f>
        <v>0</v>
      </c>
      <c r="CR211" s="380">
        <f>IFERROR(Table1[[#This Row],[Progres MOS
(%)]]*Table1[[#This Row],[Nilai RAB Jaringan
(file pa aji)]],0)</f>
        <v>0</v>
      </c>
      <c r="CS211" s="380">
        <f>IFERROR(Table1[[#This Row],[Progres Pemasangan
(%)]]*Table1[[#This Row],[Nilai RAB Jaringan
(file pa aji)]],0)</f>
        <v>0</v>
      </c>
      <c r="CT211" s="380">
        <f>IFERROR(Table1[[#This Row],[Progres Perizinan
(%)]]*Table1[[#This Row],[Nilai RAB Jaringan
(file pa aji)]],0)</f>
        <v>0</v>
      </c>
      <c r="CU211" s="329">
        <v>0</v>
      </c>
      <c r="CV211" s="329">
        <v>0</v>
      </c>
      <c r="CW211" s="582">
        <v>0</v>
      </c>
      <c r="CX211" s="329">
        <v>0</v>
      </c>
      <c r="CY211" s="47"/>
      <c r="CZ211" s="386">
        <v>45530</v>
      </c>
      <c r="DA211" s="386">
        <v>45564</v>
      </c>
      <c r="DB211" s="331">
        <v>45530</v>
      </c>
      <c r="DC211" s="367" t="s">
        <v>1590</v>
      </c>
      <c r="DD211" s="375">
        <v>9866059312</v>
      </c>
      <c r="DE21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1" s="331">
        <v>45538</v>
      </c>
      <c r="DG211" s="367" t="s">
        <v>1591</v>
      </c>
      <c r="DH211" s="375">
        <v>9866059312</v>
      </c>
      <c r="DI211"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1" s="386">
        <v>45565</v>
      </c>
      <c r="DK211" s="386">
        <v>45718</v>
      </c>
      <c r="DL211" s="331"/>
      <c r="DM211" s="367">
        <v>0</v>
      </c>
      <c r="DN21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11" s="331"/>
      <c r="DP211" s="367">
        <v>0</v>
      </c>
      <c r="DQ211" s="366">
        <v>0</v>
      </c>
      <c r="DR21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11" s="386">
        <v>45565</v>
      </c>
      <c r="DT211" s="386" t="e">
        <v>#N/A</v>
      </c>
      <c r="DU211" s="386">
        <v>45613</v>
      </c>
      <c r="DV211" s="386" t="e">
        <v>#N/A</v>
      </c>
      <c r="DW211" s="331"/>
      <c r="DX211" s="367">
        <v>0</v>
      </c>
      <c r="DY211" s="382"/>
      <c r="DZ211" s="382"/>
      <c r="EA21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11" s="331"/>
      <c r="EC211" s="332"/>
      <c r="ED211" s="332"/>
      <c r="EE211" s="330"/>
      <c r="EF211" s="371" t="b">
        <v>0</v>
      </c>
      <c r="EG211" s="383" t="b">
        <v>0</v>
      </c>
      <c r="EH211" s="316" t="str">
        <f>IF(Table1[[#This Row],[PO Material Aktual 
(%)]]&gt;=100%,"Selesai PO = 100%",IF(Table1[[#This Row],[PO Material Aktual 
(%)]]&gt;=50%,"Proses PO &gt; 100%",IF(Table1[[#This Row],[PO Material Aktual 
(%)]]&gt;0%,"Proses PO &gt; 50%",IF(Table1[[#This Row],[PO Material Aktual 
(%)]]=0,"Belum PO = 0%"))))</f>
        <v>Selesai PO = 100%</v>
      </c>
      <c r="EI21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1" s="386">
        <v>45614</v>
      </c>
      <c r="EK211" s="386" t="e">
        <v>#N/A</v>
      </c>
      <c r="EL211" s="386">
        <v>45774</v>
      </c>
      <c r="EM211" s="386" t="e">
        <v>#N/A</v>
      </c>
      <c r="EN211" s="331"/>
      <c r="EO211" s="332"/>
      <c r="EP211" s="332"/>
      <c r="EQ211" s="88" t="b">
        <v>0</v>
      </c>
      <c r="ER211" s="88" t="b">
        <v>0</v>
      </c>
      <c r="ES211" s="316" t="str">
        <f>IF(Table1[[#This Row],[Progres MOS]]&gt;=100%,"Selesai MOS = 100%",IF(Table1[[#This Row],[Progres MOS]]&gt;=50%,"Proses MOS &gt; 100%",IF(Table1[[#This Row],[Progres MOS]]&gt;0%,"Proses MOS &gt; 50%",IF(Table1[[#This Row],[Progres MOS]]=0,"Belum MOS = 0%"))))</f>
        <v>Selesai MOS = 100%</v>
      </c>
      <c r="ET21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1" s="47"/>
      <c r="EV211" s="386">
        <v>45565</v>
      </c>
      <c r="EW211" s="386" t="e">
        <v>#N/A</v>
      </c>
      <c r="EX211" s="386">
        <v>45746</v>
      </c>
      <c r="EY211" s="386" t="e">
        <v>#N/A</v>
      </c>
      <c r="EZ211" s="384" t="s">
        <v>1592</v>
      </c>
      <c r="FA211" s="385" t="s">
        <v>389</v>
      </c>
      <c r="FB211" s="386"/>
      <c r="FC211" s="330"/>
      <c r="FD211" s="386"/>
      <c r="FE211" s="386"/>
      <c r="FF211" s="386"/>
      <c r="FG211" s="386"/>
      <c r="FH211" s="386"/>
      <c r="FI211" s="386"/>
      <c r="FJ211" s="386"/>
      <c r="FK211" s="386"/>
      <c r="FL211" s="336" t="str">
        <f>Table1[[#This Row],[IPPJU]]</f>
        <v>8.Rekomtek Terbit</v>
      </c>
      <c r="FM211" s="336"/>
      <c r="FN211" s="314" t="str">
        <f>IF(Table1[[#This Row],[Tanggal Pengajuan Dokumen]]="","",Table1[[#This Row],[PLAN PERMIT
start]]-Table1[[#This Row],[Tanggal Pengajuan Dokumen]])</f>
        <v/>
      </c>
      <c r="FO211" s="444">
        <v>0</v>
      </c>
      <c r="FP211" s="316"/>
      <c r="FQ211" s="338"/>
      <c r="FR211" s="338"/>
      <c r="FS211" s="338" t="str">
        <f t="shared" si="11"/>
        <v>Sudah Terbit</v>
      </c>
      <c r="FT211"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1" s="387">
        <f ca="1">IF(Table1[[#This Row],[Status Izin]]="Selesai",Table1[[#This Row],[PLAN PERMIT
finish]]-Table1[[#This Row],[Tanggal Terbit/ Target Izin Terbit]],ROUNDUP(Table1[[#This Row],[PLAN PERMIT
finish]]-NOW(),0))</f>
        <v>45746</v>
      </c>
      <c r="FV211"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11" s="387"/>
      <c r="FX211" s="47"/>
      <c r="FY211" s="340"/>
      <c r="FZ211" s="341"/>
      <c r="GA21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1" s="386">
        <v>45720</v>
      </c>
      <c r="GC211" s="384">
        <v>45183</v>
      </c>
      <c r="GD211"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1" s="386">
        <v>45727</v>
      </c>
      <c r="GF211" s="384">
        <v>0</v>
      </c>
      <c r="GG211"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1" s="386">
        <v>45733</v>
      </c>
      <c r="GI211" s="386">
        <v>45739</v>
      </c>
      <c r="GJ211" s="384">
        <v>45552</v>
      </c>
      <c r="GK211"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1" s="386">
        <v>45747</v>
      </c>
      <c r="GM211" s="386" t="e">
        <v>#N/A</v>
      </c>
      <c r="GN211" s="386">
        <v>45816</v>
      </c>
      <c r="GO211" s="386" t="e">
        <v>#N/A</v>
      </c>
      <c r="GP211" s="367"/>
      <c r="GQ211"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1" s="386" t="s">
        <v>261</v>
      </c>
      <c r="GS211" s="434" t="s">
        <v>261</v>
      </c>
      <c r="GT211" s="390"/>
      <c r="GU211" s="435" t="str">
        <f>IF(Table1[[#This Row],[Hydro Tes Actual
(tanggal)]]&lt;&gt;"","Sudah","Belum")</f>
        <v>Belum</v>
      </c>
      <c r="GV211" s="386" t="s">
        <v>261</v>
      </c>
      <c r="GW211" s="386" t="s">
        <v>261</v>
      </c>
      <c r="GX211" s="388"/>
      <c r="GY211" s="344" t="str">
        <f>IF(Table1[[#This Row],[Interkoneksi Actual
(tanggal)]]&lt;&gt;"","Sudah","Belum")</f>
        <v>Belum</v>
      </c>
      <c r="GZ211" s="386" t="s">
        <v>261</v>
      </c>
      <c r="HA211" s="386" t="s">
        <v>261</v>
      </c>
      <c r="HB211" s="388"/>
      <c r="HC211" s="344" t="str">
        <f>IF(Table1[[#This Row],[Flushing Actual
(tanggal)]]&lt;&gt;"","Sudah","Belum")</f>
        <v>Belum</v>
      </c>
      <c r="HD211" s="386">
        <v>45789</v>
      </c>
      <c r="HE211" s="386" t="e">
        <v>#N/A</v>
      </c>
      <c r="HF211" s="386">
        <v>45809</v>
      </c>
      <c r="HG211" s="384"/>
      <c r="HH211"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1" s="386" t="s">
        <v>261</v>
      </c>
      <c r="HJ211" s="386" t="s">
        <v>261</v>
      </c>
      <c r="HK211" s="388"/>
      <c r="HL211" s="367"/>
      <c r="HM211" s="386">
        <v>45828</v>
      </c>
      <c r="HN211" s="386">
        <v>45828</v>
      </c>
      <c r="HO211" s="386" t="e">
        <v>#N/A</v>
      </c>
      <c r="HP211" s="388"/>
      <c r="HQ211"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11" s="386">
        <v>45835</v>
      </c>
      <c r="HS211" s="386"/>
      <c r="HT211" s="386">
        <v>45835</v>
      </c>
      <c r="HU211" s="613"/>
      <c r="HV211" s="388"/>
      <c r="HW211"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11" s="47"/>
      <c r="HY211" s="384"/>
      <c r="HZ211" s="384"/>
      <c r="IB211" s="618">
        <f>IFERROR(ROUND((Table1[[#This Row],[PLAN TC
finish]]-Table1[[#This Row],[PLAN MC-0
start]])/30,2),"")</f>
        <v>2.5299999999999998</v>
      </c>
      <c r="IC211">
        <f>DATEDIF(Table1[[#This Row],[PLAN MC-0
start]],Table1[[#This Row],[PLAN TC
finish]],"m")</f>
        <v>2</v>
      </c>
    </row>
    <row r="212" spans="1:237" s="4" customFormat="1" ht="15" hidden="1" customHeight="1" x14ac:dyDescent="0.2">
      <c r="B212" s="311">
        <f>SUBTOTAL(3,$D$5:D212)</f>
        <v>84</v>
      </c>
      <c r="C212" s="348">
        <v>208</v>
      </c>
      <c r="D212" s="315" t="s">
        <v>673</v>
      </c>
      <c r="E212" s="338" t="s">
        <v>1593</v>
      </c>
      <c r="F212" s="338" t="s">
        <v>1594</v>
      </c>
      <c r="G212" s="349">
        <v>45935</v>
      </c>
      <c r="H212" s="314" t="s">
        <v>247</v>
      </c>
      <c r="I212" s="338" t="s">
        <v>278</v>
      </c>
      <c r="J212" s="315" t="s">
        <v>882</v>
      </c>
      <c r="K212" s="338" t="s">
        <v>676</v>
      </c>
      <c r="L212" s="316" t="s">
        <v>250</v>
      </c>
      <c r="M212" s="316" t="s">
        <v>269</v>
      </c>
      <c r="N212" s="107">
        <v>2812</v>
      </c>
      <c r="O212" s="131" t="s">
        <v>252</v>
      </c>
      <c r="P21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2" s="35" t="e">
        <v>#N/A</v>
      </c>
      <c r="S212" s="35">
        <v>1</v>
      </c>
      <c r="T212" s="35">
        <f>Table1[[#This Row],[Progres Total Aktual
(%)]]</f>
        <v>1</v>
      </c>
      <c r="U212" s="124">
        <f>Table1[[#This Row],[Progres Aktual
(%)]]-Table1[[#This Row],[Target Progres
(%)]]</f>
        <v>0</v>
      </c>
      <c r="V212" s="350">
        <f>Table1[[#This Row],["Volume
BA MC-0"]]</f>
        <v>2867</v>
      </c>
      <c r="W212" s="351">
        <f>Table1[[#This Row],[Total Panjang Pipa Aktual
(Sum-&gt;)3]]</f>
        <v>2259</v>
      </c>
      <c r="X212" s="47"/>
      <c r="Y212" s="67" t="s">
        <v>1595</v>
      </c>
      <c r="Z212" s="67">
        <v>5998011405</v>
      </c>
      <c r="AA212" s="67">
        <f>Table1[[#This Row],[Nilai RAB Jaringan
(file pa aji)]]</f>
        <v>5998011405</v>
      </c>
      <c r="AB212" s="320">
        <f>SUM(Table1[[#This Row],[RAB Kegiatan Umum]:[RAB Perizinan]])</f>
        <v>0</v>
      </c>
      <c r="AC212" s="320"/>
      <c r="AD212" s="320"/>
      <c r="AE212" s="320"/>
      <c r="AF212" s="320"/>
      <c r="AG212" s="436">
        <v>297199004</v>
      </c>
      <c r="AH212" s="35" t="e">
        <f>SUM(Table1[[#This Row],[Bobot Keg Umum]:[Bobot Perizinan]])</f>
        <v>#DIV/0!</v>
      </c>
      <c r="AI212" s="35" t="e">
        <f>Table1[[#This Row],[RAB Kegiatan Umum]]/Table1[[#This Row],[Nilai RAB Jaringan
(Exclude Ppn)]]</f>
        <v>#DIV/0!</v>
      </c>
      <c r="AJ212" s="35" t="e">
        <f>Table1[[#This Row],[RAB Pemasangan]]/Table1[[#This Row],[Nilai RAB Jaringan
(Exclude Ppn)]]</f>
        <v>#DIV/0!</v>
      </c>
      <c r="AK212" s="35" t="e">
        <f>Table1[[#This Row],[RAB Pengadaan]]/Table1[[#This Row],[Nilai RAB Jaringan
(Exclude Ppn)]]</f>
        <v>#DIV/0!</v>
      </c>
      <c r="AL212" s="35" t="e">
        <f>Table1[[#This Row],[RAB Perizinan]]/Table1[[#This Row],[Nilai RAB Jaringan
(Exclude Ppn)]]</f>
        <v>#DIV/0!</v>
      </c>
      <c r="AM212" s="47"/>
      <c r="AN212" s="285">
        <v>2867</v>
      </c>
      <c r="AO212" s="285">
        <f>SUM(Table1[[#This Row],[Pipa 63 mm]:[Pipa 1,800 mm]])</f>
        <v>0</v>
      </c>
      <c r="AP212" s="285"/>
      <c r="AQ212" s="285"/>
      <c r="AR212" s="285"/>
      <c r="AS212" s="285"/>
      <c r="AT212" s="285"/>
      <c r="AU212" s="285"/>
      <c r="AV212" s="285"/>
      <c r="AW212" s="285"/>
      <c r="AX212" s="285"/>
      <c r="AY212" s="285"/>
      <c r="AZ212" s="285"/>
      <c r="BA212" s="285"/>
      <c r="BB212" s="285"/>
      <c r="BC212" s="285"/>
      <c r="BD212" s="285"/>
      <c r="BE212" s="285"/>
      <c r="BF212" s="285"/>
      <c r="BG212" s="285"/>
      <c r="BH212" s="285"/>
      <c r="BI212" s="285"/>
      <c r="BJ212" s="446">
        <f>SUM(Table1[[#This Row],[Pipa 63 mm2]:[Pipa 1,800 mm21]])</f>
        <v>2259</v>
      </c>
      <c r="BK212" s="32">
        <v>1315</v>
      </c>
      <c r="BL212" s="32">
        <v>445</v>
      </c>
      <c r="BM212" s="32">
        <v>54</v>
      </c>
      <c r="BN212" s="32">
        <v>445</v>
      </c>
      <c r="BO212" s="32"/>
      <c r="BP212" s="32"/>
      <c r="BQ212" s="32"/>
      <c r="BR212" s="32"/>
      <c r="BS212" s="32"/>
      <c r="BT212" s="32"/>
      <c r="BU212" s="32"/>
      <c r="BV212" s="32"/>
      <c r="BW212" s="32"/>
      <c r="BX212" s="32"/>
      <c r="BY212" s="32"/>
      <c r="BZ212" s="32"/>
      <c r="CA212" s="32"/>
      <c r="CB212" s="32"/>
      <c r="CC212" s="32"/>
      <c r="CD212" s="32"/>
      <c r="CE212" s="32">
        <v>0</v>
      </c>
      <c r="CF212" s="32">
        <v>0</v>
      </c>
      <c r="CG212" s="32">
        <v>0</v>
      </c>
      <c r="CH212" s="32">
        <v>0</v>
      </c>
      <c r="CI212" s="32">
        <f t="shared" si="12"/>
        <v>0</v>
      </c>
      <c r="CJ212" s="65">
        <f>IF((Table1[[#This Row],["Volume
BA MC-0"]]-Table1[[#This Row],[Total Panjang Pipa Aktual
(Sum-&gt;)3]]-Table1[[#This Row],[Total Volume
tidak dapat dipasang]])&gt;=0,Table1[[#This Row],["Volume
BA MC-0"]]-Table1[[#This Row],[Total Panjang Pipa Aktual
(Sum-&gt;)3]]-Table1[[#This Row],[Total Volume
tidak dapat dipasang]],0)</f>
        <v>608</v>
      </c>
      <c r="CK212" s="47"/>
      <c r="CL212" s="131"/>
      <c r="CM212" s="35"/>
      <c r="CN212" s="131"/>
      <c r="CO212" s="131"/>
      <c r="CP21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2" s="66">
        <f>IFERROR(Table1[[#This Row],[Progres Keg. Umum
(%)]]*Table1[[#This Row],[Nilai RAB Jaringan
(file pa aji)]],0)</f>
        <v>0</v>
      </c>
      <c r="CR212" s="66">
        <f>IFERROR(Table1[[#This Row],[Progres MOS
(%)]]*Table1[[#This Row],[Nilai RAB Jaringan
(file pa aji)]],0)</f>
        <v>0</v>
      </c>
      <c r="CS212" s="66">
        <f>IFERROR(Table1[[#This Row],[Progres Pemasangan
(%)]]*Table1[[#This Row],[Nilai RAB Jaringan
(file pa aji)]],0)</f>
        <v>0</v>
      </c>
      <c r="CT212" s="66">
        <f>IFERROR(Table1[[#This Row],[Progres Perizinan
(%)]]*Table1[[#This Row],[Nilai RAB Jaringan
(file pa aji)]],0)</f>
        <v>0</v>
      </c>
      <c r="CU212" s="329">
        <v>3296659365</v>
      </c>
      <c r="CV212" s="329">
        <v>3296659365</v>
      </c>
      <c r="CW212" s="329">
        <v>3296659365</v>
      </c>
      <c r="CX212" s="329">
        <v>3296659365</v>
      </c>
      <c r="CY212" s="47"/>
      <c r="CZ212" s="330">
        <v>45593</v>
      </c>
      <c r="DA212" s="330">
        <v>45620</v>
      </c>
      <c r="DB212" s="331">
        <v>45614</v>
      </c>
      <c r="DC212" s="316" t="s">
        <v>1596</v>
      </c>
      <c r="DD212" s="67">
        <v>5998011405</v>
      </c>
      <c r="DE21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2" s="331">
        <v>45627</v>
      </c>
      <c r="DG212" s="316" t="s">
        <v>1597</v>
      </c>
      <c r="DH212" s="67">
        <v>5998011405</v>
      </c>
      <c r="DI21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2" s="330">
        <v>45621</v>
      </c>
      <c r="DK212" s="330">
        <v>45683</v>
      </c>
      <c r="DL212" s="331">
        <v>45701</v>
      </c>
      <c r="DM212" s="316" t="s">
        <v>1598</v>
      </c>
      <c r="DN21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2" s="331">
        <v>45714</v>
      </c>
      <c r="DP212" s="316" t="s">
        <v>1599</v>
      </c>
      <c r="DQ212" s="338" t="s">
        <v>365</v>
      </c>
      <c r="DR21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2" s="330">
        <v>45621</v>
      </c>
      <c r="DT212" s="330" t="e">
        <v>#N/A</v>
      </c>
      <c r="DU212" s="330">
        <v>45662</v>
      </c>
      <c r="DV212" s="330" t="e">
        <v>#N/A</v>
      </c>
      <c r="DW212" s="331">
        <v>45701</v>
      </c>
      <c r="DX212" s="316" t="s">
        <v>1600</v>
      </c>
      <c r="DY212" s="334"/>
      <c r="DZ212" s="334"/>
      <c r="EA21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2" s="331">
        <v>45839</v>
      </c>
      <c r="EC212" s="332"/>
      <c r="ED212" s="332"/>
      <c r="EE212" s="330" t="s">
        <v>1601</v>
      </c>
      <c r="EF212" s="35">
        <v>1</v>
      </c>
      <c r="EG212" s="337">
        <v>1</v>
      </c>
      <c r="EH212" s="316" t="str">
        <f>IF(Table1[[#This Row],[PO Material Aktual 
(%)]]&gt;=100%,"Selesai PO = 100%",IF(Table1[[#This Row],[PO Material Aktual 
(%)]]&gt;=50%,"Proses PO &gt; 100%",IF(Table1[[#This Row],[PO Material Aktual 
(%)]]&gt;0%,"Proses PO &gt; 50%",IF(Table1[[#This Row],[PO Material Aktual 
(%)]]=0,"Belum PO = 0%"))))</f>
        <v>Selesai PO = 100%</v>
      </c>
      <c r="EI21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2" s="330">
        <v>45663</v>
      </c>
      <c r="EK212" s="330" t="e">
        <v>#N/A</v>
      </c>
      <c r="EL212" s="330">
        <v>45746</v>
      </c>
      <c r="EM212" s="330" t="e">
        <v>#N/A</v>
      </c>
      <c r="EN212" s="331">
        <v>46151</v>
      </c>
      <c r="EO212" s="332"/>
      <c r="EP212" s="332"/>
      <c r="EQ212" s="87">
        <v>1</v>
      </c>
      <c r="ER212" s="87">
        <v>1</v>
      </c>
      <c r="ES212" s="316" t="str">
        <f>IF(Table1[[#This Row],[Progres MOS]]&gt;=100%,"Selesai MOS = 100%",IF(Table1[[#This Row],[Progres MOS]]&gt;=50%,"Proses MOS &gt; 100%",IF(Table1[[#This Row],[Progres MOS]]&gt;0%,"Proses MOS &gt; 50%",IF(Table1[[#This Row],[Progres MOS]]=0,"Belum MOS = 0%"))))</f>
        <v>Selesai MOS = 100%</v>
      </c>
      <c r="ET21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2" s="47"/>
      <c r="EV212" s="330">
        <v>45621</v>
      </c>
      <c r="EW212" s="330" t="e">
        <v>#N/A</v>
      </c>
      <c r="EX212" s="330">
        <v>45711</v>
      </c>
      <c r="EY212" s="330" t="e">
        <v>#N/A</v>
      </c>
      <c r="EZ212" s="352" t="s">
        <v>298</v>
      </c>
      <c r="FA212" s="336" t="s">
        <v>259</v>
      </c>
      <c r="FB212" s="330" t="s">
        <v>260</v>
      </c>
      <c r="FC212" s="330">
        <v>45805</v>
      </c>
      <c r="FD212" s="330" t="s">
        <v>260</v>
      </c>
      <c r="FE212" s="330">
        <v>45863</v>
      </c>
      <c r="FF212" s="330">
        <v>45958</v>
      </c>
      <c r="FG212" s="330" t="s">
        <v>260</v>
      </c>
      <c r="FH212" s="330" t="s">
        <v>260</v>
      </c>
      <c r="FI212" s="330">
        <v>46003</v>
      </c>
      <c r="FJ212" s="330" t="s">
        <v>260</v>
      </c>
      <c r="FK212" s="330">
        <v>46111</v>
      </c>
      <c r="FL212" s="336" t="s">
        <v>298</v>
      </c>
      <c r="FM212" s="352">
        <v>45805</v>
      </c>
      <c r="FN212" s="338">
        <f>IF(Table1[[#This Row],[Tanggal Pengajuan Dokumen]]="","",Table1[[#This Row],[PLAN PERMIT
start]]-Table1[[#This Row],[Tanggal Pengajuan Dokumen]])</f>
        <v>-184</v>
      </c>
      <c r="FO212" s="437">
        <v>46086</v>
      </c>
      <c r="FP212" s="316"/>
      <c r="FQ212" s="338"/>
      <c r="FR212" s="338"/>
      <c r="FS212" s="338" t="str">
        <f t="shared" si="11"/>
        <v>Sudah Terbit</v>
      </c>
      <c r="FT21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2" s="344">
        <f ca="1">IF(Table1[[#This Row],[Status Izin]]="Selesai",Table1[[#This Row],[PLAN PERMIT
finish]]-Table1[[#This Row],[Tanggal Terbit/ Target Izin Terbit]],ROUNDUP(Table1[[#This Row],[PLAN PERMIT
finish]]-NOW(),0))</f>
        <v>-375</v>
      </c>
      <c r="FV21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2" s="344"/>
      <c r="FX212" s="47"/>
      <c r="FY212" s="340"/>
      <c r="FZ212" s="341"/>
      <c r="GA21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2" s="330">
        <v>45685</v>
      </c>
      <c r="GC212" s="352">
        <v>45547</v>
      </c>
      <c r="GD21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2" s="330">
        <v>45692</v>
      </c>
      <c r="GF212" s="352">
        <v>45547</v>
      </c>
      <c r="GG21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2" s="330">
        <v>45698</v>
      </c>
      <c r="GI212" s="330">
        <v>45704</v>
      </c>
      <c r="GJ212" s="352">
        <v>45705</v>
      </c>
      <c r="GK21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2" s="330">
        <v>45712</v>
      </c>
      <c r="GM212" s="330" t="e">
        <v>#N/A</v>
      </c>
      <c r="GN212" s="330">
        <v>45816</v>
      </c>
      <c r="GO212" s="330" t="e">
        <v>#N/A</v>
      </c>
      <c r="GP212" s="316"/>
      <c r="GQ21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2" s="330" t="s">
        <v>261</v>
      </c>
      <c r="GS212" s="421" t="s">
        <v>261</v>
      </c>
      <c r="GT212" s="452" t="s">
        <v>1602</v>
      </c>
      <c r="GU212" s="423" t="str">
        <f>IF(Table1[[#This Row],[Hydro Tes Actual
(tanggal)]]&lt;&gt;"","Sudah","Belum")</f>
        <v>Sudah</v>
      </c>
      <c r="GV212" s="330" t="s">
        <v>261</v>
      </c>
      <c r="GW212" s="330" t="s">
        <v>261</v>
      </c>
      <c r="GX212" s="331">
        <v>45898</v>
      </c>
      <c r="GY212" s="344" t="str">
        <f>IF(Table1[[#This Row],[Interkoneksi Actual
(tanggal)]]&lt;&gt;"","Sudah","Belum")</f>
        <v>Sudah</v>
      </c>
      <c r="GZ212" s="330" t="s">
        <v>261</v>
      </c>
      <c r="HA212" s="330" t="s">
        <v>261</v>
      </c>
      <c r="HB212" s="331">
        <v>45901</v>
      </c>
      <c r="HC212" s="344" t="str">
        <f>IF(Table1[[#This Row],[Flushing Actual
(tanggal)]]&lt;&gt;"","Sudah","Belum")</f>
        <v>Sudah</v>
      </c>
      <c r="HD212" s="330">
        <v>45789</v>
      </c>
      <c r="HE212" s="330" t="e">
        <v>#N/A</v>
      </c>
      <c r="HF212" s="330">
        <v>45809</v>
      </c>
      <c r="HG212" s="352">
        <v>45957</v>
      </c>
      <c r="HH21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2" s="330" t="s">
        <v>261</v>
      </c>
      <c r="HJ212" s="330" t="s">
        <v>261</v>
      </c>
      <c r="HK212" s="331"/>
      <c r="HL212" s="316"/>
      <c r="HM212" s="330">
        <v>45828</v>
      </c>
      <c r="HN212" s="330">
        <v>45828</v>
      </c>
      <c r="HO212" s="330" t="e">
        <v>#N/A</v>
      </c>
      <c r="HP212" s="331">
        <v>45992</v>
      </c>
      <c r="HQ21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12" s="330">
        <v>45835</v>
      </c>
      <c r="HS212" s="330"/>
      <c r="HT212" s="330">
        <v>45835</v>
      </c>
      <c r="HU212" s="527"/>
      <c r="HV212" s="331">
        <v>46009</v>
      </c>
      <c r="HW21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12" s="47"/>
      <c r="HY212" s="352"/>
      <c r="HZ212" s="352"/>
      <c r="IB212" s="618">
        <f>IFERROR(ROUND((Table1[[#This Row],[PLAN TC
finish]]-Table1[[#This Row],[PLAN MC-0
start]])/30,2),"")</f>
        <v>3.7</v>
      </c>
      <c r="IC212">
        <f>DATEDIF(Table1[[#This Row],[PLAN MC-0
start]],Table1[[#This Row],[PLAN TC
finish]],"m")</f>
        <v>3</v>
      </c>
    </row>
    <row r="213" spans="1:237" s="30" customFormat="1" ht="15" hidden="1" customHeight="1" x14ac:dyDescent="0.2">
      <c r="A213" s="77"/>
      <c r="B213" s="311">
        <f>SUBTOTAL(3,$D$5:D213)</f>
        <v>84</v>
      </c>
      <c r="C213" s="362">
        <v>209</v>
      </c>
      <c r="D213" s="363" t="s">
        <v>673</v>
      </c>
      <c r="E213" s="366" t="s">
        <v>1603</v>
      </c>
      <c r="F213" s="366" t="s">
        <v>1604</v>
      </c>
      <c r="G213" s="364">
        <v>45935</v>
      </c>
      <c r="H213" s="365" t="s">
        <v>247</v>
      </c>
      <c r="I213" s="366" t="s">
        <v>278</v>
      </c>
      <c r="J213" s="385" t="s">
        <v>389</v>
      </c>
      <c r="K213" s="366" t="s">
        <v>676</v>
      </c>
      <c r="L213" s="367" t="s">
        <v>250</v>
      </c>
      <c r="M213" s="367" t="s">
        <v>269</v>
      </c>
      <c r="N213" s="368">
        <v>75</v>
      </c>
      <c r="O213" s="379" t="s">
        <v>252</v>
      </c>
      <c r="P213"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3" s="370" t="s">
        <v>389</v>
      </c>
      <c r="R213" s="371" t="e">
        <v>#N/A</v>
      </c>
      <c r="S213" s="371">
        <v>1</v>
      </c>
      <c r="T213" s="371">
        <f>Table1[[#This Row],[Progres Total Aktual
(%)]]</f>
        <v>0</v>
      </c>
      <c r="U213" s="372">
        <f>Table1[[#This Row],[Progres Aktual
(%)]]-Table1[[#This Row],[Target Progres
(%)]]</f>
        <v>-1</v>
      </c>
      <c r="V213" s="373">
        <f>Table1[[#This Row],["Volume
BA MC-0"]]</f>
        <v>0</v>
      </c>
      <c r="W213" s="374">
        <f>Table1[[#This Row],[Total Panjang Pipa Aktual
(Sum-&gt;)3]]</f>
        <v>0</v>
      </c>
      <c r="X213" s="47"/>
      <c r="Y213" s="375" t="s">
        <v>1605</v>
      </c>
      <c r="Z213" s="375">
        <v>270129954</v>
      </c>
      <c r="AA213" s="67">
        <f>Table1[[#This Row],[Nilai RAB Jaringan
(file pa aji)]]</f>
        <v>270129954</v>
      </c>
      <c r="AB213" s="370">
        <f>SUM(Table1[[#This Row],[RAB Kegiatan Umum]:[RAB Perizinan]])</f>
        <v>0</v>
      </c>
      <c r="AC213" s="370"/>
      <c r="AD213" s="370"/>
      <c r="AE213" s="370"/>
      <c r="AF213" s="370"/>
      <c r="AG213" s="439">
        <v>26645428</v>
      </c>
      <c r="AH213" s="371" t="e">
        <f>SUM(Table1[[#This Row],[Bobot Keg Umum]:[Bobot Perizinan]])</f>
        <v>#DIV/0!</v>
      </c>
      <c r="AI213" s="371" t="e">
        <f>Table1[[#This Row],[RAB Kegiatan Umum]]/Table1[[#This Row],[Nilai RAB Jaringan
(Exclude Ppn)]]</f>
        <v>#DIV/0!</v>
      </c>
      <c r="AJ213" s="371" t="e">
        <f>Table1[[#This Row],[RAB Pemasangan]]/Table1[[#This Row],[Nilai RAB Jaringan
(Exclude Ppn)]]</f>
        <v>#DIV/0!</v>
      </c>
      <c r="AK213" s="371" t="e">
        <f>Table1[[#This Row],[RAB Pengadaan]]/Table1[[#This Row],[Nilai RAB Jaringan
(Exclude Ppn)]]</f>
        <v>#DIV/0!</v>
      </c>
      <c r="AL213" s="371" t="e">
        <f>Table1[[#This Row],[RAB Perizinan]]/Table1[[#This Row],[Nilai RAB Jaringan
(Exclude Ppn)]]</f>
        <v>#DIV/0!</v>
      </c>
      <c r="AM213" s="47"/>
      <c r="AN213" s="376">
        <v>0</v>
      </c>
      <c r="AO213" s="376">
        <f>SUM(Table1[[#This Row],[Pipa 63 mm]:[Pipa 1,800 mm]])</f>
        <v>0</v>
      </c>
      <c r="AP213" s="376"/>
      <c r="AQ213" s="376"/>
      <c r="AR213" s="376"/>
      <c r="AS213" s="376"/>
      <c r="AT213" s="376"/>
      <c r="AU213" s="376"/>
      <c r="AV213" s="376"/>
      <c r="AW213" s="376"/>
      <c r="AX213" s="376"/>
      <c r="AY213" s="376"/>
      <c r="AZ213" s="376"/>
      <c r="BA213" s="376"/>
      <c r="BB213" s="376"/>
      <c r="BC213" s="376"/>
      <c r="BD213" s="376"/>
      <c r="BE213" s="376"/>
      <c r="BF213" s="376"/>
      <c r="BG213" s="376"/>
      <c r="BH213" s="376"/>
      <c r="BI213" s="376"/>
      <c r="BJ213" s="451">
        <f>SUM(Table1[[#This Row],[Pipa 63 mm2]:[Pipa 1,800 mm21]])</f>
        <v>0</v>
      </c>
      <c r="BK213" s="378"/>
      <c r="BL213" s="378"/>
      <c r="BM213" s="378"/>
      <c r="BN213" s="378"/>
      <c r="BO213" s="378"/>
      <c r="BP213" s="378"/>
      <c r="BQ213" s="378"/>
      <c r="BR213" s="378"/>
      <c r="BS213" s="378"/>
      <c r="BT213" s="378"/>
      <c r="BU213" s="378"/>
      <c r="BV213" s="378"/>
      <c r="BW213" s="378"/>
      <c r="BX213" s="378"/>
      <c r="BY213" s="378"/>
      <c r="BZ213" s="378"/>
      <c r="CA213" s="378"/>
      <c r="CB213" s="378"/>
      <c r="CC213" s="378"/>
      <c r="CD213" s="378"/>
      <c r="CE213" s="378">
        <v>0</v>
      </c>
      <c r="CF213" s="378">
        <v>0</v>
      </c>
      <c r="CG213" s="378">
        <v>0</v>
      </c>
      <c r="CH213" s="378">
        <v>0</v>
      </c>
      <c r="CI213" s="378">
        <f t="shared" si="12"/>
        <v>0</v>
      </c>
      <c r="CJ213" s="378">
        <f>IF((Table1[[#This Row],["Volume
BA MC-0"]]-Table1[[#This Row],[Total Panjang Pipa Aktual
(Sum-&gt;)3]]-Table1[[#This Row],[Total Volume
tidak dapat dipasang]])&gt;=0,Table1[[#This Row],["Volume
BA MC-0"]]-Table1[[#This Row],[Total Panjang Pipa Aktual
(Sum-&gt;)3]]-Table1[[#This Row],[Total Volume
tidak dapat dipasang]],0)</f>
        <v>0</v>
      </c>
      <c r="CK213" s="47"/>
      <c r="CL213" s="379"/>
      <c r="CM213" s="371"/>
      <c r="CN213" s="379"/>
      <c r="CO213" s="379"/>
      <c r="CP21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13" s="380">
        <f>IFERROR(Table1[[#This Row],[Progres Keg. Umum
(%)]]*Table1[[#This Row],[Nilai RAB Jaringan
(file pa aji)]],0)</f>
        <v>0</v>
      </c>
      <c r="CR213" s="380">
        <f>IFERROR(Table1[[#This Row],[Progres MOS
(%)]]*Table1[[#This Row],[Nilai RAB Jaringan
(file pa aji)]],0)</f>
        <v>0</v>
      </c>
      <c r="CS213" s="380">
        <f>IFERROR(Table1[[#This Row],[Progres Pemasangan
(%)]]*Table1[[#This Row],[Nilai RAB Jaringan
(file pa aji)]],0)</f>
        <v>0</v>
      </c>
      <c r="CT213" s="380">
        <f>IFERROR(Table1[[#This Row],[Progres Perizinan
(%)]]*Table1[[#This Row],[Nilai RAB Jaringan
(file pa aji)]],0)</f>
        <v>0</v>
      </c>
      <c r="CU213" s="329">
        <v>0</v>
      </c>
      <c r="CV213" s="329">
        <v>0</v>
      </c>
      <c r="CW213" s="582">
        <v>0</v>
      </c>
      <c r="CX213" s="329">
        <v>0</v>
      </c>
      <c r="CY213" s="47"/>
      <c r="CZ213" s="386">
        <v>45593</v>
      </c>
      <c r="DA213" s="386">
        <v>45620</v>
      </c>
      <c r="DB213" s="331">
        <v>45614</v>
      </c>
      <c r="DC213" s="367" t="s">
        <v>1606</v>
      </c>
      <c r="DD213" s="375">
        <v>270129954</v>
      </c>
      <c r="DE21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3" s="331">
        <v>45627</v>
      </c>
      <c r="DG213" s="367" t="s">
        <v>1607</v>
      </c>
      <c r="DH213" s="375">
        <v>270129954</v>
      </c>
      <c r="DI213"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3" s="386">
        <v>45621</v>
      </c>
      <c r="DK213" s="386">
        <v>45683</v>
      </c>
      <c r="DL213" s="331"/>
      <c r="DM213" s="367">
        <v>0</v>
      </c>
      <c r="DN21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13" s="331"/>
      <c r="DP213" s="367">
        <v>0</v>
      </c>
      <c r="DQ213" s="366">
        <v>0</v>
      </c>
      <c r="DR21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13" s="386">
        <v>45621</v>
      </c>
      <c r="DT213" s="386" t="e">
        <v>#N/A</v>
      </c>
      <c r="DU213" s="386">
        <v>45662</v>
      </c>
      <c r="DV213" s="386" t="e">
        <v>#N/A</v>
      </c>
      <c r="DW213" s="331"/>
      <c r="DX213" s="367">
        <v>0</v>
      </c>
      <c r="DY213" s="382"/>
      <c r="DZ213" s="382"/>
      <c r="EA21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13" s="331"/>
      <c r="EC213" s="332"/>
      <c r="ED213" s="332"/>
      <c r="EE213" s="330"/>
      <c r="EF213" s="371" t="b">
        <v>0</v>
      </c>
      <c r="EG213" s="383" t="b">
        <v>0</v>
      </c>
      <c r="EH213" s="316" t="str">
        <f>IF(Table1[[#This Row],[PO Material Aktual 
(%)]]&gt;=100%,"Selesai PO = 100%",IF(Table1[[#This Row],[PO Material Aktual 
(%)]]&gt;=50%,"Proses PO &gt; 100%",IF(Table1[[#This Row],[PO Material Aktual 
(%)]]&gt;0%,"Proses PO &gt; 50%",IF(Table1[[#This Row],[PO Material Aktual 
(%)]]=0,"Belum PO = 0%"))))</f>
        <v>Selesai PO = 100%</v>
      </c>
      <c r="EI21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3" s="386">
        <v>45663</v>
      </c>
      <c r="EK213" s="386" t="e">
        <v>#N/A</v>
      </c>
      <c r="EL213" s="386">
        <v>45746</v>
      </c>
      <c r="EM213" s="386" t="e">
        <v>#N/A</v>
      </c>
      <c r="EN213" s="331"/>
      <c r="EO213" s="332"/>
      <c r="EP213" s="332"/>
      <c r="EQ213" s="88" t="b">
        <v>0</v>
      </c>
      <c r="ER213" s="88" t="b">
        <v>0</v>
      </c>
      <c r="ES213" s="316" t="str">
        <f>IF(Table1[[#This Row],[Progres MOS]]&gt;=100%,"Selesai MOS = 100%",IF(Table1[[#This Row],[Progres MOS]]&gt;=50%,"Proses MOS &gt; 100%",IF(Table1[[#This Row],[Progres MOS]]&gt;0%,"Proses MOS &gt; 50%",IF(Table1[[#This Row],[Progres MOS]]=0,"Belum MOS = 0%"))))</f>
        <v>Selesai MOS = 100%</v>
      </c>
      <c r="ET21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3" s="47"/>
      <c r="EV213" s="386">
        <v>45621</v>
      </c>
      <c r="EW213" s="386" t="e">
        <v>#N/A</v>
      </c>
      <c r="EX213" s="386">
        <v>45711</v>
      </c>
      <c r="EY213" s="386" t="e">
        <v>#N/A</v>
      </c>
      <c r="EZ213" s="384" t="s">
        <v>1592</v>
      </c>
      <c r="FA213" s="385" t="s">
        <v>389</v>
      </c>
      <c r="FB213" s="386"/>
      <c r="FC213" s="330"/>
      <c r="FD213" s="386"/>
      <c r="FE213" s="386"/>
      <c r="FF213" s="386"/>
      <c r="FG213" s="386"/>
      <c r="FH213" s="386"/>
      <c r="FI213" s="386"/>
      <c r="FJ213" s="386"/>
      <c r="FK213" s="386"/>
      <c r="FL213" s="336" t="str">
        <f>Table1[[#This Row],[IPPJU]]</f>
        <v>8.Rekomtek Terbit</v>
      </c>
      <c r="FM213" s="336"/>
      <c r="FN213" s="314" t="str">
        <f>IF(Table1[[#This Row],[Tanggal Pengajuan Dokumen]]="","",Table1[[#This Row],[PLAN PERMIT
start]]-Table1[[#This Row],[Tanggal Pengajuan Dokumen]])</f>
        <v/>
      </c>
      <c r="FO213" s="444">
        <v>0</v>
      </c>
      <c r="FP213" s="316"/>
      <c r="FQ213" s="338"/>
      <c r="FR213" s="338"/>
      <c r="FS213" s="338" t="str">
        <f t="shared" si="11"/>
        <v>Sudah Terbit</v>
      </c>
      <c r="FT213"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3" s="387">
        <f ca="1">IF(Table1[[#This Row],[Status Izin]]="Selesai",Table1[[#This Row],[PLAN PERMIT
finish]]-Table1[[#This Row],[Tanggal Terbit/ Target Izin Terbit]],ROUNDUP(Table1[[#This Row],[PLAN PERMIT
finish]]-NOW(),0))</f>
        <v>45711</v>
      </c>
      <c r="FV213"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13" s="387"/>
      <c r="FX213" s="47"/>
      <c r="FY213" s="340"/>
      <c r="FZ213" s="341"/>
      <c r="GA21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3" s="386">
        <v>45685</v>
      </c>
      <c r="GC213" s="384">
        <v>45425</v>
      </c>
      <c r="GD213"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3" s="386">
        <v>45692</v>
      </c>
      <c r="GF213" s="384">
        <v>0</v>
      </c>
      <c r="GG213"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3" s="386">
        <v>45698</v>
      </c>
      <c r="GI213" s="386">
        <v>45704</v>
      </c>
      <c r="GJ213" s="384">
        <v>0</v>
      </c>
      <c r="GK213"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3" s="386">
        <v>45712</v>
      </c>
      <c r="GM213" s="386" t="e">
        <v>#N/A</v>
      </c>
      <c r="GN213" s="386">
        <v>45746</v>
      </c>
      <c r="GO213" s="386" t="e">
        <v>#N/A</v>
      </c>
      <c r="GP213" s="367"/>
      <c r="GQ213"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3" s="386" t="s">
        <v>261</v>
      </c>
      <c r="GS213" s="434" t="s">
        <v>261</v>
      </c>
      <c r="GT213" s="390"/>
      <c r="GU213" s="435" t="str">
        <f>IF(Table1[[#This Row],[Hydro Tes Actual
(tanggal)]]&lt;&gt;"","Sudah","Belum")</f>
        <v>Belum</v>
      </c>
      <c r="GV213" s="386" t="s">
        <v>261</v>
      </c>
      <c r="GW213" s="386" t="s">
        <v>261</v>
      </c>
      <c r="GX213" s="388"/>
      <c r="GY213" s="344" t="str">
        <f>IF(Table1[[#This Row],[Interkoneksi Actual
(tanggal)]]&lt;&gt;"","Sudah","Belum")</f>
        <v>Belum</v>
      </c>
      <c r="GZ213" s="386" t="s">
        <v>261</v>
      </c>
      <c r="HA213" s="386" t="s">
        <v>261</v>
      </c>
      <c r="HB213" s="453"/>
      <c r="HC213" s="344" t="str">
        <f>IF(Table1[[#This Row],[Flushing Actual
(tanggal)]]&lt;&gt;"","Sudah","Belum")</f>
        <v>Belum</v>
      </c>
      <c r="HD213" s="386">
        <v>45719</v>
      </c>
      <c r="HE213" s="386" t="e">
        <v>#N/A</v>
      </c>
      <c r="HF213" s="386">
        <v>45739</v>
      </c>
      <c r="HG213" s="384"/>
      <c r="HH213"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3" s="386" t="s">
        <v>261</v>
      </c>
      <c r="HJ213" s="386" t="s">
        <v>261</v>
      </c>
      <c r="HK213" s="388"/>
      <c r="HL213" s="367"/>
      <c r="HM213" s="386">
        <v>45751</v>
      </c>
      <c r="HN213" s="386">
        <v>45751</v>
      </c>
      <c r="HO213" s="386" t="e">
        <v>#N/A</v>
      </c>
      <c r="HP213" s="388"/>
      <c r="HQ213"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13" s="386">
        <v>45758</v>
      </c>
      <c r="HS213" s="386"/>
      <c r="HT213" s="386">
        <v>45758</v>
      </c>
      <c r="HU213" s="613"/>
      <c r="HV213" s="388"/>
      <c r="HW213"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13" s="47"/>
      <c r="HY213" s="384"/>
      <c r="HZ213" s="384"/>
      <c r="IB213" s="618">
        <f>IFERROR(ROUND((Table1[[#This Row],[PLAN TC
finish]]-Table1[[#This Row],[PLAN MC-0
start]])/30,2),"")</f>
        <v>1.37</v>
      </c>
      <c r="IC213">
        <f>DATEDIF(Table1[[#This Row],[PLAN MC-0
start]],Table1[[#This Row],[PLAN TC
finish]],"m")</f>
        <v>1</v>
      </c>
    </row>
    <row r="214" spans="1:237" s="4" customFormat="1" ht="15" hidden="1" customHeight="1" x14ac:dyDescent="0.2">
      <c r="B214" s="311">
        <f>SUBTOTAL(3,$D$5:D214)</f>
        <v>84</v>
      </c>
      <c r="C214" s="348">
        <v>210</v>
      </c>
      <c r="D214" s="315" t="s">
        <v>673</v>
      </c>
      <c r="E214" s="338" t="s">
        <v>1608</v>
      </c>
      <c r="F214" s="338" t="s">
        <v>1609</v>
      </c>
      <c r="G214" s="349">
        <v>45935</v>
      </c>
      <c r="H214" s="314" t="s">
        <v>247</v>
      </c>
      <c r="I214" s="338" t="s">
        <v>278</v>
      </c>
      <c r="J214" s="315"/>
      <c r="K214" s="338" t="s">
        <v>676</v>
      </c>
      <c r="L214" s="316" t="s">
        <v>250</v>
      </c>
      <c r="M214" s="316" t="s">
        <v>269</v>
      </c>
      <c r="N214" s="107">
        <v>1621</v>
      </c>
      <c r="O214" s="131" t="s">
        <v>252</v>
      </c>
      <c r="P21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4" s="35" t="e">
        <v>#N/A</v>
      </c>
      <c r="S214" s="35">
        <v>1</v>
      </c>
      <c r="T214" s="35">
        <f>Table1[[#This Row],[Progres Total Aktual
(%)]]</f>
        <v>1</v>
      </c>
      <c r="U214" s="124">
        <f>Table1[[#This Row],[Progres Aktual
(%)]]-Table1[[#This Row],[Target Progres
(%)]]</f>
        <v>0</v>
      </c>
      <c r="V214" s="350">
        <f>Table1[[#This Row],["Volume
BA MC-0"]]</f>
        <v>1608</v>
      </c>
      <c r="W214" s="351">
        <f>Table1[[#This Row],[Total Panjang Pipa Aktual
(Sum-&gt;)3]]</f>
        <v>1608</v>
      </c>
      <c r="X214" s="47"/>
      <c r="Y214" s="67" t="s">
        <v>1610</v>
      </c>
      <c r="Z214" s="67">
        <v>1986204832</v>
      </c>
      <c r="AA214" s="67">
        <f>Table1[[#This Row],[Nilai RAB Jaringan
(file pa aji)]]</f>
        <v>1986204832</v>
      </c>
      <c r="AB214" s="320">
        <f>SUM(Table1[[#This Row],[RAB Kegiatan Umum]:[RAB Perizinan]])</f>
        <v>0</v>
      </c>
      <c r="AC214" s="320"/>
      <c r="AD214" s="320"/>
      <c r="AE214" s="320"/>
      <c r="AF214" s="320"/>
      <c r="AG214" s="436">
        <v>297199004</v>
      </c>
      <c r="AH214" s="35" t="e">
        <f>SUM(Table1[[#This Row],[Bobot Keg Umum]:[Bobot Perizinan]])</f>
        <v>#DIV/0!</v>
      </c>
      <c r="AI214" s="35" t="e">
        <f>Table1[[#This Row],[RAB Kegiatan Umum]]/Table1[[#This Row],[Nilai RAB Jaringan
(Exclude Ppn)]]</f>
        <v>#DIV/0!</v>
      </c>
      <c r="AJ214" s="35" t="e">
        <f>Table1[[#This Row],[RAB Pemasangan]]/Table1[[#This Row],[Nilai RAB Jaringan
(Exclude Ppn)]]</f>
        <v>#DIV/0!</v>
      </c>
      <c r="AK214" s="35" t="e">
        <f>Table1[[#This Row],[RAB Pengadaan]]/Table1[[#This Row],[Nilai RAB Jaringan
(Exclude Ppn)]]</f>
        <v>#DIV/0!</v>
      </c>
      <c r="AL214" s="35" t="e">
        <f>Table1[[#This Row],[RAB Perizinan]]/Table1[[#This Row],[Nilai RAB Jaringan
(Exclude Ppn)]]</f>
        <v>#DIV/0!</v>
      </c>
      <c r="AM214" s="47"/>
      <c r="AN214" s="285">
        <v>1608</v>
      </c>
      <c r="AO214" s="285">
        <f>SUM(Table1[[#This Row],[Pipa 63 mm]:[Pipa 1,800 mm]])</f>
        <v>0</v>
      </c>
      <c r="AP214" s="285"/>
      <c r="AQ214" s="285"/>
      <c r="AR214" s="285"/>
      <c r="AS214" s="285"/>
      <c r="AT214" s="285"/>
      <c r="AU214" s="285"/>
      <c r="AV214" s="285"/>
      <c r="AW214" s="285"/>
      <c r="AX214" s="285"/>
      <c r="AY214" s="285"/>
      <c r="AZ214" s="285"/>
      <c r="BA214" s="285"/>
      <c r="BB214" s="285"/>
      <c r="BC214" s="285"/>
      <c r="BD214" s="285"/>
      <c r="BE214" s="285"/>
      <c r="BF214" s="285"/>
      <c r="BG214" s="285"/>
      <c r="BH214" s="285"/>
      <c r="BI214" s="285"/>
      <c r="BJ214" s="446">
        <f>SUM(Table1[[#This Row],[Pipa 63 mm2]:[Pipa 1,800 mm21]])</f>
        <v>1608</v>
      </c>
      <c r="BK214" s="32">
        <v>1556</v>
      </c>
      <c r="BL214" s="32">
        <v>44</v>
      </c>
      <c r="BM214" s="32">
        <v>8</v>
      </c>
      <c r="BN214" s="32"/>
      <c r="BO214" s="32"/>
      <c r="BP214" s="32"/>
      <c r="BQ214" s="32"/>
      <c r="BR214" s="32"/>
      <c r="BS214" s="32"/>
      <c r="BT214" s="32"/>
      <c r="BU214" s="32"/>
      <c r="BV214" s="32"/>
      <c r="BW214" s="32"/>
      <c r="BX214" s="32"/>
      <c r="BY214" s="32"/>
      <c r="BZ214" s="32"/>
      <c r="CA214" s="32"/>
      <c r="CB214" s="32"/>
      <c r="CC214" s="32"/>
      <c r="CD214" s="32"/>
      <c r="CE214" s="32">
        <v>0</v>
      </c>
      <c r="CF214" s="32">
        <v>0</v>
      </c>
      <c r="CG214" s="32">
        <v>0</v>
      </c>
      <c r="CH214" s="32">
        <v>0</v>
      </c>
      <c r="CI214" s="32">
        <f t="shared" si="12"/>
        <v>0</v>
      </c>
      <c r="CJ214" s="65">
        <f>IF((Table1[[#This Row],["Volume
BA MC-0"]]-Table1[[#This Row],[Total Panjang Pipa Aktual
(Sum-&gt;)3]]-Table1[[#This Row],[Total Volume
tidak dapat dipasang]])&gt;=0,Table1[[#This Row],["Volume
BA MC-0"]]-Table1[[#This Row],[Total Panjang Pipa Aktual
(Sum-&gt;)3]]-Table1[[#This Row],[Total Volume
tidak dapat dipasang]],0)</f>
        <v>0</v>
      </c>
      <c r="CK214" s="47"/>
      <c r="CL214" s="131"/>
      <c r="CM214" s="35"/>
      <c r="CN214" s="131"/>
      <c r="CO214" s="131"/>
      <c r="CP21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4" s="66">
        <f>IFERROR(Table1[[#This Row],[Progres Keg. Umum
(%)]]*Table1[[#This Row],[Nilai RAB Jaringan
(file pa aji)]],0)</f>
        <v>0</v>
      </c>
      <c r="CR214" s="66">
        <f>IFERROR(Table1[[#This Row],[Progres MOS
(%)]]*Table1[[#This Row],[Nilai RAB Jaringan
(file pa aji)]],0)</f>
        <v>0</v>
      </c>
      <c r="CS214" s="66">
        <f>IFERROR(Table1[[#This Row],[Progres Pemasangan
(%)]]*Table1[[#This Row],[Nilai RAB Jaringan
(file pa aji)]],0)</f>
        <v>0</v>
      </c>
      <c r="CT214" s="66">
        <f>IFERROR(Table1[[#This Row],[Progres Perizinan
(%)]]*Table1[[#This Row],[Nilai RAB Jaringan
(file pa aji)]],0)</f>
        <v>0</v>
      </c>
      <c r="CU214" s="329">
        <v>1754964205</v>
      </c>
      <c r="CV214" s="329">
        <v>1754964205</v>
      </c>
      <c r="CW214" s="583">
        <v>1754964205</v>
      </c>
      <c r="CX214" s="329">
        <v>1754964205</v>
      </c>
      <c r="CY214" s="47"/>
      <c r="CZ214" s="330">
        <v>45565</v>
      </c>
      <c r="DA214" s="330">
        <v>45585</v>
      </c>
      <c r="DB214" s="331">
        <v>45568</v>
      </c>
      <c r="DC214" s="316" t="s">
        <v>1611</v>
      </c>
      <c r="DD214" s="67">
        <v>1986204831</v>
      </c>
      <c r="DE21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4" s="331">
        <v>45576</v>
      </c>
      <c r="DG214" s="316" t="s">
        <v>1612</v>
      </c>
      <c r="DH214" s="67">
        <v>1986204831</v>
      </c>
      <c r="DI21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4" s="330">
        <v>45586</v>
      </c>
      <c r="DK214" s="330">
        <v>45627</v>
      </c>
      <c r="DL214" s="331">
        <v>45604</v>
      </c>
      <c r="DM214" s="316" t="s">
        <v>1613</v>
      </c>
      <c r="DN21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4" s="331">
        <v>45643</v>
      </c>
      <c r="DP214" s="316" t="s">
        <v>1614</v>
      </c>
      <c r="DQ214" s="338" t="s">
        <v>762</v>
      </c>
      <c r="DR21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4" s="330">
        <v>45586</v>
      </c>
      <c r="DT214" s="330" t="e">
        <v>#N/A</v>
      </c>
      <c r="DU214" s="330">
        <v>45620</v>
      </c>
      <c r="DV214" s="330" t="e">
        <v>#N/A</v>
      </c>
      <c r="DW214" s="331">
        <v>45608</v>
      </c>
      <c r="DX214" s="316" t="s">
        <v>1615</v>
      </c>
      <c r="DY214" s="334"/>
      <c r="DZ214" s="334"/>
      <c r="EA21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14" s="331">
        <v>45798</v>
      </c>
      <c r="EC214" s="332"/>
      <c r="ED214" s="332"/>
      <c r="EE214" s="330" t="s">
        <v>1616</v>
      </c>
      <c r="EF214" s="35">
        <v>1</v>
      </c>
      <c r="EG214" s="337">
        <v>1</v>
      </c>
      <c r="EH214" s="316" t="str">
        <f>IF(Table1[[#This Row],[PO Material Aktual 
(%)]]&gt;=100%,"Selesai PO = 100%",IF(Table1[[#This Row],[PO Material Aktual 
(%)]]&gt;=50%,"Proses PO &gt; 100%",IF(Table1[[#This Row],[PO Material Aktual 
(%)]]&gt;0%,"Proses PO &gt; 50%",IF(Table1[[#This Row],[PO Material Aktual 
(%)]]=0,"Belum PO = 0%"))))</f>
        <v>Selesai PO = 100%</v>
      </c>
      <c r="EI21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4" s="330">
        <v>45621</v>
      </c>
      <c r="EK214" s="330" t="e">
        <v>#N/A</v>
      </c>
      <c r="EL214" s="330">
        <v>45683</v>
      </c>
      <c r="EM214" s="330" t="e">
        <v>#N/A</v>
      </c>
      <c r="EN214" s="331">
        <v>45896</v>
      </c>
      <c r="EO214" s="332"/>
      <c r="EP214" s="332"/>
      <c r="EQ214" s="87">
        <v>1</v>
      </c>
      <c r="ER214" s="87">
        <v>1</v>
      </c>
      <c r="ES214" s="316" t="str">
        <f>IF(Table1[[#This Row],[Progres MOS]]&gt;=100%,"Selesai MOS = 100%",IF(Table1[[#This Row],[Progres MOS]]&gt;=50%,"Proses MOS &gt; 100%",IF(Table1[[#This Row],[Progres MOS]]&gt;0%,"Proses MOS &gt; 50%",IF(Table1[[#This Row],[Progres MOS]]=0,"Belum MOS = 0%"))))</f>
        <v>Selesai MOS = 100%</v>
      </c>
      <c r="ET21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4" s="47"/>
      <c r="EV214" s="330">
        <v>45586</v>
      </c>
      <c r="EW214" s="330" t="e">
        <v>#N/A</v>
      </c>
      <c r="EX214" s="330">
        <v>45655</v>
      </c>
      <c r="EY214" s="330" t="e">
        <v>#N/A</v>
      </c>
      <c r="EZ214" s="352" t="s">
        <v>298</v>
      </c>
      <c r="FA214" s="336" t="s">
        <v>259</v>
      </c>
      <c r="FB214" s="330" t="s">
        <v>260</v>
      </c>
      <c r="FC214" s="330">
        <v>45838</v>
      </c>
      <c r="FD214" s="330" t="s">
        <v>260</v>
      </c>
      <c r="FE214" s="330">
        <v>45910</v>
      </c>
      <c r="FF214" s="330">
        <v>45929</v>
      </c>
      <c r="FG214" s="330" t="s">
        <v>260</v>
      </c>
      <c r="FH214" s="330" t="s">
        <v>260</v>
      </c>
      <c r="FI214" s="330">
        <v>46010</v>
      </c>
      <c r="FJ214" s="330" t="s">
        <v>260</v>
      </c>
      <c r="FK214" s="330">
        <v>46093</v>
      </c>
      <c r="FL214" s="336" t="s">
        <v>298</v>
      </c>
      <c r="FM214" s="352">
        <v>45838</v>
      </c>
      <c r="FN214" s="338">
        <f>IF(Table1[[#This Row],[Tanggal Pengajuan Dokumen]]="","",Table1[[#This Row],[PLAN PERMIT
start]]-Table1[[#This Row],[Tanggal Pengajuan Dokumen]])</f>
        <v>-252</v>
      </c>
      <c r="FO214" s="437">
        <v>46086</v>
      </c>
      <c r="FP214" s="316"/>
      <c r="FQ214" s="338"/>
      <c r="FR214" s="338"/>
      <c r="FS214" s="338" t="str">
        <f t="shared" si="11"/>
        <v>Sudah Terbit</v>
      </c>
      <c r="FT21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4" s="344">
        <f ca="1">IF(Table1[[#This Row],[Status Izin]]="Selesai",Table1[[#This Row],[PLAN PERMIT
finish]]-Table1[[#This Row],[Tanggal Terbit/ Target Izin Terbit]],ROUNDUP(Table1[[#This Row],[PLAN PERMIT
finish]]-NOW(),0))</f>
        <v>-431</v>
      </c>
      <c r="FV21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4" s="344"/>
      <c r="FX214" s="47"/>
      <c r="FY214" s="340"/>
      <c r="FZ214" s="341"/>
      <c r="GA21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4" s="330">
        <v>45629</v>
      </c>
      <c r="GC214" s="352">
        <v>45629</v>
      </c>
      <c r="GD21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4" s="330">
        <v>45636</v>
      </c>
      <c r="GF214" s="352">
        <v>45629</v>
      </c>
      <c r="GG21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4" s="330">
        <v>45642</v>
      </c>
      <c r="GI214" s="330">
        <v>45648</v>
      </c>
      <c r="GJ214" s="352">
        <v>45636</v>
      </c>
      <c r="GK21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4" s="330">
        <v>45656</v>
      </c>
      <c r="GM214" s="330" t="e">
        <v>#N/A</v>
      </c>
      <c r="GN214" s="330">
        <v>45753</v>
      </c>
      <c r="GO214" s="330" t="e">
        <v>#N/A</v>
      </c>
      <c r="GP214" s="316"/>
      <c r="GQ21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4" s="330" t="s">
        <v>261</v>
      </c>
      <c r="GS214" s="421" t="s">
        <v>261</v>
      </c>
      <c r="GT214" s="431" t="s">
        <v>1617</v>
      </c>
      <c r="GU214" s="423" t="str">
        <f>IF(Table1[[#This Row],[Hydro Tes Actual
(tanggal)]]&lt;&gt;"","Sudah","Belum")</f>
        <v>Sudah</v>
      </c>
      <c r="GV214" s="330" t="s">
        <v>261</v>
      </c>
      <c r="GW214" s="330" t="s">
        <v>261</v>
      </c>
      <c r="GX214" s="331">
        <v>45691</v>
      </c>
      <c r="GY214" s="344" t="str">
        <f>IF(Table1[[#This Row],[Interkoneksi Actual
(tanggal)]]&lt;&gt;"","Sudah","Belum")</f>
        <v>Sudah</v>
      </c>
      <c r="GZ214" s="330" t="s">
        <v>261</v>
      </c>
      <c r="HA214" s="421" t="s">
        <v>261</v>
      </c>
      <c r="HB214" s="432">
        <v>45794</v>
      </c>
      <c r="HC214" s="344" t="str">
        <f>IF(Table1[[#This Row],[Flushing Actual
(tanggal)]]&lt;&gt;"","Sudah","Belum")</f>
        <v>Sudah</v>
      </c>
      <c r="HD214" s="330">
        <v>45726</v>
      </c>
      <c r="HE214" s="330" t="e">
        <v>#N/A</v>
      </c>
      <c r="HF214" s="330">
        <v>45746</v>
      </c>
      <c r="HG214" s="352">
        <v>45824</v>
      </c>
      <c r="HH21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4" s="330" t="s">
        <v>261</v>
      </c>
      <c r="HJ214" s="330" t="s">
        <v>261</v>
      </c>
      <c r="HK214" s="331"/>
      <c r="HL214" s="316"/>
      <c r="HM214" s="330">
        <v>45765</v>
      </c>
      <c r="HN214" s="330">
        <v>45765</v>
      </c>
      <c r="HO214" s="330" t="e">
        <v>#N/A</v>
      </c>
      <c r="HP214" s="331">
        <v>45926</v>
      </c>
      <c r="HQ21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14" s="330">
        <v>45772</v>
      </c>
      <c r="HS214" s="330"/>
      <c r="HT214" s="330">
        <v>45772</v>
      </c>
      <c r="HU214" s="527"/>
      <c r="HV214" s="331">
        <v>45934</v>
      </c>
      <c r="HW21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14" s="47"/>
      <c r="HY214" s="352"/>
      <c r="HZ214" s="352"/>
      <c r="IB214" s="618">
        <f>IFERROR(ROUND((Table1[[#This Row],[PLAN TC
finish]]-Table1[[#This Row],[PLAN MC-0
start]])/30,2),"")</f>
        <v>3.47</v>
      </c>
      <c r="IC214">
        <f>DATEDIF(Table1[[#This Row],[PLAN MC-0
start]],Table1[[#This Row],[PLAN TC
finish]],"m")</f>
        <v>3</v>
      </c>
    </row>
    <row r="215" spans="1:237" s="4" customFormat="1" ht="15" hidden="1" customHeight="1" x14ac:dyDescent="0.2">
      <c r="B215" s="311">
        <f>SUBTOTAL(3,$D$5:D215)</f>
        <v>84</v>
      </c>
      <c r="C215" s="348">
        <v>211</v>
      </c>
      <c r="D215" s="315" t="s">
        <v>673</v>
      </c>
      <c r="E215" s="338" t="s">
        <v>1618</v>
      </c>
      <c r="F215" s="338" t="s">
        <v>1619</v>
      </c>
      <c r="G215" s="349">
        <v>45935</v>
      </c>
      <c r="H215" s="314" t="s">
        <v>247</v>
      </c>
      <c r="I215" s="338" t="s">
        <v>278</v>
      </c>
      <c r="J215" s="315" t="s">
        <v>882</v>
      </c>
      <c r="K215" s="338" t="s">
        <v>676</v>
      </c>
      <c r="L215" s="316" t="s">
        <v>250</v>
      </c>
      <c r="M215" s="316" t="s">
        <v>269</v>
      </c>
      <c r="N215" s="107">
        <v>2484</v>
      </c>
      <c r="O215" s="131" t="s">
        <v>252</v>
      </c>
      <c r="P21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5" s="35" t="e">
        <v>#N/A</v>
      </c>
      <c r="S215" s="35">
        <v>1</v>
      </c>
      <c r="T215" s="35">
        <f>Table1[[#This Row],[Progres Total Aktual
(%)]]</f>
        <v>1</v>
      </c>
      <c r="U215" s="124">
        <f>Table1[[#This Row],[Progres Aktual
(%)]]-Table1[[#This Row],[Target Progres
(%)]]</f>
        <v>0</v>
      </c>
      <c r="V215" s="350">
        <f>Table1[[#This Row],["Volume
BA MC-0"]]</f>
        <v>2409</v>
      </c>
      <c r="W215" s="351">
        <f>Table1[[#This Row],[Total Panjang Pipa Aktual
(Sum-&gt;)3]]</f>
        <v>2499</v>
      </c>
      <c r="X215" s="47"/>
      <c r="Y215" s="67" t="s">
        <v>1620</v>
      </c>
      <c r="Z215" s="67">
        <v>4540806890</v>
      </c>
      <c r="AA215" s="67">
        <f>Table1[[#This Row],[Nilai RAB Jaringan
(file pa aji)]]</f>
        <v>4540806890</v>
      </c>
      <c r="AB215" s="320">
        <f>SUM(Table1[[#This Row],[RAB Kegiatan Umum]:[RAB Perizinan]])</f>
        <v>0</v>
      </c>
      <c r="AC215" s="320"/>
      <c r="AD215" s="320"/>
      <c r="AE215" s="320"/>
      <c r="AF215" s="320"/>
      <c r="AG215" s="436">
        <v>422227550</v>
      </c>
      <c r="AH215" s="35" t="e">
        <f>SUM(Table1[[#This Row],[Bobot Keg Umum]:[Bobot Perizinan]])</f>
        <v>#DIV/0!</v>
      </c>
      <c r="AI215" s="35" t="e">
        <f>Table1[[#This Row],[RAB Kegiatan Umum]]/Table1[[#This Row],[Nilai RAB Jaringan
(Exclude Ppn)]]</f>
        <v>#DIV/0!</v>
      </c>
      <c r="AJ215" s="35" t="e">
        <f>Table1[[#This Row],[RAB Pemasangan]]/Table1[[#This Row],[Nilai RAB Jaringan
(Exclude Ppn)]]</f>
        <v>#DIV/0!</v>
      </c>
      <c r="AK215" s="35" t="e">
        <f>Table1[[#This Row],[RAB Pengadaan]]/Table1[[#This Row],[Nilai RAB Jaringan
(Exclude Ppn)]]</f>
        <v>#DIV/0!</v>
      </c>
      <c r="AL215" s="35" t="e">
        <f>Table1[[#This Row],[RAB Perizinan]]/Table1[[#This Row],[Nilai RAB Jaringan
(Exclude Ppn)]]</f>
        <v>#DIV/0!</v>
      </c>
      <c r="AM215" s="47"/>
      <c r="AN215" s="285">
        <v>2409</v>
      </c>
      <c r="AO215" s="285">
        <f>SUM(Table1[[#This Row],[Pipa 63 mm]:[Pipa 1,800 mm]])</f>
        <v>0</v>
      </c>
      <c r="AP215" s="285"/>
      <c r="AQ215" s="285"/>
      <c r="AR215" s="285"/>
      <c r="AS215" s="285"/>
      <c r="AT215" s="285"/>
      <c r="AU215" s="285"/>
      <c r="AV215" s="285"/>
      <c r="AW215" s="285"/>
      <c r="AX215" s="285"/>
      <c r="AY215" s="285"/>
      <c r="AZ215" s="285"/>
      <c r="BA215" s="285"/>
      <c r="BB215" s="285"/>
      <c r="BC215" s="285"/>
      <c r="BD215" s="285"/>
      <c r="BE215" s="285"/>
      <c r="BF215" s="285"/>
      <c r="BG215" s="285"/>
      <c r="BH215" s="285"/>
      <c r="BI215" s="285"/>
      <c r="BJ215" s="446">
        <f>SUM(Table1[[#This Row],[Pipa 63 mm2]:[Pipa 1,800 mm21]])</f>
        <v>2499</v>
      </c>
      <c r="BK215" s="32">
        <v>2314</v>
      </c>
      <c r="BL215" s="32">
        <v>73</v>
      </c>
      <c r="BM215" s="32">
        <v>82</v>
      </c>
      <c r="BN215" s="32">
        <v>18</v>
      </c>
      <c r="BO215" s="32">
        <v>12</v>
      </c>
      <c r="BP215" s="32"/>
      <c r="BQ215" s="32"/>
      <c r="BR215" s="32"/>
      <c r="BS215" s="32"/>
      <c r="BT215" s="32"/>
      <c r="BU215" s="32"/>
      <c r="BV215" s="32"/>
      <c r="BW215" s="32"/>
      <c r="BX215" s="32"/>
      <c r="BY215" s="32"/>
      <c r="BZ215" s="32"/>
      <c r="CA215" s="32"/>
      <c r="CB215" s="32"/>
      <c r="CC215" s="32"/>
      <c r="CD215" s="32"/>
      <c r="CE215" s="32">
        <v>0</v>
      </c>
      <c r="CF215" s="32">
        <v>0</v>
      </c>
      <c r="CG215" s="32">
        <v>0</v>
      </c>
      <c r="CH215" s="32">
        <v>0</v>
      </c>
      <c r="CI215" s="32">
        <f t="shared" si="12"/>
        <v>0</v>
      </c>
      <c r="CJ215" s="65">
        <f>IF((Table1[[#This Row],["Volume
BA MC-0"]]-Table1[[#This Row],[Total Panjang Pipa Aktual
(Sum-&gt;)3]]-Table1[[#This Row],[Total Volume
tidak dapat dipasang]])&gt;=0,Table1[[#This Row],["Volume
BA MC-0"]]-Table1[[#This Row],[Total Panjang Pipa Aktual
(Sum-&gt;)3]]-Table1[[#This Row],[Total Volume
tidak dapat dipasang]],0)</f>
        <v>0</v>
      </c>
      <c r="CK215" s="47"/>
      <c r="CL215" s="131"/>
      <c r="CM215" s="35"/>
      <c r="CN215" s="131"/>
      <c r="CO215" s="131"/>
      <c r="CP21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5" s="66">
        <f>IFERROR(Table1[[#This Row],[Progres Keg. Umum
(%)]]*Table1[[#This Row],[Nilai RAB Jaringan
(file pa aji)]],0)</f>
        <v>0</v>
      </c>
      <c r="CR215" s="66">
        <f>IFERROR(Table1[[#This Row],[Progres MOS
(%)]]*Table1[[#This Row],[Nilai RAB Jaringan
(file pa aji)]],0)</f>
        <v>0</v>
      </c>
      <c r="CS215" s="66">
        <f>IFERROR(Table1[[#This Row],[Progres Pemasangan
(%)]]*Table1[[#This Row],[Nilai RAB Jaringan
(file pa aji)]],0)</f>
        <v>0</v>
      </c>
      <c r="CT215" s="66">
        <f>IFERROR(Table1[[#This Row],[Progres Perizinan
(%)]]*Table1[[#This Row],[Nilai RAB Jaringan
(file pa aji)]],0)</f>
        <v>0</v>
      </c>
      <c r="CU215" s="329">
        <v>4093349095</v>
      </c>
      <c r="CV215" s="329">
        <v>4093349095</v>
      </c>
      <c r="CW215" s="454">
        <v>4093349095</v>
      </c>
      <c r="CX215" s="329">
        <v>4093349095</v>
      </c>
      <c r="CY215" s="47"/>
      <c r="CZ215" s="330">
        <v>45565</v>
      </c>
      <c r="DA215" s="330">
        <v>45592</v>
      </c>
      <c r="DB215" s="331">
        <v>45587</v>
      </c>
      <c r="DC215" s="316" t="s">
        <v>1621</v>
      </c>
      <c r="DD215" s="67">
        <v>4540806889.3800001</v>
      </c>
      <c r="DE21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5" s="331">
        <v>45596</v>
      </c>
      <c r="DG215" s="316" t="s">
        <v>1622</v>
      </c>
      <c r="DH215" s="67">
        <v>4540806889.3800001</v>
      </c>
      <c r="DI21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5" s="330">
        <v>45593</v>
      </c>
      <c r="DK215" s="330">
        <v>45655</v>
      </c>
      <c r="DL215" s="331">
        <v>45701</v>
      </c>
      <c r="DM215" s="316" t="s">
        <v>1623</v>
      </c>
      <c r="DN21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5" s="331">
        <v>45719</v>
      </c>
      <c r="DP215" s="316" t="s">
        <v>1624</v>
      </c>
      <c r="DQ215" s="338" t="s">
        <v>560</v>
      </c>
      <c r="DR21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5" s="330">
        <v>45593</v>
      </c>
      <c r="DT215" s="330" t="e">
        <v>#N/A</v>
      </c>
      <c r="DU215" s="330">
        <v>45634</v>
      </c>
      <c r="DV215" s="330" t="e">
        <v>#N/A</v>
      </c>
      <c r="DW215" s="331">
        <v>45701</v>
      </c>
      <c r="DX215" s="316" t="s">
        <v>1625</v>
      </c>
      <c r="DY215" s="334"/>
      <c r="DZ215" s="334"/>
      <c r="EA21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5" s="331">
        <v>46160</v>
      </c>
      <c r="EC215" s="332"/>
      <c r="ED215" s="332"/>
      <c r="EE215" s="330" t="s">
        <v>1626</v>
      </c>
      <c r="EF215" s="35">
        <v>1</v>
      </c>
      <c r="EG215" s="337">
        <v>1</v>
      </c>
      <c r="EH215" s="316" t="str">
        <f>IF(Table1[[#This Row],[PO Material Aktual 
(%)]]&gt;=100%,"Selesai PO = 100%",IF(Table1[[#This Row],[PO Material Aktual 
(%)]]&gt;=50%,"Proses PO &gt; 100%",IF(Table1[[#This Row],[PO Material Aktual 
(%)]]&gt;0%,"Proses PO &gt; 50%",IF(Table1[[#This Row],[PO Material Aktual 
(%)]]=0,"Belum PO = 0%"))))</f>
        <v>Selesai PO = 100%</v>
      </c>
      <c r="EI21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5" s="330">
        <v>45635</v>
      </c>
      <c r="EK215" s="330" t="e">
        <v>#N/A</v>
      </c>
      <c r="EL215" s="330">
        <v>45711</v>
      </c>
      <c r="EM215" s="330" t="e">
        <v>#N/A</v>
      </c>
      <c r="EN215" s="331">
        <v>46151</v>
      </c>
      <c r="EO215" s="332"/>
      <c r="EP215" s="332"/>
      <c r="EQ215" s="87">
        <v>1</v>
      </c>
      <c r="ER215" s="87">
        <v>1</v>
      </c>
      <c r="ES215" s="316" t="str">
        <f>IF(Table1[[#This Row],[Progres MOS]]&gt;=100%,"Selesai MOS = 100%",IF(Table1[[#This Row],[Progres MOS]]&gt;=50%,"Proses MOS &gt; 100%",IF(Table1[[#This Row],[Progres MOS]]&gt;0%,"Proses MOS &gt; 50%",IF(Table1[[#This Row],[Progres MOS]]=0,"Belum MOS = 0%"))))</f>
        <v>Selesai MOS = 100%</v>
      </c>
      <c r="ET21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5" s="47"/>
      <c r="EV215" s="330">
        <v>45593</v>
      </c>
      <c r="EW215" s="330" t="e">
        <v>#N/A</v>
      </c>
      <c r="EX215" s="330">
        <v>45683</v>
      </c>
      <c r="EY215" s="330" t="e">
        <v>#N/A</v>
      </c>
      <c r="EZ215" s="352" t="s">
        <v>298</v>
      </c>
      <c r="FA215" s="336" t="s">
        <v>259</v>
      </c>
      <c r="FB215" s="330" t="s">
        <v>260</v>
      </c>
      <c r="FC215" s="330">
        <v>45838</v>
      </c>
      <c r="FD215" s="330" t="s">
        <v>260</v>
      </c>
      <c r="FE215" s="330">
        <v>45910</v>
      </c>
      <c r="FF215" s="330">
        <v>45929</v>
      </c>
      <c r="FG215" s="330" t="s">
        <v>260</v>
      </c>
      <c r="FH215" s="330" t="s">
        <v>260</v>
      </c>
      <c r="FI215" s="330">
        <v>46010</v>
      </c>
      <c r="FJ215" s="330" t="s">
        <v>260</v>
      </c>
      <c r="FK215" s="330">
        <v>46093</v>
      </c>
      <c r="FL215" s="336" t="s">
        <v>298</v>
      </c>
      <c r="FM215" s="352">
        <v>45838</v>
      </c>
      <c r="FN215" s="338">
        <f>IF(Table1[[#This Row],[Tanggal Pengajuan Dokumen]]="","",Table1[[#This Row],[PLAN PERMIT
start]]-Table1[[#This Row],[Tanggal Pengajuan Dokumen]])</f>
        <v>-245</v>
      </c>
      <c r="FO215" s="437">
        <v>46086</v>
      </c>
      <c r="FP215" s="316"/>
      <c r="FQ215" s="338"/>
      <c r="FR215" s="338"/>
      <c r="FS215" s="338" t="str">
        <f t="shared" si="11"/>
        <v>Sudah Terbit</v>
      </c>
      <c r="FT21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5" s="344">
        <f ca="1">IF(Table1[[#This Row],[Status Izin]]="Selesai",Table1[[#This Row],[PLAN PERMIT
finish]]-Table1[[#This Row],[Tanggal Terbit/ Target Izin Terbit]],ROUNDUP(Table1[[#This Row],[PLAN PERMIT
finish]]-NOW(),0))</f>
        <v>-403</v>
      </c>
      <c r="FV21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5" s="344"/>
      <c r="FX215" s="47"/>
      <c r="FY215" s="340"/>
      <c r="FZ215" s="341"/>
      <c r="GA21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5" s="330">
        <v>45657</v>
      </c>
      <c r="GC215" s="352">
        <v>45547</v>
      </c>
      <c r="GD21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5" s="330">
        <v>45664</v>
      </c>
      <c r="GF215" s="352">
        <v>45547</v>
      </c>
      <c r="GG21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5" s="330">
        <v>45670</v>
      </c>
      <c r="GI215" s="330">
        <v>45676</v>
      </c>
      <c r="GJ215" s="352">
        <v>45707</v>
      </c>
      <c r="GK21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5" s="330">
        <v>45684</v>
      </c>
      <c r="GM215" s="330" t="e">
        <v>#N/A</v>
      </c>
      <c r="GN215" s="330">
        <v>45781</v>
      </c>
      <c r="GO215" s="330" t="e">
        <v>#N/A</v>
      </c>
      <c r="GP215" s="316"/>
      <c r="GQ21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5" s="330" t="s">
        <v>261</v>
      </c>
      <c r="GS215" s="421" t="s">
        <v>261</v>
      </c>
      <c r="GT215" s="452" t="s">
        <v>1627</v>
      </c>
      <c r="GU215" s="423" t="str">
        <f>IF(Table1[[#This Row],[Hydro Tes Actual
(tanggal)]]&lt;&gt;"","Sudah","Belum")</f>
        <v>Sudah</v>
      </c>
      <c r="GV215" s="330" t="s">
        <v>261</v>
      </c>
      <c r="GW215" s="330" t="s">
        <v>261</v>
      </c>
      <c r="GX215" s="455" t="s">
        <v>1628</v>
      </c>
      <c r="GY215" s="344" t="str">
        <f>IF(Table1[[#This Row],[Interkoneksi Actual
(tanggal)]]&lt;&gt;"","Sudah","Belum")</f>
        <v>Sudah</v>
      </c>
      <c r="GZ215" s="330" t="s">
        <v>261</v>
      </c>
      <c r="HA215" s="421" t="s">
        <v>261</v>
      </c>
      <c r="HB215" s="432">
        <v>45922</v>
      </c>
      <c r="HC215" s="344" t="str">
        <f>IF(Table1[[#This Row],[Flushing Actual
(tanggal)]]&lt;&gt;"","Sudah","Belum")</f>
        <v>Sudah</v>
      </c>
      <c r="HD215" s="330">
        <v>45754</v>
      </c>
      <c r="HE215" s="330" t="e">
        <v>#N/A</v>
      </c>
      <c r="HF215" s="330">
        <v>45774</v>
      </c>
      <c r="HG215" s="352">
        <v>45954</v>
      </c>
      <c r="HH21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5" s="330" t="s">
        <v>261</v>
      </c>
      <c r="HJ215" s="330" t="s">
        <v>261</v>
      </c>
      <c r="HK215" s="331"/>
      <c r="HL215" s="316"/>
      <c r="HM215" s="330">
        <v>45793</v>
      </c>
      <c r="HN215" s="330">
        <v>45793</v>
      </c>
      <c r="HO215" s="330" t="e">
        <v>#N/A</v>
      </c>
      <c r="HP215" s="331">
        <v>45966</v>
      </c>
      <c r="HQ21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15" s="330">
        <v>45800</v>
      </c>
      <c r="HS215" s="330"/>
      <c r="HT215" s="330">
        <v>45800</v>
      </c>
      <c r="HU215" s="527"/>
      <c r="HV215" s="331">
        <v>46008</v>
      </c>
      <c r="HW21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15" s="47"/>
      <c r="HY215" s="352"/>
      <c r="HZ215" s="352"/>
      <c r="IB215" s="618">
        <f>IFERROR(ROUND((Table1[[#This Row],[PLAN TC
finish]]-Table1[[#This Row],[PLAN MC-0
start]])/30,2),"")</f>
        <v>3.47</v>
      </c>
      <c r="IC215">
        <f>DATEDIF(Table1[[#This Row],[PLAN MC-0
start]],Table1[[#This Row],[PLAN TC
finish]],"m")</f>
        <v>3</v>
      </c>
    </row>
    <row r="216" spans="1:237" s="4" customFormat="1" ht="15" hidden="1" customHeight="1" x14ac:dyDescent="0.2">
      <c r="B216" s="311">
        <f>SUBTOTAL(3,$D$5:D216)</f>
        <v>84</v>
      </c>
      <c r="C216" s="348">
        <v>212</v>
      </c>
      <c r="D216" s="315" t="s">
        <v>673</v>
      </c>
      <c r="E216" s="338" t="s">
        <v>1629</v>
      </c>
      <c r="F216" s="338" t="s">
        <v>1630</v>
      </c>
      <c r="G216" s="349">
        <v>45935</v>
      </c>
      <c r="H216" s="314" t="s">
        <v>247</v>
      </c>
      <c r="I216" s="338" t="s">
        <v>278</v>
      </c>
      <c r="J216" s="315"/>
      <c r="K216" s="338" t="s">
        <v>676</v>
      </c>
      <c r="L216" s="316" t="s">
        <v>250</v>
      </c>
      <c r="M216" s="316" t="s">
        <v>269</v>
      </c>
      <c r="N216" s="107">
        <v>3458</v>
      </c>
      <c r="O216" s="131" t="s">
        <v>252</v>
      </c>
      <c r="P21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6" s="35" t="e">
        <v>#N/A</v>
      </c>
      <c r="S216" s="35">
        <v>1</v>
      </c>
      <c r="T216" s="35">
        <f>Table1[[#This Row],[Progres Total Aktual
(%)]]</f>
        <v>1</v>
      </c>
      <c r="U216" s="124">
        <f>Table1[[#This Row],[Progres Aktual
(%)]]-Table1[[#This Row],[Target Progres
(%)]]</f>
        <v>0</v>
      </c>
      <c r="V216" s="350">
        <f>Table1[[#This Row],["Volume
BA MC-0"]]</f>
        <v>3458</v>
      </c>
      <c r="W216" s="351">
        <f>Table1[[#This Row],[Total Panjang Pipa Aktual
(Sum-&gt;)3]]</f>
        <v>3364</v>
      </c>
      <c r="X216" s="47"/>
      <c r="Y216" s="67" t="s">
        <v>1631</v>
      </c>
      <c r="Z216" s="67">
        <v>5153755154</v>
      </c>
      <c r="AA216" s="67">
        <f>Table1[[#This Row],[Nilai RAB Jaringan
(file pa aji)]]</f>
        <v>5153755154</v>
      </c>
      <c r="AB216" s="320">
        <f>SUM(Table1[[#This Row],[RAB Kegiatan Umum]:[RAB Perizinan]])</f>
        <v>0</v>
      </c>
      <c r="AC216" s="320"/>
      <c r="AD216" s="320"/>
      <c r="AE216" s="320"/>
      <c r="AF216" s="320"/>
      <c r="AG216" s="436">
        <v>1024824150</v>
      </c>
      <c r="AH216" s="35" t="e">
        <f>SUM(Table1[[#This Row],[Bobot Keg Umum]:[Bobot Perizinan]])</f>
        <v>#DIV/0!</v>
      </c>
      <c r="AI216" s="35" t="e">
        <f>Table1[[#This Row],[RAB Kegiatan Umum]]/Table1[[#This Row],[Nilai RAB Jaringan
(Exclude Ppn)]]</f>
        <v>#DIV/0!</v>
      </c>
      <c r="AJ216" s="35" t="e">
        <f>Table1[[#This Row],[RAB Pemasangan]]/Table1[[#This Row],[Nilai RAB Jaringan
(Exclude Ppn)]]</f>
        <v>#DIV/0!</v>
      </c>
      <c r="AK216" s="35" t="e">
        <f>Table1[[#This Row],[RAB Pengadaan]]/Table1[[#This Row],[Nilai RAB Jaringan
(Exclude Ppn)]]</f>
        <v>#DIV/0!</v>
      </c>
      <c r="AL216" s="35" t="e">
        <f>Table1[[#This Row],[RAB Perizinan]]/Table1[[#This Row],[Nilai RAB Jaringan
(Exclude Ppn)]]</f>
        <v>#DIV/0!</v>
      </c>
      <c r="AM216" s="47"/>
      <c r="AN216" s="285">
        <v>3458</v>
      </c>
      <c r="AO216" s="285">
        <f>SUM(Table1[[#This Row],[Pipa 63 mm]:[Pipa 1,800 mm]])</f>
        <v>0</v>
      </c>
      <c r="AP216" s="285"/>
      <c r="AQ216" s="285"/>
      <c r="AR216" s="285"/>
      <c r="AS216" s="285"/>
      <c r="AT216" s="285"/>
      <c r="AU216" s="285"/>
      <c r="AV216" s="285"/>
      <c r="AW216" s="285"/>
      <c r="AX216" s="285"/>
      <c r="AY216" s="285"/>
      <c r="AZ216" s="285"/>
      <c r="BA216" s="285"/>
      <c r="BB216" s="285"/>
      <c r="BC216" s="285"/>
      <c r="BD216" s="285"/>
      <c r="BE216" s="285"/>
      <c r="BF216" s="285"/>
      <c r="BG216" s="285"/>
      <c r="BH216" s="285"/>
      <c r="BI216" s="285"/>
      <c r="BJ216" s="446">
        <f>SUM(Table1[[#This Row],[Pipa 63 mm2]:[Pipa 1,800 mm21]])</f>
        <v>3364</v>
      </c>
      <c r="BK216" s="32">
        <v>2007</v>
      </c>
      <c r="BL216" s="32">
        <v>1350</v>
      </c>
      <c r="BM216" s="32">
        <v>7</v>
      </c>
      <c r="BN216" s="32"/>
      <c r="BO216" s="32"/>
      <c r="BP216" s="32"/>
      <c r="BQ216" s="32"/>
      <c r="BR216" s="32"/>
      <c r="BS216" s="32"/>
      <c r="BT216" s="32"/>
      <c r="BU216" s="32"/>
      <c r="BV216" s="32"/>
      <c r="BW216" s="32"/>
      <c r="BX216" s="32"/>
      <c r="BY216" s="32"/>
      <c r="BZ216" s="32"/>
      <c r="CA216" s="32"/>
      <c r="CB216" s="32"/>
      <c r="CC216" s="32"/>
      <c r="CD216" s="32"/>
      <c r="CE216" s="32">
        <v>0</v>
      </c>
      <c r="CF216" s="32">
        <v>0</v>
      </c>
      <c r="CG216" s="32">
        <v>0</v>
      </c>
      <c r="CH216" s="32">
        <v>0</v>
      </c>
      <c r="CI216" s="32">
        <f t="shared" si="12"/>
        <v>0</v>
      </c>
      <c r="CJ216" s="65">
        <f>IF((Table1[[#This Row],["Volume
BA MC-0"]]-Table1[[#This Row],[Total Panjang Pipa Aktual
(Sum-&gt;)3]]-Table1[[#This Row],[Total Volume
tidak dapat dipasang]])&gt;=0,Table1[[#This Row],["Volume
BA MC-0"]]-Table1[[#This Row],[Total Panjang Pipa Aktual
(Sum-&gt;)3]]-Table1[[#This Row],[Total Volume
tidak dapat dipasang]],0)</f>
        <v>94</v>
      </c>
      <c r="CK216" s="47"/>
      <c r="CL216" s="131"/>
      <c r="CM216" s="35"/>
      <c r="CN216" s="131"/>
      <c r="CO216" s="131"/>
      <c r="CP21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6" s="66">
        <f>IFERROR(Table1[[#This Row],[Progres Keg. Umum
(%)]]*Table1[[#This Row],[Nilai RAB Jaringan
(file pa aji)]],0)</f>
        <v>0</v>
      </c>
      <c r="CR216" s="66">
        <f>IFERROR(Table1[[#This Row],[Progres MOS
(%)]]*Table1[[#This Row],[Nilai RAB Jaringan
(file pa aji)]],0)</f>
        <v>0</v>
      </c>
      <c r="CS216" s="66">
        <f>IFERROR(Table1[[#This Row],[Progres Pemasangan
(%)]]*Table1[[#This Row],[Nilai RAB Jaringan
(file pa aji)]],0)</f>
        <v>0</v>
      </c>
      <c r="CT216" s="66">
        <f>IFERROR(Table1[[#This Row],[Progres Perizinan
(%)]]*Table1[[#This Row],[Nilai RAB Jaringan
(file pa aji)]],0)</f>
        <v>0</v>
      </c>
      <c r="CU216" s="329">
        <v>4208173342</v>
      </c>
      <c r="CV216" s="329">
        <v>4208173342</v>
      </c>
      <c r="CW216" s="583">
        <v>4208173342</v>
      </c>
      <c r="CX216" s="329">
        <v>4208173342</v>
      </c>
      <c r="CY216" s="47"/>
      <c r="CZ216" s="330">
        <v>45593</v>
      </c>
      <c r="DA216" s="330">
        <v>45620</v>
      </c>
      <c r="DB216" s="331">
        <v>45620</v>
      </c>
      <c r="DC216" s="316" t="s">
        <v>1632</v>
      </c>
      <c r="DD216" s="67">
        <v>5153755154</v>
      </c>
      <c r="DE21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6" s="331">
        <v>45628</v>
      </c>
      <c r="DG216" s="316" t="s">
        <v>1633</v>
      </c>
      <c r="DH216" s="67">
        <v>5153755154</v>
      </c>
      <c r="DI21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6" s="330">
        <v>45621</v>
      </c>
      <c r="DK216" s="330">
        <v>45683</v>
      </c>
      <c r="DL216" s="331">
        <v>45701</v>
      </c>
      <c r="DM216" s="316" t="s">
        <v>1634</v>
      </c>
      <c r="DN21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6" s="331">
        <v>45712</v>
      </c>
      <c r="DP216" s="316" t="s">
        <v>1635</v>
      </c>
      <c r="DQ216" s="338" t="s">
        <v>783</v>
      </c>
      <c r="DR21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6" s="330">
        <v>45621</v>
      </c>
      <c r="DT216" s="330" t="e">
        <v>#N/A</v>
      </c>
      <c r="DU216" s="330">
        <v>45662</v>
      </c>
      <c r="DV216" s="330" t="e">
        <v>#N/A</v>
      </c>
      <c r="DW216" s="331">
        <v>45701</v>
      </c>
      <c r="DX216" s="316" t="s">
        <v>1636</v>
      </c>
      <c r="DY216" s="334"/>
      <c r="DZ216" s="334"/>
      <c r="EA21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6" s="331">
        <v>45783</v>
      </c>
      <c r="EC216" s="332"/>
      <c r="ED216" s="332"/>
      <c r="EE216" s="330" t="s">
        <v>1637</v>
      </c>
      <c r="EF216" s="35">
        <v>1</v>
      </c>
      <c r="EG216" s="337">
        <v>1</v>
      </c>
      <c r="EH216" s="316" t="str">
        <f>IF(Table1[[#This Row],[PO Material Aktual 
(%)]]&gt;=100%,"Selesai PO = 100%",IF(Table1[[#This Row],[PO Material Aktual 
(%)]]&gt;=50%,"Proses PO &gt; 100%",IF(Table1[[#This Row],[PO Material Aktual 
(%)]]&gt;0%,"Proses PO &gt; 50%",IF(Table1[[#This Row],[PO Material Aktual 
(%)]]=0,"Belum PO = 0%"))))</f>
        <v>Selesai PO = 100%</v>
      </c>
      <c r="EI21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6" s="330">
        <v>45663</v>
      </c>
      <c r="EK216" s="330" t="e">
        <v>#N/A</v>
      </c>
      <c r="EL216" s="330">
        <v>45746</v>
      </c>
      <c r="EM216" s="330" t="e">
        <v>#N/A</v>
      </c>
      <c r="EN216" s="331">
        <v>46088</v>
      </c>
      <c r="EO216" s="332"/>
      <c r="EP216" s="332"/>
      <c r="EQ216" s="87">
        <v>1</v>
      </c>
      <c r="ER216" s="87">
        <v>1</v>
      </c>
      <c r="ES216" s="316" t="str">
        <f>IF(Table1[[#This Row],[Progres MOS]]&gt;=100%,"Selesai MOS = 100%",IF(Table1[[#This Row],[Progres MOS]]&gt;=50%,"Proses MOS &gt; 100%",IF(Table1[[#This Row],[Progres MOS]]&gt;0%,"Proses MOS &gt; 50%",IF(Table1[[#This Row],[Progres MOS]]=0,"Belum MOS = 0%"))))</f>
        <v>Selesai MOS = 100%</v>
      </c>
      <c r="ET21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6" s="47"/>
      <c r="EV216" s="330">
        <v>45621</v>
      </c>
      <c r="EW216" s="330" t="e">
        <v>#N/A</v>
      </c>
      <c r="EX216" s="330">
        <v>45711</v>
      </c>
      <c r="EY216" s="330" t="e">
        <v>#N/A</v>
      </c>
      <c r="EZ216" s="352" t="s">
        <v>298</v>
      </c>
      <c r="FA216" s="336" t="s">
        <v>298</v>
      </c>
      <c r="FB216" s="330" t="s">
        <v>260</v>
      </c>
      <c r="FC216" s="330">
        <v>45838</v>
      </c>
      <c r="FD216" s="330" t="s">
        <v>260</v>
      </c>
      <c r="FE216" s="330">
        <v>45884</v>
      </c>
      <c r="FF216" s="330">
        <v>45929</v>
      </c>
      <c r="FG216" s="330" t="s">
        <v>260</v>
      </c>
      <c r="FH216" s="330" t="s">
        <v>260</v>
      </c>
      <c r="FI216" s="330">
        <v>46010</v>
      </c>
      <c r="FJ216" s="330" t="s">
        <v>260</v>
      </c>
      <c r="FK216" s="330"/>
      <c r="FL216" s="336" t="s">
        <v>298</v>
      </c>
      <c r="FM216" s="352">
        <v>45838</v>
      </c>
      <c r="FN216" s="338">
        <f>IF(Table1[[#This Row],[Tanggal Pengajuan Dokumen]]="","",Table1[[#This Row],[PLAN PERMIT
start]]-Table1[[#This Row],[Tanggal Pengajuan Dokumen]])</f>
        <v>-217</v>
      </c>
      <c r="FO216" s="437">
        <v>46086</v>
      </c>
      <c r="FP216" s="316"/>
      <c r="FQ216" s="338"/>
      <c r="FR216" s="338"/>
      <c r="FS216" s="338" t="str">
        <f t="shared" si="11"/>
        <v>On Going</v>
      </c>
      <c r="FT21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6" s="344">
        <f ca="1">IF(Table1[[#This Row],[Status Izin]]="Selesai",Table1[[#This Row],[PLAN PERMIT
finish]]-Table1[[#This Row],[Tanggal Terbit/ Target Izin Terbit]],ROUNDUP(Table1[[#This Row],[PLAN PERMIT
finish]]-NOW(),0))</f>
        <v>-480</v>
      </c>
      <c r="FV21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6" s="344"/>
      <c r="FX216" s="47"/>
      <c r="FY216" s="340"/>
      <c r="FZ216" s="341"/>
      <c r="GA21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6" s="330">
        <v>45685</v>
      </c>
      <c r="GC216" s="352">
        <v>45547</v>
      </c>
      <c r="GD21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6" s="330">
        <v>45692</v>
      </c>
      <c r="GF216" s="352">
        <v>45547</v>
      </c>
      <c r="GG21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6" s="330">
        <v>45698</v>
      </c>
      <c r="GI216" s="330">
        <v>45704</v>
      </c>
      <c r="GJ216" s="352">
        <v>45706</v>
      </c>
      <c r="GK21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6" s="330">
        <v>45712</v>
      </c>
      <c r="GM216" s="330" t="e">
        <v>#N/A</v>
      </c>
      <c r="GN216" s="330">
        <v>45844</v>
      </c>
      <c r="GO216" s="330" t="e">
        <v>#N/A</v>
      </c>
      <c r="GP216" s="316"/>
      <c r="GQ21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6" s="330" t="s">
        <v>261</v>
      </c>
      <c r="GS216" s="421" t="s">
        <v>261</v>
      </c>
      <c r="GT216" s="452" t="s">
        <v>1638</v>
      </c>
      <c r="GU216" s="423" t="str">
        <f>IF(Table1[[#This Row],[Hydro Tes Actual
(tanggal)]]&lt;&gt;"","Sudah","Belum")</f>
        <v>Sudah</v>
      </c>
      <c r="GV216" s="330" t="s">
        <v>261</v>
      </c>
      <c r="GW216" s="330" t="s">
        <v>261</v>
      </c>
      <c r="GX216" s="455" t="s">
        <v>1639</v>
      </c>
      <c r="GY216" s="344" t="str">
        <f>IF(Table1[[#This Row],[Interkoneksi Actual
(tanggal)]]&lt;&gt;"","Sudah","Belum")</f>
        <v>Sudah</v>
      </c>
      <c r="GZ216" s="330" t="s">
        <v>261</v>
      </c>
      <c r="HA216" s="421" t="s">
        <v>261</v>
      </c>
      <c r="HB216" s="432">
        <v>45896</v>
      </c>
      <c r="HC216" s="344" t="str">
        <f>IF(Table1[[#This Row],[Flushing Actual
(tanggal)]]&lt;&gt;"","Sudah","Belum")</f>
        <v>Sudah</v>
      </c>
      <c r="HD216" s="330">
        <v>45817</v>
      </c>
      <c r="HE216" s="330" t="e">
        <v>#N/A</v>
      </c>
      <c r="HF216" s="330">
        <v>45837</v>
      </c>
      <c r="HG216" s="352">
        <v>45917</v>
      </c>
      <c r="HH21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6" s="330" t="s">
        <v>261</v>
      </c>
      <c r="HJ216" s="330" t="s">
        <v>261</v>
      </c>
      <c r="HK216" s="331"/>
      <c r="HL216" s="316"/>
      <c r="HM216" s="330">
        <v>45856</v>
      </c>
      <c r="HN216" s="330">
        <v>45856</v>
      </c>
      <c r="HO216" s="330" t="e">
        <v>#N/A</v>
      </c>
      <c r="HP216" s="331">
        <v>45929</v>
      </c>
      <c r="HQ21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16" s="330">
        <v>45863</v>
      </c>
      <c r="HS216" s="330"/>
      <c r="HT216" s="330">
        <v>45863</v>
      </c>
      <c r="HU216" s="527"/>
      <c r="HV216" s="331">
        <v>45934</v>
      </c>
      <c r="HW21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16" s="47"/>
      <c r="HY216" s="352"/>
      <c r="HZ216" s="352"/>
      <c r="IB216" s="618">
        <f>IFERROR(ROUND((Table1[[#This Row],[PLAN TC
finish]]-Table1[[#This Row],[PLAN MC-0
start]])/30,2),"")</f>
        <v>4.63</v>
      </c>
      <c r="IC216">
        <f>DATEDIF(Table1[[#This Row],[PLAN MC-0
start]],Table1[[#This Row],[PLAN TC
finish]],"m")</f>
        <v>4</v>
      </c>
    </row>
    <row r="217" spans="1:237" s="4" customFormat="1" ht="15" hidden="1" customHeight="1" x14ac:dyDescent="0.2">
      <c r="B217" s="311">
        <f>SUBTOTAL(3,$D$5:D217)</f>
        <v>84</v>
      </c>
      <c r="C217" s="348">
        <v>213</v>
      </c>
      <c r="D217" s="315" t="s">
        <v>673</v>
      </c>
      <c r="E217" s="338" t="s">
        <v>1640</v>
      </c>
      <c r="F217" s="338" t="s">
        <v>1641</v>
      </c>
      <c r="G217" s="349">
        <v>45935</v>
      </c>
      <c r="H217" s="314" t="s">
        <v>247</v>
      </c>
      <c r="I217" s="338" t="s">
        <v>278</v>
      </c>
      <c r="J217" s="315"/>
      <c r="K217" s="338" t="s">
        <v>676</v>
      </c>
      <c r="L217" s="316" t="s">
        <v>250</v>
      </c>
      <c r="M217" s="316" t="s">
        <v>269</v>
      </c>
      <c r="N217" s="107">
        <v>375</v>
      </c>
      <c r="O217" s="131" t="s">
        <v>252</v>
      </c>
      <c r="P21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7" s="35" t="e">
        <v>#N/A</v>
      </c>
      <c r="S217" s="35">
        <v>1</v>
      </c>
      <c r="T217" s="35">
        <f>Table1[[#This Row],[Progres Total Aktual
(%)]]</f>
        <v>1</v>
      </c>
      <c r="U217" s="124">
        <f>Table1[[#This Row],[Progres Aktual
(%)]]-Table1[[#This Row],[Target Progres
(%)]]</f>
        <v>0</v>
      </c>
      <c r="V217" s="350">
        <f>Table1[[#This Row],["Volume
BA MC-0"]]</f>
        <v>375</v>
      </c>
      <c r="W217" s="351">
        <f>Table1[[#This Row],[Total Panjang Pipa Aktual
(Sum-&gt;)3]]</f>
        <v>387</v>
      </c>
      <c r="X217" s="47"/>
      <c r="Y217" s="67" t="s">
        <v>1642</v>
      </c>
      <c r="Z217" s="67">
        <v>852832507</v>
      </c>
      <c r="AA217" s="67">
        <f>Table1[[#This Row],[Nilai RAB Jaringan
(file pa aji)]]</f>
        <v>852832507</v>
      </c>
      <c r="AB217" s="320">
        <f>SUM(Table1[[#This Row],[RAB Kegiatan Umum]:[RAB Perizinan]])</f>
        <v>0</v>
      </c>
      <c r="AC217" s="320"/>
      <c r="AD217" s="320"/>
      <c r="AE217" s="320"/>
      <c r="AF217" s="320"/>
      <c r="AG217" s="436">
        <v>10248242</v>
      </c>
      <c r="AH217" s="35" t="e">
        <f>SUM(Table1[[#This Row],[Bobot Keg Umum]:[Bobot Perizinan]])</f>
        <v>#DIV/0!</v>
      </c>
      <c r="AI217" s="35" t="e">
        <f>Table1[[#This Row],[RAB Kegiatan Umum]]/Table1[[#This Row],[Nilai RAB Jaringan
(Exclude Ppn)]]</f>
        <v>#DIV/0!</v>
      </c>
      <c r="AJ217" s="35" t="e">
        <f>Table1[[#This Row],[RAB Pemasangan]]/Table1[[#This Row],[Nilai RAB Jaringan
(Exclude Ppn)]]</f>
        <v>#DIV/0!</v>
      </c>
      <c r="AK217" s="35" t="e">
        <f>Table1[[#This Row],[RAB Pengadaan]]/Table1[[#This Row],[Nilai RAB Jaringan
(Exclude Ppn)]]</f>
        <v>#DIV/0!</v>
      </c>
      <c r="AL217" s="35" t="e">
        <f>Table1[[#This Row],[RAB Perizinan]]/Table1[[#This Row],[Nilai RAB Jaringan
(Exclude Ppn)]]</f>
        <v>#DIV/0!</v>
      </c>
      <c r="AM217" s="47"/>
      <c r="AN217" s="285">
        <v>375</v>
      </c>
      <c r="AO217" s="285">
        <f>SUM(Table1[[#This Row],[Pipa 63 mm]:[Pipa 1,800 mm]])</f>
        <v>0</v>
      </c>
      <c r="AP217" s="285"/>
      <c r="AQ217" s="285"/>
      <c r="AR217" s="285"/>
      <c r="AS217" s="285"/>
      <c r="AT217" s="285"/>
      <c r="AU217" s="285"/>
      <c r="AV217" s="285"/>
      <c r="AW217" s="285"/>
      <c r="AX217" s="285"/>
      <c r="AY217" s="285"/>
      <c r="AZ217" s="285"/>
      <c r="BA217" s="285"/>
      <c r="BB217" s="285"/>
      <c r="BC217" s="285"/>
      <c r="BD217" s="285"/>
      <c r="BE217" s="285"/>
      <c r="BF217" s="285"/>
      <c r="BG217" s="285"/>
      <c r="BH217" s="285"/>
      <c r="BI217" s="285"/>
      <c r="BJ217" s="446">
        <f>SUM(Table1[[#This Row],[Pipa 63 mm2]:[Pipa 1,800 mm21]])</f>
        <v>387</v>
      </c>
      <c r="BK217" s="32"/>
      <c r="BL217" s="32">
        <v>387</v>
      </c>
      <c r="BM217" s="32"/>
      <c r="BN217" s="32"/>
      <c r="BO217" s="32"/>
      <c r="BP217" s="32"/>
      <c r="BQ217" s="32"/>
      <c r="BR217" s="32"/>
      <c r="BS217" s="32"/>
      <c r="BT217" s="32"/>
      <c r="BU217" s="32"/>
      <c r="BV217" s="32"/>
      <c r="BW217" s="32"/>
      <c r="BX217" s="32"/>
      <c r="BY217" s="32"/>
      <c r="BZ217" s="32"/>
      <c r="CA217" s="32"/>
      <c r="CB217" s="32"/>
      <c r="CC217" s="32"/>
      <c r="CD217" s="32"/>
      <c r="CE217" s="32">
        <v>0</v>
      </c>
      <c r="CF217" s="32">
        <v>0</v>
      </c>
      <c r="CG217" s="32">
        <v>0</v>
      </c>
      <c r="CH217" s="32">
        <v>0</v>
      </c>
      <c r="CI217" s="32">
        <f t="shared" si="12"/>
        <v>0</v>
      </c>
      <c r="CJ217" s="65">
        <f>IF((Table1[[#This Row],["Volume
BA MC-0"]]-Table1[[#This Row],[Total Panjang Pipa Aktual
(Sum-&gt;)3]]-Table1[[#This Row],[Total Volume
tidak dapat dipasang]])&gt;=0,Table1[[#This Row],["Volume
BA MC-0"]]-Table1[[#This Row],[Total Panjang Pipa Aktual
(Sum-&gt;)3]]-Table1[[#This Row],[Total Volume
tidak dapat dipasang]],0)</f>
        <v>0</v>
      </c>
      <c r="CK217" s="47"/>
      <c r="CL217" s="131"/>
      <c r="CM217" s="35"/>
      <c r="CN217" s="131"/>
      <c r="CO217" s="131"/>
      <c r="CP21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7" s="66">
        <f>IFERROR(Table1[[#This Row],[Progres Keg. Umum
(%)]]*Table1[[#This Row],[Nilai RAB Jaringan
(file pa aji)]],0)</f>
        <v>0</v>
      </c>
      <c r="CR217" s="66">
        <f>IFERROR(Table1[[#This Row],[Progres MOS
(%)]]*Table1[[#This Row],[Nilai RAB Jaringan
(file pa aji)]],0)</f>
        <v>0</v>
      </c>
      <c r="CS217" s="66">
        <f>IFERROR(Table1[[#This Row],[Progres Pemasangan
(%)]]*Table1[[#This Row],[Nilai RAB Jaringan
(file pa aji)]],0)</f>
        <v>0</v>
      </c>
      <c r="CT217" s="66">
        <f>IFERROR(Table1[[#This Row],[Progres Perizinan
(%)]]*Table1[[#This Row],[Nilai RAB Jaringan
(file pa aji)]],0)</f>
        <v>0</v>
      </c>
      <c r="CU217" s="329">
        <v>629413795</v>
      </c>
      <c r="CV217" s="329">
        <v>629413795</v>
      </c>
      <c r="CW217" s="583">
        <v>629413795</v>
      </c>
      <c r="CX217" s="329">
        <v>629413795</v>
      </c>
      <c r="CY217" s="47"/>
      <c r="CZ217" s="330">
        <v>45593</v>
      </c>
      <c r="DA217" s="330">
        <v>45620</v>
      </c>
      <c r="DB217" s="331">
        <v>45614</v>
      </c>
      <c r="DC217" s="316" t="s">
        <v>1643</v>
      </c>
      <c r="DD217" s="67">
        <v>852832506.6400001</v>
      </c>
      <c r="DE21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7" s="331">
        <v>45625</v>
      </c>
      <c r="DG217" s="316" t="s">
        <v>1644</v>
      </c>
      <c r="DH217" s="67">
        <v>852832506.6400001</v>
      </c>
      <c r="DI21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7" s="330">
        <v>45621</v>
      </c>
      <c r="DK217" s="330">
        <v>45683</v>
      </c>
      <c r="DL217" s="331">
        <v>45688</v>
      </c>
      <c r="DM217" s="316" t="s">
        <v>1645</v>
      </c>
      <c r="DN21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7" s="331">
        <v>45719</v>
      </c>
      <c r="DP217" s="316" t="s">
        <v>1646</v>
      </c>
      <c r="DQ217" s="338" t="s">
        <v>560</v>
      </c>
      <c r="DR21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7" s="330">
        <v>45621</v>
      </c>
      <c r="DT217" s="330" t="e">
        <v>#N/A</v>
      </c>
      <c r="DU217" s="330">
        <v>45662</v>
      </c>
      <c r="DV217" s="330" t="e">
        <v>#N/A</v>
      </c>
      <c r="DW217" s="331">
        <v>45688</v>
      </c>
      <c r="DX217" s="316" t="s">
        <v>1645</v>
      </c>
      <c r="DY217" s="334"/>
      <c r="DZ217" s="334"/>
      <c r="EA21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7" s="331">
        <v>45852</v>
      </c>
      <c r="EC217" s="332"/>
      <c r="ED217" s="332"/>
      <c r="EE217" s="425" t="s">
        <v>1647</v>
      </c>
      <c r="EF217" s="35">
        <v>1</v>
      </c>
      <c r="EG217" s="337">
        <v>1</v>
      </c>
      <c r="EH217" s="316" t="str">
        <f>IF(Table1[[#This Row],[PO Material Aktual 
(%)]]&gt;=100%,"Selesai PO = 100%",IF(Table1[[#This Row],[PO Material Aktual 
(%)]]&gt;=50%,"Proses PO &gt; 100%",IF(Table1[[#This Row],[PO Material Aktual 
(%)]]&gt;0%,"Proses PO &gt; 50%",IF(Table1[[#This Row],[PO Material Aktual 
(%)]]=0,"Belum PO = 0%"))))</f>
        <v>Selesai PO = 100%</v>
      </c>
      <c r="EI21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7" s="330">
        <v>45663</v>
      </c>
      <c r="EK217" s="330" t="e">
        <v>#N/A</v>
      </c>
      <c r="EL217" s="330">
        <v>45746</v>
      </c>
      <c r="EM217" s="330" t="e">
        <v>#N/A</v>
      </c>
      <c r="EN217" s="331">
        <v>46151</v>
      </c>
      <c r="EO217" s="332"/>
      <c r="EP217" s="332"/>
      <c r="EQ217" s="87">
        <v>1</v>
      </c>
      <c r="ER217" s="87">
        <v>1</v>
      </c>
      <c r="ES217" s="316" t="str">
        <f>IF(Table1[[#This Row],[Progres MOS]]&gt;=100%,"Selesai MOS = 100%",IF(Table1[[#This Row],[Progres MOS]]&gt;=50%,"Proses MOS &gt; 100%",IF(Table1[[#This Row],[Progres MOS]]&gt;0%,"Proses MOS &gt; 50%",IF(Table1[[#This Row],[Progres MOS]]=0,"Belum MOS = 0%"))))</f>
        <v>Selesai MOS = 100%</v>
      </c>
      <c r="ET21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7" s="47"/>
      <c r="EV217" s="330">
        <v>45621</v>
      </c>
      <c r="EW217" s="330" t="e">
        <v>#N/A</v>
      </c>
      <c r="EX217" s="330">
        <v>45711</v>
      </c>
      <c r="EY217" s="330" t="e">
        <v>#N/A</v>
      </c>
      <c r="EZ217" s="352" t="s">
        <v>298</v>
      </c>
      <c r="FA217" s="336" t="s">
        <v>298</v>
      </c>
      <c r="FB217" s="330" t="s">
        <v>260</v>
      </c>
      <c r="FC217" s="330">
        <v>45838</v>
      </c>
      <c r="FD217" s="330" t="s">
        <v>260</v>
      </c>
      <c r="FE217" s="330">
        <v>45895</v>
      </c>
      <c r="FF217" s="330">
        <v>45929</v>
      </c>
      <c r="FG217" s="330" t="s">
        <v>260</v>
      </c>
      <c r="FH217" s="330" t="s">
        <v>260</v>
      </c>
      <c r="FI217" s="330">
        <v>46010</v>
      </c>
      <c r="FJ217" s="330" t="s">
        <v>260</v>
      </c>
      <c r="FK217" s="330"/>
      <c r="FL217" s="336" t="s">
        <v>298</v>
      </c>
      <c r="FM217" s="352">
        <v>45838</v>
      </c>
      <c r="FN217" s="338">
        <f>IF(Table1[[#This Row],[Tanggal Pengajuan Dokumen]]="","",Table1[[#This Row],[PLAN PERMIT
start]]-Table1[[#This Row],[Tanggal Pengajuan Dokumen]])</f>
        <v>-217</v>
      </c>
      <c r="FO217" s="437">
        <v>46086</v>
      </c>
      <c r="FP217" s="316"/>
      <c r="FQ217" s="338"/>
      <c r="FR217" s="338"/>
      <c r="FS217" s="338" t="str">
        <f t="shared" si="11"/>
        <v>On Going</v>
      </c>
      <c r="FT21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7" s="344">
        <f ca="1">IF(Table1[[#This Row],[Status Izin]]="Selesai",Table1[[#This Row],[PLAN PERMIT
finish]]-Table1[[#This Row],[Tanggal Terbit/ Target Izin Terbit]],ROUNDUP(Table1[[#This Row],[PLAN PERMIT
finish]]-NOW(),0))</f>
        <v>-480</v>
      </c>
      <c r="FV21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7" s="344"/>
      <c r="FX217" s="47"/>
      <c r="FY217" s="340"/>
      <c r="FZ217" s="341"/>
      <c r="GA21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7" s="330">
        <v>45685</v>
      </c>
      <c r="GC217" s="352">
        <v>45547</v>
      </c>
      <c r="GD21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7" s="330">
        <v>45692</v>
      </c>
      <c r="GF217" s="352">
        <v>45547</v>
      </c>
      <c r="GG21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7" s="330">
        <v>45698</v>
      </c>
      <c r="GI217" s="330">
        <v>45704</v>
      </c>
      <c r="GJ217" s="352">
        <v>45706</v>
      </c>
      <c r="GK21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7" s="330">
        <v>45712</v>
      </c>
      <c r="GM217" s="330" t="e">
        <v>#N/A</v>
      </c>
      <c r="GN217" s="330">
        <v>45781</v>
      </c>
      <c r="GO217" s="330" t="e">
        <v>#N/A</v>
      </c>
      <c r="GP217" s="316"/>
      <c r="GQ21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7" s="330" t="s">
        <v>261</v>
      </c>
      <c r="GS217" s="421" t="s">
        <v>261</v>
      </c>
      <c r="GT217" s="431">
        <v>45910</v>
      </c>
      <c r="GU217" s="423" t="str">
        <f>IF(Table1[[#This Row],[Hydro Tes Actual
(tanggal)]]&lt;&gt;"","Sudah","Belum")</f>
        <v>Sudah</v>
      </c>
      <c r="GV217" s="330" t="s">
        <v>261</v>
      </c>
      <c r="GW217" s="330" t="s">
        <v>261</v>
      </c>
      <c r="GX217" s="331">
        <v>45919</v>
      </c>
      <c r="GY217" s="344" t="str">
        <f>IF(Table1[[#This Row],[Interkoneksi Actual
(tanggal)]]&lt;&gt;"","Sudah","Belum")</f>
        <v>Sudah</v>
      </c>
      <c r="GZ217" s="330" t="s">
        <v>261</v>
      </c>
      <c r="HA217" s="421" t="s">
        <v>261</v>
      </c>
      <c r="HB217" s="432">
        <v>45922</v>
      </c>
      <c r="HC217" s="344" t="str">
        <f>IF(Table1[[#This Row],[Flushing Actual
(tanggal)]]&lt;&gt;"","Sudah","Belum")</f>
        <v>Sudah</v>
      </c>
      <c r="HD217" s="330">
        <v>45754</v>
      </c>
      <c r="HE217" s="330" t="e">
        <v>#N/A</v>
      </c>
      <c r="HF217" s="330">
        <v>45774</v>
      </c>
      <c r="HG217" s="352">
        <v>45924</v>
      </c>
      <c r="HH21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7" s="330" t="s">
        <v>261</v>
      </c>
      <c r="HJ217" s="330" t="s">
        <v>261</v>
      </c>
      <c r="HK217" s="331"/>
      <c r="HL217" s="316"/>
      <c r="HM217" s="330">
        <v>45793</v>
      </c>
      <c r="HN217" s="330">
        <v>45793</v>
      </c>
      <c r="HO217" s="330" t="e">
        <v>#N/A</v>
      </c>
      <c r="HP217" s="331">
        <v>45929</v>
      </c>
      <c r="HQ21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17" s="330">
        <v>45800</v>
      </c>
      <c r="HS217" s="330"/>
      <c r="HT217" s="330">
        <v>45800</v>
      </c>
      <c r="HU217" s="527"/>
      <c r="HV217" s="331">
        <v>45934</v>
      </c>
      <c r="HW21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17" s="47"/>
      <c r="HY217" s="352"/>
      <c r="HZ217" s="352"/>
      <c r="IB217" s="618">
        <f>IFERROR(ROUND((Table1[[#This Row],[PLAN TC
finish]]-Table1[[#This Row],[PLAN MC-0
start]])/30,2),"")</f>
        <v>2.5299999999999998</v>
      </c>
      <c r="IC217">
        <f>DATEDIF(Table1[[#This Row],[PLAN MC-0
start]],Table1[[#This Row],[PLAN TC
finish]],"m")</f>
        <v>2</v>
      </c>
    </row>
    <row r="218" spans="1:237" s="4" customFormat="1" ht="15" hidden="1" customHeight="1" x14ac:dyDescent="0.2">
      <c r="B218" s="311">
        <f>SUBTOTAL(3,$D$5:D218)</f>
        <v>84</v>
      </c>
      <c r="C218" s="348">
        <v>214</v>
      </c>
      <c r="D218" s="315" t="s">
        <v>673</v>
      </c>
      <c r="E218" s="338" t="s">
        <v>1648</v>
      </c>
      <c r="F218" s="338" t="s">
        <v>1649</v>
      </c>
      <c r="G218" s="349">
        <v>45935</v>
      </c>
      <c r="H218" s="314" t="s">
        <v>247</v>
      </c>
      <c r="I218" s="338" t="s">
        <v>278</v>
      </c>
      <c r="J218" s="315"/>
      <c r="K218" s="338" t="s">
        <v>676</v>
      </c>
      <c r="L218" s="316" t="s">
        <v>250</v>
      </c>
      <c r="M218" s="316" t="s">
        <v>269</v>
      </c>
      <c r="N218" s="107">
        <v>1581</v>
      </c>
      <c r="O218" s="131" t="s">
        <v>252</v>
      </c>
      <c r="P21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8" s="35" t="e">
        <v>#N/A</v>
      </c>
      <c r="S218" s="35">
        <v>1</v>
      </c>
      <c r="T218" s="35">
        <f>Table1[[#This Row],[Progres Total Aktual
(%)]]</f>
        <v>1</v>
      </c>
      <c r="U218" s="124">
        <f>Table1[[#This Row],[Progres Aktual
(%)]]-Table1[[#This Row],[Target Progres
(%)]]</f>
        <v>0</v>
      </c>
      <c r="V218" s="350">
        <f>Table1[[#This Row],["Volume
BA MC-0"]]</f>
        <v>1595</v>
      </c>
      <c r="W218" s="351">
        <f>Table1[[#This Row],[Total Panjang Pipa Aktual
(Sum-&gt;)3]]</f>
        <v>1647</v>
      </c>
      <c r="X218" s="47"/>
      <c r="Y218" s="67" t="s">
        <v>1650</v>
      </c>
      <c r="Z218" s="67">
        <v>2484455519</v>
      </c>
      <c r="AA218" s="67">
        <f>Table1[[#This Row],[Nilai RAB Jaringan
(file pa aji)]]</f>
        <v>2484455519</v>
      </c>
      <c r="AB218" s="320">
        <f>SUM(Table1[[#This Row],[RAB Kegiatan Umum]:[RAB Perizinan]])</f>
        <v>0</v>
      </c>
      <c r="AC218" s="320"/>
      <c r="AD218" s="320"/>
      <c r="AE218" s="320"/>
      <c r="AF218" s="320"/>
      <c r="AG218" s="436">
        <v>211113775</v>
      </c>
      <c r="AH218" s="35" t="e">
        <f>SUM(Table1[[#This Row],[Bobot Keg Umum]:[Bobot Perizinan]])</f>
        <v>#DIV/0!</v>
      </c>
      <c r="AI218" s="35" t="e">
        <f>Table1[[#This Row],[RAB Kegiatan Umum]]/Table1[[#This Row],[Nilai RAB Jaringan
(Exclude Ppn)]]</f>
        <v>#DIV/0!</v>
      </c>
      <c r="AJ218" s="35" t="e">
        <f>Table1[[#This Row],[RAB Pemasangan]]/Table1[[#This Row],[Nilai RAB Jaringan
(Exclude Ppn)]]</f>
        <v>#DIV/0!</v>
      </c>
      <c r="AK218" s="35" t="e">
        <f>Table1[[#This Row],[RAB Pengadaan]]/Table1[[#This Row],[Nilai RAB Jaringan
(Exclude Ppn)]]</f>
        <v>#DIV/0!</v>
      </c>
      <c r="AL218" s="35" t="e">
        <f>Table1[[#This Row],[RAB Perizinan]]/Table1[[#This Row],[Nilai RAB Jaringan
(Exclude Ppn)]]</f>
        <v>#DIV/0!</v>
      </c>
      <c r="AM218" s="47"/>
      <c r="AN218" s="285">
        <v>1595</v>
      </c>
      <c r="AO218" s="285">
        <f>SUM(Table1[[#This Row],[Pipa 63 mm]:[Pipa 1,800 mm]])</f>
        <v>0</v>
      </c>
      <c r="AP218" s="285"/>
      <c r="AQ218" s="285"/>
      <c r="AR218" s="285"/>
      <c r="AS218" s="285"/>
      <c r="AT218" s="285"/>
      <c r="AU218" s="285"/>
      <c r="AV218" s="285"/>
      <c r="AW218" s="285"/>
      <c r="AX218" s="285"/>
      <c r="AY218" s="285"/>
      <c r="AZ218" s="285"/>
      <c r="BA218" s="285"/>
      <c r="BB218" s="285"/>
      <c r="BC218" s="285"/>
      <c r="BD218" s="285"/>
      <c r="BE218" s="285"/>
      <c r="BF218" s="285"/>
      <c r="BG218" s="285"/>
      <c r="BH218" s="285"/>
      <c r="BI218" s="285"/>
      <c r="BJ218" s="446">
        <f>SUM(Table1[[#This Row],[Pipa 63 mm2]:[Pipa 1,800 mm21]])</f>
        <v>1647</v>
      </c>
      <c r="BK218" s="32">
        <v>1333</v>
      </c>
      <c r="BL218" s="32">
        <v>50</v>
      </c>
      <c r="BM218" s="32">
        <v>100</v>
      </c>
      <c r="BN218" s="32">
        <v>164</v>
      </c>
      <c r="BO218" s="32"/>
      <c r="BP218" s="32"/>
      <c r="BQ218" s="32"/>
      <c r="BR218" s="32"/>
      <c r="BS218" s="32"/>
      <c r="BT218" s="32"/>
      <c r="BU218" s="32"/>
      <c r="BV218" s="32"/>
      <c r="BW218" s="32"/>
      <c r="BX218" s="32"/>
      <c r="BY218" s="32"/>
      <c r="BZ218" s="32"/>
      <c r="CA218" s="32"/>
      <c r="CB218" s="32"/>
      <c r="CC218" s="32"/>
      <c r="CD218" s="32"/>
      <c r="CE218" s="32">
        <v>0</v>
      </c>
      <c r="CF218" s="32">
        <v>0</v>
      </c>
      <c r="CG218" s="32">
        <v>0</v>
      </c>
      <c r="CH218" s="32">
        <v>0</v>
      </c>
      <c r="CI218" s="32">
        <f t="shared" si="12"/>
        <v>0</v>
      </c>
      <c r="CJ218" s="65">
        <f>IF((Table1[[#This Row],["Volume
BA MC-0"]]-Table1[[#This Row],[Total Panjang Pipa Aktual
(Sum-&gt;)3]]-Table1[[#This Row],[Total Volume
tidak dapat dipasang]])&gt;=0,Table1[[#This Row],["Volume
BA MC-0"]]-Table1[[#This Row],[Total Panjang Pipa Aktual
(Sum-&gt;)3]]-Table1[[#This Row],[Total Volume
tidak dapat dipasang]],0)</f>
        <v>0</v>
      </c>
      <c r="CK218" s="47"/>
      <c r="CL218" s="131"/>
      <c r="CM218" s="35"/>
      <c r="CN218" s="131"/>
      <c r="CO218" s="131"/>
      <c r="CP21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8" s="66">
        <f>IFERROR(Table1[[#This Row],[Progres Keg. Umum
(%)]]*Table1[[#This Row],[Nilai RAB Jaringan
(file pa aji)]],0)</f>
        <v>0</v>
      </c>
      <c r="CR218" s="66">
        <f>IFERROR(Table1[[#This Row],[Progres MOS
(%)]]*Table1[[#This Row],[Nilai RAB Jaringan
(file pa aji)]],0)</f>
        <v>0</v>
      </c>
      <c r="CS218" s="66">
        <f>IFERROR(Table1[[#This Row],[Progres Pemasangan
(%)]]*Table1[[#This Row],[Nilai RAB Jaringan
(file pa aji)]],0)</f>
        <v>0</v>
      </c>
      <c r="CT218" s="66">
        <f>IFERROR(Table1[[#This Row],[Progres Perizinan
(%)]]*Table1[[#This Row],[Nilai RAB Jaringan
(file pa aji)]],0)</f>
        <v>0</v>
      </c>
      <c r="CU218" s="329">
        <v>1881890872</v>
      </c>
      <c r="CV218" s="329">
        <v>1881890872</v>
      </c>
      <c r="CW218" s="583">
        <v>1881890872</v>
      </c>
      <c r="CX218" s="329">
        <v>1881890872</v>
      </c>
      <c r="CY218" s="47"/>
      <c r="CZ218" s="330">
        <v>45565</v>
      </c>
      <c r="DA218" s="330">
        <v>45585</v>
      </c>
      <c r="DB218" s="331">
        <v>45568</v>
      </c>
      <c r="DC218" s="316" t="s">
        <v>1651</v>
      </c>
      <c r="DD218" s="67">
        <v>2484455519</v>
      </c>
      <c r="DE21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8" s="331">
        <v>45576</v>
      </c>
      <c r="DG218" s="316" t="s">
        <v>1652</v>
      </c>
      <c r="DH218" s="67">
        <v>2484455519</v>
      </c>
      <c r="DI21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8" s="330">
        <v>45586</v>
      </c>
      <c r="DK218" s="330">
        <v>45627</v>
      </c>
      <c r="DL218" s="331">
        <v>45602</v>
      </c>
      <c r="DM218" s="316" t="s">
        <v>1653</v>
      </c>
      <c r="DN21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8" s="331">
        <v>45656</v>
      </c>
      <c r="DP218" s="316" t="s">
        <v>1654</v>
      </c>
      <c r="DQ218" s="338" t="s">
        <v>762</v>
      </c>
      <c r="DR21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8" s="330">
        <v>45586</v>
      </c>
      <c r="DT218" s="330" t="e">
        <v>#N/A</v>
      </c>
      <c r="DU218" s="330">
        <v>45620</v>
      </c>
      <c r="DV218" s="330" t="e">
        <v>#N/A</v>
      </c>
      <c r="DW218" s="331">
        <v>45602</v>
      </c>
      <c r="DX218" s="316" t="s">
        <v>1653</v>
      </c>
      <c r="DY218" s="334"/>
      <c r="DZ218" s="334"/>
      <c r="EA21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18" s="331">
        <v>45889</v>
      </c>
      <c r="EC218" s="332"/>
      <c r="ED218" s="332"/>
      <c r="EE218" s="330" t="s">
        <v>1309</v>
      </c>
      <c r="EF218" s="35">
        <v>1</v>
      </c>
      <c r="EG218" s="337">
        <v>1</v>
      </c>
      <c r="EH218" s="316" t="str">
        <f>IF(Table1[[#This Row],[PO Material Aktual 
(%)]]&gt;=100%,"Selesai PO = 100%",IF(Table1[[#This Row],[PO Material Aktual 
(%)]]&gt;=50%,"Proses PO &gt; 100%",IF(Table1[[#This Row],[PO Material Aktual 
(%)]]&gt;0%,"Proses PO &gt; 50%",IF(Table1[[#This Row],[PO Material Aktual 
(%)]]=0,"Belum PO = 0%"))))</f>
        <v>Selesai PO = 100%</v>
      </c>
      <c r="EI21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8" s="330">
        <v>45621</v>
      </c>
      <c r="EK218" s="330" t="e">
        <v>#N/A</v>
      </c>
      <c r="EL218" s="330">
        <v>45683</v>
      </c>
      <c r="EM218" s="330" t="e">
        <v>#N/A</v>
      </c>
      <c r="EN218" s="331">
        <v>45960</v>
      </c>
      <c r="EO218" s="332"/>
      <c r="EP218" s="332"/>
      <c r="EQ218" s="87">
        <v>1</v>
      </c>
      <c r="ER218" s="87">
        <v>1</v>
      </c>
      <c r="ES218" s="316" t="str">
        <f>IF(Table1[[#This Row],[Progres MOS]]&gt;=100%,"Selesai MOS = 100%",IF(Table1[[#This Row],[Progres MOS]]&gt;=50%,"Proses MOS &gt; 100%",IF(Table1[[#This Row],[Progres MOS]]&gt;0%,"Proses MOS &gt; 50%",IF(Table1[[#This Row],[Progres MOS]]=0,"Belum MOS = 0%"))))</f>
        <v>Selesai MOS = 100%</v>
      </c>
      <c r="ET21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8" s="47"/>
      <c r="EV218" s="330">
        <v>45586</v>
      </c>
      <c r="EW218" s="330" t="e">
        <v>#N/A</v>
      </c>
      <c r="EX218" s="330">
        <v>45655</v>
      </c>
      <c r="EY218" s="330" t="e">
        <v>#N/A</v>
      </c>
      <c r="EZ218" s="352" t="s">
        <v>298</v>
      </c>
      <c r="FA218" s="336" t="s">
        <v>298</v>
      </c>
      <c r="FB218" s="330" t="s">
        <v>260</v>
      </c>
      <c r="FC218" s="330">
        <v>45838</v>
      </c>
      <c r="FD218" s="330" t="s">
        <v>260</v>
      </c>
      <c r="FE218" s="330">
        <v>45895</v>
      </c>
      <c r="FF218" s="330">
        <v>45929</v>
      </c>
      <c r="FG218" s="330" t="s">
        <v>260</v>
      </c>
      <c r="FH218" s="330" t="s">
        <v>260</v>
      </c>
      <c r="FI218" s="330">
        <v>46010</v>
      </c>
      <c r="FJ218" s="330" t="s">
        <v>260</v>
      </c>
      <c r="FK218" s="330"/>
      <c r="FL218" s="336" t="s">
        <v>298</v>
      </c>
      <c r="FM218" s="352">
        <v>45838</v>
      </c>
      <c r="FN218" s="338">
        <f>IF(Table1[[#This Row],[Tanggal Pengajuan Dokumen]]="","",Table1[[#This Row],[PLAN PERMIT
start]]-Table1[[#This Row],[Tanggal Pengajuan Dokumen]])</f>
        <v>-252</v>
      </c>
      <c r="FO218" s="437">
        <v>46086</v>
      </c>
      <c r="FP218" s="316"/>
      <c r="FQ218" s="338"/>
      <c r="FR218" s="338"/>
      <c r="FS218" s="338" t="str">
        <f t="shared" si="11"/>
        <v>On Going</v>
      </c>
      <c r="FT21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8" s="344">
        <f ca="1">IF(Table1[[#This Row],[Status Izin]]="Selesai",Table1[[#This Row],[PLAN PERMIT
finish]]-Table1[[#This Row],[Tanggal Terbit/ Target Izin Terbit]],ROUNDUP(Table1[[#This Row],[PLAN PERMIT
finish]]-NOW(),0))</f>
        <v>-536</v>
      </c>
      <c r="FV21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8" s="344"/>
      <c r="FX218" s="47"/>
      <c r="FY218" s="340"/>
      <c r="FZ218" s="341"/>
      <c r="GA21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8" s="330">
        <v>45629</v>
      </c>
      <c r="GC218" s="352">
        <v>45629</v>
      </c>
      <c r="GD21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8" s="330">
        <v>45636</v>
      </c>
      <c r="GF218" s="352">
        <v>45629</v>
      </c>
      <c r="GG21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8" s="330">
        <v>45642</v>
      </c>
      <c r="GI218" s="330">
        <v>45648</v>
      </c>
      <c r="GJ218" s="352">
        <v>45636</v>
      </c>
      <c r="GK21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8" s="330">
        <v>45656</v>
      </c>
      <c r="GM218" s="330" t="e">
        <v>#N/A</v>
      </c>
      <c r="GN218" s="330">
        <v>45753</v>
      </c>
      <c r="GO218" s="330" t="e">
        <v>#N/A</v>
      </c>
      <c r="GP218" s="316"/>
      <c r="GQ21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8" s="330" t="s">
        <v>261</v>
      </c>
      <c r="GS218" s="421" t="s">
        <v>261</v>
      </c>
      <c r="GT218" s="431">
        <v>45738</v>
      </c>
      <c r="GU218" s="423" t="str">
        <f>IF(Table1[[#This Row],[Hydro Tes Actual
(tanggal)]]&lt;&gt;"","Sudah","Belum")</f>
        <v>Sudah</v>
      </c>
      <c r="GV218" s="330" t="s">
        <v>261</v>
      </c>
      <c r="GW218" s="330" t="s">
        <v>261</v>
      </c>
      <c r="GX218" s="331">
        <v>45779</v>
      </c>
      <c r="GY218" s="344" t="str">
        <f>IF(Table1[[#This Row],[Interkoneksi Actual
(tanggal)]]&lt;&gt;"","Sudah","Belum")</f>
        <v>Sudah</v>
      </c>
      <c r="GZ218" s="330" t="s">
        <v>261</v>
      </c>
      <c r="HA218" s="421" t="s">
        <v>261</v>
      </c>
      <c r="HB218" s="432">
        <v>45796</v>
      </c>
      <c r="HC218" s="344" t="str">
        <f>IF(Table1[[#This Row],[Flushing Actual
(tanggal)]]&lt;&gt;"","Sudah","Belum")</f>
        <v>Sudah</v>
      </c>
      <c r="HD218" s="330">
        <v>45726</v>
      </c>
      <c r="HE218" s="330" t="e">
        <v>#N/A</v>
      </c>
      <c r="HF218" s="330">
        <v>45746</v>
      </c>
      <c r="HG218" s="352">
        <v>45825</v>
      </c>
      <c r="HH21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8" s="330" t="s">
        <v>261</v>
      </c>
      <c r="HJ218" s="330" t="s">
        <v>261</v>
      </c>
      <c r="HK218" s="331"/>
      <c r="HL218" s="316"/>
      <c r="HM218" s="330">
        <v>45765</v>
      </c>
      <c r="HN218" s="330">
        <v>45765</v>
      </c>
      <c r="HO218" s="330" t="e">
        <v>#N/A</v>
      </c>
      <c r="HP218" s="331">
        <v>45926</v>
      </c>
      <c r="HQ21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18" s="330">
        <v>45772</v>
      </c>
      <c r="HS218" s="330"/>
      <c r="HT218" s="330">
        <v>45772</v>
      </c>
      <c r="HU218" s="527"/>
      <c r="HV218" s="331">
        <v>45934</v>
      </c>
      <c r="HW21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18" s="47"/>
      <c r="HY218" s="352"/>
      <c r="HZ218" s="352"/>
      <c r="IB218" s="618">
        <f>IFERROR(ROUND((Table1[[#This Row],[PLAN TC
finish]]-Table1[[#This Row],[PLAN MC-0
start]])/30,2),"")</f>
        <v>3.47</v>
      </c>
      <c r="IC218">
        <f>DATEDIF(Table1[[#This Row],[PLAN MC-0
start]],Table1[[#This Row],[PLAN TC
finish]],"m")</f>
        <v>3</v>
      </c>
    </row>
    <row r="219" spans="1:237" s="4" customFormat="1" ht="15" hidden="1" customHeight="1" x14ac:dyDescent="0.2">
      <c r="B219" s="311">
        <f>SUBTOTAL(3,$D$5:D219)</f>
        <v>84</v>
      </c>
      <c r="C219" s="348">
        <v>215</v>
      </c>
      <c r="D219" s="315" t="s">
        <v>673</v>
      </c>
      <c r="E219" s="338" t="s">
        <v>1655</v>
      </c>
      <c r="F219" s="338" t="s">
        <v>1656</v>
      </c>
      <c r="G219" s="349">
        <v>45935</v>
      </c>
      <c r="H219" s="314" t="s">
        <v>247</v>
      </c>
      <c r="I219" s="338" t="s">
        <v>278</v>
      </c>
      <c r="J219" s="315" t="s">
        <v>943</v>
      </c>
      <c r="K219" s="338" t="s">
        <v>676</v>
      </c>
      <c r="L219" s="316" t="s">
        <v>250</v>
      </c>
      <c r="M219" s="316" t="s">
        <v>269</v>
      </c>
      <c r="N219" s="107">
        <v>220</v>
      </c>
      <c r="O219" s="131" t="s">
        <v>252</v>
      </c>
      <c r="P21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19" s="35" t="e">
        <v>#N/A</v>
      </c>
      <c r="S219" s="35">
        <v>1</v>
      </c>
      <c r="T219" s="35">
        <f>Table1[[#This Row],[Progres Total Aktual
(%)]]</f>
        <v>0.90117315102742679</v>
      </c>
      <c r="U219" s="124">
        <f>Table1[[#This Row],[Progres Aktual
(%)]]-Table1[[#This Row],[Target Progres
(%)]]</f>
        <v>-9.8826848972573211E-2</v>
      </c>
      <c r="V219" s="350">
        <f>Table1[[#This Row],["Volume
BA MC-0"]]</f>
        <v>220</v>
      </c>
      <c r="W219" s="351">
        <f>Table1[[#This Row],[Total Panjang Pipa Aktual
(Sum-&gt;)3]]</f>
        <v>220</v>
      </c>
      <c r="X219" s="47"/>
      <c r="Y219" s="67" t="s">
        <v>1657</v>
      </c>
      <c r="Z219" s="67">
        <v>482167758</v>
      </c>
      <c r="AA219" s="67">
        <f>Table1[[#This Row],[Nilai RAB Jaringan
(file pa aji)]]</f>
        <v>482167758</v>
      </c>
      <c r="AB219" s="320">
        <f>SUM(Table1[[#This Row],[RAB Kegiatan Umum]:[RAB Perizinan]])</f>
        <v>0</v>
      </c>
      <c r="AC219" s="320"/>
      <c r="AD219" s="320"/>
      <c r="AE219" s="320"/>
      <c r="AF219" s="320"/>
      <c r="AG219" s="436">
        <v>2049649</v>
      </c>
      <c r="AH219" s="35" t="e">
        <f>SUM(Table1[[#This Row],[Bobot Keg Umum]:[Bobot Perizinan]])</f>
        <v>#DIV/0!</v>
      </c>
      <c r="AI219" s="35" t="e">
        <f>Table1[[#This Row],[RAB Kegiatan Umum]]/Table1[[#This Row],[Nilai RAB Jaringan
(Exclude Ppn)]]</f>
        <v>#DIV/0!</v>
      </c>
      <c r="AJ219" s="35" t="e">
        <f>Table1[[#This Row],[RAB Pemasangan]]/Table1[[#This Row],[Nilai RAB Jaringan
(Exclude Ppn)]]</f>
        <v>#DIV/0!</v>
      </c>
      <c r="AK219" s="35" t="e">
        <f>Table1[[#This Row],[RAB Pengadaan]]/Table1[[#This Row],[Nilai RAB Jaringan
(Exclude Ppn)]]</f>
        <v>#DIV/0!</v>
      </c>
      <c r="AL219" s="35" t="e">
        <f>Table1[[#This Row],[RAB Perizinan]]/Table1[[#This Row],[Nilai RAB Jaringan
(Exclude Ppn)]]</f>
        <v>#DIV/0!</v>
      </c>
      <c r="AM219" s="47"/>
      <c r="AN219" s="285">
        <v>220</v>
      </c>
      <c r="AO219" s="285">
        <f>SUM(Table1[[#This Row],[Pipa 63 mm]:[Pipa 1,800 mm]])</f>
        <v>0</v>
      </c>
      <c r="AP219" s="285"/>
      <c r="AQ219" s="285"/>
      <c r="AR219" s="285"/>
      <c r="AS219" s="285"/>
      <c r="AT219" s="285"/>
      <c r="AU219" s="285"/>
      <c r="AV219" s="285"/>
      <c r="AW219" s="285"/>
      <c r="AX219" s="285"/>
      <c r="AY219" s="285"/>
      <c r="AZ219" s="285"/>
      <c r="BA219" s="285"/>
      <c r="BB219" s="285"/>
      <c r="BC219" s="285"/>
      <c r="BD219" s="285"/>
      <c r="BE219" s="285"/>
      <c r="BF219" s="285"/>
      <c r="BG219" s="285"/>
      <c r="BH219" s="285"/>
      <c r="BI219" s="285"/>
      <c r="BJ219" s="446">
        <f>SUM(Table1[[#This Row],[Pipa 63 mm2]:[Pipa 1,800 mm21]])</f>
        <v>220</v>
      </c>
      <c r="BK219" s="32"/>
      <c r="BL219" s="32"/>
      <c r="BM219" s="32">
        <v>220</v>
      </c>
      <c r="BN219" s="32"/>
      <c r="BO219" s="32"/>
      <c r="BP219" s="32"/>
      <c r="BQ219" s="32"/>
      <c r="BR219" s="32"/>
      <c r="BS219" s="32"/>
      <c r="BT219" s="32"/>
      <c r="BU219" s="32"/>
      <c r="BV219" s="32"/>
      <c r="BW219" s="32"/>
      <c r="BX219" s="32"/>
      <c r="BY219" s="32"/>
      <c r="BZ219" s="32"/>
      <c r="CA219" s="32"/>
      <c r="CB219" s="32"/>
      <c r="CC219" s="32"/>
      <c r="CD219" s="32"/>
      <c r="CE219" s="32">
        <v>0</v>
      </c>
      <c r="CF219" s="32">
        <v>0</v>
      </c>
      <c r="CG219" s="32">
        <v>0</v>
      </c>
      <c r="CH219" s="32">
        <v>0</v>
      </c>
      <c r="CI219" s="32">
        <f t="shared" si="12"/>
        <v>0</v>
      </c>
      <c r="CJ219" s="65">
        <f>IF((Table1[[#This Row],["Volume
BA MC-0"]]-Table1[[#This Row],[Total Panjang Pipa Aktual
(Sum-&gt;)3]]-Table1[[#This Row],[Total Volume
tidak dapat dipasang]])&gt;=0,Table1[[#This Row],["Volume
BA MC-0"]]-Table1[[#This Row],[Total Panjang Pipa Aktual
(Sum-&gt;)3]]-Table1[[#This Row],[Total Volume
tidak dapat dipasang]],0)</f>
        <v>0</v>
      </c>
      <c r="CK219" s="47"/>
      <c r="CL219" s="131"/>
      <c r="CM219" s="35"/>
      <c r="CN219" s="131"/>
      <c r="CO219" s="131"/>
      <c r="CP21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0.90117315102742679</v>
      </c>
      <c r="CQ219" s="66">
        <f>IFERROR(Table1[[#This Row],[Progres Keg. Umum
(%)]]*Table1[[#This Row],[Nilai RAB Jaringan
(file pa aji)]],0)</f>
        <v>0</v>
      </c>
      <c r="CR219" s="66">
        <f>IFERROR(Table1[[#This Row],[Progres MOS
(%)]]*Table1[[#This Row],[Nilai RAB Jaringan
(file pa aji)]],0)</f>
        <v>0</v>
      </c>
      <c r="CS219" s="66">
        <f>IFERROR(Table1[[#This Row],[Progres Pemasangan
(%)]]*Table1[[#This Row],[Nilai RAB Jaringan
(file pa aji)]],0)</f>
        <v>0</v>
      </c>
      <c r="CT219" s="66">
        <f>IFERROR(Table1[[#This Row],[Progres Perizinan
(%)]]*Table1[[#This Row],[Nilai RAB Jaringan
(file pa aji)]],0)</f>
        <v>0</v>
      </c>
      <c r="CU219" s="329">
        <v>434516637.80068976</v>
      </c>
      <c r="CV219" s="329">
        <v>434516637.80068976</v>
      </c>
      <c r="CW219" s="583">
        <v>0</v>
      </c>
      <c r="CX219" s="329">
        <v>0</v>
      </c>
      <c r="CY219" s="47"/>
      <c r="CZ219" s="330">
        <v>45565</v>
      </c>
      <c r="DA219" s="330">
        <v>45592</v>
      </c>
      <c r="DB219" s="331">
        <v>45638</v>
      </c>
      <c r="DC219" s="316" t="s">
        <v>1658</v>
      </c>
      <c r="DD219" s="67">
        <v>482167757</v>
      </c>
      <c r="DE21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19" s="331">
        <v>45649</v>
      </c>
      <c r="DG219" s="316" t="s">
        <v>1659</v>
      </c>
      <c r="DH219" s="67">
        <v>482167757</v>
      </c>
      <c r="DI21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9" s="330">
        <v>45593</v>
      </c>
      <c r="DK219" s="330">
        <v>45655</v>
      </c>
      <c r="DL219" s="331">
        <v>45701</v>
      </c>
      <c r="DM219" s="316" t="s">
        <v>1660</v>
      </c>
      <c r="DN21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9" s="331">
        <v>45734</v>
      </c>
      <c r="DP219" s="316" t="s">
        <v>1661</v>
      </c>
      <c r="DQ219" s="338" t="s">
        <v>685</v>
      </c>
      <c r="DR21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9" s="330">
        <v>45593</v>
      </c>
      <c r="DT219" s="330" t="e">
        <v>#N/A</v>
      </c>
      <c r="DU219" s="330">
        <v>45634</v>
      </c>
      <c r="DV219" s="330" t="e">
        <v>#N/A</v>
      </c>
      <c r="DW219" s="331">
        <v>45701</v>
      </c>
      <c r="DX219" s="316" t="s">
        <v>1662</v>
      </c>
      <c r="DY219" s="334"/>
      <c r="DZ219" s="334"/>
      <c r="EA21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9" s="331">
        <v>45740</v>
      </c>
      <c r="EC219" s="332"/>
      <c r="ED219" s="332"/>
      <c r="EE219" s="330" t="s">
        <v>1663</v>
      </c>
      <c r="EF219" s="35">
        <v>1</v>
      </c>
      <c r="EG219" s="337">
        <v>1</v>
      </c>
      <c r="EH219" s="316" t="str">
        <f>IF(Table1[[#This Row],[PO Material Aktual 
(%)]]&gt;=100%,"Selesai PO = 100%",IF(Table1[[#This Row],[PO Material Aktual 
(%)]]&gt;=50%,"Proses PO &gt; 100%",IF(Table1[[#This Row],[PO Material Aktual 
(%)]]&gt;0%,"Proses PO &gt; 50%",IF(Table1[[#This Row],[PO Material Aktual 
(%)]]=0,"Belum PO = 0%"))))</f>
        <v>Selesai PO = 100%</v>
      </c>
      <c r="EI21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9" s="330">
        <v>45635</v>
      </c>
      <c r="EK219" s="330" t="e">
        <v>#N/A</v>
      </c>
      <c r="EL219" s="330">
        <v>45711</v>
      </c>
      <c r="EM219" s="330" t="e">
        <v>#N/A</v>
      </c>
      <c r="EN219" s="331"/>
      <c r="EO219" s="332"/>
      <c r="EP219" s="332"/>
      <c r="EQ219" s="87">
        <v>0.73076923076923073</v>
      </c>
      <c r="ER219" s="87">
        <v>0.73076923076923073</v>
      </c>
      <c r="ES219" s="316" t="str">
        <f>IF(Table1[[#This Row],[Progres MOS]]&gt;=100%,"Selesai MOS = 100%",IF(Table1[[#This Row],[Progres MOS]]&gt;=50%,"Proses MOS &gt; 100%",IF(Table1[[#This Row],[Progres MOS]]&gt;0%,"Proses MOS &gt; 50%",IF(Table1[[#This Row],[Progres MOS]]=0,"Belum MOS = 0%"))))</f>
        <v>Proses MOS &gt; 100%</v>
      </c>
      <c r="ET21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9" s="47"/>
      <c r="EV219" s="330">
        <v>45593</v>
      </c>
      <c r="EW219" s="330" t="e">
        <v>#N/A</v>
      </c>
      <c r="EX219" s="330">
        <v>45683</v>
      </c>
      <c r="EY219" s="330" t="e">
        <v>#N/A</v>
      </c>
      <c r="EZ219" s="352" t="s">
        <v>298</v>
      </c>
      <c r="FA219" s="336" t="s">
        <v>298</v>
      </c>
      <c r="FB219" s="330" t="s">
        <v>260</v>
      </c>
      <c r="FC219" s="330">
        <v>45838</v>
      </c>
      <c r="FD219" s="330" t="s">
        <v>260</v>
      </c>
      <c r="FE219" s="330">
        <v>45895</v>
      </c>
      <c r="FF219" s="330">
        <v>45929</v>
      </c>
      <c r="FG219" s="330" t="s">
        <v>260</v>
      </c>
      <c r="FH219" s="330" t="s">
        <v>260</v>
      </c>
      <c r="FI219" s="330">
        <v>46010</v>
      </c>
      <c r="FJ219" s="330" t="s">
        <v>260</v>
      </c>
      <c r="FK219" s="330"/>
      <c r="FL219" s="336" t="s">
        <v>298</v>
      </c>
      <c r="FM219" s="352">
        <v>45838</v>
      </c>
      <c r="FN219" s="338">
        <f>IF(Table1[[#This Row],[Tanggal Pengajuan Dokumen]]="","",Table1[[#This Row],[PLAN PERMIT
start]]-Table1[[#This Row],[Tanggal Pengajuan Dokumen]])</f>
        <v>-245</v>
      </c>
      <c r="FO219" s="437">
        <v>46086</v>
      </c>
      <c r="FP219" s="316"/>
      <c r="FQ219" s="338"/>
      <c r="FR219" s="338"/>
      <c r="FS219" s="338" t="str">
        <f t="shared" si="11"/>
        <v>On Going</v>
      </c>
      <c r="FT21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9" s="344">
        <f ca="1">IF(Table1[[#This Row],[Status Izin]]="Selesai",Table1[[#This Row],[PLAN PERMIT
finish]]-Table1[[#This Row],[Tanggal Terbit/ Target Izin Terbit]],ROUNDUP(Table1[[#This Row],[PLAN PERMIT
finish]]-NOW(),0))</f>
        <v>-508</v>
      </c>
      <c r="FV21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9" s="344"/>
      <c r="FX219" s="47"/>
      <c r="FY219" s="340"/>
      <c r="FZ219" s="341"/>
      <c r="GA21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9" s="330">
        <v>45657</v>
      </c>
      <c r="GC219" s="352">
        <v>45547</v>
      </c>
      <c r="GD21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9" s="330">
        <v>45664</v>
      </c>
      <c r="GF219" s="352">
        <v>45547</v>
      </c>
      <c r="GG21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9" s="330">
        <v>45670</v>
      </c>
      <c r="GI219" s="330">
        <v>45676</v>
      </c>
      <c r="GJ219" s="352">
        <v>45705</v>
      </c>
      <c r="GK21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9" s="330">
        <v>45684</v>
      </c>
      <c r="GM219" s="330" t="e">
        <v>#N/A</v>
      </c>
      <c r="GN219" s="330">
        <v>45753</v>
      </c>
      <c r="GO219" s="330" t="e">
        <v>#N/A</v>
      </c>
      <c r="GP219" s="316"/>
      <c r="GQ21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9" s="330" t="s">
        <v>261</v>
      </c>
      <c r="GS219" s="421" t="s">
        <v>261</v>
      </c>
      <c r="GT219" s="354"/>
      <c r="GU219" s="423" t="str">
        <f>IF(Table1[[#This Row],[Hydro Tes Actual
(tanggal)]]&lt;&gt;"","Sudah","Belum")</f>
        <v>Belum</v>
      </c>
      <c r="GV219" s="330" t="s">
        <v>261</v>
      </c>
      <c r="GW219" s="330" t="s">
        <v>261</v>
      </c>
      <c r="GX219" s="331"/>
      <c r="GY219" s="344" t="str">
        <f>IF(Table1[[#This Row],[Interkoneksi Actual
(tanggal)]]&lt;&gt;"","Sudah","Belum")</f>
        <v>Belum</v>
      </c>
      <c r="GZ219" s="330" t="s">
        <v>261</v>
      </c>
      <c r="HA219" s="421" t="s">
        <v>261</v>
      </c>
      <c r="HB219" s="331"/>
      <c r="HC219" s="344" t="str">
        <f>IF(Table1[[#This Row],[Flushing Actual
(tanggal)]]&lt;&gt;"","Sudah","Belum")</f>
        <v>Belum</v>
      </c>
      <c r="HD219" s="330">
        <v>45726</v>
      </c>
      <c r="HE219" s="330" t="e">
        <v>#N/A</v>
      </c>
      <c r="HF219" s="330">
        <v>45746</v>
      </c>
      <c r="HG219" s="352"/>
      <c r="HH21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9" s="330" t="s">
        <v>261</v>
      </c>
      <c r="HJ219" s="330" t="s">
        <v>261</v>
      </c>
      <c r="HK219" s="331"/>
      <c r="HL219" s="316"/>
      <c r="HM219" s="330">
        <v>45765</v>
      </c>
      <c r="HN219" s="330">
        <v>45765</v>
      </c>
      <c r="HO219" s="421" t="e">
        <v>#N/A</v>
      </c>
      <c r="HP219" s="331"/>
      <c r="HQ21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19" s="330">
        <v>45772</v>
      </c>
      <c r="HS219" s="330"/>
      <c r="HT219" s="330">
        <v>45772</v>
      </c>
      <c r="HU219" s="330"/>
      <c r="HV219" s="331"/>
      <c r="HW21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19" s="47"/>
      <c r="HY219" s="352"/>
      <c r="HZ219" s="352"/>
      <c r="IB219" s="618">
        <f>IFERROR(ROUND((Table1[[#This Row],[PLAN TC
finish]]-Table1[[#This Row],[PLAN MC-0
start]])/30,2),"")</f>
        <v>2.5299999999999998</v>
      </c>
      <c r="IC219">
        <f>DATEDIF(Table1[[#This Row],[PLAN MC-0
start]],Table1[[#This Row],[PLAN TC
finish]],"m")</f>
        <v>2</v>
      </c>
    </row>
    <row r="220" spans="1:237" s="4" customFormat="1" ht="15" hidden="1" customHeight="1" x14ac:dyDescent="0.2">
      <c r="B220" s="311">
        <f>SUBTOTAL(3,$D$5:D220)</f>
        <v>84</v>
      </c>
      <c r="C220" s="348">
        <v>216</v>
      </c>
      <c r="D220" s="315" t="s">
        <v>673</v>
      </c>
      <c r="E220" s="338" t="s">
        <v>1664</v>
      </c>
      <c r="F220" s="338" t="s">
        <v>1665</v>
      </c>
      <c r="G220" s="349">
        <v>45935</v>
      </c>
      <c r="H220" s="314" t="s">
        <v>247</v>
      </c>
      <c r="I220" s="338" t="s">
        <v>278</v>
      </c>
      <c r="J220" s="315"/>
      <c r="K220" s="338" t="s">
        <v>676</v>
      </c>
      <c r="L220" s="316" t="s">
        <v>250</v>
      </c>
      <c r="M220" s="316" t="s">
        <v>269</v>
      </c>
      <c r="N220" s="107">
        <v>540</v>
      </c>
      <c r="O220" s="131" t="s">
        <v>252</v>
      </c>
      <c r="P22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0" s="35" t="e">
        <v>#N/A</v>
      </c>
      <c r="S220" s="35">
        <v>1</v>
      </c>
      <c r="T220" s="35">
        <f>Table1[[#This Row],[Progres Total Aktual
(%)]]</f>
        <v>1</v>
      </c>
      <c r="U220" s="124">
        <f>Table1[[#This Row],[Progres Aktual
(%)]]-Table1[[#This Row],[Target Progres
(%)]]</f>
        <v>0</v>
      </c>
      <c r="V220" s="350">
        <f>Table1[[#This Row],["Volume
BA MC-0"]]</f>
        <v>541</v>
      </c>
      <c r="W220" s="351">
        <f>Table1[[#This Row],[Total Panjang Pipa Aktual
(Sum-&gt;)3]]</f>
        <v>540</v>
      </c>
      <c r="X220" s="47"/>
      <c r="Y220" s="67" t="s">
        <v>1666</v>
      </c>
      <c r="Z220" s="67">
        <v>790046610</v>
      </c>
      <c r="AA220" s="67">
        <f>Table1[[#This Row],[Nilai RAB Jaringan
(file pa aji)]]</f>
        <v>790046610</v>
      </c>
      <c r="AB220" s="320">
        <f>SUM(Table1[[#This Row],[RAB Kegiatan Umum]:[RAB Perizinan]])</f>
        <v>0</v>
      </c>
      <c r="AC220" s="320"/>
      <c r="AD220" s="320"/>
      <c r="AE220" s="320"/>
      <c r="AF220" s="320"/>
      <c r="AG220" s="436">
        <v>133227140</v>
      </c>
      <c r="AH220" s="35" t="e">
        <f>SUM(Table1[[#This Row],[Bobot Keg Umum]:[Bobot Perizinan]])</f>
        <v>#DIV/0!</v>
      </c>
      <c r="AI220" s="35" t="e">
        <f>Table1[[#This Row],[RAB Kegiatan Umum]]/Table1[[#This Row],[Nilai RAB Jaringan
(Exclude Ppn)]]</f>
        <v>#DIV/0!</v>
      </c>
      <c r="AJ220" s="35" t="e">
        <f>Table1[[#This Row],[RAB Pemasangan]]/Table1[[#This Row],[Nilai RAB Jaringan
(Exclude Ppn)]]</f>
        <v>#DIV/0!</v>
      </c>
      <c r="AK220" s="35" t="e">
        <f>Table1[[#This Row],[RAB Pengadaan]]/Table1[[#This Row],[Nilai RAB Jaringan
(Exclude Ppn)]]</f>
        <v>#DIV/0!</v>
      </c>
      <c r="AL220" s="35" t="e">
        <f>Table1[[#This Row],[RAB Perizinan]]/Table1[[#This Row],[Nilai RAB Jaringan
(Exclude Ppn)]]</f>
        <v>#DIV/0!</v>
      </c>
      <c r="AM220" s="47"/>
      <c r="AN220" s="285">
        <v>541</v>
      </c>
      <c r="AO220" s="285">
        <f>SUM(Table1[[#This Row],[Pipa 63 mm]:[Pipa 1,800 mm]])</f>
        <v>0</v>
      </c>
      <c r="AP220" s="285"/>
      <c r="AQ220" s="285"/>
      <c r="AR220" s="285"/>
      <c r="AS220" s="285"/>
      <c r="AT220" s="285"/>
      <c r="AU220" s="285"/>
      <c r="AV220" s="285"/>
      <c r="AW220" s="285"/>
      <c r="AX220" s="285"/>
      <c r="AY220" s="285"/>
      <c r="AZ220" s="285"/>
      <c r="BA220" s="285"/>
      <c r="BB220" s="285"/>
      <c r="BC220" s="285"/>
      <c r="BD220" s="285"/>
      <c r="BE220" s="285"/>
      <c r="BF220" s="285"/>
      <c r="BG220" s="285"/>
      <c r="BH220" s="285"/>
      <c r="BI220" s="285"/>
      <c r="BJ220" s="446">
        <f>SUM(Table1[[#This Row],[Pipa 63 mm2]:[Pipa 1,800 mm21]])</f>
        <v>540</v>
      </c>
      <c r="BK220" s="32">
        <v>467</v>
      </c>
      <c r="BL220" s="32">
        <v>73</v>
      </c>
      <c r="BM220" s="32"/>
      <c r="BN220" s="32"/>
      <c r="BO220" s="32"/>
      <c r="BP220" s="32"/>
      <c r="BQ220" s="32"/>
      <c r="BR220" s="32"/>
      <c r="BS220" s="32"/>
      <c r="BT220" s="32"/>
      <c r="BU220" s="32"/>
      <c r="BV220" s="32"/>
      <c r="BW220" s="32"/>
      <c r="BX220" s="32"/>
      <c r="BY220" s="32"/>
      <c r="BZ220" s="32"/>
      <c r="CA220" s="32"/>
      <c r="CB220" s="32"/>
      <c r="CC220" s="32"/>
      <c r="CD220" s="32"/>
      <c r="CE220" s="32">
        <v>0</v>
      </c>
      <c r="CF220" s="32">
        <v>0</v>
      </c>
      <c r="CG220" s="32">
        <v>0</v>
      </c>
      <c r="CH220" s="32">
        <v>0</v>
      </c>
      <c r="CI220" s="32">
        <f t="shared" si="12"/>
        <v>0</v>
      </c>
      <c r="CJ220" s="65">
        <f>IF((Table1[[#This Row],["Volume
BA MC-0"]]-Table1[[#This Row],[Total Panjang Pipa Aktual
(Sum-&gt;)3]]-Table1[[#This Row],[Total Volume
tidak dapat dipasang]])&gt;=0,Table1[[#This Row],["Volume
BA MC-0"]]-Table1[[#This Row],[Total Panjang Pipa Aktual
(Sum-&gt;)3]]-Table1[[#This Row],[Total Volume
tidak dapat dipasang]],0)</f>
        <v>1</v>
      </c>
      <c r="CK220" s="47"/>
      <c r="CL220" s="131"/>
      <c r="CM220" s="35"/>
      <c r="CN220" s="131"/>
      <c r="CO220" s="131"/>
      <c r="CP22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0" s="66">
        <f>IFERROR(Table1[[#This Row],[Progres Keg. Umum
(%)]]*Table1[[#This Row],[Nilai RAB Jaringan
(file pa aji)]],0)</f>
        <v>0</v>
      </c>
      <c r="CR220" s="66">
        <f>IFERROR(Table1[[#This Row],[Progres MOS
(%)]]*Table1[[#This Row],[Nilai RAB Jaringan
(file pa aji)]],0)</f>
        <v>0</v>
      </c>
      <c r="CS220" s="66">
        <f>IFERROR(Table1[[#This Row],[Progres Pemasangan
(%)]]*Table1[[#This Row],[Nilai RAB Jaringan
(file pa aji)]],0)</f>
        <v>0</v>
      </c>
      <c r="CT220" s="66">
        <f>IFERROR(Table1[[#This Row],[Progres Perizinan
(%)]]*Table1[[#This Row],[Nilai RAB Jaringan
(file pa aji)]],0)</f>
        <v>0</v>
      </c>
      <c r="CU220" s="329">
        <v>587602756</v>
      </c>
      <c r="CV220" s="329">
        <v>587602756</v>
      </c>
      <c r="CW220" s="583">
        <v>587602756</v>
      </c>
      <c r="CX220" s="329">
        <v>587602756</v>
      </c>
      <c r="CY220" s="47"/>
      <c r="CZ220" s="330">
        <v>45593</v>
      </c>
      <c r="DA220" s="330">
        <v>45620</v>
      </c>
      <c r="DB220" s="331">
        <v>45614</v>
      </c>
      <c r="DC220" s="316" t="s">
        <v>1667</v>
      </c>
      <c r="DD220" s="67">
        <v>790046609.6400001</v>
      </c>
      <c r="DE22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0" s="331">
        <v>45625</v>
      </c>
      <c r="DG220" s="316" t="s">
        <v>1668</v>
      </c>
      <c r="DH220" s="67">
        <v>790046609.6400001</v>
      </c>
      <c r="DI22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20" s="330">
        <v>45621</v>
      </c>
      <c r="DK220" s="330">
        <v>45683</v>
      </c>
      <c r="DL220" s="331">
        <v>45701</v>
      </c>
      <c r="DM220" s="316" t="s">
        <v>1669</v>
      </c>
      <c r="DN22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20" s="331">
        <v>45721</v>
      </c>
      <c r="DP220" s="316" t="s">
        <v>1670</v>
      </c>
      <c r="DQ220" s="338" t="s">
        <v>1671</v>
      </c>
      <c r="DR22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0" s="330">
        <v>45621</v>
      </c>
      <c r="DT220" s="330" t="e">
        <v>#N/A</v>
      </c>
      <c r="DU220" s="330">
        <v>45662</v>
      </c>
      <c r="DV220" s="330" t="e">
        <v>#N/A</v>
      </c>
      <c r="DW220" s="331">
        <v>45701</v>
      </c>
      <c r="DX220" s="316" t="s">
        <v>1672</v>
      </c>
      <c r="DY220" s="334"/>
      <c r="DZ220" s="334"/>
      <c r="EA22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0" s="331">
        <v>45709</v>
      </c>
      <c r="EC220" s="332"/>
      <c r="ED220" s="332"/>
      <c r="EE220" s="330" t="s">
        <v>1673</v>
      </c>
      <c r="EF220" s="35">
        <v>1</v>
      </c>
      <c r="EG220" s="337">
        <v>1</v>
      </c>
      <c r="EH220" s="316" t="str">
        <f>IF(Table1[[#This Row],[PO Material Aktual 
(%)]]&gt;=100%,"Selesai PO = 100%",IF(Table1[[#This Row],[PO Material Aktual 
(%)]]&gt;=50%,"Proses PO &gt; 100%",IF(Table1[[#This Row],[PO Material Aktual 
(%)]]&gt;0%,"Proses PO &gt; 50%",IF(Table1[[#This Row],[PO Material Aktual 
(%)]]=0,"Belum PO = 0%"))))</f>
        <v>Selesai PO = 100%</v>
      </c>
      <c r="EI22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0" s="330">
        <v>45663</v>
      </c>
      <c r="EK220" s="330" t="e">
        <v>#N/A</v>
      </c>
      <c r="EL220" s="330">
        <v>45746</v>
      </c>
      <c r="EM220" s="330" t="e">
        <v>#N/A</v>
      </c>
      <c r="EN220" s="331">
        <v>46151</v>
      </c>
      <c r="EO220" s="332"/>
      <c r="EP220" s="332"/>
      <c r="EQ220" s="87">
        <v>1</v>
      </c>
      <c r="ER220" s="87">
        <v>1</v>
      </c>
      <c r="ES220" s="316" t="str">
        <f>IF(Table1[[#This Row],[Progres MOS]]&gt;=100%,"Selesai MOS = 100%",IF(Table1[[#This Row],[Progres MOS]]&gt;=50%,"Proses MOS &gt; 100%",IF(Table1[[#This Row],[Progres MOS]]&gt;0%,"Proses MOS &gt; 50%",IF(Table1[[#This Row],[Progres MOS]]=0,"Belum MOS = 0%"))))</f>
        <v>Selesai MOS = 100%</v>
      </c>
      <c r="ET22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0" s="47"/>
      <c r="EV220" s="330">
        <v>45621</v>
      </c>
      <c r="EW220" s="330" t="e">
        <v>#N/A</v>
      </c>
      <c r="EX220" s="330">
        <v>45711</v>
      </c>
      <c r="EY220" s="330" t="e">
        <v>#N/A</v>
      </c>
      <c r="EZ220" s="352" t="s">
        <v>298</v>
      </c>
      <c r="FA220" s="336" t="s">
        <v>298</v>
      </c>
      <c r="FB220" s="330" t="s">
        <v>260</v>
      </c>
      <c r="FC220" s="330">
        <v>45838</v>
      </c>
      <c r="FD220" s="330" t="s">
        <v>260</v>
      </c>
      <c r="FE220" s="330">
        <v>45895</v>
      </c>
      <c r="FF220" s="330">
        <v>45929</v>
      </c>
      <c r="FG220" s="330" t="s">
        <v>260</v>
      </c>
      <c r="FH220" s="330" t="s">
        <v>260</v>
      </c>
      <c r="FI220" s="330">
        <v>46010</v>
      </c>
      <c r="FJ220" s="330" t="s">
        <v>260</v>
      </c>
      <c r="FK220" s="330"/>
      <c r="FL220" s="336" t="s">
        <v>298</v>
      </c>
      <c r="FM220" s="352">
        <v>45838</v>
      </c>
      <c r="FN220" s="338">
        <f>IF(Table1[[#This Row],[Tanggal Pengajuan Dokumen]]="","",Table1[[#This Row],[PLAN PERMIT
start]]-Table1[[#This Row],[Tanggal Pengajuan Dokumen]])</f>
        <v>-217</v>
      </c>
      <c r="FO220" s="437">
        <v>46086</v>
      </c>
      <c r="FP220" s="316"/>
      <c r="FQ220" s="338"/>
      <c r="FR220" s="338"/>
      <c r="FS220" s="338" t="str">
        <f t="shared" si="11"/>
        <v>On Going</v>
      </c>
      <c r="FT22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0" s="344">
        <f ca="1">IF(Table1[[#This Row],[Status Izin]]="Selesai",Table1[[#This Row],[PLAN PERMIT
finish]]-Table1[[#This Row],[Tanggal Terbit/ Target Izin Terbit]],ROUNDUP(Table1[[#This Row],[PLAN PERMIT
finish]]-NOW(),0))</f>
        <v>-480</v>
      </c>
      <c r="FV22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0" s="344"/>
      <c r="FX220" s="47"/>
      <c r="FY220" s="340"/>
      <c r="FZ220" s="341"/>
      <c r="GA22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0" s="330">
        <v>45685</v>
      </c>
      <c r="GC220" s="352">
        <v>45547</v>
      </c>
      <c r="GD22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0" s="330">
        <v>45692</v>
      </c>
      <c r="GF220" s="352">
        <v>45547</v>
      </c>
      <c r="GG22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0" s="330">
        <v>45698</v>
      </c>
      <c r="GI220" s="330">
        <v>45704</v>
      </c>
      <c r="GJ220" s="352">
        <v>45706</v>
      </c>
      <c r="GK22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0" s="330">
        <v>45712</v>
      </c>
      <c r="GM220" s="330" t="e">
        <v>#N/A</v>
      </c>
      <c r="GN220" s="330">
        <v>45781</v>
      </c>
      <c r="GO220" s="330" t="e">
        <v>#N/A</v>
      </c>
      <c r="GP220" s="316"/>
      <c r="GQ22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0" s="330" t="s">
        <v>261</v>
      </c>
      <c r="GS220" s="421" t="s">
        <v>261</v>
      </c>
      <c r="GT220" s="431">
        <v>45736</v>
      </c>
      <c r="GU220" s="423" t="str">
        <f>IF(Table1[[#This Row],[Hydro Tes Actual
(tanggal)]]&lt;&gt;"","Sudah","Belum")</f>
        <v>Sudah</v>
      </c>
      <c r="GV220" s="330" t="s">
        <v>261</v>
      </c>
      <c r="GW220" s="330" t="s">
        <v>261</v>
      </c>
      <c r="GX220" s="331">
        <v>45733</v>
      </c>
      <c r="GY220" s="344" t="str">
        <f>IF(Table1[[#This Row],[Interkoneksi Actual
(tanggal)]]&lt;&gt;"","Sudah","Belum")</f>
        <v>Sudah</v>
      </c>
      <c r="GZ220" s="330" t="s">
        <v>261</v>
      </c>
      <c r="HA220" s="421" t="s">
        <v>261</v>
      </c>
      <c r="HB220" s="432">
        <v>45736</v>
      </c>
      <c r="HC220" s="344" t="str">
        <f>IF(Table1[[#This Row],[Flushing Actual
(tanggal)]]&lt;&gt;"","Sudah","Belum")</f>
        <v>Sudah</v>
      </c>
      <c r="HD220" s="330">
        <v>45754</v>
      </c>
      <c r="HE220" s="330" t="e">
        <v>#N/A</v>
      </c>
      <c r="HF220" s="330">
        <v>45774</v>
      </c>
      <c r="HG220" s="352">
        <v>45824</v>
      </c>
      <c r="HH22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0" s="330" t="s">
        <v>261</v>
      </c>
      <c r="HJ220" s="330" t="s">
        <v>261</v>
      </c>
      <c r="HK220" s="331"/>
      <c r="HL220" s="316"/>
      <c r="HM220" s="330">
        <v>45793</v>
      </c>
      <c r="HN220" s="330">
        <v>45793</v>
      </c>
      <c r="HO220" s="330" t="e">
        <v>#N/A</v>
      </c>
      <c r="HP220" s="331">
        <v>45926</v>
      </c>
      <c r="HQ22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20" s="330">
        <v>45800</v>
      </c>
      <c r="HS220" s="330"/>
      <c r="HT220" s="330">
        <v>45800</v>
      </c>
      <c r="HU220" s="527"/>
      <c r="HV220" s="331">
        <v>45934</v>
      </c>
      <c r="HW22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20" s="47"/>
      <c r="HY220" s="352"/>
      <c r="HZ220" s="352"/>
      <c r="IB220" s="618">
        <f>IFERROR(ROUND((Table1[[#This Row],[PLAN TC
finish]]-Table1[[#This Row],[PLAN MC-0
start]])/30,2),"")</f>
        <v>2.5299999999999998</v>
      </c>
      <c r="IC220">
        <f>DATEDIF(Table1[[#This Row],[PLAN MC-0
start]],Table1[[#This Row],[PLAN TC
finish]],"m")</f>
        <v>2</v>
      </c>
    </row>
    <row r="221" spans="1:237" s="30" customFormat="1" ht="15" hidden="1" customHeight="1" x14ac:dyDescent="0.2">
      <c r="A221" s="77"/>
      <c r="B221" s="311">
        <f>SUBTOTAL(3,$D$5:D221)</f>
        <v>84</v>
      </c>
      <c r="C221" s="362">
        <v>217</v>
      </c>
      <c r="D221" s="363" t="s">
        <v>673</v>
      </c>
      <c r="E221" s="366" t="s">
        <v>1674</v>
      </c>
      <c r="F221" s="366" t="s">
        <v>1675</v>
      </c>
      <c r="G221" s="364">
        <v>45935</v>
      </c>
      <c r="H221" s="365" t="s">
        <v>247</v>
      </c>
      <c r="I221" s="366" t="s">
        <v>278</v>
      </c>
      <c r="J221" s="385" t="s">
        <v>389</v>
      </c>
      <c r="K221" s="366" t="s">
        <v>676</v>
      </c>
      <c r="L221" s="367" t="s">
        <v>250</v>
      </c>
      <c r="M221" s="367" t="s">
        <v>269</v>
      </c>
      <c r="N221" s="368">
        <v>200</v>
      </c>
      <c r="O221" s="379" t="s">
        <v>252</v>
      </c>
      <c r="P221"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1" s="370" t="s">
        <v>389</v>
      </c>
      <c r="R221" s="371" t="e">
        <v>#N/A</v>
      </c>
      <c r="S221" s="371">
        <v>1</v>
      </c>
      <c r="T221" s="371">
        <f>Table1[[#This Row],[Progres Total Aktual
(%)]]</f>
        <v>0</v>
      </c>
      <c r="U221" s="372">
        <f>Table1[[#This Row],[Progres Aktual
(%)]]-Table1[[#This Row],[Target Progres
(%)]]</f>
        <v>-1</v>
      </c>
      <c r="V221" s="373">
        <f>Table1[[#This Row],["Volume
BA MC-0"]]</f>
        <v>200</v>
      </c>
      <c r="W221" s="374">
        <f>Table1[[#This Row],[Total Panjang Pipa Aktual
(Sum-&gt;)3]]</f>
        <v>0</v>
      </c>
      <c r="X221" s="47"/>
      <c r="Y221" s="375" t="s">
        <v>1676</v>
      </c>
      <c r="Z221" s="375">
        <v>750133816</v>
      </c>
      <c r="AA221" s="67">
        <f>Table1[[#This Row],[Nilai RAB Jaringan
(file pa aji)]]</f>
        <v>750133816</v>
      </c>
      <c r="AB221" s="370">
        <f>SUM(Table1[[#This Row],[RAB Kegiatan Umum]:[RAB Perizinan]])</f>
        <v>0</v>
      </c>
      <c r="AC221" s="370"/>
      <c r="AD221" s="370"/>
      <c r="AE221" s="370"/>
      <c r="AF221" s="370"/>
      <c r="AG221" s="439">
        <v>2049649</v>
      </c>
      <c r="AH221" s="371" t="e">
        <f>SUM(Table1[[#This Row],[Bobot Keg Umum]:[Bobot Perizinan]])</f>
        <v>#DIV/0!</v>
      </c>
      <c r="AI221" s="371" t="e">
        <f>Table1[[#This Row],[RAB Kegiatan Umum]]/Table1[[#This Row],[Nilai RAB Jaringan
(Exclude Ppn)]]</f>
        <v>#DIV/0!</v>
      </c>
      <c r="AJ221" s="371" t="e">
        <f>Table1[[#This Row],[RAB Pemasangan]]/Table1[[#This Row],[Nilai RAB Jaringan
(Exclude Ppn)]]</f>
        <v>#DIV/0!</v>
      </c>
      <c r="AK221" s="371" t="e">
        <f>Table1[[#This Row],[RAB Pengadaan]]/Table1[[#This Row],[Nilai RAB Jaringan
(Exclude Ppn)]]</f>
        <v>#DIV/0!</v>
      </c>
      <c r="AL221" s="371" t="e">
        <f>Table1[[#This Row],[RAB Perizinan]]/Table1[[#This Row],[Nilai RAB Jaringan
(Exclude Ppn)]]</f>
        <v>#DIV/0!</v>
      </c>
      <c r="AM221" s="47"/>
      <c r="AN221" s="376">
        <v>200</v>
      </c>
      <c r="AO221" s="376">
        <f>SUM(Table1[[#This Row],[Pipa 63 mm]:[Pipa 1,800 mm]])</f>
        <v>0</v>
      </c>
      <c r="AP221" s="376"/>
      <c r="AQ221" s="376"/>
      <c r="AR221" s="376"/>
      <c r="AS221" s="376"/>
      <c r="AT221" s="376"/>
      <c r="AU221" s="376"/>
      <c r="AV221" s="376"/>
      <c r="AW221" s="376"/>
      <c r="AX221" s="376"/>
      <c r="AY221" s="376"/>
      <c r="AZ221" s="376"/>
      <c r="BA221" s="376"/>
      <c r="BB221" s="376"/>
      <c r="BC221" s="376"/>
      <c r="BD221" s="376"/>
      <c r="BE221" s="376"/>
      <c r="BF221" s="376"/>
      <c r="BG221" s="376"/>
      <c r="BH221" s="376"/>
      <c r="BI221" s="376"/>
      <c r="BJ221" s="451">
        <f>SUM(Table1[[#This Row],[Pipa 63 mm2]:[Pipa 1,800 mm21]])</f>
        <v>0</v>
      </c>
      <c r="BK221" s="378"/>
      <c r="BL221" s="378"/>
      <c r="BM221" s="378"/>
      <c r="BN221" s="378"/>
      <c r="BO221" s="378"/>
      <c r="BP221" s="378"/>
      <c r="BQ221" s="378"/>
      <c r="BR221" s="378"/>
      <c r="BS221" s="378"/>
      <c r="BT221" s="378"/>
      <c r="BU221" s="378"/>
      <c r="BV221" s="378"/>
      <c r="BW221" s="378"/>
      <c r="BX221" s="378"/>
      <c r="BY221" s="378"/>
      <c r="BZ221" s="378"/>
      <c r="CA221" s="378"/>
      <c r="CB221" s="378"/>
      <c r="CC221" s="378"/>
      <c r="CD221" s="378"/>
      <c r="CE221" s="378">
        <v>0</v>
      </c>
      <c r="CF221" s="378">
        <v>0</v>
      </c>
      <c r="CG221" s="378">
        <v>0</v>
      </c>
      <c r="CH221" s="378">
        <v>0</v>
      </c>
      <c r="CI221" s="378">
        <f t="shared" si="12"/>
        <v>0</v>
      </c>
      <c r="CJ221" s="378">
        <f>IF((Table1[[#This Row],["Volume
BA MC-0"]]-Table1[[#This Row],[Total Panjang Pipa Aktual
(Sum-&gt;)3]]-Table1[[#This Row],[Total Volume
tidak dapat dipasang]])&gt;=0,Table1[[#This Row],["Volume
BA MC-0"]]-Table1[[#This Row],[Total Panjang Pipa Aktual
(Sum-&gt;)3]]-Table1[[#This Row],[Total Volume
tidak dapat dipasang]],0)</f>
        <v>200</v>
      </c>
      <c r="CK221" s="47"/>
      <c r="CL221" s="379"/>
      <c r="CM221" s="371"/>
      <c r="CN221" s="379"/>
      <c r="CO221" s="379"/>
      <c r="CP22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21" s="380">
        <f>IFERROR(Table1[[#This Row],[Progres Keg. Umum
(%)]]*Table1[[#This Row],[Nilai RAB Jaringan
(file pa aji)]],0)</f>
        <v>0</v>
      </c>
      <c r="CR221" s="380">
        <f>IFERROR(Table1[[#This Row],[Progres MOS
(%)]]*Table1[[#This Row],[Nilai RAB Jaringan
(file pa aji)]],0)</f>
        <v>0</v>
      </c>
      <c r="CS221" s="380">
        <f>IFERROR(Table1[[#This Row],[Progres Pemasangan
(%)]]*Table1[[#This Row],[Nilai RAB Jaringan
(file pa aji)]],0)</f>
        <v>0</v>
      </c>
      <c r="CT221" s="380">
        <f>IFERROR(Table1[[#This Row],[Progres Perizinan
(%)]]*Table1[[#This Row],[Nilai RAB Jaringan
(file pa aji)]],0)</f>
        <v>0</v>
      </c>
      <c r="CU221" s="329">
        <v>0</v>
      </c>
      <c r="CV221" s="329">
        <v>0</v>
      </c>
      <c r="CW221" s="582">
        <v>0</v>
      </c>
      <c r="CX221" s="329">
        <v>0</v>
      </c>
      <c r="CY221" s="47"/>
      <c r="CZ221" s="386">
        <v>45565</v>
      </c>
      <c r="DA221" s="386">
        <v>45592</v>
      </c>
      <c r="DB221" s="331">
        <v>45621</v>
      </c>
      <c r="DC221" s="367" t="s">
        <v>1677</v>
      </c>
      <c r="DD221" s="375">
        <v>750133816</v>
      </c>
      <c r="DE22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21" s="331">
        <v>45628</v>
      </c>
      <c r="DG221" s="367" t="s">
        <v>1678</v>
      </c>
      <c r="DH221" s="375">
        <v>750133816</v>
      </c>
      <c r="DI221"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21" s="386">
        <v>45593</v>
      </c>
      <c r="DK221" s="386">
        <v>45683</v>
      </c>
      <c r="DL221" s="331"/>
      <c r="DM221" s="367">
        <v>0</v>
      </c>
      <c r="DN22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21" s="331"/>
      <c r="DP221" s="367">
        <v>0</v>
      </c>
      <c r="DQ221" s="366">
        <v>0</v>
      </c>
      <c r="DR22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21" s="386">
        <v>45593</v>
      </c>
      <c r="DT221" s="386" t="e">
        <v>#N/A</v>
      </c>
      <c r="DU221" s="386">
        <v>45634</v>
      </c>
      <c r="DV221" s="386" t="e">
        <v>#N/A</v>
      </c>
      <c r="DW221" s="331"/>
      <c r="DX221" s="367">
        <v>0</v>
      </c>
      <c r="DY221" s="382"/>
      <c r="DZ221" s="382"/>
      <c r="EA22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21" s="331"/>
      <c r="EC221" s="332"/>
      <c r="ED221" s="332"/>
      <c r="EE221" s="330"/>
      <c r="EF221" s="371" t="b">
        <v>0</v>
      </c>
      <c r="EG221" s="383" t="b">
        <v>0</v>
      </c>
      <c r="EH221" s="316" t="str">
        <f>IF(Table1[[#This Row],[PO Material Aktual 
(%)]]&gt;=100%,"Selesai PO = 100%",IF(Table1[[#This Row],[PO Material Aktual 
(%)]]&gt;=50%,"Proses PO &gt; 100%",IF(Table1[[#This Row],[PO Material Aktual 
(%)]]&gt;0%,"Proses PO &gt; 50%",IF(Table1[[#This Row],[PO Material Aktual 
(%)]]=0,"Belum PO = 0%"))))</f>
        <v>Selesai PO = 100%</v>
      </c>
      <c r="EI22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1" s="386">
        <v>45635</v>
      </c>
      <c r="EK221" s="386" t="e">
        <v>#N/A</v>
      </c>
      <c r="EL221" s="386">
        <v>45732</v>
      </c>
      <c r="EM221" s="386" t="e">
        <v>#N/A</v>
      </c>
      <c r="EN221" s="331"/>
      <c r="EO221" s="332"/>
      <c r="EP221" s="332"/>
      <c r="EQ221" s="88" t="b">
        <v>0</v>
      </c>
      <c r="ER221" s="88" t="b">
        <v>0</v>
      </c>
      <c r="ES221" s="316" t="str">
        <f>IF(Table1[[#This Row],[Progres MOS]]&gt;=100%,"Selesai MOS = 100%",IF(Table1[[#This Row],[Progres MOS]]&gt;=50%,"Proses MOS &gt; 100%",IF(Table1[[#This Row],[Progres MOS]]&gt;0%,"Proses MOS &gt; 50%",IF(Table1[[#This Row],[Progres MOS]]=0,"Belum MOS = 0%"))))</f>
        <v>Selesai MOS = 100%</v>
      </c>
      <c r="ET22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1" s="47"/>
      <c r="EV221" s="386">
        <v>45593</v>
      </c>
      <c r="EW221" s="386" t="e">
        <v>#N/A</v>
      </c>
      <c r="EX221" s="386">
        <v>45711</v>
      </c>
      <c r="EY221" s="386" t="e">
        <v>#N/A</v>
      </c>
      <c r="EZ221" s="384" t="s">
        <v>298</v>
      </c>
      <c r="FA221" s="385" t="s">
        <v>389</v>
      </c>
      <c r="FB221" s="386"/>
      <c r="FC221" s="330"/>
      <c r="FD221" s="386"/>
      <c r="FE221" s="386"/>
      <c r="FF221" s="386"/>
      <c r="FG221" s="386"/>
      <c r="FH221" s="386"/>
      <c r="FI221" s="386"/>
      <c r="FJ221" s="386"/>
      <c r="FK221" s="386"/>
      <c r="FL221" s="336" t="str">
        <f>Table1[[#This Row],[IPPJU]]</f>
        <v>9.Proses Penerbitan Izin</v>
      </c>
      <c r="FM221" s="336"/>
      <c r="FN221" s="314" t="str">
        <f>IF(Table1[[#This Row],[Tanggal Pengajuan Dokumen]]="","",Table1[[#This Row],[PLAN PERMIT
start]]-Table1[[#This Row],[Tanggal Pengajuan Dokumen]])</f>
        <v/>
      </c>
      <c r="FO221" s="444">
        <v>46086</v>
      </c>
      <c r="FP221" s="316"/>
      <c r="FQ221" s="338"/>
      <c r="FR221" s="338"/>
      <c r="FS221" s="338" t="str">
        <f t="shared" si="11"/>
        <v>On Going</v>
      </c>
      <c r="FT221"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1" s="387">
        <f ca="1">IF(Table1[[#This Row],[Status Izin]]="Selesai",Table1[[#This Row],[PLAN PERMIT
finish]]-Table1[[#This Row],[Tanggal Terbit/ Target Izin Terbit]],ROUNDUP(Table1[[#This Row],[PLAN PERMIT
finish]]-NOW(),0))</f>
        <v>-480</v>
      </c>
      <c r="FV221"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1" s="387"/>
      <c r="FX221" s="47"/>
      <c r="FY221" s="340"/>
      <c r="FZ221" s="341"/>
      <c r="GA22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1" s="386">
        <v>45685</v>
      </c>
      <c r="GC221" s="384">
        <v>45547</v>
      </c>
      <c r="GD221"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1" s="386">
        <v>45692</v>
      </c>
      <c r="GF221" s="384">
        <v>45547</v>
      </c>
      <c r="GG221"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1" s="386">
        <v>45698</v>
      </c>
      <c r="GI221" s="386">
        <v>45704</v>
      </c>
      <c r="GJ221" s="384">
        <v>0</v>
      </c>
      <c r="GK221"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21" s="386">
        <v>45712</v>
      </c>
      <c r="GM221" s="386" t="e">
        <v>#N/A</v>
      </c>
      <c r="GN221" s="386">
        <v>45753</v>
      </c>
      <c r="GO221" s="386" t="e">
        <v>#N/A</v>
      </c>
      <c r="GP221" s="367"/>
      <c r="GQ221"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1" s="386" t="s">
        <v>261</v>
      </c>
      <c r="GS221" s="434" t="s">
        <v>261</v>
      </c>
      <c r="GT221" s="390"/>
      <c r="GU221" s="435" t="str">
        <f>IF(Table1[[#This Row],[Hydro Tes Actual
(tanggal)]]&lt;&gt;"","Sudah","Belum")</f>
        <v>Belum</v>
      </c>
      <c r="GV221" s="386" t="s">
        <v>261</v>
      </c>
      <c r="GW221" s="386" t="s">
        <v>261</v>
      </c>
      <c r="GX221" s="388"/>
      <c r="GY221" s="344" t="str">
        <f>IF(Table1[[#This Row],[Interkoneksi Actual
(tanggal)]]&lt;&gt;"","Sudah","Belum")</f>
        <v>Belum</v>
      </c>
      <c r="GZ221" s="386" t="s">
        <v>261</v>
      </c>
      <c r="HA221" s="434" t="s">
        <v>261</v>
      </c>
      <c r="HB221" s="388"/>
      <c r="HC221" s="344" t="str">
        <f>IF(Table1[[#This Row],[Flushing Actual
(tanggal)]]&lt;&gt;"","Sudah","Belum")</f>
        <v>Belum</v>
      </c>
      <c r="HD221" s="386">
        <v>45726</v>
      </c>
      <c r="HE221" s="386" t="e">
        <v>#N/A</v>
      </c>
      <c r="HF221" s="386">
        <v>45746</v>
      </c>
      <c r="HG221" s="384"/>
      <c r="HH221"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1" s="386" t="s">
        <v>261</v>
      </c>
      <c r="HJ221" s="386" t="s">
        <v>261</v>
      </c>
      <c r="HK221" s="388"/>
      <c r="HL221" s="367"/>
      <c r="HM221" s="386">
        <v>45758</v>
      </c>
      <c r="HN221" s="386">
        <v>45758</v>
      </c>
      <c r="HO221" s="386" t="e">
        <v>#N/A</v>
      </c>
      <c r="HP221" s="388"/>
      <c r="HQ221"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21" s="386">
        <v>45765</v>
      </c>
      <c r="HS221" s="386"/>
      <c r="HT221" s="386">
        <v>45765</v>
      </c>
      <c r="HU221" s="613"/>
      <c r="HV221" s="388"/>
      <c r="HW221"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21" s="47"/>
      <c r="HY221" s="384"/>
      <c r="HZ221" s="384"/>
      <c r="IB221" s="618">
        <f>IFERROR(ROUND((Table1[[#This Row],[PLAN TC
finish]]-Table1[[#This Row],[PLAN MC-0
start]])/30,2),"")</f>
        <v>1.6</v>
      </c>
      <c r="IC221">
        <f>DATEDIF(Table1[[#This Row],[PLAN MC-0
start]],Table1[[#This Row],[PLAN TC
finish]],"m")</f>
        <v>1</v>
      </c>
    </row>
    <row r="222" spans="1:237" s="4" customFormat="1" ht="15" hidden="1" customHeight="1" x14ac:dyDescent="0.2">
      <c r="B222" s="311">
        <f>SUBTOTAL(3,$D$5:D222)</f>
        <v>84</v>
      </c>
      <c r="C222" s="348">
        <v>218</v>
      </c>
      <c r="D222" s="315" t="s">
        <v>673</v>
      </c>
      <c r="E222" s="338" t="s">
        <v>1679</v>
      </c>
      <c r="F222" s="338" t="s">
        <v>1680</v>
      </c>
      <c r="G222" s="349">
        <v>45935</v>
      </c>
      <c r="H222" s="314" t="s">
        <v>247</v>
      </c>
      <c r="I222" s="338" t="s">
        <v>278</v>
      </c>
      <c r="J222" s="315"/>
      <c r="K222" s="338" t="s">
        <v>676</v>
      </c>
      <c r="L222" s="316" t="s">
        <v>250</v>
      </c>
      <c r="M222" s="316" t="s">
        <v>269</v>
      </c>
      <c r="N222" s="107">
        <v>6791</v>
      </c>
      <c r="O222" s="131" t="s">
        <v>252</v>
      </c>
      <c r="P22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2" s="35" t="e">
        <v>#N/A</v>
      </c>
      <c r="S222" s="35">
        <v>1</v>
      </c>
      <c r="T222" s="35">
        <f>Table1[[#This Row],[Progres Total Aktual
(%)]]</f>
        <v>1</v>
      </c>
      <c r="U222" s="124">
        <f>Table1[[#This Row],[Progres Aktual
(%)]]-Table1[[#This Row],[Target Progres
(%)]]</f>
        <v>0</v>
      </c>
      <c r="V222" s="350">
        <f>Table1[[#This Row],["Volume
BA MC-0"]]</f>
        <v>6849</v>
      </c>
      <c r="W222" s="351">
        <f>Table1[[#This Row],[Total Panjang Pipa Aktual
(Sum-&gt;)3]]</f>
        <v>6830</v>
      </c>
      <c r="X222" s="47"/>
      <c r="Y222" s="67" t="s">
        <v>1681</v>
      </c>
      <c r="Z222" s="67">
        <v>10633438185</v>
      </c>
      <c r="AA222" s="67">
        <f>Table1[[#This Row],[Nilai RAB Jaringan
(file pa aji)]]</f>
        <v>10633438185</v>
      </c>
      <c r="AB222" s="320">
        <f>SUM(Table1[[#This Row],[RAB Kegiatan Umum]:[RAB Perizinan]])</f>
        <v>0</v>
      </c>
      <c r="AC222" s="320"/>
      <c r="AD222" s="320"/>
      <c r="AE222" s="320"/>
      <c r="AF222" s="320"/>
      <c r="AG222" s="436">
        <v>3642838386</v>
      </c>
      <c r="AH222" s="35" t="e">
        <f>SUM(Table1[[#This Row],[Bobot Keg Umum]:[Bobot Perizinan]])</f>
        <v>#DIV/0!</v>
      </c>
      <c r="AI222" s="35" t="e">
        <f>Table1[[#This Row],[RAB Kegiatan Umum]]/Table1[[#This Row],[Nilai RAB Jaringan
(Exclude Ppn)]]</f>
        <v>#DIV/0!</v>
      </c>
      <c r="AJ222" s="35" t="e">
        <f>Table1[[#This Row],[RAB Pemasangan]]/Table1[[#This Row],[Nilai RAB Jaringan
(Exclude Ppn)]]</f>
        <v>#DIV/0!</v>
      </c>
      <c r="AK222" s="35" t="e">
        <f>Table1[[#This Row],[RAB Pengadaan]]/Table1[[#This Row],[Nilai RAB Jaringan
(Exclude Ppn)]]</f>
        <v>#DIV/0!</v>
      </c>
      <c r="AL222" s="35" t="e">
        <f>Table1[[#This Row],[RAB Perizinan]]/Table1[[#This Row],[Nilai RAB Jaringan
(Exclude Ppn)]]</f>
        <v>#DIV/0!</v>
      </c>
      <c r="AM222" s="47"/>
      <c r="AN222" s="285">
        <v>6849</v>
      </c>
      <c r="AO222" s="285">
        <f>SUM(Table1[[#This Row],[Pipa 63 mm]:[Pipa 1,800 mm]])</f>
        <v>0</v>
      </c>
      <c r="AP222" s="285"/>
      <c r="AQ222" s="285"/>
      <c r="AR222" s="285"/>
      <c r="AS222" s="285"/>
      <c r="AT222" s="285"/>
      <c r="AU222" s="285"/>
      <c r="AV222" s="285"/>
      <c r="AW222" s="285"/>
      <c r="AX222" s="285"/>
      <c r="AY222" s="285"/>
      <c r="AZ222" s="285"/>
      <c r="BA222" s="285"/>
      <c r="BB222" s="285"/>
      <c r="BC222" s="285"/>
      <c r="BD222" s="285"/>
      <c r="BE222" s="285"/>
      <c r="BF222" s="285"/>
      <c r="BG222" s="285"/>
      <c r="BH222" s="285"/>
      <c r="BI222" s="285"/>
      <c r="BJ222" s="446">
        <f>SUM(Table1[[#This Row],[Pipa 63 mm2]:[Pipa 1,800 mm21]])</f>
        <v>6830</v>
      </c>
      <c r="BK222" s="32">
        <v>5824</v>
      </c>
      <c r="BL222" s="32">
        <v>66</v>
      </c>
      <c r="BM222" s="32">
        <v>330</v>
      </c>
      <c r="BN222" s="32">
        <v>610</v>
      </c>
      <c r="BO222" s="32"/>
      <c r="BP222" s="32"/>
      <c r="BQ222" s="32"/>
      <c r="BR222" s="32"/>
      <c r="BS222" s="32"/>
      <c r="BT222" s="32"/>
      <c r="BU222" s="32"/>
      <c r="BV222" s="32"/>
      <c r="BW222" s="32"/>
      <c r="BX222" s="32"/>
      <c r="BY222" s="32"/>
      <c r="BZ222" s="32"/>
      <c r="CA222" s="32"/>
      <c r="CB222" s="32"/>
      <c r="CC222" s="32"/>
      <c r="CD222" s="32"/>
      <c r="CE222" s="32">
        <v>0</v>
      </c>
      <c r="CF222" s="32">
        <v>0</v>
      </c>
      <c r="CG222" s="32">
        <v>0</v>
      </c>
      <c r="CH222" s="32">
        <v>0</v>
      </c>
      <c r="CI222" s="32">
        <f t="shared" si="12"/>
        <v>0</v>
      </c>
      <c r="CJ222" s="65">
        <f>IF((Table1[[#This Row],["Volume
BA MC-0"]]-Table1[[#This Row],[Total Panjang Pipa Aktual
(Sum-&gt;)3]]-Table1[[#This Row],[Total Volume
tidak dapat dipasang]])&gt;=0,Table1[[#This Row],["Volume
BA MC-0"]]-Table1[[#This Row],[Total Panjang Pipa Aktual
(Sum-&gt;)3]]-Table1[[#This Row],[Total Volume
tidak dapat dipasang]],0)</f>
        <v>19</v>
      </c>
      <c r="CK222" s="47"/>
      <c r="CL222" s="131"/>
      <c r="CM222" s="35"/>
      <c r="CN222" s="131"/>
      <c r="CO222" s="131"/>
      <c r="CP22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2" s="66">
        <f>IFERROR(Table1[[#This Row],[Progres Keg. Umum
(%)]]*Table1[[#This Row],[Nilai RAB Jaringan
(file pa aji)]],0)</f>
        <v>0</v>
      </c>
      <c r="CR222" s="66">
        <f>IFERROR(Table1[[#This Row],[Progres MOS
(%)]]*Table1[[#This Row],[Nilai RAB Jaringan
(file pa aji)]],0)</f>
        <v>0</v>
      </c>
      <c r="CS222" s="66">
        <f>IFERROR(Table1[[#This Row],[Progres Pemasangan
(%)]]*Table1[[#This Row],[Nilai RAB Jaringan
(file pa aji)]],0)</f>
        <v>0</v>
      </c>
      <c r="CT222" s="66">
        <f>IFERROR(Table1[[#This Row],[Progres Perizinan
(%)]]*Table1[[#This Row],[Nilai RAB Jaringan
(file pa aji)]],0)</f>
        <v>0</v>
      </c>
      <c r="CU222" s="329">
        <v>8321282967</v>
      </c>
      <c r="CV222" s="329">
        <v>8321282967</v>
      </c>
      <c r="CW222" s="583">
        <v>8321282967</v>
      </c>
      <c r="CX222" s="329">
        <v>8321282967</v>
      </c>
      <c r="CY222" s="47"/>
      <c r="CZ222" s="330">
        <v>45565</v>
      </c>
      <c r="DA222" s="330">
        <v>45585</v>
      </c>
      <c r="DB222" s="331">
        <v>45558</v>
      </c>
      <c r="DC222" s="316" t="s">
        <v>1682</v>
      </c>
      <c r="DD222" s="67">
        <v>10314347500.950001</v>
      </c>
      <c r="DE22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2" s="331">
        <v>45726</v>
      </c>
      <c r="DG222" s="316" t="s">
        <v>1683</v>
      </c>
      <c r="DH222" s="67">
        <v>10314347500.950001</v>
      </c>
      <c r="DI22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22" s="330">
        <v>45586</v>
      </c>
      <c r="DK222" s="330">
        <v>45627</v>
      </c>
      <c r="DL222" s="331">
        <v>45602</v>
      </c>
      <c r="DM222" s="316" t="s">
        <v>1684</v>
      </c>
      <c r="DN22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2" s="331">
        <v>45691</v>
      </c>
      <c r="DP222" s="316" t="s">
        <v>1685</v>
      </c>
      <c r="DQ222" s="338" t="s">
        <v>762</v>
      </c>
      <c r="DR22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2" s="330">
        <v>45586</v>
      </c>
      <c r="DT222" s="330" t="e">
        <v>#N/A</v>
      </c>
      <c r="DU222" s="330">
        <v>45620</v>
      </c>
      <c r="DV222" s="330" t="e">
        <v>#N/A</v>
      </c>
      <c r="DW222" s="331">
        <v>45602</v>
      </c>
      <c r="DX222" s="316" t="s">
        <v>1684</v>
      </c>
      <c r="DY222" s="334"/>
      <c r="DZ222" s="334"/>
      <c r="EA22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2" s="331">
        <v>45889</v>
      </c>
      <c r="EC222" s="332"/>
      <c r="ED222" s="332"/>
      <c r="EE222" s="330" t="s">
        <v>1309</v>
      </c>
      <c r="EF222" s="35">
        <v>1</v>
      </c>
      <c r="EG222" s="337">
        <v>1</v>
      </c>
      <c r="EH222" s="316" t="str">
        <f>IF(Table1[[#This Row],[PO Material Aktual 
(%)]]&gt;=100%,"Selesai PO = 100%",IF(Table1[[#This Row],[PO Material Aktual 
(%)]]&gt;=50%,"Proses PO &gt; 100%",IF(Table1[[#This Row],[PO Material Aktual 
(%)]]&gt;0%,"Proses PO &gt; 50%",IF(Table1[[#This Row],[PO Material Aktual 
(%)]]=0,"Belum PO = 0%"))))</f>
        <v>Selesai PO = 100%</v>
      </c>
      <c r="EI22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2" s="330">
        <v>45621</v>
      </c>
      <c r="EK222" s="330" t="e">
        <v>#N/A</v>
      </c>
      <c r="EL222" s="330">
        <v>45683</v>
      </c>
      <c r="EM222" s="330" t="e">
        <v>#N/A</v>
      </c>
      <c r="EN222" s="331">
        <v>46091</v>
      </c>
      <c r="EO222" s="332"/>
      <c r="EP222" s="332"/>
      <c r="EQ222" s="87">
        <v>1</v>
      </c>
      <c r="ER222" s="87">
        <v>1</v>
      </c>
      <c r="ES222" s="316" t="str">
        <f>IF(Table1[[#This Row],[Progres MOS]]&gt;=100%,"Selesai MOS = 100%",IF(Table1[[#This Row],[Progres MOS]]&gt;=50%,"Proses MOS &gt; 100%",IF(Table1[[#This Row],[Progres MOS]]&gt;0%,"Proses MOS &gt; 50%",IF(Table1[[#This Row],[Progres MOS]]=0,"Belum MOS = 0%"))))</f>
        <v>Selesai MOS = 100%</v>
      </c>
      <c r="ET22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2" s="47"/>
      <c r="EV222" s="330">
        <v>45586</v>
      </c>
      <c r="EW222" s="330" t="e">
        <v>#N/A</v>
      </c>
      <c r="EX222" s="330">
        <v>45655</v>
      </c>
      <c r="EY222" s="330" t="e">
        <v>#N/A</v>
      </c>
      <c r="EZ222" s="352" t="s">
        <v>298</v>
      </c>
      <c r="FA222" s="336" t="s">
        <v>259</v>
      </c>
      <c r="FB222" s="330" t="s">
        <v>260</v>
      </c>
      <c r="FC222" s="330">
        <v>45838</v>
      </c>
      <c r="FD222" s="330" t="s">
        <v>260</v>
      </c>
      <c r="FE222" s="330">
        <v>45895</v>
      </c>
      <c r="FF222" s="330">
        <v>45929</v>
      </c>
      <c r="FG222" s="330" t="s">
        <v>260</v>
      </c>
      <c r="FH222" s="330" t="s">
        <v>260</v>
      </c>
      <c r="FI222" s="330">
        <v>46010</v>
      </c>
      <c r="FJ222" s="330" t="s">
        <v>260</v>
      </c>
      <c r="FK222" s="330">
        <v>46111</v>
      </c>
      <c r="FL222" s="336" t="str">
        <f>Table1[[#This Row],[IPPJU]]</f>
        <v>9.Proses Penerbitan Izin</v>
      </c>
      <c r="FM222" s="352">
        <v>45838</v>
      </c>
      <c r="FN222" s="338">
        <f>IF(Table1[[#This Row],[Tanggal Pengajuan Dokumen]]="","",Table1[[#This Row],[PLAN PERMIT
start]]-Table1[[#This Row],[Tanggal Pengajuan Dokumen]])</f>
        <v>-252</v>
      </c>
      <c r="FO222" s="437">
        <v>46086</v>
      </c>
      <c r="FP222" s="316"/>
      <c r="FQ222" s="338"/>
      <c r="FR222" s="338"/>
      <c r="FS222" s="338" t="str">
        <f t="shared" si="11"/>
        <v>Sudah Terbit</v>
      </c>
      <c r="FT22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2" s="344">
        <f ca="1">IF(Table1[[#This Row],[Status Izin]]="Selesai",Table1[[#This Row],[PLAN PERMIT
finish]]-Table1[[#This Row],[Tanggal Terbit/ Target Izin Terbit]],ROUNDUP(Table1[[#This Row],[PLAN PERMIT
finish]]-NOW(),0))</f>
        <v>-431</v>
      </c>
      <c r="FV22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2" s="344"/>
      <c r="FX222" s="47"/>
      <c r="FY222" s="340"/>
      <c r="FZ222" s="341"/>
      <c r="GA22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2" s="330">
        <v>45629</v>
      </c>
      <c r="GC222" s="352">
        <v>45629</v>
      </c>
      <c r="GD22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2" s="330">
        <v>45636</v>
      </c>
      <c r="GF222" s="352">
        <v>45629</v>
      </c>
      <c r="GG22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2" s="330">
        <v>45642</v>
      </c>
      <c r="GI222" s="330">
        <v>45648</v>
      </c>
      <c r="GJ222" s="352">
        <v>45636</v>
      </c>
      <c r="GK22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22" s="330">
        <v>45656</v>
      </c>
      <c r="GM222" s="330" t="e">
        <v>#N/A</v>
      </c>
      <c r="GN222" s="330">
        <v>45753</v>
      </c>
      <c r="GO222" s="330" t="e">
        <v>#N/A</v>
      </c>
      <c r="GP222" s="316"/>
      <c r="GQ22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2" s="330" t="s">
        <v>261</v>
      </c>
      <c r="GS222" s="421" t="s">
        <v>261</v>
      </c>
      <c r="GT222" s="452" t="s">
        <v>1686</v>
      </c>
      <c r="GU222" s="423" t="str">
        <f>IF(Table1[[#This Row],[Hydro Tes Actual
(tanggal)]]&lt;&gt;"","Sudah","Belum")</f>
        <v>Sudah</v>
      </c>
      <c r="GV222" s="330" t="s">
        <v>261</v>
      </c>
      <c r="GW222" s="330" t="s">
        <v>261</v>
      </c>
      <c r="GX222" s="331">
        <v>45909</v>
      </c>
      <c r="GY222" s="344" t="str">
        <f>IF(Table1[[#This Row],[Interkoneksi Actual
(tanggal)]]&lt;&gt;"","Sudah","Belum")</f>
        <v>Sudah</v>
      </c>
      <c r="GZ222" s="330" t="s">
        <v>261</v>
      </c>
      <c r="HA222" s="421" t="s">
        <v>261</v>
      </c>
      <c r="HB222" s="424">
        <v>45917</v>
      </c>
      <c r="HC222" s="344" t="str">
        <f>IF(Table1[[#This Row],[Flushing Actual
(tanggal)]]&lt;&gt;"","Sudah","Belum")</f>
        <v>Sudah</v>
      </c>
      <c r="HD222" s="330">
        <v>45726</v>
      </c>
      <c r="HE222" s="330" t="e">
        <v>#N/A</v>
      </c>
      <c r="HF222" s="330">
        <v>45746</v>
      </c>
      <c r="HG222" s="352">
        <v>45919</v>
      </c>
      <c r="HH22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2" s="330" t="s">
        <v>261</v>
      </c>
      <c r="HJ222" s="330" t="s">
        <v>261</v>
      </c>
      <c r="HK222" s="331"/>
      <c r="HL222" s="316"/>
      <c r="HM222" s="330">
        <v>45765</v>
      </c>
      <c r="HN222" s="330">
        <v>45765</v>
      </c>
      <c r="HO222" s="330" t="e">
        <v>#N/A</v>
      </c>
      <c r="HP222" s="331">
        <v>45926</v>
      </c>
      <c r="HQ22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22" s="330">
        <v>45772</v>
      </c>
      <c r="HS222" s="330"/>
      <c r="HT222" s="330">
        <v>45772</v>
      </c>
      <c r="HU222" s="527"/>
      <c r="HV222" s="331">
        <v>45934</v>
      </c>
      <c r="HW22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22" s="47"/>
      <c r="HY222" s="352"/>
      <c r="HZ222" s="352"/>
      <c r="IB222" s="618">
        <f>IFERROR(ROUND((Table1[[#This Row],[PLAN TC
finish]]-Table1[[#This Row],[PLAN MC-0
start]])/30,2),"")</f>
        <v>3.47</v>
      </c>
      <c r="IC222">
        <f>DATEDIF(Table1[[#This Row],[PLAN MC-0
start]],Table1[[#This Row],[PLAN TC
finish]],"m")</f>
        <v>3</v>
      </c>
    </row>
    <row r="223" spans="1:237" s="4" customFormat="1" ht="15" hidden="1" customHeight="1" x14ac:dyDescent="0.2">
      <c r="B223" s="311">
        <f>SUBTOTAL(3,$D$5:D223)</f>
        <v>84</v>
      </c>
      <c r="C223" s="348">
        <v>219</v>
      </c>
      <c r="D223" s="315" t="s">
        <v>673</v>
      </c>
      <c r="E223" s="338" t="s">
        <v>1687</v>
      </c>
      <c r="F223" s="338" t="s">
        <v>1688</v>
      </c>
      <c r="G223" s="349">
        <v>45935</v>
      </c>
      <c r="H223" s="314" t="s">
        <v>247</v>
      </c>
      <c r="I223" s="338" t="s">
        <v>278</v>
      </c>
      <c r="J223" s="315" t="s">
        <v>943</v>
      </c>
      <c r="K223" s="338" t="s">
        <v>676</v>
      </c>
      <c r="L223" s="316" t="s">
        <v>250</v>
      </c>
      <c r="M223" s="316" t="s">
        <v>269</v>
      </c>
      <c r="N223" s="107">
        <v>14179</v>
      </c>
      <c r="O223" s="131" t="s">
        <v>252</v>
      </c>
      <c r="P22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Flushing</v>
      </c>
      <c r="R223" s="35" t="e">
        <v>#N/A</v>
      </c>
      <c r="S223" s="35">
        <v>1</v>
      </c>
      <c r="T223" s="35">
        <f>Table1[[#This Row],[Progres Total Aktual
(%)]]</f>
        <v>0.94206072134420127</v>
      </c>
      <c r="U223" s="124">
        <f>Table1[[#This Row],[Progres Aktual
(%)]]-Table1[[#This Row],[Target Progres
(%)]]</f>
        <v>-5.7939278655798732E-2</v>
      </c>
      <c r="V223" s="350">
        <f>Table1[[#This Row],["Volume
BA MC-0"]]</f>
        <v>15593</v>
      </c>
      <c r="W223" s="351">
        <f>Table1[[#This Row],[Total Panjang Pipa Aktual
(Sum-&gt;)3]]</f>
        <v>14577</v>
      </c>
      <c r="X223" s="47"/>
      <c r="Y223" s="320" t="s">
        <v>1689</v>
      </c>
      <c r="Z223" s="67">
        <f>ROUND((Table1[[#This Row],[Nilai RAB Jaringan
(Exclude Ppn)]]-Table1[[#This Row],[RAB Perizinan]])*1.11+Table1[[#This Row],[RAB Perizinan]],0)</f>
        <v>20690040333</v>
      </c>
      <c r="AA223" s="67">
        <f>ROUND((Table1[[#This Row],[Nilai RAB Jaringan
(Exclude Ppn)]]-Table1[[#This Row],[RAB Perizinan]])*1.11+Table1[[#This Row],[RAB Perizinan]],0)</f>
        <v>20690040333</v>
      </c>
      <c r="AB223" s="320">
        <f>SUM(Table1[[#This Row],[RAB Kegiatan Umum]:[RAB Perizinan]])</f>
        <v>18653727237.040001</v>
      </c>
      <c r="AC223" s="456">
        <v>1450648144</v>
      </c>
      <c r="AD223" s="456">
        <v>14506481438.039999</v>
      </c>
      <c r="AE223" s="456">
        <v>2554807655</v>
      </c>
      <c r="AF223" s="456">
        <v>141790000</v>
      </c>
      <c r="AG223" s="436">
        <v>2736280481</v>
      </c>
      <c r="AH223" s="35">
        <f>SUM(Table1[[#This Row],[Bobot Keg Umum]:[Bobot Perizinan]])</f>
        <v>0.99999999999999989</v>
      </c>
      <c r="AI223" s="35">
        <f>Table1[[#This Row],[RAB Kegiatan Umum]]/Table1[[#This Row],[Nilai RAB Jaringan
(Exclude Ppn)]]</f>
        <v>7.7767200386607074E-2</v>
      </c>
      <c r="AJ223" s="35">
        <f>Table1[[#This Row],[RAB Pemasangan]]/Table1[[#This Row],[Nilai RAB Jaringan
(Exclude Ppn)]]</f>
        <v>0.77767200376099777</v>
      </c>
      <c r="AK223" s="35">
        <f>Table1[[#This Row],[RAB Pengadaan]]/Table1[[#This Row],[Nilai RAB Jaringan
(Exclude Ppn)]]</f>
        <v>0.13695963399352248</v>
      </c>
      <c r="AL223" s="35">
        <f>Table1[[#This Row],[RAB Perizinan]]/Table1[[#This Row],[Nilai RAB Jaringan
(Exclude Ppn)]]</f>
        <v>7.6011618588725238E-3</v>
      </c>
      <c r="AM223" s="47"/>
      <c r="AN223" s="285">
        <v>15593</v>
      </c>
      <c r="AO223" s="285">
        <f>SUM(Table1[[#This Row],[Pipa 63 mm]:[Pipa 1,800 mm]])</f>
        <v>0</v>
      </c>
      <c r="AP223" s="285"/>
      <c r="AQ223" s="285"/>
      <c r="AR223" s="285"/>
      <c r="AS223" s="285"/>
      <c r="AT223" s="285"/>
      <c r="AU223" s="285"/>
      <c r="AV223" s="285"/>
      <c r="AW223" s="285"/>
      <c r="AX223" s="285"/>
      <c r="AY223" s="285"/>
      <c r="AZ223" s="285"/>
      <c r="BA223" s="285"/>
      <c r="BB223" s="285"/>
      <c r="BC223" s="285"/>
      <c r="BD223" s="285"/>
      <c r="BE223" s="285"/>
      <c r="BF223" s="285"/>
      <c r="BG223" s="285"/>
      <c r="BH223" s="285"/>
      <c r="BI223" s="285"/>
      <c r="BJ223" s="446">
        <f>SUM(Table1[[#This Row],[Pipa 63 mm2]:[Pipa 1,800 mm21]])</f>
        <v>14577</v>
      </c>
      <c r="BK223" s="32">
        <v>12478</v>
      </c>
      <c r="BL223" s="32">
        <v>1213</v>
      </c>
      <c r="BM223" s="32">
        <v>393</v>
      </c>
      <c r="BN223" s="32">
        <v>493</v>
      </c>
      <c r="BO223" s="32">
        <v>0</v>
      </c>
      <c r="BP223" s="32"/>
      <c r="BQ223" s="32"/>
      <c r="BR223" s="32"/>
      <c r="BS223" s="32"/>
      <c r="BT223" s="32"/>
      <c r="BU223" s="32"/>
      <c r="BV223" s="32"/>
      <c r="BW223" s="32"/>
      <c r="BX223" s="32"/>
      <c r="BY223" s="32"/>
      <c r="BZ223" s="32"/>
      <c r="CA223" s="32"/>
      <c r="CB223" s="32"/>
      <c r="CC223" s="32"/>
      <c r="CD223" s="32"/>
      <c r="CE223" s="32">
        <v>0</v>
      </c>
      <c r="CF223" s="32">
        <v>0</v>
      </c>
      <c r="CG223" s="32">
        <v>0</v>
      </c>
      <c r="CH223" s="32">
        <v>0</v>
      </c>
      <c r="CI223" s="32">
        <f t="shared" si="12"/>
        <v>0</v>
      </c>
      <c r="CJ223" s="65">
        <f>IF((Table1[[#This Row],["Volume
BA MC-0"]]-Table1[[#This Row],[Total Panjang Pipa Aktual
(Sum-&gt;)3]]-Table1[[#This Row],[Total Volume
tidak dapat dipasang]])&gt;=0,Table1[[#This Row],["Volume
BA MC-0"]]-Table1[[#This Row],[Total Panjang Pipa Aktual
(Sum-&gt;)3]]-Table1[[#This Row],[Total Volume
tidak dapat dipasang]],0)</f>
        <v>1016</v>
      </c>
      <c r="CK223" s="47"/>
      <c r="CL223" s="131"/>
      <c r="CM223" s="35"/>
      <c r="CN223" s="131"/>
      <c r="CO223" s="131"/>
      <c r="CP22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0.94206072134420127</v>
      </c>
      <c r="CQ223" s="66">
        <f>IFERROR(Table1[[#This Row],[Progres Keg. Umum
(%)]]*Table1[[#This Row],[Nilai RAB Jaringan
(file pa aji)]],0)</f>
        <v>0</v>
      </c>
      <c r="CR223" s="66">
        <f>IFERROR(Table1[[#This Row],[Progres MOS
(%)]]*Table1[[#This Row],[Nilai RAB Jaringan
(file pa aji)]],0)</f>
        <v>0</v>
      </c>
      <c r="CS223" s="66">
        <f>IFERROR(Table1[[#This Row],[Progres Pemasangan
(%)]]*Table1[[#This Row],[Nilai RAB Jaringan
(file pa aji)]],0)</f>
        <v>0</v>
      </c>
      <c r="CT223" s="66">
        <f>IFERROR(Table1[[#This Row],[Progres Perizinan
(%)]]*Table1[[#This Row],[Nilai RAB Jaringan
(file pa aji)]],0)</f>
        <v>0</v>
      </c>
      <c r="CU223" s="329">
        <v>19491274320.746597</v>
      </c>
      <c r="CV223" s="329">
        <v>19491274320.746597</v>
      </c>
      <c r="CW223" s="583">
        <v>0</v>
      </c>
      <c r="CX223" s="329">
        <v>0</v>
      </c>
      <c r="CY223" s="47"/>
      <c r="CZ223" s="330">
        <v>45656</v>
      </c>
      <c r="DA223" s="330">
        <v>45683</v>
      </c>
      <c r="DB223" s="331">
        <v>45575</v>
      </c>
      <c r="DC223" s="316" t="s">
        <v>1690</v>
      </c>
      <c r="DD223" s="67">
        <v>20690040333</v>
      </c>
      <c r="DE22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3" s="331">
        <v>45587</v>
      </c>
      <c r="DG223" s="316" t="s">
        <v>1691</v>
      </c>
      <c r="DH223" s="67">
        <v>20690040333</v>
      </c>
      <c r="DI22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3" s="330">
        <v>45684</v>
      </c>
      <c r="DK223" s="330">
        <v>45725</v>
      </c>
      <c r="DL223" s="331">
        <v>45715</v>
      </c>
      <c r="DM223" s="316" t="s">
        <v>1692</v>
      </c>
      <c r="DN22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3" s="331">
        <v>45740</v>
      </c>
      <c r="DP223" s="316" t="s">
        <v>1693</v>
      </c>
      <c r="DQ223" s="338" t="s">
        <v>365</v>
      </c>
      <c r="DR22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3" s="330">
        <v>45684</v>
      </c>
      <c r="DT223" s="330" t="e">
        <v>#N/A</v>
      </c>
      <c r="DU223" s="330">
        <v>45725</v>
      </c>
      <c r="DV223" s="330" t="e">
        <v>#N/A</v>
      </c>
      <c r="DW223" s="331">
        <v>46009</v>
      </c>
      <c r="DX223" s="316" t="s">
        <v>1694</v>
      </c>
      <c r="DY223" s="334"/>
      <c r="DZ223" s="334"/>
      <c r="EA22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3" s="331"/>
      <c r="EC223" s="332"/>
      <c r="ED223" s="332"/>
      <c r="EE223" s="330"/>
      <c r="EF223" s="35">
        <v>0.97894736842105268</v>
      </c>
      <c r="EG223" s="337">
        <v>0.97894736842105268</v>
      </c>
      <c r="EH223" s="316" t="str">
        <f>IF(Table1[[#This Row],[PO Material Aktual 
(%)]]&gt;=100%,"Selesai PO = 100%",IF(Table1[[#This Row],[PO Material Aktual 
(%)]]&gt;=50%,"Proses PO &gt; 100%",IF(Table1[[#This Row],[PO Material Aktual 
(%)]]&gt;0%,"Proses PO &gt; 50%",IF(Table1[[#This Row],[PO Material Aktual 
(%)]]=0,"Belum PO = 0%"))))</f>
        <v>Proses PO &gt; 100%</v>
      </c>
      <c r="EI22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3" s="330">
        <v>45726</v>
      </c>
      <c r="EK223" s="330" t="e">
        <v>#N/A</v>
      </c>
      <c r="EL223" s="330">
        <v>45816</v>
      </c>
      <c r="EM223" s="330" t="e">
        <v>#N/A</v>
      </c>
      <c r="EN223" s="331"/>
      <c r="EO223" s="332"/>
      <c r="EP223" s="332"/>
      <c r="EQ223" s="87">
        <v>0.8</v>
      </c>
      <c r="ER223" s="87">
        <v>0.8</v>
      </c>
      <c r="ES223" s="316" t="str">
        <f>IF(Table1[[#This Row],[Progres MOS]]&gt;=100%,"Selesai MOS = 100%",IF(Table1[[#This Row],[Progres MOS]]&gt;=50%,"Proses MOS &gt; 100%",IF(Table1[[#This Row],[Progres MOS]]&gt;0%,"Proses MOS &gt; 50%",IF(Table1[[#This Row],[Progres MOS]]=0,"Belum MOS = 0%"))))</f>
        <v>Proses MOS &gt; 100%</v>
      </c>
      <c r="ET22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3" s="47"/>
      <c r="EV223" s="330">
        <v>45698</v>
      </c>
      <c r="EW223" s="330" t="e">
        <v>#N/A</v>
      </c>
      <c r="EX223" s="330">
        <v>45774</v>
      </c>
      <c r="EY223" s="330" t="e">
        <v>#N/A</v>
      </c>
      <c r="EZ223" s="352" t="s">
        <v>259</v>
      </c>
      <c r="FA223" s="336" t="s">
        <v>259</v>
      </c>
      <c r="FB223" s="330" t="s">
        <v>260</v>
      </c>
      <c r="FC223" s="330">
        <v>45790</v>
      </c>
      <c r="FD223" s="330" t="s">
        <v>260</v>
      </c>
      <c r="FE223" s="330">
        <v>45874</v>
      </c>
      <c r="FF223" s="330">
        <v>45910</v>
      </c>
      <c r="FG223" s="330" t="s">
        <v>260</v>
      </c>
      <c r="FH223" s="330" t="s">
        <v>260</v>
      </c>
      <c r="FI223" s="330">
        <v>45987</v>
      </c>
      <c r="FJ223" s="330" t="s">
        <v>260</v>
      </c>
      <c r="FK223" s="330">
        <v>46034</v>
      </c>
      <c r="FL223" s="336" t="s">
        <v>259</v>
      </c>
      <c r="FM223" s="352">
        <v>45790</v>
      </c>
      <c r="FN223" s="338">
        <f>IF(Table1[[#This Row],[Tanggal Pengajuan Dokumen]]="","",Table1[[#This Row],[PLAN PERMIT
start]]-Table1[[#This Row],[Tanggal Pengajuan Dokumen]])</f>
        <v>-92</v>
      </c>
      <c r="FO223" s="437">
        <v>46064</v>
      </c>
      <c r="FP223" s="316" t="s">
        <v>173</v>
      </c>
      <c r="FQ223" s="338"/>
      <c r="FR223" s="338"/>
      <c r="FS223" s="338" t="str">
        <f t="shared" si="11"/>
        <v>On Going</v>
      </c>
      <c r="FT22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3" s="344">
        <f ca="1">IF(Table1[[#This Row],[Status Izin]]="Selesai",Table1[[#This Row],[PLAN PERMIT
finish]]-Table1[[#This Row],[Tanggal Terbit/ Target Izin Terbit]],ROUNDUP(Table1[[#This Row],[PLAN PERMIT
finish]]-NOW(),0))</f>
        <v>-417</v>
      </c>
      <c r="FV22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3" s="344"/>
      <c r="FX223" s="47"/>
      <c r="FY223" s="340"/>
      <c r="FZ223" s="341"/>
      <c r="GA22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3" s="330">
        <v>45739</v>
      </c>
      <c r="GC223" s="352">
        <v>45793</v>
      </c>
      <c r="GD22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3" s="330">
        <v>45732</v>
      </c>
      <c r="GF223" s="352">
        <v>45793</v>
      </c>
      <c r="GG22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3" s="330">
        <v>45726</v>
      </c>
      <c r="GI223" s="330">
        <v>45732</v>
      </c>
      <c r="GJ223" s="352">
        <v>45804</v>
      </c>
      <c r="GK22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3" s="330">
        <v>45775</v>
      </c>
      <c r="GM223" s="330" t="e">
        <v>#N/A</v>
      </c>
      <c r="GN223" s="330">
        <v>45900</v>
      </c>
      <c r="GO223" s="330" t="e">
        <v>#N/A</v>
      </c>
      <c r="GP223" s="316"/>
      <c r="GQ22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3" s="330" t="s">
        <v>261</v>
      </c>
      <c r="GS223" s="421" t="s">
        <v>261</v>
      </c>
      <c r="GT223" s="457" t="s">
        <v>1695</v>
      </c>
      <c r="GU223" s="423" t="str">
        <f>IF(Table1[[#This Row],[Hydro Tes Actual
(tanggal)]]&lt;&gt;"","Sudah","Belum")</f>
        <v>Sudah</v>
      </c>
      <c r="GV223" s="330" t="s">
        <v>261</v>
      </c>
      <c r="GW223" s="330" t="s">
        <v>261</v>
      </c>
      <c r="GX223" s="331"/>
      <c r="GY223" s="344" t="str">
        <f>IF(Table1[[#This Row],[Interkoneksi Actual
(tanggal)]]&lt;&gt;"","Sudah","Belum")</f>
        <v>Belum</v>
      </c>
      <c r="GZ223" s="330" t="s">
        <v>261</v>
      </c>
      <c r="HA223" s="421" t="s">
        <v>261</v>
      </c>
      <c r="HB223" s="331">
        <v>45980</v>
      </c>
      <c r="HC223" s="344" t="str">
        <f>IF(Table1[[#This Row],[Flushing Actual
(tanggal)]]&lt;&gt;"","Sudah","Belum")</f>
        <v>Sudah</v>
      </c>
      <c r="HD223" s="330">
        <v>45880</v>
      </c>
      <c r="HE223" s="330" t="e">
        <v>#N/A</v>
      </c>
      <c r="HF223" s="330">
        <v>45900</v>
      </c>
      <c r="HG223" s="352"/>
      <c r="HH22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3" s="330" t="s">
        <v>261</v>
      </c>
      <c r="HJ223" s="330" t="s">
        <v>261</v>
      </c>
      <c r="HK223" s="331"/>
      <c r="HL223" s="316"/>
      <c r="HM223" s="330">
        <v>45919</v>
      </c>
      <c r="HN223" s="330">
        <v>45919</v>
      </c>
      <c r="HO223" s="421" t="e">
        <v>#N/A</v>
      </c>
      <c r="HP223" s="331"/>
      <c r="HQ22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23" s="330">
        <v>45926</v>
      </c>
      <c r="HS223" s="330"/>
      <c r="HT223" s="330">
        <v>45926</v>
      </c>
      <c r="HU223" s="330"/>
      <c r="HV223" s="331"/>
      <c r="HW22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23" s="47"/>
      <c r="HY223" s="352"/>
      <c r="HZ223" s="352"/>
      <c r="IB223" s="618">
        <f>IFERROR(ROUND((Table1[[#This Row],[PLAN TC
finish]]-Table1[[#This Row],[PLAN MC-0
start]])/30,2),"")</f>
        <v>5.8</v>
      </c>
      <c r="IC223">
        <f>DATEDIF(Table1[[#This Row],[PLAN MC-0
start]],Table1[[#This Row],[PLAN TC
finish]],"m")</f>
        <v>5</v>
      </c>
    </row>
    <row r="224" spans="1:237" s="4" customFormat="1" ht="15" hidden="1" customHeight="1" x14ac:dyDescent="0.2">
      <c r="B224" s="311">
        <f>SUBTOTAL(3,$D$5:D224)</f>
        <v>84</v>
      </c>
      <c r="C224" s="348">
        <v>220</v>
      </c>
      <c r="D224" s="315" t="s">
        <v>673</v>
      </c>
      <c r="E224" s="338" t="s">
        <v>1696</v>
      </c>
      <c r="F224" s="338" t="s">
        <v>1697</v>
      </c>
      <c r="G224" s="349">
        <v>45935</v>
      </c>
      <c r="H224" s="314" t="s">
        <v>247</v>
      </c>
      <c r="I224" s="338" t="s">
        <v>278</v>
      </c>
      <c r="J224" s="315" t="s">
        <v>943</v>
      </c>
      <c r="K224" s="338" t="s">
        <v>676</v>
      </c>
      <c r="L224" s="316" t="s">
        <v>250</v>
      </c>
      <c r="M224" s="316" t="s">
        <v>269</v>
      </c>
      <c r="N224" s="107">
        <v>20735</v>
      </c>
      <c r="O224" s="131" t="s">
        <v>252</v>
      </c>
      <c r="P22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4" s="35" t="e">
        <v>#N/A</v>
      </c>
      <c r="S224" s="35">
        <v>1</v>
      </c>
      <c r="T224" s="35">
        <f>Table1[[#This Row],[Progres Total Aktual
(%)]]</f>
        <v>0.9304821308518475</v>
      </c>
      <c r="U224" s="124">
        <f>Table1[[#This Row],[Progres Aktual
(%)]]-Table1[[#This Row],[Target Progres
(%)]]</f>
        <v>-6.95178691481525E-2</v>
      </c>
      <c r="V224" s="350">
        <f>Table1[[#This Row],["Volume
BA MC-0"]]</f>
        <v>20298</v>
      </c>
      <c r="W224" s="351">
        <f>Table1[[#This Row],[Total Panjang Pipa Aktual
(Sum-&gt;)3]]</f>
        <v>21356</v>
      </c>
      <c r="X224" s="47"/>
      <c r="Y224" s="320" t="s">
        <v>1698</v>
      </c>
      <c r="Z224" s="67">
        <f>ROUND((Table1[[#This Row],[Nilai RAB Jaringan
(Exclude Ppn)]]-Table1[[#This Row],[RAB Perizinan]])*1.11+Table1[[#This Row],[RAB Perizinan]],0)</f>
        <v>30601272392</v>
      </c>
      <c r="AA224" s="67">
        <f>ROUND((Table1[[#This Row],[Nilai RAB Jaringan
(Exclude Ppn)]]-Table1[[#This Row],[RAB Perizinan]])*1.11+Table1[[#This Row],[RAB Perizinan]],0)</f>
        <v>30601272392</v>
      </c>
      <c r="AB224" s="320">
        <f>SUM(Table1[[#This Row],[RAB Kegiatan Umum]:[RAB Perizinan]])</f>
        <v>27590649452.019081</v>
      </c>
      <c r="AC224" s="456">
        <v>1740779322</v>
      </c>
      <c r="AD224" s="456">
        <v>21759741518.019081</v>
      </c>
      <c r="AE224" s="456">
        <v>3868778612</v>
      </c>
      <c r="AF224" s="456">
        <v>221350000</v>
      </c>
      <c r="AG224" s="436">
        <v>3447508441</v>
      </c>
      <c r="AH224" s="35">
        <f>SUM(Table1[[#This Row],[Bobot Keg Umum]:[Bobot Perizinan]])</f>
        <v>1</v>
      </c>
      <c r="AI224" s="35">
        <f>Table1[[#This Row],[RAB Kegiatan Umum]]/Table1[[#This Row],[Nilai RAB Jaringan
(Exclude Ppn)]]</f>
        <v>6.3093089745033526E-2</v>
      </c>
      <c r="AJ224" s="35">
        <f>Table1[[#This Row],[RAB Pemasangan]]/Table1[[#This Row],[Nilai RAB Jaringan
(Exclude Ppn)]]</f>
        <v>0.78866362155990155</v>
      </c>
      <c r="AK224" s="35">
        <f>Table1[[#This Row],[RAB Pengadaan]]/Table1[[#This Row],[Nilai RAB Jaringan
(Exclude Ppn)]]</f>
        <v>0.14022064318304342</v>
      </c>
      <c r="AL224" s="35">
        <f>Table1[[#This Row],[RAB Perizinan]]/Table1[[#This Row],[Nilai RAB Jaringan
(Exclude Ppn)]]</f>
        <v>8.0226455120215243E-3</v>
      </c>
      <c r="AM224" s="47"/>
      <c r="AN224" s="285">
        <v>20298</v>
      </c>
      <c r="AO224" s="285">
        <f>SUM(Table1[[#This Row],[Pipa 63 mm]:[Pipa 1,800 mm]])</f>
        <v>0</v>
      </c>
      <c r="AP224" s="285"/>
      <c r="AQ224" s="285"/>
      <c r="AR224" s="285"/>
      <c r="AS224" s="285"/>
      <c r="AT224" s="285"/>
      <c r="AU224" s="285"/>
      <c r="AV224" s="285"/>
      <c r="AW224" s="285"/>
      <c r="AX224" s="285"/>
      <c r="AY224" s="285"/>
      <c r="AZ224" s="285"/>
      <c r="BA224" s="285"/>
      <c r="BB224" s="285"/>
      <c r="BC224" s="285"/>
      <c r="BD224" s="285"/>
      <c r="BE224" s="285"/>
      <c r="BF224" s="285"/>
      <c r="BG224" s="285"/>
      <c r="BH224" s="285"/>
      <c r="BI224" s="285"/>
      <c r="BJ224" s="446">
        <f>SUM(Table1[[#This Row],[Pipa 63 mm2]:[Pipa 1,800 mm21]])</f>
        <v>21356</v>
      </c>
      <c r="BK224" s="32">
        <v>17720</v>
      </c>
      <c r="BL224" s="32">
        <v>2308</v>
      </c>
      <c r="BM224" s="32">
        <v>746</v>
      </c>
      <c r="BN224" s="32">
        <v>462</v>
      </c>
      <c r="BO224" s="32">
        <v>108</v>
      </c>
      <c r="BP224" s="32">
        <v>12</v>
      </c>
      <c r="BQ224" s="32"/>
      <c r="BR224" s="32"/>
      <c r="BS224" s="32"/>
      <c r="BT224" s="32"/>
      <c r="BU224" s="32"/>
      <c r="BV224" s="32"/>
      <c r="BW224" s="32"/>
      <c r="BX224" s="32"/>
      <c r="BY224" s="32"/>
      <c r="BZ224" s="32"/>
      <c r="CA224" s="32"/>
      <c r="CB224" s="32"/>
      <c r="CC224" s="32"/>
      <c r="CD224" s="32"/>
      <c r="CE224" s="32">
        <v>0</v>
      </c>
      <c r="CF224" s="32">
        <v>0</v>
      </c>
      <c r="CG224" s="32">
        <v>0</v>
      </c>
      <c r="CH224" s="32">
        <v>0</v>
      </c>
      <c r="CI224" s="32">
        <f t="shared" si="12"/>
        <v>0</v>
      </c>
      <c r="CJ224" s="65">
        <f>IF((Table1[[#This Row],["Volume
BA MC-0"]]-Table1[[#This Row],[Total Panjang Pipa Aktual
(Sum-&gt;)3]]-Table1[[#This Row],[Total Volume
tidak dapat dipasang]])&gt;=0,Table1[[#This Row],["Volume
BA MC-0"]]-Table1[[#This Row],[Total Panjang Pipa Aktual
(Sum-&gt;)3]]-Table1[[#This Row],[Total Volume
tidak dapat dipasang]],0)</f>
        <v>0</v>
      </c>
      <c r="CK224" s="47"/>
      <c r="CL224" s="131"/>
      <c r="CM224" s="35"/>
      <c r="CN224" s="131"/>
      <c r="CO224" s="131"/>
      <c r="CP22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0.9304821308518475</v>
      </c>
      <c r="CQ224" s="66">
        <f>IFERROR(Table1[[#This Row],[Progres Keg. Umum
(%)]]*Table1[[#This Row],[Nilai RAB Jaringan
(file pa aji)]],0)</f>
        <v>0</v>
      </c>
      <c r="CR224" s="66">
        <f>IFERROR(Table1[[#This Row],[Progres MOS
(%)]]*Table1[[#This Row],[Nilai RAB Jaringan
(file pa aji)]],0)</f>
        <v>0</v>
      </c>
      <c r="CS224" s="66">
        <f>IFERROR(Table1[[#This Row],[Progres Pemasangan
(%)]]*Table1[[#This Row],[Nilai RAB Jaringan
(file pa aji)]],0)</f>
        <v>0</v>
      </c>
      <c r="CT224" s="66">
        <f>IFERROR(Table1[[#This Row],[Progres Perizinan
(%)]]*Table1[[#This Row],[Nilai RAB Jaringan
(file pa aji)]],0)</f>
        <v>0</v>
      </c>
      <c r="CU224" s="329">
        <v>28473937142.085972</v>
      </c>
      <c r="CV224" s="329">
        <v>28473937142.085972</v>
      </c>
      <c r="CW224" s="583">
        <v>0</v>
      </c>
      <c r="CX224" s="329">
        <v>0</v>
      </c>
      <c r="CY224" s="47"/>
      <c r="CZ224" s="330">
        <v>45656</v>
      </c>
      <c r="DA224" s="330">
        <v>45683</v>
      </c>
      <c r="DB224" s="331">
        <v>45575</v>
      </c>
      <c r="DC224" s="316" t="s">
        <v>1699</v>
      </c>
      <c r="DD224" s="67">
        <v>30601272391</v>
      </c>
      <c r="DE22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4" s="331">
        <v>45587</v>
      </c>
      <c r="DG224" s="316" t="s">
        <v>1700</v>
      </c>
      <c r="DH224" s="67">
        <v>30601272391</v>
      </c>
      <c r="DI22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4" s="330">
        <v>45684</v>
      </c>
      <c r="DK224" s="330">
        <v>45725</v>
      </c>
      <c r="DL224" s="331">
        <v>45707</v>
      </c>
      <c r="DM224" s="316" t="s">
        <v>1701</v>
      </c>
      <c r="DN22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4" s="331">
        <v>45769</v>
      </c>
      <c r="DP224" s="316" t="s">
        <v>1702</v>
      </c>
      <c r="DQ224" s="338" t="s">
        <v>762</v>
      </c>
      <c r="DR22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4" s="330">
        <v>45684</v>
      </c>
      <c r="DT224" s="330" t="e">
        <v>#N/A</v>
      </c>
      <c r="DU224" s="330">
        <v>45725</v>
      </c>
      <c r="DV224" s="330" t="e">
        <v>#N/A</v>
      </c>
      <c r="DW224" s="331">
        <v>45705</v>
      </c>
      <c r="DX224" s="316" t="s">
        <v>1703</v>
      </c>
      <c r="DY224" s="334"/>
      <c r="DZ224" s="334"/>
      <c r="EA22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4" s="331">
        <v>45951</v>
      </c>
      <c r="EC224" s="332"/>
      <c r="ED224" s="332"/>
      <c r="EE224" s="330" t="s">
        <v>1704</v>
      </c>
      <c r="EF224" s="35">
        <v>1</v>
      </c>
      <c r="EG224" s="337">
        <v>1</v>
      </c>
      <c r="EH224" s="316" t="str">
        <f>IF(Table1[[#This Row],[PO Material Aktual 
(%)]]&gt;=100%,"Selesai PO = 100%",IF(Table1[[#This Row],[PO Material Aktual 
(%)]]&gt;=50%,"Proses PO &gt; 100%",IF(Table1[[#This Row],[PO Material Aktual 
(%)]]&gt;0%,"Proses PO &gt; 50%",IF(Table1[[#This Row],[PO Material Aktual 
(%)]]=0,"Belum PO = 0%"))))</f>
        <v>Selesai PO = 100%</v>
      </c>
      <c r="EI22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4" s="330">
        <v>45726</v>
      </c>
      <c r="EK224" s="330" t="e">
        <v>#N/A</v>
      </c>
      <c r="EL224" s="330">
        <v>45816</v>
      </c>
      <c r="EM224" s="330" t="e">
        <v>#N/A</v>
      </c>
      <c r="EN224" s="331"/>
      <c r="EO224" s="332"/>
      <c r="EP224" s="332"/>
      <c r="EQ224" s="87">
        <v>0.89075630252100846</v>
      </c>
      <c r="ER224" s="87">
        <v>0.89075630252100846</v>
      </c>
      <c r="ES224" s="316" t="str">
        <f>IF(Table1[[#This Row],[Progres MOS]]&gt;=100%,"Selesai MOS = 100%",IF(Table1[[#This Row],[Progres MOS]]&gt;=50%,"Proses MOS &gt; 100%",IF(Table1[[#This Row],[Progres MOS]]&gt;0%,"Proses MOS &gt; 50%",IF(Table1[[#This Row],[Progres MOS]]=0,"Belum MOS = 0%"))))</f>
        <v>Proses MOS &gt; 100%</v>
      </c>
      <c r="ET22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4" s="47"/>
      <c r="EV224" s="330">
        <v>45698</v>
      </c>
      <c r="EW224" s="330" t="e">
        <v>#N/A</v>
      </c>
      <c r="EX224" s="330">
        <v>45774</v>
      </c>
      <c r="EY224" s="330" t="e">
        <v>#N/A</v>
      </c>
      <c r="EZ224" s="352" t="s">
        <v>259</v>
      </c>
      <c r="FA224" s="336" t="s">
        <v>259</v>
      </c>
      <c r="FB224" s="330" t="s">
        <v>260</v>
      </c>
      <c r="FC224" s="330">
        <v>45790</v>
      </c>
      <c r="FD224" s="330" t="s">
        <v>260</v>
      </c>
      <c r="FE224" s="330">
        <v>45863</v>
      </c>
      <c r="FF224" s="330">
        <v>45910</v>
      </c>
      <c r="FG224" s="330" t="s">
        <v>260</v>
      </c>
      <c r="FH224" s="330" t="s">
        <v>260</v>
      </c>
      <c r="FI224" s="330">
        <v>45985</v>
      </c>
      <c r="FJ224" s="330" t="s">
        <v>260</v>
      </c>
      <c r="FK224" s="330">
        <v>46022</v>
      </c>
      <c r="FL224" s="336" t="s">
        <v>259</v>
      </c>
      <c r="FM224" s="352">
        <v>45790</v>
      </c>
      <c r="FN224" s="338">
        <f>IF(Table1[[#This Row],[Tanggal Pengajuan Dokumen]]="","",Table1[[#This Row],[PLAN PERMIT
start]]-Table1[[#This Row],[Tanggal Pengajuan Dokumen]])</f>
        <v>-92</v>
      </c>
      <c r="FO224" s="437">
        <v>46064</v>
      </c>
      <c r="FP224" s="316" t="s">
        <v>173</v>
      </c>
      <c r="FQ224" s="338"/>
      <c r="FR224" s="338"/>
      <c r="FS224" s="338" t="str">
        <f t="shared" si="11"/>
        <v>On Going</v>
      </c>
      <c r="FT22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4" s="344">
        <f ca="1">IF(Table1[[#This Row],[Status Izin]]="Selesai",Table1[[#This Row],[PLAN PERMIT
finish]]-Table1[[#This Row],[Tanggal Terbit/ Target Izin Terbit]],ROUNDUP(Table1[[#This Row],[PLAN PERMIT
finish]]-NOW(),0))</f>
        <v>-417</v>
      </c>
      <c r="FV22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4" s="344"/>
      <c r="FX224" s="47"/>
      <c r="FY224" s="340"/>
      <c r="FZ224" s="341"/>
      <c r="GA22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4" s="330">
        <v>45739</v>
      </c>
      <c r="GC224" s="352">
        <v>45793</v>
      </c>
      <c r="GD22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4" s="330">
        <v>45732</v>
      </c>
      <c r="GF224" s="352">
        <v>45793</v>
      </c>
      <c r="GG22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4" s="330">
        <v>45726</v>
      </c>
      <c r="GI224" s="330">
        <v>45732</v>
      </c>
      <c r="GJ224" s="352">
        <v>45805</v>
      </c>
      <c r="GK22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4" s="330">
        <v>45775</v>
      </c>
      <c r="GM224" s="330" t="e">
        <v>#N/A</v>
      </c>
      <c r="GN224" s="330">
        <v>45900</v>
      </c>
      <c r="GO224" s="330" t="e">
        <v>#N/A</v>
      </c>
      <c r="GP224" s="316"/>
      <c r="GQ22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4" s="330" t="s">
        <v>261</v>
      </c>
      <c r="GS224" s="421" t="s">
        <v>261</v>
      </c>
      <c r="GT224" s="457" t="s">
        <v>1705</v>
      </c>
      <c r="GU224" s="423" t="str">
        <f>IF(Table1[[#This Row],[Hydro Tes Actual
(tanggal)]]&lt;&gt;"","Sudah","Belum")</f>
        <v>Sudah</v>
      </c>
      <c r="GV224" s="330" t="s">
        <v>261</v>
      </c>
      <c r="GW224" s="330" t="s">
        <v>261</v>
      </c>
      <c r="GX224" s="331"/>
      <c r="GY224" s="344" t="str">
        <f>IF(Table1[[#This Row],[Interkoneksi Actual
(tanggal)]]&lt;&gt;"","Sudah","Belum")</f>
        <v>Belum</v>
      </c>
      <c r="GZ224" s="330" t="s">
        <v>261</v>
      </c>
      <c r="HA224" s="421" t="s">
        <v>261</v>
      </c>
      <c r="HB224" s="331"/>
      <c r="HC224" s="344" t="str">
        <f>IF(Table1[[#This Row],[Flushing Actual
(tanggal)]]&lt;&gt;"","Sudah","Belum")</f>
        <v>Belum</v>
      </c>
      <c r="HD224" s="330">
        <v>45880</v>
      </c>
      <c r="HE224" s="330" t="e">
        <v>#N/A</v>
      </c>
      <c r="HF224" s="330">
        <v>45900</v>
      </c>
      <c r="HG224" s="352"/>
      <c r="HH22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4" s="330" t="s">
        <v>261</v>
      </c>
      <c r="HJ224" s="330" t="s">
        <v>261</v>
      </c>
      <c r="HK224" s="331"/>
      <c r="HL224" s="316"/>
      <c r="HM224" s="330">
        <v>45919</v>
      </c>
      <c r="HN224" s="330">
        <v>45919</v>
      </c>
      <c r="HO224" s="421" t="e">
        <v>#N/A</v>
      </c>
      <c r="HP224" s="331"/>
      <c r="HQ22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24" s="330">
        <v>45926</v>
      </c>
      <c r="HS224" s="330"/>
      <c r="HT224" s="330">
        <v>45926</v>
      </c>
      <c r="HU224" s="330"/>
      <c r="HV224" s="331"/>
      <c r="HW22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24" s="47"/>
      <c r="HY224" s="352"/>
      <c r="HZ224" s="352"/>
      <c r="IB224" s="618">
        <f>IFERROR(ROUND((Table1[[#This Row],[PLAN TC
finish]]-Table1[[#This Row],[PLAN MC-0
start]])/30,2),"")</f>
        <v>5.8</v>
      </c>
      <c r="IC224">
        <f>DATEDIF(Table1[[#This Row],[PLAN MC-0
start]],Table1[[#This Row],[PLAN TC
finish]],"m")</f>
        <v>5</v>
      </c>
    </row>
    <row r="225" spans="2:237" s="4" customFormat="1" ht="15" hidden="1" customHeight="1" x14ac:dyDescent="0.2">
      <c r="B225" s="311">
        <f>SUBTOTAL(3,$D$5:D225)</f>
        <v>84</v>
      </c>
      <c r="C225" s="348">
        <v>221</v>
      </c>
      <c r="D225" s="315" t="s">
        <v>673</v>
      </c>
      <c r="E225" s="338" t="s">
        <v>1706</v>
      </c>
      <c r="F225" s="338" t="s">
        <v>1707</v>
      </c>
      <c r="G225" s="349">
        <v>45935</v>
      </c>
      <c r="H225" s="314" t="s">
        <v>247</v>
      </c>
      <c r="I225" s="338" t="s">
        <v>278</v>
      </c>
      <c r="J225" s="315" t="s">
        <v>943</v>
      </c>
      <c r="K225" s="338" t="s">
        <v>676</v>
      </c>
      <c r="L225" s="316" t="s">
        <v>250</v>
      </c>
      <c r="M225" s="316" t="s">
        <v>269</v>
      </c>
      <c r="N225" s="107">
        <v>23924</v>
      </c>
      <c r="O225" s="131" t="s">
        <v>252</v>
      </c>
      <c r="P22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5" s="35" t="e">
        <v>#N/A</v>
      </c>
      <c r="S225" s="35">
        <v>1</v>
      </c>
      <c r="T225" s="35">
        <f>Table1[[#This Row],[Progres Total Aktual
(%)]]</f>
        <v>0.89781398847195915</v>
      </c>
      <c r="U225" s="124">
        <f>Table1[[#This Row],[Progres Aktual
(%)]]-Table1[[#This Row],[Target Progres
(%)]]</f>
        <v>-0.10218601152804085</v>
      </c>
      <c r="V225" s="350">
        <f>Table1[[#This Row],["Volume
BA MC-0"]]</f>
        <v>23500</v>
      </c>
      <c r="W225" s="351">
        <f>Table1[[#This Row],[Total Panjang Pipa Aktual
(Sum-&gt;)3]]</f>
        <v>22072</v>
      </c>
      <c r="X225" s="47"/>
      <c r="Y225" s="320" t="s">
        <v>1708</v>
      </c>
      <c r="Z225" s="67">
        <f>ROUND((Table1[[#This Row],[Nilai RAB Jaringan
(Exclude Ppn)]]-Table1[[#This Row],[RAB Perizinan]])*1.11+Table1[[#This Row],[RAB Perizinan]],0)</f>
        <v>36201016556</v>
      </c>
      <c r="AA225" s="67">
        <f>ROUND((Table1[[#This Row],[Nilai RAB Jaringan
(Exclude Ppn)]]-Table1[[#This Row],[RAB Perizinan]])*1.11+Table1[[#This Row],[RAB Perizinan]],0)</f>
        <v>36201016556</v>
      </c>
      <c r="AB225" s="320">
        <f>SUM(Table1[[#This Row],[RAB Kegiatan Umum]:[RAB Perizinan]])</f>
        <v>32637236897.719997</v>
      </c>
      <c r="AC225" s="456">
        <v>2038224244</v>
      </c>
      <c r="AD225" s="456">
        <v>25477803045.719997</v>
      </c>
      <c r="AE225" s="456">
        <v>4881969608</v>
      </c>
      <c r="AF225" s="456">
        <v>239240000</v>
      </c>
      <c r="AG225" s="436">
        <v>5042134818</v>
      </c>
      <c r="AH225" s="35">
        <f>SUM(Table1[[#This Row],[Bobot Keg Umum]:[Bobot Perizinan]])</f>
        <v>1</v>
      </c>
      <c r="AI225" s="35">
        <f>Table1[[#This Row],[RAB Kegiatan Umum]]/Table1[[#This Row],[Nilai RAB Jaringan
(Exclude Ppn)]]</f>
        <v>6.2450882419595642E-2</v>
      </c>
      <c r="AJ225" s="35">
        <f>Table1[[#This Row],[RAB Pemasangan]]/Table1[[#This Row],[Nilai RAB Jaringan
(Exclude Ppn)]]</f>
        <v>0.78063603011380689</v>
      </c>
      <c r="AK225" s="35">
        <f>Table1[[#This Row],[RAB Pengadaan]]/Table1[[#This Row],[Nilai RAB Jaringan
(Exclude Ppn)]]</f>
        <v>0.14958281006751062</v>
      </c>
      <c r="AL225" s="35">
        <f>Table1[[#This Row],[RAB Perizinan]]/Table1[[#This Row],[Nilai RAB Jaringan
(Exclude Ppn)]]</f>
        <v>7.3302773990868405E-3</v>
      </c>
      <c r="AM225" s="47"/>
      <c r="AN225" s="285">
        <v>23500</v>
      </c>
      <c r="AO225" s="285">
        <f>SUM(Table1[[#This Row],[Pipa 63 mm]:[Pipa 1,800 mm]])</f>
        <v>0</v>
      </c>
      <c r="AP225" s="285"/>
      <c r="AQ225" s="285"/>
      <c r="AR225" s="285"/>
      <c r="AS225" s="285"/>
      <c r="AT225" s="285"/>
      <c r="AU225" s="285"/>
      <c r="AV225" s="285"/>
      <c r="AW225" s="285"/>
      <c r="AX225" s="285"/>
      <c r="AY225" s="285"/>
      <c r="AZ225" s="285"/>
      <c r="BA225" s="285"/>
      <c r="BB225" s="285"/>
      <c r="BC225" s="285"/>
      <c r="BD225" s="285"/>
      <c r="BE225" s="285"/>
      <c r="BF225" s="285"/>
      <c r="BG225" s="285"/>
      <c r="BH225" s="285"/>
      <c r="BI225" s="285"/>
      <c r="BJ225" s="446">
        <f>SUM(Table1[[#This Row],[Pipa 63 mm2]:[Pipa 1,800 mm21]])</f>
        <v>22072</v>
      </c>
      <c r="BK225" s="32">
        <v>13692</v>
      </c>
      <c r="BL225" s="32">
        <v>4156</v>
      </c>
      <c r="BM225" s="32">
        <v>1993</v>
      </c>
      <c r="BN225" s="32">
        <v>1420</v>
      </c>
      <c r="BO225" s="32">
        <v>153</v>
      </c>
      <c r="BP225" s="32">
        <v>502</v>
      </c>
      <c r="BQ225" s="32">
        <v>156</v>
      </c>
      <c r="BR225" s="32"/>
      <c r="BS225" s="32"/>
      <c r="BT225" s="32"/>
      <c r="BU225" s="32"/>
      <c r="BV225" s="32"/>
      <c r="BW225" s="32"/>
      <c r="BX225" s="32"/>
      <c r="BY225" s="32"/>
      <c r="BZ225" s="32"/>
      <c r="CA225" s="32"/>
      <c r="CB225" s="32"/>
      <c r="CC225" s="32"/>
      <c r="CD225" s="32"/>
      <c r="CE225" s="32">
        <v>0</v>
      </c>
      <c r="CF225" s="32">
        <v>0</v>
      </c>
      <c r="CG225" s="32">
        <v>0</v>
      </c>
      <c r="CH225" s="32">
        <v>0</v>
      </c>
      <c r="CI225" s="32">
        <f t="shared" si="12"/>
        <v>0</v>
      </c>
      <c r="CJ225" s="65">
        <f>IF((Table1[[#This Row],["Volume
BA MC-0"]]-Table1[[#This Row],[Total Panjang Pipa Aktual
(Sum-&gt;)3]]-Table1[[#This Row],[Total Volume
tidak dapat dipasang]])&gt;=0,Table1[[#This Row],["Volume
BA MC-0"]]-Table1[[#This Row],[Total Panjang Pipa Aktual
(Sum-&gt;)3]]-Table1[[#This Row],[Total Volume
tidak dapat dipasang]],0)</f>
        <v>1428</v>
      </c>
      <c r="CK225" s="47"/>
      <c r="CL225" s="131"/>
      <c r="CM225" s="35"/>
      <c r="CN225" s="131"/>
      <c r="CO225" s="131"/>
      <c r="CP22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0.89781398847195915</v>
      </c>
      <c r="CQ225" s="66">
        <f>IFERROR(Table1[[#This Row],[Progres Keg. Umum
(%)]]*Table1[[#This Row],[Nilai RAB Jaringan
(file pa aji)]],0)</f>
        <v>0</v>
      </c>
      <c r="CR225" s="66">
        <f>IFERROR(Table1[[#This Row],[Progres MOS
(%)]]*Table1[[#This Row],[Nilai RAB Jaringan
(file pa aji)]],0)</f>
        <v>0</v>
      </c>
      <c r="CS225" s="66">
        <f>IFERROR(Table1[[#This Row],[Progres Pemasangan
(%)]]*Table1[[#This Row],[Nilai RAB Jaringan
(file pa aji)]],0)</f>
        <v>0</v>
      </c>
      <c r="CT225" s="66">
        <f>IFERROR(Table1[[#This Row],[Progres Perizinan
(%)]]*Table1[[#This Row],[Nilai RAB Jaringan
(file pa aji)]],0)</f>
        <v>0</v>
      </c>
      <c r="CU225" s="329">
        <v>32501779060.881786</v>
      </c>
      <c r="CV225" s="329">
        <v>32501779060.881786</v>
      </c>
      <c r="CW225" s="583">
        <v>0</v>
      </c>
      <c r="CX225" s="329">
        <v>0</v>
      </c>
      <c r="CY225" s="47"/>
      <c r="CZ225" s="330">
        <v>45656</v>
      </c>
      <c r="DA225" s="330">
        <v>45683</v>
      </c>
      <c r="DB225" s="331">
        <v>45575</v>
      </c>
      <c r="DC225" s="316" t="s">
        <v>1709</v>
      </c>
      <c r="DD225" s="67">
        <v>36201016557</v>
      </c>
      <c r="DE22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5" s="331">
        <v>45587</v>
      </c>
      <c r="DG225" s="316" t="s">
        <v>1710</v>
      </c>
      <c r="DH225" s="67">
        <v>36201016557</v>
      </c>
      <c r="DI22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5" s="330">
        <v>45684</v>
      </c>
      <c r="DK225" s="330">
        <v>45725</v>
      </c>
      <c r="DL225" s="331">
        <v>45707</v>
      </c>
      <c r="DM225" s="316" t="s">
        <v>1711</v>
      </c>
      <c r="DN22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5" s="331">
        <v>45740</v>
      </c>
      <c r="DP225" s="316" t="s">
        <v>1712</v>
      </c>
      <c r="DQ225" s="338" t="s">
        <v>275</v>
      </c>
      <c r="DR22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5" s="330">
        <v>45684</v>
      </c>
      <c r="DT225" s="330" t="e">
        <v>#N/A</v>
      </c>
      <c r="DU225" s="330">
        <v>45725</v>
      </c>
      <c r="DV225" s="330" t="e">
        <v>#N/A</v>
      </c>
      <c r="DW225" s="331">
        <v>45829</v>
      </c>
      <c r="DX225" s="316" t="s">
        <v>1713</v>
      </c>
      <c r="DY225" s="334"/>
      <c r="DZ225" s="334"/>
      <c r="EA22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5" s="331">
        <v>45943</v>
      </c>
      <c r="EC225" s="332"/>
      <c r="ED225" s="332"/>
      <c r="EE225" s="330" t="s">
        <v>1714</v>
      </c>
      <c r="EF225" s="35">
        <v>1</v>
      </c>
      <c r="EG225" s="337">
        <v>1</v>
      </c>
      <c r="EH225" s="316" t="str">
        <f>IF(Table1[[#This Row],[PO Material Aktual 
(%)]]&gt;=100%,"Selesai PO = 100%",IF(Table1[[#This Row],[PO Material Aktual 
(%)]]&gt;=50%,"Proses PO &gt; 100%",IF(Table1[[#This Row],[PO Material Aktual 
(%)]]&gt;0%,"Proses PO &gt; 50%",IF(Table1[[#This Row],[PO Material Aktual 
(%)]]=0,"Belum PO = 0%"))))</f>
        <v>Selesai PO = 100%</v>
      </c>
      <c r="EI22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5" s="330">
        <v>45726</v>
      </c>
      <c r="EK225" s="330" t="e">
        <v>#N/A</v>
      </c>
      <c r="EL225" s="330">
        <v>45816</v>
      </c>
      <c r="EM225" s="330" t="e">
        <v>#N/A</v>
      </c>
      <c r="EN225" s="331"/>
      <c r="EO225" s="332"/>
      <c r="EP225" s="332"/>
      <c r="EQ225" s="87">
        <v>0.91139240506329111</v>
      </c>
      <c r="ER225" s="87">
        <v>0.91139240506329111</v>
      </c>
      <c r="ES225" s="316" t="str">
        <f>IF(Table1[[#This Row],[Progres MOS]]&gt;=100%,"Selesai MOS = 100%",IF(Table1[[#This Row],[Progres MOS]]&gt;=50%,"Proses MOS &gt; 100%",IF(Table1[[#This Row],[Progres MOS]]&gt;0%,"Proses MOS &gt; 50%",IF(Table1[[#This Row],[Progres MOS]]=0,"Belum MOS = 0%"))))</f>
        <v>Proses MOS &gt; 100%</v>
      </c>
      <c r="ET22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5" s="47"/>
      <c r="EV225" s="330">
        <v>45698</v>
      </c>
      <c r="EW225" s="330" t="e">
        <v>#N/A</v>
      </c>
      <c r="EX225" s="330">
        <v>45774</v>
      </c>
      <c r="EY225" s="330" t="e">
        <v>#N/A</v>
      </c>
      <c r="EZ225" s="352" t="s">
        <v>298</v>
      </c>
      <c r="FA225" s="336" t="s">
        <v>298</v>
      </c>
      <c r="FB225" s="330" t="s">
        <v>260</v>
      </c>
      <c r="FC225" s="330">
        <v>45790</v>
      </c>
      <c r="FD225" s="330" t="s">
        <v>260</v>
      </c>
      <c r="FE225" s="330">
        <v>45888</v>
      </c>
      <c r="FF225" s="330">
        <v>45910</v>
      </c>
      <c r="FG225" s="330" t="s">
        <v>260</v>
      </c>
      <c r="FH225" s="330" t="s">
        <v>260</v>
      </c>
      <c r="FI225" s="330">
        <v>46010</v>
      </c>
      <c r="FJ225" s="330" t="s">
        <v>260</v>
      </c>
      <c r="FK225" s="330"/>
      <c r="FL225" s="336" t="s">
        <v>298</v>
      </c>
      <c r="FM225" s="352">
        <v>45790</v>
      </c>
      <c r="FN225" s="338">
        <f>IF(Table1[[#This Row],[Tanggal Pengajuan Dokumen]]="","",Table1[[#This Row],[PLAN PERMIT
start]]-Table1[[#This Row],[Tanggal Pengajuan Dokumen]])</f>
        <v>-92</v>
      </c>
      <c r="FO225" s="437">
        <v>46086</v>
      </c>
      <c r="FP225" s="316"/>
      <c r="FQ225" s="338"/>
      <c r="FR225" s="338"/>
      <c r="FS225" s="338" t="str">
        <f t="shared" si="11"/>
        <v>On Going</v>
      </c>
      <c r="FT22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5" s="344">
        <f ca="1">IF(Table1[[#This Row],[Status Izin]]="Selesai",Table1[[#This Row],[PLAN PERMIT
finish]]-Table1[[#This Row],[Tanggal Terbit/ Target Izin Terbit]],ROUNDUP(Table1[[#This Row],[PLAN PERMIT
finish]]-NOW(),0))</f>
        <v>-417</v>
      </c>
      <c r="FV22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5" s="344"/>
      <c r="FX225" s="47"/>
      <c r="FY225" s="340"/>
      <c r="FZ225" s="341"/>
      <c r="GA22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5" s="330">
        <v>45739</v>
      </c>
      <c r="GC225" s="352">
        <v>45793</v>
      </c>
      <c r="GD22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5" s="330">
        <v>45732</v>
      </c>
      <c r="GF225" s="352">
        <v>45793</v>
      </c>
      <c r="GG22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5" s="330">
        <v>45726</v>
      </c>
      <c r="GI225" s="330">
        <v>45732</v>
      </c>
      <c r="GJ225" s="352">
        <v>45799</v>
      </c>
      <c r="GK22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5" s="330">
        <v>45775</v>
      </c>
      <c r="GM225" s="330" t="e">
        <v>#N/A</v>
      </c>
      <c r="GN225" s="330">
        <v>45900</v>
      </c>
      <c r="GO225" s="330" t="e">
        <v>#N/A</v>
      </c>
      <c r="GP225" s="316"/>
      <c r="GQ22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5" s="330" t="s">
        <v>261</v>
      </c>
      <c r="GS225" s="421" t="s">
        <v>261</v>
      </c>
      <c r="GT225" s="457" t="s">
        <v>1705</v>
      </c>
      <c r="GU225" s="423" t="str">
        <f>IF(Table1[[#This Row],[Hydro Tes Actual
(tanggal)]]&lt;&gt;"","Sudah","Belum")</f>
        <v>Sudah</v>
      </c>
      <c r="GV225" s="330" t="s">
        <v>261</v>
      </c>
      <c r="GW225" s="330" t="s">
        <v>261</v>
      </c>
      <c r="GX225" s="331"/>
      <c r="GY225" s="344" t="str">
        <f>IF(Table1[[#This Row],[Interkoneksi Actual
(tanggal)]]&lt;&gt;"","Sudah","Belum")</f>
        <v>Belum</v>
      </c>
      <c r="GZ225" s="330" t="s">
        <v>261</v>
      </c>
      <c r="HA225" s="421" t="s">
        <v>261</v>
      </c>
      <c r="HB225" s="331"/>
      <c r="HC225" s="344" t="str">
        <f>IF(Table1[[#This Row],[Flushing Actual
(tanggal)]]&lt;&gt;"","Sudah","Belum")</f>
        <v>Belum</v>
      </c>
      <c r="HD225" s="330">
        <v>45880</v>
      </c>
      <c r="HE225" s="330" t="e">
        <v>#N/A</v>
      </c>
      <c r="HF225" s="330">
        <v>45900</v>
      </c>
      <c r="HG225" s="352"/>
      <c r="HH22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5" s="330" t="s">
        <v>261</v>
      </c>
      <c r="HJ225" s="330" t="s">
        <v>261</v>
      </c>
      <c r="HK225" s="331"/>
      <c r="HL225" s="316"/>
      <c r="HM225" s="330">
        <v>45919</v>
      </c>
      <c r="HN225" s="330">
        <v>45919</v>
      </c>
      <c r="HO225" s="421" t="e">
        <v>#N/A</v>
      </c>
      <c r="HP225" s="331"/>
      <c r="HQ22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25" s="330">
        <v>45926</v>
      </c>
      <c r="HS225" s="330"/>
      <c r="HT225" s="330">
        <v>45926</v>
      </c>
      <c r="HU225" s="330"/>
      <c r="HV225" s="331"/>
      <c r="HW22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25" s="47"/>
      <c r="HY225" s="352"/>
      <c r="HZ225" s="352"/>
      <c r="IB225" s="618">
        <f>IFERROR(ROUND((Table1[[#This Row],[PLAN TC
finish]]-Table1[[#This Row],[PLAN MC-0
start]])/30,2),"")</f>
        <v>5.8</v>
      </c>
      <c r="IC225">
        <f>DATEDIF(Table1[[#This Row],[PLAN MC-0
start]],Table1[[#This Row],[PLAN TC
finish]],"m")</f>
        <v>5</v>
      </c>
    </row>
    <row r="226" spans="2:237" s="4" customFormat="1" ht="15" hidden="1" customHeight="1" x14ac:dyDescent="0.2">
      <c r="B226" s="311">
        <f>SUBTOTAL(3,$D$5:D226)</f>
        <v>84</v>
      </c>
      <c r="C226" s="348">
        <v>222</v>
      </c>
      <c r="D226" s="315" t="s">
        <v>673</v>
      </c>
      <c r="E226" s="338" t="s">
        <v>1715</v>
      </c>
      <c r="F226" s="338" t="s">
        <v>1716</v>
      </c>
      <c r="G226" s="349">
        <v>45935</v>
      </c>
      <c r="H226" s="314" t="s">
        <v>247</v>
      </c>
      <c r="I226" s="338" t="s">
        <v>278</v>
      </c>
      <c r="J226" s="315" t="s">
        <v>943</v>
      </c>
      <c r="K226" s="338" t="s">
        <v>676</v>
      </c>
      <c r="L226" s="316" t="s">
        <v>250</v>
      </c>
      <c r="M226" s="316" t="s">
        <v>269</v>
      </c>
      <c r="N226" s="107">
        <v>11115</v>
      </c>
      <c r="O226" s="131" t="s">
        <v>252</v>
      </c>
      <c r="P22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6" s="35" t="e">
        <v>#N/A</v>
      </c>
      <c r="S226" s="35">
        <v>1</v>
      </c>
      <c r="T226" s="35">
        <f>Table1[[#This Row],[Progres Total Aktual
(%)]]</f>
        <v>0.63846090235737296</v>
      </c>
      <c r="U226" s="124">
        <f>Table1[[#This Row],[Progres Aktual
(%)]]-Table1[[#This Row],[Target Progres
(%)]]</f>
        <v>-0.36153909764262704</v>
      </c>
      <c r="V226" s="350">
        <f>Table1[[#This Row],["Volume
BA MC-0"]]</f>
        <v>11490</v>
      </c>
      <c r="W226" s="351">
        <f>Table1[[#This Row],[Total Panjang Pipa Aktual
(Sum-&gt;)3]]</f>
        <v>7537</v>
      </c>
      <c r="X226" s="47"/>
      <c r="Y226" s="320" t="s">
        <v>1717</v>
      </c>
      <c r="Z226" s="67">
        <f>ROUND((Table1[[#This Row],[Nilai RAB Jaringan
(Exclude Ppn)]]-Table1[[#This Row],[RAB Perizinan]])*1.11+Table1[[#This Row],[RAB Perizinan]],0)</f>
        <v>17451066715</v>
      </c>
      <c r="AA226" s="67">
        <f>ROUND((Table1[[#This Row],[Nilai RAB Jaringan
(Exclude Ppn)]]-Table1[[#This Row],[RAB Perizinan]])*1.11+Table1[[#This Row],[RAB Perizinan]],0)</f>
        <v>17451066715</v>
      </c>
      <c r="AB226" s="320">
        <f>SUM(Table1[[#This Row],[RAB Kegiatan Umum]:[RAB Perizinan]])</f>
        <v>15732696590.24</v>
      </c>
      <c r="AC226" s="456">
        <v>1230950244</v>
      </c>
      <c r="AD226" s="456">
        <v>12309502439.24</v>
      </c>
      <c r="AE226" s="456">
        <v>2081093907</v>
      </c>
      <c r="AF226" s="456">
        <v>111150000</v>
      </c>
      <c r="AG226" s="436">
        <v>1957414127</v>
      </c>
      <c r="AH226" s="35">
        <f>SUM(Table1[[#This Row],[Bobot Keg Umum]:[Bobot Perizinan]])</f>
        <v>1</v>
      </c>
      <c r="AI226" s="35">
        <f>Table1[[#This Row],[RAB Kegiatan Umum]]/Table1[[#This Row],[Nilai RAB Jaringan
(Exclude Ppn)]]</f>
        <v>7.8241529475858412E-2</v>
      </c>
      <c r="AJ226" s="35">
        <f>Table1[[#This Row],[RAB Pemasangan]]/Table1[[#This Row],[Nilai RAB Jaringan
(Exclude Ppn)]]</f>
        <v>0.78241529471027704</v>
      </c>
      <c r="AK226" s="35">
        <f>Table1[[#This Row],[RAB Pengadaan]]/Table1[[#This Row],[Nilai RAB Jaringan
(Exclude Ppn)]]</f>
        <v>0.1322782712463314</v>
      </c>
      <c r="AL226" s="35">
        <f>Table1[[#This Row],[RAB Perizinan]]/Table1[[#This Row],[Nilai RAB Jaringan
(Exclude Ppn)]]</f>
        <v>7.0649045675331631E-3</v>
      </c>
      <c r="AM226" s="47"/>
      <c r="AN226" s="285">
        <v>11490</v>
      </c>
      <c r="AO226" s="285">
        <f>SUM(Table1[[#This Row],[Pipa 63 mm]:[Pipa 1,800 mm]])</f>
        <v>0</v>
      </c>
      <c r="AP226" s="285"/>
      <c r="AQ226" s="285"/>
      <c r="AR226" s="285"/>
      <c r="AS226" s="285"/>
      <c r="AT226" s="285"/>
      <c r="AU226" s="285"/>
      <c r="AV226" s="285"/>
      <c r="AW226" s="285"/>
      <c r="AX226" s="285"/>
      <c r="AY226" s="285"/>
      <c r="AZ226" s="285"/>
      <c r="BA226" s="285"/>
      <c r="BB226" s="285"/>
      <c r="BC226" s="285"/>
      <c r="BD226" s="285"/>
      <c r="BE226" s="285"/>
      <c r="BF226" s="285"/>
      <c r="BG226" s="285"/>
      <c r="BH226" s="285"/>
      <c r="BI226" s="285"/>
      <c r="BJ226" s="446">
        <f>SUM(Table1[[#This Row],[Pipa 63 mm2]:[Pipa 1,800 mm21]])</f>
        <v>7537</v>
      </c>
      <c r="BK226" s="32">
        <v>5855</v>
      </c>
      <c r="BL226" s="32">
        <v>365</v>
      </c>
      <c r="BM226" s="32">
        <v>871</v>
      </c>
      <c r="BN226" s="32">
        <v>446</v>
      </c>
      <c r="BO226" s="32"/>
      <c r="BP226" s="32"/>
      <c r="BQ226" s="32"/>
      <c r="BR226" s="32"/>
      <c r="BS226" s="32"/>
      <c r="BT226" s="32"/>
      <c r="BU226" s="32"/>
      <c r="BV226" s="32"/>
      <c r="BW226" s="32"/>
      <c r="BX226" s="32"/>
      <c r="BY226" s="32"/>
      <c r="BZ226" s="32"/>
      <c r="CA226" s="32"/>
      <c r="CB226" s="32"/>
      <c r="CC226" s="32"/>
      <c r="CD226" s="32"/>
      <c r="CE226" s="32">
        <v>0</v>
      </c>
      <c r="CF226" s="32">
        <v>0</v>
      </c>
      <c r="CG226" s="32">
        <v>0</v>
      </c>
      <c r="CH226" s="32">
        <v>0</v>
      </c>
      <c r="CI226" s="32">
        <f t="shared" si="12"/>
        <v>0</v>
      </c>
      <c r="CJ226" s="65">
        <f>IF((Table1[[#This Row],["Volume
BA MC-0"]]-Table1[[#This Row],[Total Panjang Pipa Aktual
(Sum-&gt;)3]]-Table1[[#This Row],[Total Volume
tidak dapat dipasang]])&gt;=0,Table1[[#This Row],["Volume
BA MC-0"]]-Table1[[#This Row],[Total Panjang Pipa Aktual
(Sum-&gt;)3]]-Table1[[#This Row],[Total Volume
tidak dapat dipasang]],0)</f>
        <v>3953</v>
      </c>
      <c r="CK226" s="47"/>
      <c r="CL226" s="131"/>
      <c r="CM226" s="35"/>
      <c r="CN226" s="131"/>
      <c r="CO226" s="131"/>
      <c r="CP22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0.63846090235737296</v>
      </c>
      <c r="CQ226" s="66">
        <f>IFERROR(Table1[[#This Row],[Progres Keg. Umum
(%)]]*Table1[[#This Row],[Nilai RAB Jaringan
(file pa aji)]],0)</f>
        <v>0</v>
      </c>
      <c r="CR226" s="66">
        <f>IFERROR(Table1[[#This Row],[Progres MOS
(%)]]*Table1[[#This Row],[Nilai RAB Jaringan
(file pa aji)]],0)</f>
        <v>0</v>
      </c>
      <c r="CS226" s="66">
        <f>IFERROR(Table1[[#This Row],[Progres Pemasangan
(%)]]*Table1[[#This Row],[Nilai RAB Jaringan
(file pa aji)]],0)</f>
        <v>0</v>
      </c>
      <c r="CT226" s="66">
        <f>IFERROR(Table1[[#This Row],[Progres Perizinan
(%)]]*Table1[[#This Row],[Nilai RAB Jaringan
(file pa aji)]],0)</f>
        <v>0</v>
      </c>
      <c r="CU226" s="329">
        <v>11141823801.957617</v>
      </c>
      <c r="CV226" s="329">
        <v>11141823801.957617</v>
      </c>
      <c r="CW226" s="583">
        <v>0</v>
      </c>
      <c r="CX226" s="329">
        <v>0</v>
      </c>
      <c r="CY226" s="47"/>
      <c r="CZ226" s="330">
        <v>45656</v>
      </c>
      <c r="DA226" s="330">
        <v>45683</v>
      </c>
      <c r="DB226" s="331">
        <v>45578</v>
      </c>
      <c r="DC226" s="316" t="s">
        <v>1718</v>
      </c>
      <c r="DD226" s="67">
        <v>17451066715</v>
      </c>
      <c r="DE22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6" s="331">
        <v>45588</v>
      </c>
      <c r="DG226" s="316" t="s">
        <v>1719</v>
      </c>
      <c r="DH226" s="67">
        <v>17451066715</v>
      </c>
      <c r="DI22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6" s="330">
        <v>45684</v>
      </c>
      <c r="DK226" s="330">
        <v>45725</v>
      </c>
      <c r="DL226" s="331">
        <v>45708</v>
      </c>
      <c r="DM226" s="316" t="s">
        <v>1720</v>
      </c>
      <c r="DN22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6" s="331">
        <v>45736</v>
      </c>
      <c r="DP226" s="316" t="s">
        <v>1721</v>
      </c>
      <c r="DQ226" s="338" t="s">
        <v>371</v>
      </c>
      <c r="DR22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6" s="330">
        <v>45684</v>
      </c>
      <c r="DT226" s="330" t="e">
        <v>#N/A</v>
      </c>
      <c r="DU226" s="330">
        <v>45725</v>
      </c>
      <c r="DV226" s="330" t="e">
        <v>#N/A</v>
      </c>
      <c r="DW226" s="331">
        <v>45829</v>
      </c>
      <c r="DX226" s="316" t="s">
        <v>1722</v>
      </c>
      <c r="DY226" s="334"/>
      <c r="DZ226" s="334"/>
      <c r="EA22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6" s="331">
        <v>45852</v>
      </c>
      <c r="EC226" s="332"/>
      <c r="ED226" s="332"/>
      <c r="EE226" s="330" t="s">
        <v>1723</v>
      </c>
      <c r="EF226" s="35">
        <v>1</v>
      </c>
      <c r="EG226" s="337">
        <v>1</v>
      </c>
      <c r="EH226" s="316" t="str">
        <f>IF(Table1[[#This Row],[PO Material Aktual 
(%)]]&gt;=100%,"Selesai PO = 100%",IF(Table1[[#This Row],[PO Material Aktual 
(%)]]&gt;=50%,"Proses PO &gt; 100%",IF(Table1[[#This Row],[PO Material Aktual 
(%)]]&gt;0%,"Proses PO &gt; 50%",IF(Table1[[#This Row],[PO Material Aktual 
(%)]]=0,"Belum PO = 0%"))))</f>
        <v>Selesai PO = 100%</v>
      </c>
      <c r="EI22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6" s="330">
        <v>45726</v>
      </c>
      <c r="EK226" s="330" t="e">
        <v>#N/A</v>
      </c>
      <c r="EL226" s="330">
        <v>45816</v>
      </c>
      <c r="EM226" s="330" t="e">
        <v>#N/A</v>
      </c>
      <c r="EN226" s="331"/>
      <c r="EO226" s="332"/>
      <c r="EP226" s="332"/>
      <c r="EQ226" s="87">
        <v>0.87951807228915657</v>
      </c>
      <c r="ER226" s="87">
        <v>0.87951807228915657</v>
      </c>
      <c r="ES226" s="316" t="str">
        <f>IF(Table1[[#This Row],[Progres MOS]]&gt;=100%,"Selesai MOS = 100%",IF(Table1[[#This Row],[Progres MOS]]&gt;=50%,"Proses MOS &gt; 100%",IF(Table1[[#This Row],[Progres MOS]]&gt;0%,"Proses MOS &gt; 50%",IF(Table1[[#This Row],[Progres MOS]]=0,"Belum MOS = 0%"))))</f>
        <v>Proses MOS &gt; 100%</v>
      </c>
      <c r="ET22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6" s="47"/>
      <c r="EV226" s="330">
        <v>45698</v>
      </c>
      <c r="EW226" s="330" t="e">
        <v>#N/A</v>
      </c>
      <c r="EX226" s="330">
        <v>45774</v>
      </c>
      <c r="EY226" s="330" t="e">
        <v>#N/A</v>
      </c>
      <c r="EZ226" s="352" t="s">
        <v>259</v>
      </c>
      <c r="FA226" s="336" t="s">
        <v>259</v>
      </c>
      <c r="FB226" s="330" t="s">
        <v>260</v>
      </c>
      <c r="FC226" s="330">
        <v>45790</v>
      </c>
      <c r="FD226" s="330" t="s">
        <v>260</v>
      </c>
      <c r="FE226" s="330">
        <v>45874</v>
      </c>
      <c r="FF226" s="330">
        <v>45910</v>
      </c>
      <c r="FG226" s="330" t="s">
        <v>260</v>
      </c>
      <c r="FH226" s="330" t="s">
        <v>260</v>
      </c>
      <c r="FI226" s="330">
        <v>45988</v>
      </c>
      <c r="FJ226" s="330" t="s">
        <v>260</v>
      </c>
      <c r="FK226" s="330">
        <v>46029</v>
      </c>
      <c r="FL226" s="336" t="s">
        <v>259</v>
      </c>
      <c r="FM226" s="352">
        <v>45790</v>
      </c>
      <c r="FN226" s="338">
        <f>IF(Table1[[#This Row],[Tanggal Pengajuan Dokumen]]="","",Table1[[#This Row],[PLAN PERMIT
start]]-Table1[[#This Row],[Tanggal Pengajuan Dokumen]])</f>
        <v>-92</v>
      </c>
      <c r="FO226" s="437">
        <v>46086</v>
      </c>
      <c r="FP226" s="316"/>
      <c r="FQ226" s="338"/>
      <c r="FR226" s="338"/>
      <c r="FS226" s="338" t="str">
        <f t="shared" si="11"/>
        <v>Sudah Terbit</v>
      </c>
      <c r="FT22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6" s="344">
        <f ca="1">IF(Table1[[#This Row],[Status Izin]]="Selesai",Table1[[#This Row],[PLAN PERMIT
finish]]-Table1[[#This Row],[Tanggal Terbit/ Target Izin Terbit]],ROUNDUP(Table1[[#This Row],[PLAN PERMIT
finish]]-NOW(),0))</f>
        <v>-312</v>
      </c>
      <c r="FV22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6" s="344"/>
      <c r="FX226" s="47"/>
      <c r="FY226" s="340"/>
      <c r="FZ226" s="341"/>
      <c r="GA22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6" s="330">
        <v>45739</v>
      </c>
      <c r="GC226" s="352">
        <v>45793</v>
      </c>
      <c r="GD22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6" s="330">
        <v>45732</v>
      </c>
      <c r="GF226" s="352">
        <v>45793</v>
      </c>
      <c r="GG22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6" s="330">
        <v>45726</v>
      </c>
      <c r="GI226" s="330">
        <v>45732</v>
      </c>
      <c r="GJ226" s="352">
        <v>45803</v>
      </c>
      <c r="GK22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6" s="330">
        <v>45775</v>
      </c>
      <c r="GM226" s="330" t="e">
        <v>#N/A</v>
      </c>
      <c r="GN226" s="330">
        <v>45900</v>
      </c>
      <c r="GO226" s="330" t="e">
        <v>#N/A</v>
      </c>
      <c r="GP226" s="316"/>
      <c r="GQ22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6" s="330" t="s">
        <v>261</v>
      </c>
      <c r="GS226" s="421" t="s">
        <v>261</v>
      </c>
      <c r="GT226" s="457" t="s">
        <v>1724</v>
      </c>
      <c r="GU226" s="423" t="str">
        <f>IF(Table1[[#This Row],[Hydro Tes Actual
(tanggal)]]&lt;&gt;"","Sudah","Belum")</f>
        <v>Sudah</v>
      </c>
      <c r="GV226" s="330" t="s">
        <v>261</v>
      </c>
      <c r="GW226" s="330" t="s">
        <v>261</v>
      </c>
      <c r="GX226" s="331"/>
      <c r="GY226" s="344" t="str">
        <f>IF(Table1[[#This Row],[Interkoneksi Actual
(tanggal)]]&lt;&gt;"","Sudah","Belum")</f>
        <v>Belum</v>
      </c>
      <c r="GZ226" s="330" t="s">
        <v>261</v>
      </c>
      <c r="HA226" s="421" t="s">
        <v>261</v>
      </c>
      <c r="HB226" s="331"/>
      <c r="HC226" s="344" t="str">
        <f>IF(Table1[[#This Row],[Flushing Actual
(tanggal)]]&lt;&gt;"","Sudah","Belum")</f>
        <v>Belum</v>
      </c>
      <c r="HD226" s="330">
        <v>45880</v>
      </c>
      <c r="HE226" s="330" t="e">
        <v>#N/A</v>
      </c>
      <c r="HF226" s="330">
        <v>45900</v>
      </c>
      <c r="HG226" s="352"/>
      <c r="HH22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6" s="330" t="s">
        <v>261</v>
      </c>
      <c r="HJ226" s="330" t="s">
        <v>261</v>
      </c>
      <c r="HK226" s="331"/>
      <c r="HL226" s="316"/>
      <c r="HM226" s="330">
        <v>45919</v>
      </c>
      <c r="HN226" s="330">
        <v>45919</v>
      </c>
      <c r="HO226" s="421" t="e">
        <v>#N/A</v>
      </c>
      <c r="HP226" s="331"/>
      <c r="HQ22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26" s="330">
        <v>45926</v>
      </c>
      <c r="HS226" s="330"/>
      <c r="HT226" s="330">
        <v>45926</v>
      </c>
      <c r="HU226" s="330"/>
      <c r="HV226" s="331"/>
      <c r="HW22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26" s="47"/>
      <c r="HY226" s="352"/>
      <c r="HZ226" s="352"/>
      <c r="IB226" s="618">
        <f>IFERROR(ROUND((Table1[[#This Row],[PLAN TC
finish]]-Table1[[#This Row],[PLAN MC-0
start]])/30,2),"")</f>
        <v>5.8</v>
      </c>
      <c r="IC226">
        <f>DATEDIF(Table1[[#This Row],[PLAN MC-0
start]],Table1[[#This Row],[PLAN TC
finish]],"m")</f>
        <v>5</v>
      </c>
    </row>
    <row r="227" spans="2:237" s="4" customFormat="1" ht="15" hidden="1" customHeight="1" x14ac:dyDescent="0.2">
      <c r="B227" s="311">
        <f>SUBTOTAL(3,$D$5:D227)</f>
        <v>84</v>
      </c>
      <c r="C227" s="348">
        <v>223</v>
      </c>
      <c r="D227" s="315" t="s">
        <v>673</v>
      </c>
      <c r="E227" s="338" t="s">
        <v>1725</v>
      </c>
      <c r="F227" s="338" t="s">
        <v>1726</v>
      </c>
      <c r="G227" s="349">
        <v>45935</v>
      </c>
      <c r="H227" s="314" t="s">
        <v>247</v>
      </c>
      <c r="I227" s="338" t="s">
        <v>278</v>
      </c>
      <c r="J227" s="315" t="s">
        <v>943</v>
      </c>
      <c r="K227" s="338" t="s">
        <v>676</v>
      </c>
      <c r="L227" s="316" t="s">
        <v>250</v>
      </c>
      <c r="M227" s="316" t="s">
        <v>269</v>
      </c>
      <c r="N227" s="107">
        <v>5175</v>
      </c>
      <c r="O227" s="131" t="s">
        <v>252</v>
      </c>
      <c r="P22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7" s="35" t="e">
        <v>#N/A</v>
      </c>
      <c r="S227" s="35">
        <v>1</v>
      </c>
      <c r="T227" s="35">
        <f>Table1[[#This Row],[Progres Total Aktual
(%)]]</f>
        <v>0.92093927029196132</v>
      </c>
      <c r="U227" s="124">
        <f>Table1[[#This Row],[Progres Aktual
(%)]]-Table1[[#This Row],[Target Progres
(%)]]</f>
        <v>-7.9060729708038679E-2</v>
      </c>
      <c r="V227" s="350">
        <f>Table1[[#This Row],["Volume
BA MC-0"]]</f>
        <v>5343</v>
      </c>
      <c r="W227" s="351">
        <f>Table1[[#This Row],[Total Panjang Pipa Aktual
(Sum-&gt;)3]]</f>
        <v>4866</v>
      </c>
      <c r="X227" s="47"/>
      <c r="Y227" s="320" t="s">
        <v>1727</v>
      </c>
      <c r="Z227" s="67">
        <f>ROUND((Table1[[#This Row],[Nilai RAB Jaringan
(Exclude Ppn)]]-Table1[[#This Row],[RAB Perizinan]])*1.11+Table1[[#This Row],[RAB Perizinan]],0)</f>
        <v>7446330079</v>
      </c>
      <c r="AA227" s="67">
        <f>ROUND((Table1[[#This Row],[Nilai RAB Jaringan
(Exclude Ppn)]]-Table1[[#This Row],[RAB Perizinan]])*1.11+Table1[[#This Row],[RAB Perizinan]],0)</f>
        <v>7446330079</v>
      </c>
      <c r="AB227" s="320">
        <f>SUM(Table1[[#This Row],[RAB Kegiatan Umum]:[RAB Perizinan]])</f>
        <v>6713533854.6399994</v>
      </c>
      <c r="AC227" s="456">
        <v>520204585</v>
      </c>
      <c r="AD227" s="456">
        <v>5202045842.6399994</v>
      </c>
      <c r="AE227" s="456">
        <v>939533427</v>
      </c>
      <c r="AF227" s="456">
        <v>51750000</v>
      </c>
      <c r="AG227" s="436">
        <v>1266682650</v>
      </c>
      <c r="AH227" s="35">
        <f>SUM(Table1[[#This Row],[Bobot Keg Umum]:[Bobot Perizinan]])</f>
        <v>1</v>
      </c>
      <c r="AI227" s="35">
        <f>Table1[[#This Row],[RAB Kegiatan Umum]]/Table1[[#This Row],[Nilai RAB Jaringan
(Exclude Ppn)]]</f>
        <v>7.7485955424275582E-2</v>
      </c>
      <c r="AJ227" s="35">
        <f>Table1[[#This Row],[RAB Pemasangan]]/Table1[[#This Row],[Nilai RAB Jaringan
(Exclude Ppn)]]</f>
        <v>0.77485955314646271</v>
      </c>
      <c r="AK227" s="35">
        <f>Table1[[#This Row],[RAB Pengadaan]]/Table1[[#This Row],[Nilai RAB Jaringan
(Exclude Ppn)]]</f>
        <v>0.13994618145116672</v>
      </c>
      <c r="AL227" s="35">
        <f>Table1[[#This Row],[RAB Perizinan]]/Table1[[#This Row],[Nilai RAB Jaringan
(Exclude Ppn)]]</f>
        <v>7.7083099780949861E-3</v>
      </c>
      <c r="AM227" s="47"/>
      <c r="AN227" s="285">
        <v>5343</v>
      </c>
      <c r="AO227" s="285">
        <f>SUM(Table1[[#This Row],[Pipa 63 mm]:[Pipa 1,800 mm]])</f>
        <v>0</v>
      </c>
      <c r="AP227" s="285"/>
      <c r="AQ227" s="285"/>
      <c r="AR227" s="285"/>
      <c r="AS227" s="285"/>
      <c r="AT227" s="285"/>
      <c r="AU227" s="285"/>
      <c r="AV227" s="285"/>
      <c r="AW227" s="285"/>
      <c r="AX227" s="285"/>
      <c r="AY227" s="285"/>
      <c r="AZ227" s="285"/>
      <c r="BA227" s="285"/>
      <c r="BB227" s="285"/>
      <c r="BC227" s="285"/>
      <c r="BD227" s="285"/>
      <c r="BE227" s="285"/>
      <c r="BF227" s="285"/>
      <c r="BG227" s="285"/>
      <c r="BH227" s="285"/>
      <c r="BI227" s="285"/>
      <c r="BJ227" s="446">
        <f>SUM(Table1[[#This Row],[Pipa 63 mm2]:[Pipa 1,800 mm21]])</f>
        <v>4866</v>
      </c>
      <c r="BK227" s="32">
        <v>3967</v>
      </c>
      <c r="BL227" s="32">
        <v>278</v>
      </c>
      <c r="BM227" s="32">
        <v>81</v>
      </c>
      <c r="BN227" s="32">
        <v>540</v>
      </c>
      <c r="BO227" s="32"/>
      <c r="BP227" s="32"/>
      <c r="BQ227" s="32"/>
      <c r="BR227" s="32"/>
      <c r="BS227" s="32"/>
      <c r="BT227" s="32"/>
      <c r="BU227" s="32"/>
      <c r="BV227" s="32"/>
      <c r="BW227" s="32"/>
      <c r="BX227" s="32"/>
      <c r="BY227" s="32"/>
      <c r="BZ227" s="32"/>
      <c r="CA227" s="32"/>
      <c r="CB227" s="32"/>
      <c r="CC227" s="32"/>
      <c r="CD227" s="32"/>
      <c r="CE227" s="32">
        <v>0</v>
      </c>
      <c r="CF227" s="32">
        <v>0</v>
      </c>
      <c r="CG227" s="32">
        <v>0</v>
      </c>
      <c r="CH227" s="32">
        <v>0</v>
      </c>
      <c r="CI227" s="32">
        <f t="shared" si="12"/>
        <v>0</v>
      </c>
      <c r="CJ227" s="65">
        <f>IF((Table1[[#This Row],["Volume
BA MC-0"]]-Table1[[#This Row],[Total Panjang Pipa Aktual
(Sum-&gt;)3]]-Table1[[#This Row],[Total Volume
tidak dapat dipasang]])&gt;=0,Table1[[#This Row],["Volume
BA MC-0"]]-Table1[[#This Row],[Total Panjang Pipa Aktual
(Sum-&gt;)3]]-Table1[[#This Row],[Total Volume
tidak dapat dipasang]],0)</f>
        <v>477</v>
      </c>
      <c r="CK227" s="47"/>
      <c r="CL227" s="131"/>
      <c r="CM227" s="35"/>
      <c r="CN227" s="131"/>
      <c r="CO227" s="131"/>
      <c r="CP22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0.92093927029196132</v>
      </c>
      <c r="CQ227" s="66">
        <f>IFERROR(Table1[[#This Row],[Progres Keg. Umum
(%)]]*Table1[[#This Row],[Nilai RAB Jaringan
(file pa aji)]],0)</f>
        <v>0</v>
      </c>
      <c r="CR227" s="66">
        <f>IFERROR(Table1[[#This Row],[Progres MOS
(%)]]*Table1[[#This Row],[Nilai RAB Jaringan
(file pa aji)]],0)</f>
        <v>0</v>
      </c>
      <c r="CS227" s="66">
        <f>IFERROR(Table1[[#This Row],[Progres Pemasangan
(%)]]*Table1[[#This Row],[Nilai RAB Jaringan
(file pa aji)]],0)</f>
        <v>0</v>
      </c>
      <c r="CT227" s="66">
        <f>IFERROR(Table1[[#This Row],[Progres Perizinan
(%)]]*Table1[[#This Row],[Nilai RAB Jaringan
(file pa aji)]],0)</f>
        <v>0</v>
      </c>
      <c r="CU227" s="329">
        <v>6857617789.3073425</v>
      </c>
      <c r="CV227" s="329">
        <v>6857617789.3073425</v>
      </c>
      <c r="CW227" s="583">
        <v>0</v>
      </c>
      <c r="CX227" s="329">
        <v>0</v>
      </c>
      <c r="CY227" s="47"/>
      <c r="CZ227" s="330">
        <v>45656</v>
      </c>
      <c r="DA227" s="330">
        <v>45683</v>
      </c>
      <c r="DB227" s="331">
        <v>45578</v>
      </c>
      <c r="DC227" s="316" t="s">
        <v>1728</v>
      </c>
      <c r="DD227" s="67">
        <v>7446330079</v>
      </c>
      <c r="DE22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7" s="331">
        <v>45596</v>
      </c>
      <c r="DG227" s="316" t="s">
        <v>1729</v>
      </c>
      <c r="DH227" s="67">
        <v>7446330079</v>
      </c>
      <c r="DI22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7" s="330">
        <v>45684</v>
      </c>
      <c r="DK227" s="330">
        <v>45725</v>
      </c>
      <c r="DL227" s="331">
        <v>45709</v>
      </c>
      <c r="DM227" s="316" t="s">
        <v>1730</v>
      </c>
      <c r="DN22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7" s="331">
        <v>45736</v>
      </c>
      <c r="DP227" s="316" t="s">
        <v>1731</v>
      </c>
      <c r="DQ227" s="338" t="s">
        <v>371</v>
      </c>
      <c r="DR22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7" s="330">
        <v>45684</v>
      </c>
      <c r="DT227" s="330" t="e">
        <v>#N/A</v>
      </c>
      <c r="DU227" s="330">
        <v>45725</v>
      </c>
      <c r="DV227" s="330" t="e">
        <v>#N/A</v>
      </c>
      <c r="DW227" s="331">
        <v>45709</v>
      </c>
      <c r="DX227" s="316" t="s">
        <v>1732</v>
      </c>
      <c r="DY227" s="334"/>
      <c r="DZ227" s="334"/>
      <c r="EA22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7" s="331">
        <v>45716</v>
      </c>
      <c r="EC227" s="332"/>
      <c r="ED227" s="332"/>
      <c r="EE227" s="330" t="s">
        <v>1733</v>
      </c>
      <c r="EF227" s="35">
        <v>1</v>
      </c>
      <c r="EG227" s="337">
        <v>1</v>
      </c>
      <c r="EH227" s="316" t="str">
        <f>IF(Table1[[#This Row],[PO Material Aktual 
(%)]]&gt;=100%,"Selesai PO = 100%",IF(Table1[[#This Row],[PO Material Aktual 
(%)]]&gt;=50%,"Proses PO &gt; 100%",IF(Table1[[#This Row],[PO Material Aktual 
(%)]]&gt;0%,"Proses PO &gt; 50%",IF(Table1[[#This Row],[PO Material Aktual 
(%)]]=0,"Belum PO = 0%"))))</f>
        <v>Selesai PO = 100%</v>
      </c>
      <c r="EI22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227" s="330">
        <v>45726</v>
      </c>
      <c r="EK227" s="330" t="e">
        <v>#N/A</v>
      </c>
      <c r="EL227" s="330">
        <v>45816</v>
      </c>
      <c r="EM227" s="330" t="e">
        <v>#N/A</v>
      </c>
      <c r="EN227" s="331">
        <v>45961</v>
      </c>
      <c r="EO227" s="332"/>
      <c r="EP227" s="332"/>
      <c r="EQ227" s="87">
        <v>1</v>
      </c>
      <c r="ER227" s="87">
        <v>1</v>
      </c>
      <c r="ES227" s="316" t="str">
        <f>IF(Table1[[#This Row],[Progres MOS]]&gt;=100%,"Selesai MOS = 100%",IF(Table1[[#This Row],[Progres MOS]]&gt;=50%,"Proses MOS &gt; 100%",IF(Table1[[#This Row],[Progres MOS]]&gt;0%,"Proses MOS &gt; 50%",IF(Table1[[#This Row],[Progres MOS]]=0,"Belum MOS = 0%"))))</f>
        <v>Selesai MOS = 100%</v>
      </c>
      <c r="ET22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7" s="47"/>
      <c r="EV227" s="330">
        <v>45698</v>
      </c>
      <c r="EW227" s="330" t="e">
        <v>#N/A</v>
      </c>
      <c r="EX227" s="330">
        <v>45774</v>
      </c>
      <c r="EY227" s="330" t="e">
        <v>#N/A</v>
      </c>
      <c r="EZ227" s="352" t="s">
        <v>259</v>
      </c>
      <c r="FA227" s="336" t="s">
        <v>259</v>
      </c>
      <c r="FB227" s="330" t="s">
        <v>260</v>
      </c>
      <c r="FC227" s="330">
        <v>45790</v>
      </c>
      <c r="FD227" s="330" t="s">
        <v>260</v>
      </c>
      <c r="FE227" s="330">
        <v>45863</v>
      </c>
      <c r="FF227" s="330">
        <v>45910</v>
      </c>
      <c r="FG227" s="330" t="s">
        <v>260</v>
      </c>
      <c r="FH227" s="330" t="s">
        <v>260</v>
      </c>
      <c r="FI227" s="330">
        <v>45985</v>
      </c>
      <c r="FJ227" s="330" t="s">
        <v>260</v>
      </c>
      <c r="FK227" s="330">
        <v>46041</v>
      </c>
      <c r="FL227" s="336" t="s">
        <v>259</v>
      </c>
      <c r="FM227" s="352">
        <v>45790</v>
      </c>
      <c r="FN227" s="338">
        <f>IF(Table1[[#This Row],[Tanggal Pengajuan Dokumen]]="","",Table1[[#This Row],[PLAN PERMIT
start]]-Table1[[#This Row],[Tanggal Pengajuan Dokumen]])</f>
        <v>-92</v>
      </c>
      <c r="FO227" s="437">
        <v>46064</v>
      </c>
      <c r="FP227" s="316"/>
      <c r="FQ227" s="338"/>
      <c r="FR227" s="338"/>
      <c r="FS227" s="338" t="str">
        <f t="shared" si="11"/>
        <v>Sudah Terbit</v>
      </c>
      <c r="FT22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7" s="344">
        <f ca="1">IF(Table1[[#This Row],[Status Izin]]="Selesai",Table1[[#This Row],[PLAN PERMIT
finish]]-Table1[[#This Row],[Tanggal Terbit/ Target Izin Terbit]],ROUNDUP(Table1[[#This Row],[PLAN PERMIT
finish]]-NOW(),0))</f>
        <v>-290</v>
      </c>
      <c r="FV22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7" s="344"/>
      <c r="FX227" s="47"/>
      <c r="FY227" s="340"/>
      <c r="FZ227" s="341"/>
      <c r="GA22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7" s="330">
        <v>45739</v>
      </c>
      <c r="GC227" s="352">
        <v>45793</v>
      </c>
      <c r="GD22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7" s="330">
        <v>45732</v>
      </c>
      <c r="GF227" s="352">
        <v>45793</v>
      </c>
      <c r="GG22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7" s="330">
        <v>45726</v>
      </c>
      <c r="GI227" s="330">
        <v>45732</v>
      </c>
      <c r="GJ227" s="352">
        <v>45797</v>
      </c>
      <c r="GK22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7" s="330">
        <v>45775</v>
      </c>
      <c r="GM227" s="330" t="e">
        <v>#N/A</v>
      </c>
      <c r="GN227" s="330">
        <v>45900</v>
      </c>
      <c r="GO227" s="330" t="e">
        <v>#N/A</v>
      </c>
      <c r="GP227" s="316"/>
      <c r="GQ22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7" s="330" t="s">
        <v>261</v>
      </c>
      <c r="GS227" s="421" t="s">
        <v>261</v>
      </c>
      <c r="GT227" s="457" t="s">
        <v>1734</v>
      </c>
      <c r="GU227" s="423" t="str">
        <f>IF(Table1[[#This Row],[Hydro Tes Actual
(tanggal)]]&lt;&gt;"","Sudah","Belum")</f>
        <v>Sudah</v>
      </c>
      <c r="GV227" s="330" t="s">
        <v>261</v>
      </c>
      <c r="GW227" s="330" t="s">
        <v>261</v>
      </c>
      <c r="GX227" s="331"/>
      <c r="GY227" s="344" t="str">
        <f>IF(Table1[[#This Row],[Interkoneksi Actual
(tanggal)]]&lt;&gt;"","Sudah","Belum")</f>
        <v>Belum</v>
      </c>
      <c r="GZ227" s="330" t="s">
        <v>261</v>
      </c>
      <c r="HA227" s="421" t="s">
        <v>261</v>
      </c>
      <c r="HB227" s="331"/>
      <c r="HC227" s="344" t="str">
        <f>IF(Table1[[#This Row],[Flushing Actual
(tanggal)]]&lt;&gt;"","Sudah","Belum")</f>
        <v>Belum</v>
      </c>
      <c r="HD227" s="330">
        <v>45880</v>
      </c>
      <c r="HE227" s="330" t="e">
        <v>#N/A</v>
      </c>
      <c r="HF227" s="330">
        <v>45900</v>
      </c>
      <c r="HG227" s="352"/>
      <c r="HH22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7" s="330" t="s">
        <v>261</v>
      </c>
      <c r="HJ227" s="330" t="s">
        <v>261</v>
      </c>
      <c r="HK227" s="331"/>
      <c r="HL227" s="316"/>
      <c r="HM227" s="330">
        <v>45919</v>
      </c>
      <c r="HN227" s="330">
        <v>45919</v>
      </c>
      <c r="HO227" s="421" t="e">
        <v>#N/A</v>
      </c>
      <c r="HP227" s="331"/>
      <c r="HQ22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27" s="330">
        <v>45926</v>
      </c>
      <c r="HS227" s="330"/>
      <c r="HT227" s="330">
        <v>45926</v>
      </c>
      <c r="HU227" s="330"/>
      <c r="HV227" s="331"/>
      <c r="HW22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27" s="47"/>
      <c r="HY227" s="352"/>
      <c r="HZ227" s="352"/>
      <c r="IB227" s="618">
        <f>IFERROR(ROUND((Table1[[#This Row],[PLAN TC
finish]]-Table1[[#This Row],[PLAN MC-0
start]])/30,2),"")</f>
        <v>5.8</v>
      </c>
      <c r="IC227">
        <f>DATEDIF(Table1[[#This Row],[PLAN MC-0
start]],Table1[[#This Row],[PLAN TC
finish]],"m")</f>
        <v>5</v>
      </c>
    </row>
    <row r="228" spans="2:237" s="4" customFormat="1" ht="15" hidden="1" customHeight="1" x14ac:dyDescent="0.2">
      <c r="B228" s="311">
        <f>SUBTOTAL(3,$D$5:D228)</f>
        <v>84</v>
      </c>
      <c r="C228" s="348">
        <v>224</v>
      </c>
      <c r="D228" s="315" t="s">
        <v>673</v>
      </c>
      <c r="E228" s="338" t="s">
        <v>1735</v>
      </c>
      <c r="F228" s="338" t="s">
        <v>1736</v>
      </c>
      <c r="G228" s="349">
        <v>45935</v>
      </c>
      <c r="H228" s="314" t="s">
        <v>247</v>
      </c>
      <c r="I228" s="338" t="s">
        <v>278</v>
      </c>
      <c r="J228" s="315" t="s">
        <v>943</v>
      </c>
      <c r="K228" s="338" t="s">
        <v>676</v>
      </c>
      <c r="L228" s="316" t="s">
        <v>250</v>
      </c>
      <c r="M228" s="316" t="s">
        <v>269</v>
      </c>
      <c r="N228" s="107">
        <v>15118</v>
      </c>
      <c r="O228" s="131" t="s">
        <v>252</v>
      </c>
      <c r="P22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8" s="35" t="e">
        <v>#N/A</v>
      </c>
      <c r="S228" s="35">
        <v>1</v>
      </c>
      <c r="T228" s="35">
        <f>Table1[[#This Row],[Progres Total Aktual
(%)]]</f>
        <v>0.68790582635696873</v>
      </c>
      <c r="U228" s="124">
        <f>Table1[[#This Row],[Progres Aktual
(%)]]-Table1[[#This Row],[Target Progres
(%)]]</f>
        <v>-0.31209417364303127</v>
      </c>
      <c r="V228" s="350">
        <f>Table1[[#This Row],["Volume
BA MC-0"]]</f>
        <v>14965</v>
      </c>
      <c r="W228" s="351">
        <f>Table1[[#This Row],[Total Panjang Pipa Aktual
(Sum-&gt;)3]]</f>
        <v>11448</v>
      </c>
      <c r="X228" s="47"/>
      <c r="Y228" s="320" t="s">
        <v>1737</v>
      </c>
      <c r="Z228" s="67">
        <f>ROUND((Table1[[#This Row],[Nilai RAB Jaringan
(Exclude Ppn)]]-Table1[[#This Row],[RAB Perizinan]])*1.11+Table1[[#This Row],[RAB Perizinan]],0)</f>
        <v>24621055413</v>
      </c>
      <c r="AA228" s="67">
        <f>ROUND((Table1[[#This Row],[Nilai RAB Jaringan
(Exclude Ppn)]]-Table1[[#This Row],[RAB Perizinan]])*1.11+Table1[[#This Row],[RAB Perizinan]],0)</f>
        <v>24621055413</v>
      </c>
      <c r="AB228" s="320">
        <f>SUM(Table1[[#This Row],[RAB Kegiatan Umum]:[RAB Perizinan]])</f>
        <v>22198193885.629257</v>
      </c>
      <c r="AC228" s="456">
        <v>1705172653</v>
      </c>
      <c r="AD228" s="456">
        <v>17051726521.629257</v>
      </c>
      <c r="AE228" s="456">
        <v>3269114711</v>
      </c>
      <c r="AF228" s="456">
        <v>172180000</v>
      </c>
      <c r="AG228" s="436">
        <v>3795948652</v>
      </c>
      <c r="AH228" s="35">
        <f>SUM(Table1[[#This Row],[Bobot Keg Umum]:[Bobot Perizinan]])</f>
        <v>1</v>
      </c>
      <c r="AI228" s="35">
        <f>Table1[[#This Row],[RAB Kegiatan Umum]]/Table1[[#This Row],[Nilai RAB Jaringan
(Exclude Ppn)]]</f>
        <v>7.6815828431154504E-2</v>
      </c>
      <c r="AJ228" s="35">
        <f>Table1[[#This Row],[RAB Pemasangan]]/Table1[[#This Row],[Nilai RAB Jaringan
(Exclude Ppn)]]</f>
        <v>0.76815828393445384</v>
      </c>
      <c r="AK228" s="35">
        <f>Table1[[#This Row],[RAB Pengadaan]]/Table1[[#This Row],[Nilai RAB Jaringan
(Exclude Ppn)]]</f>
        <v>0.14726940073788483</v>
      </c>
      <c r="AL228" s="35">
        <f>Table1[[#This Row],[RAB Perizinan]]/Table1[[#This Row],[Nilai RAB Jaringan
(Exclude Ppn)]]</f>
        <v>7.7564868965067681E-3</v>
      </c>
      <c r="AM228" s="47"/>
      <c r="AN228" s="285">
        <v>14965</v>
      </c>
      <c r="AO228" s="285">
        <f>SUM(Table1[[#This Row],[Pipa 63 mm]:[Pipa 1,800 mm]])</f>
        <v>0</v>
      </c>
      <c r="AP228" s="285"/>
      <c r="AQ228" s="285"/>
      <c r="AR228" s="285"/>
      <c r="AS228" s="285"/>
      <c r="AT228" s="285"/>
      <c r="AU228" s="285"/>
      <c r="AV228" s="285"/>
      <c r="AW228" s="285"/>
      <c r="AX228" s="285"/>
      <c r="AY228" s="285"/>
      <c r="AZ228" s="285"/>
      <c r="BA228" s="285"/>
      <c r="BB228" s="285"/>
      <c r="BC228" s="285"/>
      <c r="BD228" s="285"/>
      <c r="BE228" s="285"/>
      <c r="BF228" s="285"/>
      <c r="BG228" s="285"/>
      <c r="BH228" s="285"/>
      <c r="BI228" s="285"/>
      <c r="BJ228" s="446">
        <f>SUM(Table1[[#This Row],[Pipa 63 mm2]:[Pipa 1,800 mm21]])</f>
        <v>11448</v>
      </c>
      <c r="BK228" s="32">
        <v>7414</v>
      </c>
      <c r="BL228" s="32">
        <v>2498</v>
      </c>
      <c r="BM228" s="32">
        <v>755</v>
      </c>
      <c r="BN228" s="32">
        <v>711</v>
      </c>
      <c r="BO228" s="32">
        <v>70</v>
      </c>
      <c r="BP228" s="32"/>
      <c r="BQ228" s="32"/>
      <c r="BR228" s="32"/>
      <c r="BS228" s="32"/>
      <c r="BT228" s="32"/>
      <c r="BU228" s="32"/>
      <c r="BV228" s="32"/>
      <c r="BW228" s="32"/>
      <c r="BX228" s="32"/>
      <c r="BY228" s="32"/>
      <c r="BZ228" s="32"/>
      <c r="CA228" s="32"/>
      <c r="CB228" s="32"/>
      <c r="CC228" s="32"/>
      <c r="CD228" s="32"/>
      <c r="CE228" s="32">
        <v>0</v>
      </c>
      <c r="CF228" s="32">
        <v>0</v>
      </c>
      <c r="CG228" s="32">
        <v>0</v>
      </c>
      <c r="CH228" s="32">
        <v>0</v>
      </c>
      <c r="CI228" s="32">
        <f t="shared" si="12"/>
        <v>0</v>
      </c>
      <c r="CJ228" s="65">
        <f>IF((Table1[[#This Row],["Volume
BA MC-0"]]-Table1[[#This Row],[Total Panjang Pipa Aktual
(Sum-&gt;)3]]-Table1[[#This Row],[Total Volume
tidak dapat dipasang]])&gt;=0,Table1[[#This Row],["Volume
BA MC-0"]]-Table1[[#This Row],[Total Panjang Pipa Aktual
(Sum-&gt;)3]]-Table1[[#This Row],[Total Volume
tidak dapat dipasang]],0)</f>
        <v>3517</v>
      </c>
      <c r="CK228" s="47"/>
      <c r="CL228" s="131"/>
      <c r="CM228" s="35"/>
      <c r="CN228" s="131"/>
      <c r="CO228" s="131"/>
      <c r="CP22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0.68790582635696873</v>
      </c>
      <c r="CQ228" s="66">
        <f>IFERROR(Table1[[#This Row],[Progres Keg. Umum
(%)]]*Table1[[#This Row],[Nilai RAB Jaringan
(file pa aji)]],0)</f>
        <v>0</v>
      </c>
      <c r="CR228" s="66">
        <f>IFERROR(Table1[[#This Row],[Progres MOS
(%)]]*Table1[[#This Row],[Nilai RAB Jaringan
(file pa aji)]],0)</f>
        <v>0</v>
      </c>
      <c r="CS228" s="66">
        <f>IFERROR(Table1[[#This Row],[Progres Pemasangan
(%)]]*Table1[[#This Row],[Nilai RAB Jaringan
(file pa aji)]],0)</f>
        <v>0</v>
      </c>
      <c r="CT228" s="66">
        <f>IFERROR(Table1[[#This Row],[Progres Perizinan
(%)]]*Table1[[#This Row],[Nilai RAB Jaringan
(file pa aji)]],0)</f>
        <v>0</v>
      </c>
      <c r="CU228" s="329">
        <v>16936967469.660484</v>
      </c>
      <c r="CV228" s="329">
        <v>16936967469.660484</v>
      </c>
      <c r="CW228" s="583">
        <v>0</v>
      </c>
      <c r="CX228" s="329">
        <v>0</v>
      </c>
      <c r="CY228" s="47"/>
      <c r="CZ228" s="330">
        <v>45656</v>
      </c>
      <c r="DA228" s="330">
        <v>45683</v>
      </c>
      <c r="DB228" s="331">
        <v>45578</v>
      </c>
      <c r="DC228" s="316" t="s">
        <v>1738</v>
      </c>
      <c r="DD228" s="67">
        <v>24621055413</v>
      </c>
      <c r="DE22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8" s="331">
        <v>45602</v>
      </c>
      <c r="DG228" s="316" t="s">
        <v>1739</v>
      </c>
      <c r="DH228" s="67">
        <v>24621055413</v>
      </c>
      <c r="DI22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8" s="330">
        <v>45684</v>
      </c>
      <c r="DK228" s="330">
        <v>45725</v>
      </c>
      <c r="DL228" s="331">
        <v>45712</v>
      </c>
      <c r="DM228" s="316" t="s">
        <v>1740</v>
      </c>
      <c r="DN22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8" s="331">
        <v>45736</v>
      </c>
      <c r="DP228" s="316" t="s">
        <v>1741</v>
      </c>
      <c r="DQ228" s="338" t="s">
        <v>371</v>
      </c>
      <c r="DR22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8" s="330">
        <v>45684</v>
      </c>
      <c r="DT228" s="330" t="e">
        <v>#N/A</v>
      </c>
      <c r="DU228" s="330">
        <v>45725</v>
      </c>
      <c r="DV228" s="330" t="e">
        <v>#N/A</v>
      </c>
      <c r="DW228" s="331">
        <v>46009</v>
      </c>
      <c r="DX228" s="316" t="s">
        <v>1742</v>
      </c>
      <c r="DY228" s="334"/>
      <c r="DZ228" s="334"/>
      <c r="EA22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8" s="331"/>
      <c r="EC228" s="332"/>
      <c r="ED228" s="332"/>
      <c r="EE228" s="330"/>
      <c r="EF228" s="35">
        <v>0.96666666666666667</v>
      </c>
      <c r="EG228" s="337">
        <v>0.96666666666666667</v>
      </c>
      <c r="EH228" s="316" t="str">
        <f>IF(Table1[[#This Row],[PO Material Aktual 
(%)]]&gt;=100%,"Selesai PO = 100%",IF(Table1[[#This Row],[PO Material Aktual 
(%)]]&gt;=50%,"Proses PO &gt; 100%",IF(Table1[[#This Row],[PO Material Aktual 
(%)]]&gt;0%,"Proses PO &gt; 50%",IF(Table1[[#This Row],[PO Material Aktual 
(%)]]=0,"Belum PO = 0%"))))</f>
        <v>Proses PO &gt; 100%</v>
      </c>
      <c r="EI22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8" s="330">
        <v>45726</v>
      </c>
      <c r="EK228" s="330" t="e">
        <v>#N/A</v>
      </c>
      <c r="EL228" s="330">
        <v>45816</v>
      </c>
      <c r="EM228" s="330" t="e">
        <v>#N/A</v>
      </c>
      <c r="EN228" s="331"/>
      <c r="EO228" s="332"/>
      <c r="EP228" s="332"/>
      <c r="EQ228" s="87">
        <v>1</v>
      </c>
      <c r="ER228" s="87">
        <v>1</v>
      </c>
      <c r="ES228" s="316" t="str">
        <f>IF(Table1[[#This Row],[Progres MOS]]&gt;=100%,"Selesai MOS = 100%",IF(Table1[[#This Row],[Progres MOS]]&gt;=50%,"Proses MOS &gt; 100%",IF(Table1[[#This Row],[Progres MOS]]&gt;0%,"Proses MOS &gt; 50%",IF(Table1[[#This Row],[Progres MOS]]=0,"Belum MOS = 0%"))))</f>
        <v>Selesai MOS = 100%</v>
      </c>
      <c r="ET22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8" s="47"/>
      <c r="EV228" s="330">
        <v>45698</v>
      </c>
      <c r="EW228" s="330" t="e">
        <v>#N/A</v>
      </c>
      <c r="EX228" s="330">
        <v>45774</v>
      </c>
      <c r="EY228" s="330" t="e">
        <v>#N/A</v>
      </c>
      <c r="EZ228" s="352" t="s">
        <v>259</v>
      </c>
      <c r="FA228" s="336" t="s">
        <v>259</v>
      </c>
      <c r="FB228" s="330" t="s">
        <v>260</v>
      </c>
      <c r="FC228" s="330">
        <v>45790</v>
      </c>
      <c r="FD228" s="330" t="s">
        <v>260</v>
      </c>
      <c r="FE228" s="330">
        <v>45863</v>
      </c>
      <c r="FF228" s="330">
        <v>45910</v>
      </c>
      <c r="FG228" s="330" t="s">
        <v>260</v>
      </c>
      <c r="FH228" s="330" t="s">
        <v>260</v>
      </c>
      <c r="FI228" s="330">
        <v>45985</v>
      </c>
      <c r="FJ228" s="330" t="s">
        <v>260</v>
      </c>
      <c r="FK228" s="330">
        <v>46041</v>
      </c>
      <c r="FL228" s="336" t="s">
        <v>259</v>
      </c>
      <c r="FM228" s="352">
        <v>45790</v>
      </c>
      <c r="FN228" s="338">
        <f>IF(Table1[[#This Row],[Tanggal Pengajuan Dokumen]]="","",Table1[[#This Row],[PLAN PERMIT
start]]-Table1[[#This Row],[Tanggal Pengajuan Dokumen]])</f>
        <v>-92</v>
      </c>
      <c r="FO228" s="437">
        <v>46064</v>
      </c>
      <c r="FP228" s="316"/>
      <c r="FQ228" s="338"/>
      <c r="FR228" s="338"/>
      <c r="FS228" s="338" t="str">
        <f t="shared" si="11"/>
        <v>Sudah Terbit</v>
      </c>
      <c r="FT22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8" s="344">
        <f ca="1">IF(Table1[[#This Row],[Status Izin]]="Selesai",Table1[[#This Row],[PLAN PERMIT
finish]]-Table1[[#This Row],[Tanggal Terbit/ Target Izin Terbit]],ROUNDUP(Table1[[#This Row],[PLAN PERMIT
finish]]-NOW(),0))</f>
        <v>-290</v>
      </c>
      <c r="FV22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8" s="344"/>
      <c r="FX228" s="47"/>
      <c r="FY228" s="340"/>
      <c r="FZ228" s="341"/>
      <c r="GA22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8" s="330">
        <v>45739</v>
      </c>
      <c r="GC228" s="352">
        <v>45793</v>
      </c>
      <c r="GD22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8" s="330">
        <v>45732</v>
      </c>
      <c r="GF228" s="352">
        <v>45793</v>
      </c>
      <c r="GG22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8" s="330">
        <v>45726</v>
      </c>
      <c r="GI228" s="330">
        <v>45732</v>
      </c>
      <c r="GJ228" s="352">
        <v>45797</v>
      </c>
      <c r="GK22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8" s="330">
        <v>45775</v>
      </c>
      <c r="GM228" s="330" t="e">
        <v>#N/A</v>
      </c>
      <c r="GN228" s="330">
        <v>45900</v>
      </c>
      <c r="GO228" s="330" t="e">
        <v>#N/A</v>
      </c>
      <c r="GP228" s="316"/>
      <c r="GQ22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8" s="330" t="s">
        <v>261</v>
      </c>
      <c r="GS228" s="421" t="s">
        <v>261</v>
      </c>
      <c r="GT228" s="457" t="s">
        <v>1743</v>
      </c>
      <c r="GU228" s="423" t="str">
        <f>IF(Table1[[#This Row],[Hydro Tes Actual
(tanggal)]]&lt;&gt;"","Sudah","Belum")</f>
        <v>Sudah</v>
      </c>
      <c r="GV228" s="330" t="s">
        <v>261</v>
      </c>
      <c r="GW228" s="330" t="s">
        <v>261</v>
      </c>
      <c r="GX228" s="331"/>
      <c r="GY228" s="344" t="str">
        <f>IF(Table1[[#This Row],[Interkoneksi Actual
(tanggal)]]&lt;&gt;"","Sudah","Belum")</f>
        <v>Belum</v>
      </c>
      <c r="GZ228" s="330" t="s">
        <v>261</v>
      </c>
      <c r="HA228" s="421" t="s">
        <v>261</v>
      </c>
      <c r="HB228" s="331"/>
      <c r="HC228" s="344" t="str">
        <f>IF(Table1[[#This Row],[Flushing Actual
(tanggal)]]&lt;&gt;"","Sudah","Belum")</f>
        <v>Belum</v>
      </c>
      <c r="HD228" s="330">
        <v>45880</v>
      </c>
      <c r="HE228" s="330" t="e">
        <v>#N/A</v>
      </c>
      <c r="HF228" s="330">
        <v>45900</v>
      </c>
      <c r="HG228" s="352"/>
      <c r="HH22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8" s="330" t="s">
        <v>261</v>
      </c>
      <c r="HJ228" s="330" t="s">
        <v>261</v>
      </c>
      <c r="HK228" s="331"/>
      <c r="HL228" s="316"/>
      <c r="HM228" s="330">
        <v>45919</v>
      </c>
      <c r="HN228" s="330">
        <v>45919</v>
      </c>
      <c r="HO228" s="421" t="e">
        <v>#N/A</v>
      </c>
      <c r="HP228" s="331"/>
      <c r="HQ22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28" s="330">
        <v>45926</v>
      </c>
      <c r="HS228" s="330"/>
      <c r="HT228" s="330">
        <v>45926</v>
      </c>
      <c r="HU228" s="330"/>
      <c r="HV228" s="331"/>
      <c r="HW22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28" s="47"/>
      <c r="HY228" s="352"/>
      <c r="HZ228" s="352"/>
      <c r="IB228" s="618">
        <f>IFERROR(ROUND((Table1[[#This Row],[PLAN TC
finish]]-Table1[[#This Row],[PLAN MC-0
start]])/30,2),"")</f>
        <v>5.8</v>
      </c>
      <c r="IC228">
        <f>DATEDIF(Table1[[#This Row],[PLAN MC-0
start]],Table1[[#This Row],[PLAN TC
finish]],"m")</f>
        <v>5</v>
      </c>
    </row>
    <row r="229" spans="2:237" s="4" customFormat="1" ht="15" hidden="1" customHeight="1" x14ac:dyDescent="0.2">
      <c r="B229" s="311">
        <f>SUBTOTAL(3,$D$5:D229)</f>
        <v>84</v>
      </c>
      <c r="C229" s="348">
        <v>225</v>
      </c>
      <c r="D229" s="315" t="s">
        <v>673</v>
      </c>
      <c r="E229" s="338" t="s">
        <v>1744</v>
      </c>
      <c r="F229" s="338" t="s">
        <v>1745</v>
      </c>
      <c r="G229" s="349">
        <v>45935</v>
      </c>
      <c r="H229" s="338" t="s">
        <v>681</v>
      </c>
      <c r="I229" s="338" t="s">
        <v>278</v>
      </c>
      <c r="J229" s="315"/>
      <c r="K229" s="338" t="s">
        <v>676</v>
      </c>
      <c r="L229" s="316" t="s">
        <v>250</v>
      </c>
      <c r="M229" s="316" t="s">
        <v>269</v>
      </c>
      <c r="N229" s="107">
        <v>555</v>
      </c>
      <c r="O229" s="31" t="s">
        <v>252</v>
      </c>
      <c r="P22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9" s="35" t="e">
        <v>#N/A</v>
      </c>
      <c r="S229" s="35">
        <v>1</v>
      </c>
      <c r="T229" s="35">
        <f>Table1[[#This Row],[Progres Total Aktual
(%)]]</f>
        <v>1</v>
      </c>
      <c r="U229" s="124">
        <f>Table1[[#This Row],[Progres Aktual
(%)]]-Table1[[#This Row],[Target Progres
(%)]]</f>
        <v>0</v>
      </c>
      <c r="V229" s="350">
        <f>Table1[[#This Row],["Volume
BA MC-0"]]</f>
        <v>600</v>
      </c>
      <c r="W229" s="351">
        <f>Table1[[#This Row],[Total Panjang Pipa Aktual
(Sum-&gt;)3]]</f>
        <v>600</v>
      </c>
      <c r="X229" s="47"/>
      <c r="Y229" s="67" t="s">
        <v>1746</v>
      </c>
      <c r="Z229" s="67">
        <v>782188678</v>
      </c>
      <c r="AA229" s="67">
        <f>Table1[[#This Row],[Nilai RAB Jaringan
(file pa aji)]]</f>
        <v>782188678</v>
      </c>
      <c r="AB229" s="320">
        <f>SUM(Table1[[#This Row],[RAB Kegiatan Umum]:[RAB Perizinan]])</f>
        <v>0</v>
      </c>
      <c r="AC229" s="320"/>
      <c r="AD229" s="320"/>
      <c r="AE229" s="320"/>
      <c r="AF229" s="320"/>
      <c r="AG229" s="436">
        <v>100432767</v>
      </c>
      <c r="AH229" s="35" t="e">
        <f>SUM(Table1[[#This Row],[Bobot Keg Umum]:[Bobot Perizinan]])</f>
        <v>#DIV/0!</v>
      </c>
      <c r="AI229" s="35" t="e">
        <f>Table1[[#This Row],[RAB Kegiatan Umum]]/Table1[[#This Row],[Nilai RAB Jaringan
(Exclude Ppn)]]</f>
        <v>#DIV/0!</v>
      </c>
      <c r="AJ229" s="35" t="e">
        <f>Table1[[#This Row],[RAB Pemasangan]]/Table1[[#This Row],[Nilai RAB Jaringan
(Exclude Ppn)]]</f>
        <v>#DIV/0!</v>
      </c>
      <c r="AK229" s="35" t="e">
        <f>Table1[[#This Row],[RAB Pengadaan]]/Table1[[#This Row],[Nilai RAB Jaringan
(Exclude Ppn)]]</f>
        <v>#DIV/0!</v>
      </c>
      <c r="AL229" s="35" t="e">
        <f>Table1[[#This Row],[RAB Perizinan]]/Table1[[#This Row],[Nilai RAB Jaringan
(Exclude Ppn)]]</f>
        <v>#DIV/0!</v>
      </c>
      <c r="AM229" s="47"/>
      <c r="AN229" s="285">
        <v>600</v>
      </c>
      <c r="AO229" s="285">
        <f>SUM(Table1[[#This Row],[Pipa 63 mm]:[Pipa 1,800 mm]])</f>
        <v>0</v>
      </c>
      <c r="AP229" s="285"/>
      <c r="AQ229" s="285"/>
      <c r="AR229" s="285"/>
      <c r="AS229" s="285"/>
      <c r="AT229" s="285"/>
      <c r="AU229" s="285"/>
      <c r="AV229" s="285"/>
      <c r="AW229" s="285"/>
      <c r="AX229" s="285"/>
      <c r="AY229" s="285"/>
      <c r="AZ229" s="285"/>
      <c r="BA229" s="285"/>
      <c r="BB229" s="285"/>
      <c r="BC229" s="285"/>
      <c r="BD229" s="285"/>
      <c r="BE229" s="285"/>
      <c r="BF229" s="285"/>
      <c r="BG229" s="285"/>
      <c r="BH229" s="285"/>
      <c r="BI229" s="285"/>
      <c r="BJ229" s="446">
        <f>SUM(Table1[[#This Row],[Pipa 63 mm2]:[Pipa 1,800 mm21]])</f>
        <v>600</v>
      </c>
      <c r="BK229" s="32">
        <v>600</v>
      </c>
      <c r="BL229" s="32"/>
      <c r="BM229" s="32"/>
      <c r="BN229" s="32"/>
      <c r="BO229" s="32"/>
      <c r="BP229" s="32"/>
      <c r="BQ229" s="32"/>
      <c r="BR229" s="32"/>
      <c r="BS229" s="32"/>
      <c r="BT229" s="32"/>
      <c r="BU229" s="32"/>
      <c r="BV229" s="32"/>
      <c r="BW229" s="32"/>
      <c r="BX229" s="32"/>
      <c r="BY229" s="32"/>
      <c r="BZ229" s="32"/>
      <c r="CA229" s="32"/>
      <c r="CB229" s="32"/>
      <c r="CC229" s="32"/>
      <c r="CD229" s="32"/>
      <c r="CE229" s="32">
        <v>0</v>
      </c>
      <c r="CF229" s="32">
        <v>0</v>
      </c>
      <c r="CG229" s="32">
        <v>0</v>
      </c>
      <c r="CH229" s="32">
        <v>0</v>
      </c>
      <c r="CI229" s="32">
        <f t="shared" si="12"/>
        <v>0</v>
      </c>
      <c r="CJ229" s="65">
        <f>IF((Table1[[#This Row],["Volume
BA MC-0"]]-Table1[[#This Row],[Total Panjang Pipa Aktual
(Sum-&gt;)3]]-Table1[[#This Row],[Total Volume
tidak dapat dipasang]])&gt;=0,Table1[[#This Row],["Volume
BA MC-0"]]-Table1[[#This Row],[Total Panjang Pipa Aktual
(Sum-&gt;)3]]-Table1[[#This Row],[Total Volume
tidak dapat dipasang]],0)</f>
        <v>0</v>
      </c>
      <c r="CK229" s="47"/>
      <c r="CL229" s="131"/>
      <c r="CM229" s="35"/>
      <c r="CN229" s="131"/>
      <c r="CO229" s="131"/>
      <c r="CP22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9" s="66">
        <f>IFERROR(Table1[[#This Row],[Progres Keg. Umum
(%)]]*Table1[[#This Row],[Nilai RAB Jaringan
(file pa aji)]],0)</f>
        <v>0</v>
      </c>
      <c r="CR229" s="66">
        <f>IFERROR(Table1[[#This Row],[Progres MOS
(%)]]*Table1[[#This Row],[Nilai RAB Jaringan
(file pa aji)]],0)</f>
        <v>0</v>
      </c>
      <c r="CS229" s="66">
        <f>IFERROR(Table1[[#This Row],[Progres Pemasangan
(%)]]*Table1[[#This Row],[Nilai RAB Jaringan
(file pa aji)]],0)</f>
        <v>0</v>
      </c>
      <c r="CT229" s="66">
        <f>IFERROR(Table1[[#This Row],[Progres Perizinan
(%)]]*Table1[[#This Row],[Nilai RAB Jaringan
(file pa aji)]],0)</f>
        <v>0</v>
      </c>
      <c r="CU229" s="329">
        <v>757847508</v>
      </c>
      <c r="CV229" s="329">
        <v>757847508</v>
      </c>
      <c r="CW229" s="583">
        <v>757847508</v>
      </c>
      <c r="CX229" s="329">
        <v>757847508</v>
      </c>
      <c r="CY229" s="47"/>
      <c r="CZ229" s="330">
        <v>45565</v>
      </c>
      <c r="DA229" s="330">
        <v>45592</v>
      </c>
      <c r="DB229" s="331">
        <v>45568</v>
      </c>
      <c r="DC229" s="316" t="s">
        <v>1747</v>
      </c>
      <c r="DD229" s="67">
        <v>782188677</v>
      </c>
      <c r="DE22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9" s="331">
        <v>45576</v>
      </c>
      <c r="DG229" s="316" t="s">
        <v>1748</v>
      </c>
      <c r="DH229" s="67">
        <v>782188677</v>
      </c>
      <c r="DI22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9" s="330">
        <v>45593</v>
      </c>
      <c r="DK229" s="330">
        <v>45655</v>
      </c>
      <c r="DL229" s="331">
        <v>45602</v>
      </c>
      <c r="DM229" s="316" t="s">
        <v>1749</v>
      </c>
      <c r="DN22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9" s="331">
        <v>45656</v>
      </c>
      <c r="DP229" s="316" t="s">
        <v>1750</v>
      </c>
      <c r="DQ229" s="338" t="s">
        <v>762</v>
      </c>
      <c r="DR22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9" s="330">
        <v>45593</v>
      </c>
      <c r="DT229" s="330" t="e">
        <v>#N/A</v>
      </c>
      <c r="DU229" s="330">
        <v>45634</v>
      </c>
      <c r="DV229" s="330" t="e">
        <v>#N/A</v>
      </c>
      <c r="DW229" s="331">
        <v>45602</v>
      </c>
      <c r="DX229" s="316" t="s">
        <v>1751</v>
      </c>
      <c r="DY229" s="334"/>
      <c r="DZ229" s="334"/>
      <c r="EA22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9" s="331">
        <v>45726</v>
      </c>
      <c r="EC229" s="332"/>
      <c r="ED229" s="332"/>
      <c r="EE229" s="330" t="s">
        <v>1752</v>
      </c>
      <c r="EF229" s="35">
        <v>1</v>
      </c>
      <c r="EG229" s="337">
        <v>1</v>
      </c>
      <c r="EH229" s="316" t="str">
        <f>IF(Table1[[#This Row],[PO Material Aktual 
(%)]]&gt;=100%,"Selesai PO = 100%",IF(Table1[[#This Row],[PO Material Aktual 
(%)]]&gt;=50%,"Proses PO &gt; 100%",IF(Table1[[#This Row],[PO Material Aktual 
(%)]]&gt;0%,"Proses PO &gt; 50%",IF(Table1[[#This Row],[PO Material Aktual 
(%)]]=0,"Belum PO = 0%"))))</f>
        <v>Selesai PO = 100%</v>
      </c>
      <c r="EI22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9" s="330">
        <v>45635</v>
      </c>
      <c r="EK229" s="330" t="e">
        <v>#N/A</v>
      </c>
      <c r="EL229" s="330">
        <v>45683</v>
      </c>
      <c r="EM229" s="330" t="e">
        <v>#N/A</v>
      </c>
      <c r="EN229" s="331">
        <v>45846</v>
      </c>
      <c r="EO229" s="332"/>
      <c r="EP229" s="332"/>
      <c r="EQ229" s="87">
        <v>1</v>
      </c>
      <c r="ER229" s="87">
        <v>1</v>
      </c>
      <c r="ES229" s="316" t="str">
        <f>IF(Table1[[#This Row],[Progres MOS]]&gt;=100%,"Selesai MOS = 100%",IF(Table1[[#This Row],[Progres MOS]]&gt;=50%,"Proses MOS &gt; 100%",IF(Table1[[#This Row],[Progres MOS]]&gt;0%,"Proses MOS &gt; 50%",IF(Table1[[#This Row],[Progres MOS]]=0,"Belum MOS = 0%"))))</f>
        <v>Selesai MOS = 100%</v>
      </c>
      <c r="ET22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9" s="47"/>
      <c r="EV229" s="330">
        <v>45593</v>
      </c>
      <c r="EW229" s="330" t="e">
        <v>#N/A</v>
      </c>
      <c r="EX229" s="330">
        <v>45683</v>
      </c>
      <c r="EY229" s="330" t="e">
        <v>#N/A</v>
      </c>
      <c r="EZ229" s="352" t="s">
        <v>298</v>
      </c>
      <c r="FA229" s="336" t="s">
        <v>298</v>
      </c>
      <c r="FB229" s="330" t="s">
        <v>260</v>
      </c>
      <c r="FC229" s="330">
        <v>45838</v>
      </c>
      <c r="FD229" s="330" t="s">
        <v>260</v>
      </c>
      <c r="FE229" s="330">
        <v>45895</v>
      </c>
      <c r="FF229" s="330">
        <v>45929</v>
      </c>
      <c r="FG229" s="330" t="s">
        <v>260</v>
      </c>
      <c r="FH229" s="330" t="s">
        <v>260</v>
      </c>
      <c r="FI229" s="330">
        <v>46010</v>
      </c>
      <c r="FJ229" s="330" t="s">
        <v>260</v>
      </c>
      <c r="FK229" s="330"/>
      <c r="FL229" s="336" t="s">
        <v>298</v>
      </c>
      <c r="FM229" s="352">
        <v>45838</v>
      </c>
      <c r="FN229" s="338">
        <f>IF(Table1[[#This Row],[Tanggal Pengajuan Dokumen]]="","",Table1[[#This Row],[PLAN PERMIT
start]]-Table1[[#This Row],[Tanggal Pengajuan Dokumen]])</f>
        <v>-245</v>
      </c>
      <c r="FO229" s="437">
        <v>46086</v>
      </c>
      <c r="FP229" s="316"/>
      <c r="FQ229" s="338"/>
      <c r="FR229" s="338"/>
      <c r="FS229" s="338" t="str">
        <f t="shared" si="11"/>
        <v>On Going</v>
      </c>
      <c r="FT22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9" s="344">
        <f ca="1">IF(Table1[[#This Row],[Status Izin]]="Selesai",Table1[[#This Row],[PLAN PERMIT
finish]]-Table1[[#This Row],[Tanggal Terbit/ Target Izin Terbit]],ROUNDUP(Table1[[#This Row],[PLAN PERMIT
finish]]-NOW(),0))</f>
        <v>-508</v>
      </c>
      <c r="FV22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9" s="344"/>
      <c r="FX229" s="47"/>
      <c r="FY229" s="340"/>
      <c r="FZ229" s="341"/>
      <c r="GA22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9" s="330">
        <v>45657</v>
      </c>
      <c r="GC229" s="352">
        <v>45629</v>
      </c>
      <c r="GD22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9" s="330">
        <v>45664</v>
      </c>
      <c r="GF229" s="352">
        <v>45629</v>
      </c>
      <c r="GG22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9" s="330">
        <v>45670</v>
      </c>
      <c r="GI229" s="330">
        <v>45676</v>
      </c>
      <c r="GJ229" s="352">
        <v>45636</v>
      </c>
      <c r="GK22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29" s="330">
        <v>45684</v>
      </c>
      <c r="GM229" s="330" t="e">
        <v>#N/A</v>
      </c>
      <c r="GN229" s="330">
        <v>45697</v>
      </c>
      <c r="GO229" s="330" t="e">
        <v>#N/A</v>
      </c>
      <c r="GP229" s="316"/>
      <c r="GQ22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9" s="330" t="s">
        <v>261</v>
      </c>
      <c r="GS229" s="421" t="s">
        <v>261</v>
      </c>
      <c r="GT229" s="452" t="s">
        <v>1753</v>
      </c>
      <c r="GU229" s="423" t="str">
        <f>IF(Table1[[#This Row],[Hydro Tes Actual
(tanggal)]]&lt;&gt;"","Sudah","Belum")</f>
        <v>Sudah</v>
      </c>
      <c r="GV229" s="330" t="s">
        <v>261</v>
      </c>
      <c r="GW229" s="330" t="s">
        <v>261</v>
      </c>
      <c r="GX229" s="331">
        <v>45776</v>
      </c>
      <c r="GY229" s="344" t="str">
        <f>IF(Table1[[#This Row],[Interkoneksi Actual
(tanggal)]]&lt;&gt;"","Sudah","Belum")</f>
        <v>Sudah</v>
      </c>
      <c r="GZ229" s="330" t="s">
        <v>261</v>
      </c>
      <c r="HA229" s="421" t="s">
        <v>261</v>
      </c>
      <c r="HB229" s="432">
        <v>45794</v>
      </c>
      <c r="HC229" s="344" t="str">
        <f>IF(Table1[[#This Row],[Flushing Actual
(tanggal)]]&lt;&gt;"","Sudah","Belum")</f>
        <v>Sudah</v>
      </c>
      <c r="HD229" s="330">
        <v>45684</v>
      </c>
      <c r="HE229" s="330" t="e">
        <v>#N/A</v>
      </c>
      <c r="HF229" s="330">
        <v>45697</v>
      </c>
      <c r="HG229" s="352">
        <v>45825</v>
      </c>
      <c r="HH22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9" s="330" t="s">
        <v>261</v>
      </c>
      <c r="HJ229" s="330" t="s">
        <v>261</v>
      </c>
      <c r="HK229" s="331"/>
      <c r="HL229" s="316"/>
      <c r="HM229" s="330">
        <v>45702</v>
      </c>
      <c r="HN229" s="330">
        <v>45702</v>
      </c>
      <c r="HO229" s="330" t="e">
        <v>#N/A</v>
      </c>
      <c r="HP229" s="331">
        <v>45927</v>
      </c>
      <c r="HQ22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29" s="330">
        <v>45709</v>
      </c>
      <c r="HS229" s="330"/>
      <c r="HT229" s="330">
        <v>45709</v>
      </c>
      <c r="HU229" s="527"/>
      <c r="HV229" s="331">
        <v>45934</v>
      </c>
      <c r="HW22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29" s="47"/>
      <c r="HY229" s="352"/>
      <c r="HZ229" s="352"/>
      <c r="IB229" s="618">
        <f>IFERROR(ROUND((Table1[[#This Row],[PLAN TC
finish]]-Table1[[#This Row],[PLAN MC-0
start]])/30,2),"")</f>
        <v>0.9</v>
      </c>
      <c r="IC229">
        <f>DATEDIF(Table1[[#This Row],[PLAN MC-0
start]],Table1[[#This Row],[PLAN TC
finish]],"m")</f>
        <v>0</v>
      </c>
    </row>
    <row r="230" spans="2:237" s="4" customFormat="1" ht="15" hidden="1" customHeight="1" x14ac:dyDescent="0.2">
      <c r="B230" s="311">
        <f>SUBTOTAL(3,$D$5:D230)</f>
        <v>84</v>
      </c>
      <c r="C230" s="348">
        <v>226</v>
      </c>
      <c r="D230" s="315" t="s">
        <v>673</v>
      </c>
      <c r="E230" s="338" t="s">
        <v>1754</v>
      </c>
      <c r="F230" s="338" t="s">
        <v>1755</v>
      </c>
      <c r="G230" s="349">
        <v>45935</v>
      </c>
      <c r="H230" s="338" t="s">
        <v>681</v>
      </c>
      <c r="I230" s="338" t="s">
        <v>278</v>
      </c>
      <c r="J230" s="315"/>
      <c r="K230" s="338" t="s">
        <v>676</v>
      </c>
      <c r="L230" s="316" t="s">
        <v>250</v>
      </c>
      <c r="M230" s="316" t="s">
        <v>269</v>
      </c>
      <c r="N230" s="107">
        <v>12</v>
      </c>
      <c r="O230" s="31" t="s">
        <v>252</v>
      </c>
      <c r="P23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0" s="35" t="e">
        <v>#N/A</v>
      </c>
      <c r="S230" s="35">
        <v>1</v>
      </c>
      <c r="T230" s="35">
        <f>Table1[[#This Row],[Progres Total Aktual
(%)]]</f>
        <v>1</v>
      </c>
      <c r="U230" s="124">
        <f>Table1[[#This Row],[Progres Aktual
(%)]]-Table1[[#This Row],[Target Progres
(%)]]</f>
        <v>0</v>
      </c>
      <c r="V230" s="350">
        <f>Table1[[#This Row],["Volume
BA MC-0"]]</f>
        <v>12</v>
      </c>
      <c r="W230" s="351">
        <f>Table1[[#This Row],[Total Panjang Pipa Aktual
(Sum-&gt;)3]]</f>
        <v>12</v>
      </c>
      <c r="X230" s="47"/>
      <c r="Y230" s="67" t="s">
        <v>1756</v>
      </c>
      <c r="Z230" s="67">
        <v>78838403</v>
      </c>
      <c r="AA230" s="67">
        <f>Table1[[#This Row],[Nilai RAB Jaringan
(file pa aji)]]</f>
        <v>78838403</v>
      </c>
      <c r="AB230" s="320">
        <f>SUM(Table1[[#This Row],[RAB Kegiatan Umum]:[RAB Perizinan]])</f>
        <v>0</v>
      </c>
      <c r="AC230" s="320"/>
      <c r="AD230" s="320"/>
      <c r="AE230" s="320"/>
      <c r="AF230" s="320"/>
      <c r="AG230" s="436">
        <v>2049649</v>
      </c>
      <c r="AH230" s="35" t="e">
        <f>SUM(Table1[[#This Row],[Bobot Keg Umum]:[Bobot Perizinan]])</f>
        <v>#DIV/0!</v>
      </c>
      <c r="AI230" s="35" t="e">
        <f>Table1[[#This Row],[RAB Kegiatan Umum]]/Table1[[#This Row],[Nilai RAB Jaringan
(Exclude Ppn)]]</f>
        <v>#DIV/0!</v>
      </c>
      <c r="AJ230" s="35" t="e">
        <f>Table1[[#This Row],[RAB Pemasangan]]/Table1[[#This Row],[Nilai RAB Jaringan
(Exclude Ppn)]]</f>
        <v>#DIV/0!</v>
      </c>
      <c r="AK230" s="35" t="e">
        <f>Table1[[#This Row],[RAB Pengadaan]]/Table1[[#This Row],[Nilai RAB Jaringan
(Exclude Ppn)]]</f>
        <v>#DIV/0!</v>
      </c>
      <c r="AL230" s="35" t="e">
        <f>Table1[[#This Row],[RAB Perizinan]]/Table1[[#This Row],[Nilai RAB Jaringan
(Exclude Ppn)]]</f>
        <v>#DIV/0!</v>
      </c>
      <c r="AM230" s="47"/>
      <c r="AN230" s="285">
        <v>12</v>
      </c>
      <c r="AO230" s="285">
        <f>SUM(Table1[[#This Row],[Pipa 63 mm]:[Pipa 1,800 mm]])</f>
        <v>0</v>
      </c>
      <c r="AP230" s="285"/>
      <c r="AQ230" s="285"/>
      <c r="AR230" s="285"/>
      <c r="AS230" s="285"/>
      <c r="AT230" s="285"/>
      <c r="AU230" s="285"/>
      <c r="AV230" s="285"/>
      <c r="AW230" s="285"/>
      <c r="AX230" s="285"/>
      <c r="AY230" s="285"/>
      <c r="AZ230" s="285"/>
      <c r="BA230" s="285"/>
      <c r="BB230" s="285"/>
      <c r="BC230" s="285"/>
      <c r="BD230" s="285"/>
      <c r="BE230" s="285"/>
      <c r="BF230" s="285"/>
      <c r="BG230" s="285"/>
      <c r="BH230" s="285"/>
      <c r="BI230" s="285"/>
      <c r="BJ230" s="446">
        <f>SUM(Table1[[#This Row],[Pipa 63 mm2]:[Pipa 1,800 mm21]])</f>
        <v>12</v>
      </c>
      <c r="BK230" s="32">
        <v>12</v>
      </c>
      <c r="BL230" s="32"/>
      <c r="BM230" s="32"/>
      <c r="BN230" s="32"/>
      <c r="BO230" s="32"/>
      <c r="BP230" s="32"/>
      <c r="BQ230" s="32"/>
      <c r="BR230" s="32"/>
      <c r="BS230" s="32"/>
      <c r="BT230" s="32"/>
      <c r="BU230" s="32"/>
      <c r="BV230" s="32"/>
      <c r="BW230" s="32"/>
      <c r="BX230" s="32"/>
      <c r="BY230" s="32"/>
      <c r="BZ230" s="32"/>
      <c r="CA230" s="32"/>
      <c r="CB230" s="32"/>
      <c r="CC230" s="32"/>
      <c r="CD230" s="32"/>
      <c r="CE230" s="32">
        <v>0</v>
      </c>
      <c r="CF230" s="32">
        <v>0</v>
      </c>
      <c r="CG230" s="32">
        <v>0</v>
      </c>
      <c r="CH230" s="32">
        <v>0</v>
      </c>
      <c r="CI230" s="32">
        <f t="shared" si="12"/>
        <v>0</v>
      </c>
      <c r="CJ230" s="65">
        <f>IF((Table1[[#This Row],["Volume
BA MC-0"]]-Table1[[#This Row],[Total Panjang Pipa Aktual
(Sum-&gt;)3]]-Table1[[#This Row],[Total Volume
tidak dapat dipasang]])&gt;=0,Table1[[#This Row],["Volume
BA MC-0"]]-Table1[[#This Row],[Total Panjang Pipa Aktual
(Sum-&gt;)3]]-Table1[[#This Row],[Total Volume
tidak dapat dipasang]],0)</f>
        <v>0</v>
      </c>
      <c r="CK230" s="47"/>
      <c r="CL230" s="131"/>
      <c r="CM230" s="35"/>
      <c r="CN230" s="131"/>
      <c r="CO230" s="131"/>
      <c r="CP23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0" s="66">
        <f>IFERROR(Table1[[#This Row],[Progres Keg. Umum
(%)]]*Table1[[#This Row],[Nilai RAB Jaringan
(file pa aji)]],0)</f>
        <v>0</v>
      </c>
      <c r="CR230" s="66">
        <f>IFERROR(Table1[[#This Row],[Progres MOS
(%)]]*Table1[[#This Row],[Nilai RAB Jaringan
(file pa aji)]],0)</f>
        <v>0</v>
      </c>
      <c r="CS230" s="66">
        <f>IFERROR(Table1[[#This Row],[Progres Pemasangan
(%)]]*Table1[[#This Row],[Nilai RAB Jaringan
(file pa aji)]],0)</f>
        <v>0</v>
      </c>
      <c r="CT230" s="66">
        <f>IFERROR(Table1[[#This Row],[Progres Perizinan
(%)]]*Table1[[#This Row],[Nilai RAB Jaringan
(file pa aji)]],0)</f>
        <v>0</v>
      </c>
      <c r="CU230" s="329">
        <v>64653893</v>
      </c>
      <c r="CV230" s="329">
        <v>64653893</v>
      </c>
      <c r="CW230" s="583">
        <v>64653893</v>
      </c>
      <c r="CX230" s="329">
        <v>64653893</v>
      </c>
      <c r="CY230" s="47"/>
      <c r="CZ230" s="330">
        <v>45565</v>
      </c>
      <c r="DA230" s="330">
        <v>45578</v>
      </c>
      <c r="DB230" s="331">
        <v>45568</v>
      </c>
      <c r="DC230" s="316" t="s">
        <v>1757</v>
      </c>
      <c r="DD230" s="67">
        <v>78838403</v>
      </c>
      <c r="DE23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0" s="331">
        <v>45576</v>
      </c>
      <c r="DG230" s="316" t="s">
        <v>1758</v>
      </c>
      <c r="DH230" s="67">
        <v>78838403</v>
      </c>
      <c r="DI23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0" s="330">
        <v>45579</v>
      </c>
      <c r="DK230" s="330">
        <v>45627</v>
      </c>
      <c r="DL230" s="331">
        <v>45602</v>
      </c>
      <c r="DM230" s="316" t="s">
        <v>1759</v>
      </c>
      <c r="DN23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0" s="331">
        <v>45656</v>
      </c>
      <c r="DP230" s="316" t="s">
        <v>1760</v>
      </c>
      <c r="DQ230" s="338" t="s">
        <v>762</v>
      </c>
      <c r="DR23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30" s="330">
        <v>45579</v>
      </c>
      <c r="DT230" s="330" t="e">
        <v>#N/A</v>
      </c>
      <c r="DU230" s="330">
        <v>45606</v>
      </c>
      <c r="DV230" s="330" t="e">
        <v>#N/A</v>
      </c>
      <c r="DW230" s="331">
        <v>45602</v>
      </c>
      <c r="DX230" s="316" t="s">
        <v>1761</v>
      </c>
      <c r="DY230" s="334"/>
      <c r="DZ230" s="334"/>
      <c r="EA23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0" s="331">
        <v>45889</v>
      </c>
      <c r="EC230" s="332"/>
      <c r="ED230" s="332"/>
      <c r="EE230" s="330" t="s">
        <v>1309</v>
      </c>
      <c r="EF230" s="35">
        <v>1</v>
      </c>
      <c r="EG230" s="337">
        <v>1</v>
      </c>
      <c r="EH230" s="316" t="str">
        <f>IF(Table1[[#This Row],[PO Material Aktual 
(%)]]&gt;=100%,"Selesai PO = 100%",IF(Table1[[#This Row],[PO Material Aktual 
(%)]]&gt;=50%,"Proses PO &gt; 100%",IF(Table1[[#This Row],[PO Material Aktual 
(%)]]&gt;0%,"Proses PO &gt; 50%",IF(Table1[[#This Row],[PO Material Aktual 
(%)]]=0,"Belum PO = 0%"))))</f>
        <v>Selesai PO = 100%</v>
      </c>
      <c r="EI23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0" s="330">
        <v>45607</v>
      </c>
      <c r="EK230" s="330" t="e">
        <v>#N/A</v>
      </c>
      <c r="EL230" s="330">
        <v>45655</v>
      </c>
      <c r="EM230" s="330" t="e">
        <v>#N/A</v>
      </c>
      <c r="EN230" s="331">
        <v>45813</v>
      </c>
      <c r="EO230" s="332"/>
      <c r="EP230" s="332"/>
      <c r="EQ230" s="87">
        <v>1</v>
      </c>
      <c r="ER230" s="87">
        <v>1</v>
      </c>
      <c r="ES230" s="316" t="str">
        <f>IF(Table1[[#This Row],[Progres MOS]]&gt;=100%,"Selesai MOS = 100%",IF(Table1[[#This Row],[Progres MOS]]&gt;=50%,"Proses MOS &gt; 100%",IF(Table1[[#This Row],[Progres MOS]]&gt;0%,"Proses MOS &gt; 50%",IF(Table1[[#This Row],[Progres MOS]]=0,"Belum MOS = 0%"))))</f>
        <v>Selesai MOS = 100%</v>
      </c>
      <c r="ET23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0" s="47"/>
      <c r="EV230" s="330">
        <v>45579</v>
      </c>
      <c r="EW230" s="330" t="e">
        <v>#N/A</v>
      </c>
      <c r="EX230" s="330">
        <v>45655</v>
      </c>
      <c r="EY230" s="330" t="e">
        <v>#N/A</v>
      </c>
      <c r="EZ230" s="352" t="s">
        <v>259</v>
      </c>
      <c r="FA230" s="336" t="s">
        <v>259</v>
      </c>
      <c r="FB230" s="330" t="s">
        <v>260</v>
      </c>
      <c r="FC230" s="330">
        <v>45838</v>
      </c>
      <c r="FD230" s="330" t="s">
        <v>260</v>
      </c>
      <c r="FE230" s="330">
        <v>45810</v>
      </c>
      <c r="FF230" s="330">
        <v>45910</v>
      </c>
      <c r="FG230" s="330" t="s">
        <v>260</v>
      </c>
      <c r="FH230" s="330" t="s">
        <v>260</v>
      </c>
      <c r="FI230" s="330"/>
      <c r="FJ230" s="330" t="s">
        <v>260</v>
      </c>
      <c r="FK230" s="330">
        <v>45842</v>
      </c>
      <c r="FL230" s="336" t="s">
        <v>259</v>
      </c>
      <c r="FM230" s="352">
        <v>45838</v>
      </c>
      <c r="FN230" s="338">
        <f>IF(Table1[[#This Row],[Tanggal Pengajuan Dokumen]]="","",Table1[[#This Row],[PLAN PERMIT
start]]-Table1[[#This Row],[Tanggal Pengajuan Dokumen]])</f>
        <v>-259</v>
      </c>
      <c r="FO230" s="437">
        <v>45842</v>
      </c>
      <c r="FP230" s="316"/>
      <c r="FQ230" s="338"/>
      <c r="FR230" s="338"/>
      <c r="FS230" s="338" t="str">
        <f t="shared" si="11"/>
        <v>Sudah Terbit</v>
      </c>
      <c r="FT23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0" s="344">
        <f ca="1">IF(Table1[[#This Row],[Status Izin]]="Selesai",Table1[[#This Row],[PLAN PERMIT
finish]]-Table1[[#This Row],[Tanggal Terbit/ Target Izin Terbit]],ROUNDUP(Table1[[#This Row],[PLAN PERMIT
finish]]-NOW(),0))</f>
        <v>-187</v>
      </c>
      <c r="FV23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0" s="344"/>
      <c r="FX230" s="47"/>
      <c r="FY230" s="340"/>
      <c r="FZ230" s="341"/>
      <c r="GA23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0" s="330">
        <v>45629</v>
      </c>
      <c r="GC230" s="352">
        <v>45629</v>
      </c>
      <c r="GD23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0" s="330">
        <v>45636</v>
      </c>
      <c r="GF230" s="352">
        <v>45629</v>
      </c>
      <c r="GG23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0" s="330">
        <v>45642</v>
      </c>
      <c r="GI230" s="330">
        <v>45648</v>
      </c>
      <c r="GJ230" s="352">
        <v>45638</v>
      </c>
      <c r="GK23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0" s="330">
        <v>45656</v>
      </c>
      <c r="GM230" s="330" t="e">
        <v>#N/A</v>
      </c>
      <c r="GN230" s="330">
        <v>45669</v>
      </c>
      <c r="GO230" s="330" t="e">
        <v>#N/A</v>
      </c>
      <c r="GP230" s="316"/>
      <c r="GQ23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0" s="330" t="s">
        <v>261</v>
      </c>
      <c r="GS230" s="421" t="s">
        <v>261</v>
      </c>
      <c r="GT230" s="431">
        <v>45713</v>
      </c>
      <c r="GU230" s="423" t="str">
        <f>IF(Table1[[#This Row],[Hydro Tes Actual
(tanggal)]]&lt;&gt;"","Sudah","Belum")</f>
        <v>Sudah</v>
      </c>
      <c r="GV230" s="330" t="s">
        <v>261</v>
      </c>
      <c r="GW230" s="330" t="s">
        <v>261</v>
      </c>
      <c r="GX230" s="331">
        <v>45705</v>
      </c>
      <c r="GY230" s="344" t="str">
        <f>IF(Table1[[#This Row],[Interkoneksi Actual
(tanggal)]]&lt;&gt;"","Sudah","Belum")</f>
        <v>Sudah</v>
      </c>
      <c r="GZ230" s="330" t="s">
        <v>261</v>
      </c>
      <c r="HA230" s="421" t="s">
        <v>261</v>
      </c>
      <c r="HB230" s="432">
        <v>45708</v>
      </c>
      <c r="HC230" s="344" t="str">
        <f>IF(Table1[[#This Row],[Flushing Actual
(tanggal)]]&lt;&gt;"","Sudah","Belum")</f>
        <v>Sudah</v>
      </c>
      <c r="HD230" s="330">
        <v>45660</v>
      </c>
      <c r="HE230" s="330" t="e">
        <v>#N/A</v>
      </c>
      <c r="HF230" s="330">
        <v>45669</v>
      </c>
      <c r="HG230" s="352">
        <v>45825</v>
      </c>
      <c r="HH23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0" s="330" t="s">
        <v>261</v>
      </c>
      <c r="HJ230" s="330" t="s">
        <v>261</v>
      </c>
      <c r="HK230" s="331"/>
      <c r="HL230" s="316"/>
      <c r="HM230" s="330">
        <v>45674</v>
      </c>
      <c r="HN230" s="330">
        <v>45674</v>
      </c>
      <c r="HO230" s="330" t="e">
        <v>#N/A</v>
      </c>
      <c r="HP230" s="331">
        <v>45927</v>
      </c>
      <c r="HQ23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30" s="330">
        <v>45681</v>
      </c>
      <c r="HS230" s="330"/>
      <c r="HT230" s="330">
        <v>45681</v>
      </c>
      <c r="HU230" s="527"/>
      <c r="HV230" s="331">
        <v>45934</v>
      </c>
      <c r="HW23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30" s="47"/>
      <c r="HY230" s="352"/>
      <c r="HZ230" s="352"/>
      <c r="IB230" s="618">
        <f>IFERROR(ROUND((Table1[[#This Row],[PLAN TC
finish]]-Table1[[#This Row],[PLAN MC-0
start]])/30,2),"")</f>
        <v>0.9</v>
      </c>
      <c r="IC230">
        <f>DATEDIF(Table1[[#This Row],[PLAN MC-0
start]],Table1[[#This Row],[PLAN TC
finish]],"m")</f>
        <v>0</v>
      </c>
    </row>
    <row r="231" spans="2:237" s="4" customFormat="1" ht="15" hidden="1" customHeight="1" x14ac:dyDescent="0.2">
      <c r="B231" s="311">
        <f>SUBTOTAL(3,$D$5:D231)</f>
        <v>84</v>
      </c>
      <c r="C231" s="348">
        <v>227</v>
      </c>
      <c r="D231" s="315" t="s">
        <v>673</v>
      </c>
      <c r="E231" s="338" t="s">
        <v>1762</v>
      </c>
      <c r="F231" s="338" t="s">
        <v>1763</v>
      </c>
      <c r="G231" s="349">
        <v>45935</v>
      </c>
      <c r="H231" s="338" t="s">
        <v>681</v>
      </c>
      <c r="I231" s="338" t="s">
        <v>278</v>
      </c>
      <c r="J231" s="315"/>
      <c r="K231" s="338" t="s">
        <v>676</v>
      </c>
      <c r="L231" s="316" t="s">
        <v>250</v>
      </c>
      <c r="M231" s="316" t="s">
        <v>269</v>
      </c>
      <c r="N231" s="107">
        <v>3148</v>
      </c>
      <c r="O231" s="31" t="s">
        <v>252</v>
      </c>
      <c r="P23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1" s="35" t="e">
        <v>#N/A</v>
      </c>
      <c r="S231" s="35">
        <v>1</v>
      </c>
      <c r="T231" s="35">
        <f>Table1[[#This Row],[Progres Total Aktual
(%)]]</f>
        <v>1</v>
      </c>
      <c r="U231" s="124">
        <f>Table1[[#This Row],[Progres Aktual
(%)]]-Table1[[#This Row],[Target Progres
(%)]]</f>
        <v>0</v>
      </c>
      <c r="V231" s="350">
        <f>Table1[[#This Row],["Volume
BA MC-0"]]</f>
        <v>2526</v>
      </c>
      <c r="W231" s="351">
        <f>Table1[[#This Row],[Total Panjang Pipa Aktual
(Sum-&gt;)3]]</f>
        <v>2061</v>
      </c>
      <c r="X231" s="47"/>
      <c r="Y231" s="67" t="s">
        <v>1764</v>
      </c>
      <c r="Z231" s="67">
        <v>5935700207</v>
      </c>
      <c r="AA231" s="67">
        <f>Table1[[#This Row],[Nilai RAB Jaringan
(file pa aji)]]</f>
        <v>5935700207</v>
      </c>
      <c r="AB231" s="320">
        <f>SUM(Table1[[#This Row],[RAB Kegiatan Umum]:[RAB Perizinan]])</f>
        <v>0</v>
      </c>
      <c r="AC231" s="320"/>
      <c r="AD231" s="320"/>
      <c r="AE231" s="320"/>
      <c r="AF231" s="320"/>
      <c r="AG231" s="436">
        <v>245957796</v>
      </c>
      <c r="AH231" s="35" t="e">
        <f>SUM(Table1[[#This Row],[Bobot Keg Umum]:[Bobot Perizinan]])</f>
        <v>#DIV/0!</v>
      </c>
      <c r="AI231" s="35" t="e">
        <f>Table1[[#This Row],[RAB Kegiatan Umum]]/Table1[[#This Row],[Nilai RAB Jaringan
(Exclude Ppn)]]</f>
        <v>#DIV/0!</v>
      </c>
      <c r="AJ231" s="35" t="e">
        <f>Table1[[#This Row],[RAB Pemasangan]]/Table1[[#This Row],[Nilai RAB Jaringan
(Exclude Ppn)]]</f>
        <v>#DIV/0!</v>
      </c>
      <c r="AK231" s="35" t="e">
        <f>Table1[[#This Row],[RAB Pengadaan]]/Table1[[#This Row],[Nilai RAB Jaringan
(Exclude Ppn)]]</f>
        <v>#DIV/0!</v>
      </c>
      <c r="AL231" s="35" t="e">
        <f>Table1[[#This Row],[RAB Perizinan]]/Table1[[#This Row],[Nilai RAB Jaringan
(Exclude Ppn)]]</f>
        <v>#DIV/0!</v>
      </c>
      <c r="AM231" s="47"/>
      <c r="AN231" s="285">
        <v>2526</v>
      </c>
      <c r="AO231" s="285">
        <f>SUM(Table1[[#This Row],[Pipa 63 mm]:[Pipa 1,800 mm]])</f>
        <v>0</v>
      </c>
      <c r="AP231" s="285"/>
      <c r="AQ231" s="285"/>
      <c r="AR231" s="285"/>
      <c r="AS231" s="285"/>
      <c r="AT231" s="285"/>
      <c r="AU231" s="285"/>
      <c r="AV231" s="285"/>
      <c r="AW231" s="285"/>
      <c r="AX231" s="285"/>
      <c r="AY231" s="285"/>
      <c r="AZ231" s="285"/>
      <c r="BA231" s="285"/>
      <c r="BB231" s="285"/>
      <c r="BC231" s="285"/>
      <c r="BD231" s="285"/>
      <c r="BE231" s="285"/>
      <c r="BF231" s="285"/>
      <c r="BG231" s="285"/>
      <c r="BH231" s="285"/>
      <c r="BI231" s="285"/>
      <c r="BJ231" s="446">
        <f>SUM(Table1[[#This Row],[Pipa 63 mm2]:[Pipa 1,800 mm21]])</f>
        <v>2061</v>
      </c>
      <c r="BK231" s="32">
        <v>1544</v>
      </c>
      <c r="BL231" s="32">
        <v>49</v>
      </c>
      <c r="BM231" s="32">
        <v>468</v>
      </c>
      <c r="BN231" s="32"/>
      <c r="BO231" s="32"/>
      <c r="BP231" s="32"/>
      <c r="BQ231" s="32"/>
      <c r="BR231" s="32"/>
      <c r="BS231" s="32"/>
      <c r="BT231" s="32"/>
      <c r="BU231" s="32"/>
      <c r="BV231" s="32"/>
      <c r="BW231" s="32"/>
      <c r="BX231" s="32"/>
      <c r="BY231" s="32"/>
      <c r="BZ231" s="32"/>
      <c r="CA231" s="32"/>
      <c r="CB231" s="32"/>
      <c r="CC231" s="32"/>
      <c r="CD231" s="32"/>
      <c r="CE231" s="32">
        <v>142</v>
      </c>
      <c r="CF231" s="32">
        <v>0</v>
      </c>
      <c r="CG231" s="32">
        <v>0</v>
      </c>
      <c r="CH231" s="32">
        <v>0</v>
      </c>
      <c r="CI231" s="32">
        <f t="shared" si="12"/>
        <v>142</v>
      </c>
      <c r="CJ231" s="65">
        <f>IF((Table1[[#This Row],["Volume
BA MC-0"]]-Table1[[#This Row],[Total Panjang Pipa Aktual
(Sum-&gt;)3]]-Table1[[#This Row],[Total Volume
tidak dapat dipasang]])&gt;=0,Table1[[#This Row],["Volume
BA MC-0"]]-Table1[[#This Row],[Total Panjang Pipa Aktual
(Sum-&gt;)3]]-Table1[[#This Row],[Total Volume
tidak dapat dipasang]],0)</f>
        <v>323</v>
      </c>
      <c r="CK231" s="47"/>
      <c r="CL231" s="131"/>
      <c r="CM231" s="35"/>
      <c r="CN231" s="131"/>
      <c r="CO231" s="131"/>
      <c r="CP23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1" s="66">
        <f>IFERROR(Table1[[#This Row],[Progres Keg. Umum
(%)]]*Table1[[#This Row],[Nilai RAB Jaringan
(file pa aji)]],0)</f>
        <v>0</v>
      </c>
      <c r="CR231" s="66">
        <f>IFERROR(Table1[[#This Row],[Progres MOS
(%)]]*Table1[[#This Row],[Nilai RAB Jaringan
(file pa aji)]],0)</f>
        <v>0</v>
      </c>
      <c r="CS231" s="66">
        <f>IFERROR(Table1[[#This Row],[Progres Pemasangan
(%)]]*Table1[[#This Row],[Nilai RAB Jaringan
(file pa aji)]],0)</f>
        <v>0</v>
      </c>
      <c r="CT231" s="66">
        <f>IFERROR(Table1[[#This Row],[Progres Perizinan
(%)]]*Table1[[#This Row],[Nilai RAB Jaringan
(file pa aji)]],0)</f>
        <v>0</v>
      </c>
      <c r="CU231" s="329">
        <v>3820013988</v>
      </c>
      <c r="CV231" s="329">
        <v>3820013988</v>
      </c>
      <c r="CW231" s="583">
        <v>3820013988</v>
      </c>
      <c r="CX231" s="329">
        <v>3820013988</v>
      </c>
      <c r="CY231" s="47"/>
      <c r="CZ231" s="330">
        <v>45593</v>
      </c>
      <c r="DA231" s="330">
        <v>45620</v>
      </c>
      <c r="DB231" s="331">
        <v>45621</v>
      </c>
      <c r="DC231" s="316" t="s">
        <v>1765</v>
      </c>
      <c r="DD231" s="67">
        <v>5935700207</v>
      </c>
      <c r="DE23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31" s="331">
        <v>45625</v>
      </c>
      <c r="DG231" s="316" t="s">
        <v>1766</v>
      </c>
      <c r="DH231" s="67">
        <v>5935700207</v>
      </c>
      <c r="DI23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31" s="330">
        <v>45621</v>
      </c>
      <c r="DK231" s="330">
        <v>45683</v>
      </c>
      <c r="DL231" s="331">
        <v>45248</v>
      </c>
      <c r="DM231" s="316" t="s">
        <v>754</v>
      </c>
      <c r="DN23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1" s="331">
        <v>45364</v>
      </c>
      <c r="DP231" s="316" t="s">
        <v>755</v>
      </c>
      <c r="DQ231" s="338" t="s">
        <v>1542</v>
      </c>
      <c r="DR23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1" s="330">
        <v>45621</v>
      </c>
      <c r="DT231" s="330" t="e">
        <v>#N/A</v>
      </c>
      <c r="DU231" s="330">
        <v>45662</v>
      </c>
      <c r="DV231" s="330" t="e">
        <v>#N/A</v>
      </c>
      <c r="DW231" s="331">
        <v>45210</v>
      </c>
      <c r="DX231" s="316" t="s">
        <v>1767</v>
      </c>
      <c r="DY231" s="334"/>
      <c r="DZ231" s="334"/>
      <c r="EA23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1" s="331">
        <v>45728</v>
      </c>
      <c r="EC231" s="332"/>
      <c r="ED231" s="332"/>
      <c r="EE231" s="330" t="s">
        <v>1768</v>
      </c>
      <c r="EF231" s="35">
        <v>1</v>
      </c>
      <c r="EG231" s="337">
        <v>1</v>
      </c>
      <c r="EH231" s="316" t="str">
        <f>IF(Table1[[#This Row],[PO Material Aktual 
(%)]]&gt;=100%,"Selesai PO = 100%",IF(Table1[[#This Row],[PO Material Aktual 
(%)]]&gt;=50%,"Proses PO &gt; 100%",IF(Table1[[#This Row],[PO Material Aktual 
(%)]]&gt;0%,"Proses PO &gt; 50%",IF(Table1[[#This Row],[PO Material Aktual 
(%)]]=0,"Belum PO = 0%"))))</f>
        <v>Selesai PO = 100%</v>
      </c>
      <c r="EI23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1" s="330">
        <v>45663</v>
      </c>
      <c r="EK231" s="330" t="e">
        <v>#N/A</v>
      </c>
      <c r="EL231" s="330">
        <v>45746</v>
      </c>
      <c r="EM231" s="330" t="e">
        <v>#N/A</v>
      </c>
      <c r="EN231" s="331">
        <v>45867</v>
      </c>
      <c r="EO231" s="332"/>
      <c r="EP231" s="332"/>
      <c r="EQ231" s="87">
        <v>1</v>
      </c>
      <c r="ER231" s="87">
        <v>1</v>
      </c>
      <c r="ES231" s="316" t="str">
        <f>IF(Table1[[#This Row],[Progres MOS]]&gt;=100%,"Selesai MOS = 100%",IF(Table1[[#This Row],[Progres MOS]]&gt;=50%,"Proses MOS &gt; 100%",IF(Table1[[#This Row],[Progres MOS]]&gt;0%,"Proses MOS &gt; 50%",IF(Table1[[#This Row],[Progres MOS]]=0,"Belum MOS = 0%"))))</f>
        <v>Selesai MOS = 100%</v>
      </c>
      <c r="ET23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1" s="47"/>
      <c r="EV231" s="330">
        <v>45621</v>
      </c>
      <c r="EW231" s="330" t="e">
        <v>#N/A</v>
      </c>
      <c r="EX231" s="330">
        <v>45711</v>
      </c>
      <c r="EY231" s="330" t="e">
        <v>#N/A</v>
      </c>
      <c r="EZ231" s="352" t="s">
        <v>298</v>
      </c>
      <c r="FA231" s="336" t="s">
        <v>298</v>
      </c>
      <c r="FB231" s="330" t="s">
        <v>260</v>
      </c>
      <c r="FC231" s="330">
        <v>45838</v>
      </c>
      <c r="FD231" s="330" t="s">
        <v>260</v>
      </c>
      <c r="FE231" s="330">
        <v>45884</v>
      </c>
      <c r="FF231" s="330">
        <v>45929</v>
      </c>
      <c r="FG231" s="330" t="s">
        <v>260</v>
      </c>
      <c r="FH231" s="330" t="s">
        <v>260</v>
      </c>
      <c r="FI231" s="330">
        <v>46010</v>
      </c>
      <c r="FJ231" s="330" t="s">
        <v>260</v>
      </c>
      <c r="FK231" s="330"/>
      <c r="FL231" s="336" t="s">
        <v>298</v>
      </c>
      <c r="FM231" s="352">
        <v>45838</v>
      </c>
      <c r="FN231" s="338">
        <f>IF(Table1[[#This Row],[Tanggal Pengajuan Dokumen]]="","",Table1[[#This Row],[PLAN PERMIT
start]]-Table1[[#This Row],[Tanggal Pengajuan Dokumen]])</f>
        <v>-217</v>
      </c>
      <c r="FO231" s="437">
        <v>46086</v>
      </c>
      <c r="FP231" s="316"/>
      <c r="FQ231" s="338"/>
      <c r="FR231" s="338"/>
      <c r="FS231" s="338" t="str">
        <f t="shared" si="11"/>
        <v>On Going</v>
      </c>
      <c r="FT23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31" s="344">
        <f ca="1">IF(Table1[[#This Row],[Status Izin]]="Selesai",Table1[[#This Row],[PLAN PERMIT
finish]]-Table1[[#This Row],[Tanggal Terbit/ Target Izin Terbit]],ROUNDUP(Table1[[#This Row],[PLAN PERMIT
finish]]-NOW(),0))</f>
        <v>-480</v>
      </c>
      <c r="FV23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1" s="344"/>
      <c r="FX231" s="47"/>
      <c r="FY231" s="340"/>
      <c r="FZ231" s="341"/>
      <c r="GA23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1" s="330">
        <v>45685</v>
      </c>
      <c r="GC231" s="352">
        <v>45547</v>
      </c>
      <c r="GD23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1" s="330">
        <v>45692</v>
      </c>
      <c r="GF231" s="352">
        <v>45547</v>
      </c>
      <c r="GG23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1" s="330">
        <v>45698</v>
      </c>
      <c r="GI231" s="330">
        <v>45704</v>
      </c>
      <c r="GJ231" s="352">
        <v>45707</v>
      </c>
      <c r="GK23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31" s="330">
        <v>45712</v>
      </c>
      <c r="GM231" s="330" t="e">
        <v>#N/A</v>
      </c>
      <c r="GN231" s="330">
        <v>45816</v>
      </c>
      <c r="GO231" s="330" t="e">
        <v>#N/A</v>
      </c>
      <c r="GP231" s="316"/>
      <c r="GQ23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1" s="330" t="s">
        <v>261</v>
      </c>
      <c r="GS231" s="421" t="s">
        <v>261</v>
      </c>
      <c r="GT231" s="452" t="s">
        <v>1769</v>
      </c>
      <c r="GU231" s="423" t="str">
        <f>IF(Table1[[#This Row],[Hydro Tes Actual
(tanggal)]]&lt;&gt;"","Sudah","Belum")</f>
        <v>Sudah</v>
      </c>
      <c r="GV231" s="330" t="s">
        <v>261</v>
      </c>
      <c r="GW231" s="330" t="s">
        <v>261</v>
      </c>
      <c r="GX231" s="455" t="s">
        <v>1770</v>
      </c>
      <c r="GY231" s="344" t="str">
        <f>IF(Table1[[#This Row],[Interkoneksi Actual
(tanggal)]]&lt;&gt;"","Sudah","Belum")</f>
        <v>Sudah</v>
      </c>
      <c r="GZ231" s="330" t="s">
        <v>261</v>
      </c>
      <c r="HA231" s="421" t="s">
        <v>261</v>
      </c>
      <c r="HB231" s="432">
        <v>45894</v>
      </c>
      <c r="HC231" s="344" t="str">
        <f>IF(Table1[[#This Row],[Flushing Actual
(tanggal)]]&lt;&gt;"","Sudah","Belum")</f>
        <v>Sudah</v>
      </c>
      <c r="HD231" s="330">
        <v>45789</v>
      </c>
      <c r="HE231" s="330" t="e">
        <v>#N/A</v>
      </c>
      <c r="HF231" s="330">
        <v>45809</v>
      </c>
      <c r="HG231" s="352">
        <v>45909</v>
      </c>
      <c r="HH23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1" s="330" t="s">
        <v>261</v>
      </c>
      <c r="HJ231" s="330" t="s">
        <v>261</v>
      </c>
      <c r="HK231" s="331"/>
      <c r="HL231" s="316"/>
      <c r="HM231" s="330">
        <v>45828</v>
      </c>
      <c r="HN231" s="330">
        <v>45828</v>
      </c>
      <c r="HO231" s="330" t="e">
        <v>#N/A</v>
      </c>
      <c r="HP231" s="331">
        <v>45929</v>
      </c>
      <c r="HQ23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31" s="330">
        <v>45835</v>
      </c>
      <c r="HS231" s="330"/>
      <c r="HT231" s="330">
        <v>45835</v>
      </c>
      <c r="HU231" s="527"/>
      <c r="HV231" s="331">
        <v>45934</v>
      </c>
      <c r="HW23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31" s="47"/>
      <c r="HY231" s="352"/>
      <c r="HZ231" s="352"/>
      <c r="IB231" s="618">
        <f>IFERROR(ROUND((Table1[[#This Row],[PLAN TC
finish]]-Table1[[#This Row],[PLAN MC-0
start]])/30,2),"")</f>
        <v>3.7</v>
      </c>
      <c r="IC231">
        <f>DATEDIF(Table1[[#This Row],[PLAN MC-0
start]],Table1[[#This Row],[PLAN TC
finish]],"m")</f>
        <v>3</v>
      </c>
    </row>
    <row r="232" spans="2:237" s="4" customFormat="1" ht="15" hidden="1" customHeight="1" x14ac:dyDescent="0.2">
      <c r="B232" s="311">
        <f>SUBTOTAL(3,$D$5:D232)</f>
        <v>84</v>
      </c>
      <c r="C232" s="348">
        <v>228</v>
      </c>
      <c r="D232" s="315" t="s">
        <v>673</v>
      </c>
      <c r="E232" s="338" t="s">
        <v>1771</v>
      </c>
      <c r="F232" s="338" t="s">
        <v>1772</v>
      </c>
      <c r="G232" s="349">
        <v>45935</v>
      </c>
      <c r="H232" s="338" t="s">
        <v>681</v>
      </c>
      <c r="I232" s="338" t="s">
        <v>278</v>
      </c>
      <c r="J232" s="315"/>
      <c r="K232" s="338" t="s">
        <v>676</v>
      </c>
      <c r="L232" s="316" t="s">
        <v>250</v>
      </c>
      <c r="M232" s="316" t="s">
        <v>269</v>
      </c>
      <c r="N232" s="107">
        <v>187</v>
      </c>
      <c r="O232" s="31" t="s">
        <v>252</v>
      </c>
      <c r="P23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2" s="35" t="e">
        <v>#N/A</v>
      </c>
      <c r="S232" s="35">
        <v>1</v>
      </c>
      <c r="T232" s="35">
        <f>Table1[[#This Row],[Progres Total Aktual
(%)]]</f>
        <v>1</v>
      </c>
      <c r="U232" s="124">
        <f>Table1[[#This Row],[Progres Aktual
(%)]]-Table1[[#This Row],[Target Progres
(%)]]</f>
        <v>0</v>
      </c>
      <c r="V232" s="350">
        <f>Table1[[#This Row],["Volume
BA MC-0"]]</f>
        <v>196</v>
      </c>
      <c r="W232" s="351">
        <f>Table1[[#This Row],[Total Panjang Pipa Aktual
(Sum-&gt;)3]]</f>
        <v>196</v>
      </c>
      <c r="X232" s="47"/>
      <c r="Y232" s="67" t="s">
        <v>1773</v>
      </c>
      <c r="Z232" s="67">
        <v>240625010</v>
      </c>
      <c r="AA232" s="67">
        <f>Table1[[#This Row],[Nilai RAB Jaringan
(file pa aji)]]</f>
        <v>240625010</v>
      </c>
      <c r="AB232" s="320">
        <f>SUM(Table1[[#This Row],[RAB Kegiatan Umum]:[RAB Perizinan]])</f>
        <v>0</v>
      </c>
      <c r="AC232" s="320"/>
      <c r="AD232" s="320"/>
      <c r="AE232" s="320"/>
      <c r="AF232" s="320"/>
      <c r="AG232" s="436">
        <v>12297890</v>
      </c>
      <c r="AH232" s="35" t="e">
        <f>SUM(Table1[[#This Row],[Bobot Keg Umum]:[Bobot Perizinan]])</f>
        <v>#DIV/0!</v>
      </c>
      <c r="AI232" s="35" t="e">
        <f>Table1[[#This Row],[RAB Kegiatan Umum]]/Table1[[#This Row],[Nilai RAB Jaringan
(Exclude Ppn)]]</f>
        <v>#DIV/0!</v>
      </c>
      <c r="AJ232" s="35" t="e">
        <f>Table1[[#This Row],[RAB Pemasangan]]/Table1[[#This Row],[Nilai RAB Jaringan
(Exclude Ppn)]]</f>
        <v>#DIV/0!</v>
      </c>
      <c r="AK232" s="35" t="e">
        <f>Table1[[#This Row],[RAB Pengadaan]]/Table1[[#This Row],[Nilai RAB Jaringan
(Exclude Ppn)]]</f>
        <v>#DIV/0!</v>
      </c>
      <c r="AL232" s="35" t="e">
        <f>Table1[[#This Row],[RAB Perizinan]]/Table1[[#This Row],[Nilai RAB Jaringan
(Exclude Ppn)]]</f>
        <v>#DIV/0!</v>
      </c>
      <c r="AM232" s="47"/>
      <c r="AN232" s="285">
        <v>196</v>
      </c>
      <c r="AO232" s="285">
        <f>SUM(Table1[[#This Row],[Pipa 63 mm]:[Pipa 1,800 mm]])</f>
        <v>0</v>
      </c>
      <c r="AP232" s="285"/>
      <c r="AQ232" s="285"/>
      <c r="AR232" s="285"/>
      <c r="AS232" s="285"/>
      <c r="AT232" s="285"/>
      <c r="AU232" s="285"/>
      <c r="AV232" s="285"/>
      <c r="AW232" s="285"/>
      <c r="AX232" s="285"/>
      <c r="AY232" s="285"/>
      <c r="AZ232" s="285"/>
      <c r="BA232" s="285"/>
      <c r="BB232" s="285"/>
      <c r="BC232" s="285"/>
      <c r="BD232" s="285"/>
      <c r="BE232" s="285"/>
      <c r="BF232" s="285"/>
      <c r="BG232" s="285"/>
      <c r="BH232" s="285"/>
      <c r="BI232" s="285"/>
      <c r="BJ232" s="446">
        <f>SUM(Table1[[#This Row],[Pipa 63 mm2]:[Pipa 1,800 mm21]])</f>
        <v>196</v>
      </c>
      <c r="BK232" s="32">
        <v>196</v>
      </c>
      <c r="BL232" s="32"/>
      <c r="BM232" s="32"/>
      <c r="BN232" s="32"/>
      <c r="BO232" s="32"/>
      <c r="BP232" s="32"/>
      <c r="BQ232" s="32"/>
      <c r="BR232" s="32"/>
      <c r="BS232" s="32"/>
      <c r="BT232" s="32"/>
      <c r="BU232" s="32"/>
      <c r="BV232" s="32"/>
      <c r="BW232" s="32"/>
      <c r="BX232" s="32"/>
      <c r="BY232" s="32"/>
      <c r="BZ232" s="32"/>
      <c r="CA232" s="32"/>
      <c r="CB232" s="32"/>
      <c r="CC232" s="32"/>
      <c r="CD232" s="32"/>
      <c r="CE232" s="32">
        <v>0</v>
      </c>
      <c r="CF232" s="32">
        <v>0</v>
      </c>
      <c r="CG232" s="32">
        <v>0</v>
      </c>
      <c r="CH232" s="32">
        <v>0</v>
      </c>
      <c r="CI232" s="32">
        <f t="shared" si="12"/>
        <v>0</v>
      </c>
      <c r="CJ232" s="65">
        <f>IF((Table1[[#This Row],["Volume
BA MC-0"]]-Table1[[#This Row],[Total Panjang Pipa Aktual
(Sum-&gt;)3]]-Table1[[#This Row],[Total Volume
tidak dapat dipasang]])&gt;=0,Table1[[#This Row],["Volume
BA MC-0"]]-Table1[[#This Row],[Total Panjang Pipa Aktual
(Sum-&gt;)3]]-Table1[[#This Row],[Total Volume
tidak dapat dipasang]],0)</f>
        <v>0</v>
      </c>
      <c r="CK232" s="47"/>
      <c r="CL232" s="131"/>
      <c r="CM232" s="35"/>
      <c r="CN232" s="131"/>
      <c r="CO232" s="131"/>
      <c r="CP23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2" s="66">
        <f>IFERROR(Table1[[#This Row],[Progres Keg. Umum
(%)]]*Table1[[#This Row],[Nilai RAB Jaringan
(file pa aji)]],0)</f>
        <v>0</v>
      </c>
      <c r="CR232" s="66">
        <f>IFERROR(Table1[[#This Row],[Progres MOS
(%)]]*Table1[[#This Row],[Nilai RAB Jaringan
(file pa aji)]],0)</f>
        <v>0</v>
      </c>
      <c r="CS232" s="66">
        <f>IFERROR(Table1[[#This Row],[Progres Pemasangan
(%)]]*Table1[[#This Row],[Nilai RAB Jaringan
(file pa aji)]],0)</f>
        <v>0</v>
      </c>
      <c r="CT232" s="66">
        <f>IFERROR(Table1[[#This Row],[Progres Perizinan
(%)]]*Table1[[#This Row],[Nilai RAB Jaringan
(file pa aji)]],0)</f>
        <v>0</v>
      </c>
      <c r="CU232" s="329">
        <v>249482672</v>
      </c>
      <c r="CV232" s="329">
        <v>249482672</v>
      </c>
      <c r="CW232" s="583">
        <v>249482672</v>
      </c>
      <c r="CX232" s="329">
        <v>249482672</v>
      </c>
      <c r="CY232" s="47"/>
      <c r="CZ232" s="330">
        <v>45684</v>
      </c>
      <c r="DA232" s="330">
        <v>45711</v>
      </c>
      <c r="DB232" s="331">
        <v>45653</v>
      </c>
      <c r="DC232" s="316" t="s">
        <v>1774</v>
      </c>
      <c r="DD232" s="67">
        <v>240625008</v>
      </c>
      <c r="DE23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2" s="331">
        <v>45664</v>
      </c>
      <c r="DG232" s="316" t="s">
        <v>1775</v>
      </c>
      <c r="DH232" s="67">
        <v>238755008</v>
      </c>
      <c r="DI23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2" s="330">
        <v>45712</v>
      </c>
      <c r="DK232" s="330">
        <v>45774</v>
      </c>
      <c r="DL232" s="331">
        <v>45701</v>
      </c>
      <c r="DM232" s="316" t="s">
        <v>1776</v>
      </c>
      <c r="DN23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2" s="331">
        <v>45719</v>
      </c>
      <c r="DP232" s="316" t="s">
        <v>1777</v>
      </c>
      <c r="DQ232" s="338" t="s">
        <v>560</v>
      </c>
      <c r="DR23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2" s="330">
        <v>45712</v>
      </c>
      <c r="DT232" s="330" t="e">
        <v>#N/A</v>
      </c>
      <c r="DU232" s="330">
        <v>45753</v>
      </c>
      <c r="DV232" s="330" t="e">
        <v>#N/A</v>
      </c>
      <c r="DW232" s="331">
        <v>45701</v>
      </c>
      <c r="DX232" s="316" t="s">
        <v>1778</v>
      </c>
      <c r="DY232" s="334"/>
      <c r="DZ232" s="334"/>
      <c r="EA23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2" s="331">
        <v>45783</v>
      </c>
      <c r="EC232" s="332"/>
      <c r="ED232" s="332"/>
      <c r="EE232" s="330" t="s">
        <v>1779</v>
      </c>
      <c r="EF232" s="35">
        <v>1</v>
      </c>
      <c r="EG232" s="337">
        <v>1</v>
      </c>
      <c r="EH232" s="316" t="str">
        <f>IF(Table1[[#This Row],[PO Material Aktual 
(%)]]&gt;=100%,"Selesai PO = 100%",IF(Table1[[#This Row],[PO Material Aktual 
(%)]]&gt;=50%,"Proses PO &gt; 100%",IF(Table1[[#This Row],[PO Material Aktual 
(%)]]&gt;0%,"Proses PO &gt; 50%",IF(Table1[[#This Row],[PO Material Aktual 
(%)]]=0,"Belum PO = 0%"))))</f>
        <v>Selesai PO = 100%</v>
      </c>
      <c r="EI23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2" s="330">
        <v>45754</v>
      </c>
      <c r="EK232" s="330" t="e">
        <v>#N/A</v>
      </c>
      <c r="EL232" s="330">
        <v>45802</v>
      </c>
      <c r="EM232" s="330" t="e">
        <v>#N/A</v>
      </c>
      <c r="EN232" s="331">
        <v>45797</v>
      </c>
      <c r="EO232" s="332"/>
      <c r="EP232" s="332"/>
      <c r="EQ232" s="87">
        <v>1</v>
      </c>
      <c r="ER232" s="87">
        <v>1</v>
      </c>
      <c r="ES232" s="316" t="str">
        <f>IF(Table1[[#This Row],[Progres MOS]]&gt;=100%,"Selesai MOS = 100%",IF(Table1[[#This Row],[Progres MOS]]&gt;=50%,"Proses MOS &gt; 100%",IF(Table1[[#This Row],[Progres MOS]]&gt;0%,"Proses MOS &gt; 50%",IF(Table1[[#This Row],[Progres MOS]]=0,"Belum MOS = 0%"))))</f>
        <v>Selesai MOS = 100%</v>
      </c>
      <c r="ET23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232" s="47"/>
      <c r="EV232" s="330">
        <v>45712</v>
      </c>
      <c r="EW232" s="330" t="e">
        <v>#N/A</v>
      </c>
      <c r="EX232" s="330">
        <v>45802</v>
      </c>
      <c r="EY232" s="330" t="e">
        <v>#N/A</v>
      </c>
      <c r="EZ232" s="352" t="s">
        <v>298</v>
      </c>
      <c r="FA232" s="336" t="s">
        <v>259</v>
      </c>
      <c r="FB232" s="330" t="s">
        <v>260</v>
      </c>
      <c r="FC232" s="330">
        <v>45838</v>
      </c>
      <c r="FD232" s="330" t="s">
        <v>260</v>
      </c>
      <c r="FE232" s="330">
        <v>45910</v>
      </c>
      <c r="FF232" s="330">
        <v>45944</v>
      </c>
      <c r="FG232" s="330" t="s">
        <v>260</v>
      </c>
      <c r="FH232" s="330" t="s">
        <v>260</v>
      </c>
      <c r="FI232" s="330">
        <v>46010</v>
      </c>
      <c r="FJ232" s="330" t="s">
        <v>260</v>
      </c>
      <c r="FK232" s="330">
        <v>46094</v>
      </c>
      <c r="FL232" s="336" t="s">
        <v>298</v>
      </c>
      <c r="FM232" s="352">
        <v>45838</v>
      </c>
      <c r="FN232" s="338">
        <f>IF(Table1[[#This Row],[Tanggal Pengajuan Dokumen]]="","",Table1[[#This Row],[PLAN PERMIT
start]]-Table1[[#This Row],[Tanggal Pengajuan Dokumen]])</f>
        <v>-126</v>
      </c>
      <c r="FO232" s="437">
        <v>46086</v>
      </c>
      <c r="FP232" s="316"/>
      <c r="FQ232" s="338"/>
      <c r="FR232" s="338"/>
      <c r="FS232" s="338" t="str">
        <f t="shared" si="11"/>
        <v>Sudah Terbit</v>
      </c>
      <c r="FT23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2" s="344">
        <f ca="1">IF(Table1[[#This Row],[Status Izin]]="Selesai",Table1[[#This Row],[PLAN PERMIT
finish]]-Table1[[#This Row],[Tanggal Terbit/ Target Izin Terbit]],ROUNDUP(Table1[[#This Row],[PLAN PERMIT
finish]]-NOW(),0))</f>
        <v>-284</v>
      </c>
      <c r="FV23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2" s="344"/>
      <c r="FX232" s="47"/>
      <c r="FY232" s="340"/>
      <c r="FZ232" s="341"/>
      <c r="GA23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2" s="330">
        <v>45776</v>
      </c>
      <c r="GC232" s="352">
        <v>45547</v>
      </c>
      <c r="GD23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2" s="330">
        <v>45783</v>
      </c>
      <c r="GF232" s="352">
        <v>45547</v>
      </c>
      <c r="GG23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2" s="330">
        <v>45789</v>
      </c>
      <c r="GI232" s="330">
        <v>45795</v>
      </c>
      <c r="GJ232" s="352">
        <v>45706</v>
      </c>
      <c r="GK23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2" s="330">
        <v>45803</v>
      </c>
      <c r="GM232" s="330" t="e">
        <v>#N/A</v>
      </c>
      <c r="GN232" s="330">
        <v>45823</v>
      </c>
      <c r="GO232" s="330" t="e">
        <v>#N/A</v>
      </c>
      <c r="GP232" s="316"/>
      <c r="GQ23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2" s="330" t="s">
        <v>261</v>
      </c>
      <c r="GS232" s="421" t="s">
        <v>261</v>
      </c>
      <c r="GT232" s="431">
        <v>45768</v>
      </c>
      <c r="GU232" s="423" t="str">
        <f>IF(Table1[[#This Row],[Hydro Tes Actual
(tanggal)]]&lt;&gt;"","Sudah","Belum")</f>
        <v>Sudah</v>
      </c>
      <c r="GV232" s="330" t="s">
        <v>261</v>
      </c>
      <c r="GW232" s="330" t="s">
        <v>261</v>
      </c>
      <c r="GX232" s="331">
        <v>45770</v>
      </c>
      <c r="GY232" s="344" t="str">
        <f>IF(Table1[[#This Row],[Interkoneksi Actual
(tanggal)]]&lt;&gt;"","Sudah","Belum")</f>
        <v>Sudah</v>
      </c>
      <c r="GZ232" s="330" t="s">
        <v>261</v>
      </c>
      <c r="HA232" s="421" t="s">
        <v>261</v>
      </c>
      <c r="HB232" s="432">
        <v>45770</v>
      </c>
      <c r="HC232" s="344" t="str">
        <f>IF(Table1[[#This Row],[Flushing Actual
(tanggal)]]&lt;&gt;"","Sudah","Belum")</f>
        <v>Sudah</v>
      </c>
      <c r="HD232" s="330">
        <v>45810</v>
      </c>
      <c r="HE232" s="330" t="e">
        <v>#N/A</v>
      </c>
      <c r="HF232" s="330">
        <v>45823</v>
      </c>
      <c r="HG232" s="352">
        <v>45824</v>
      </c>
      <c r="HH23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2" s="330" t="s">
        <v>261</v>
      </c>
      <c r="HJ232" s="330" t="s">
        <v>261</v>
      </c>
      <c r="HK232" s="331"/>
      <c r="HL232" s="316"/>
      <c r="HM232" s="330">
        <v>45828</v>
      </c>
      <c r="HN232" s="330">
        <v>45828</v>
      </c>
      <c r="HO232" s="330" t="e">
        <v>#N/A</v>
      </c>
      <c r="HP232" s="331">
        <v>45927</v>
      </c>
      <c r="HQ23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32" s="330">
        <v>45835</v>
      </c>
      <c r="HS232" s="330"/>
      <c r="HT232" s="330">
        <v>45835</v>
      </c>
      <c r="HU232" s="527"/>
      <c r="HV232" s="331">
        <v>45934</v>
      </c>
      <c r="HW23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32" s="47"/>
      <c r="HY232" s="352"/>
      <c r="HZ232" s="352"/>
      <c r="IB232" s="618">
        <f>IFERROR(ROUND((Table1[[#This Row],[PLAN TC
finish]]-Table1[[#This Row],[PLAN MC-0
start]])/30,2),"")</f>
        <v>1.1299999999999999</v>
      </c>
      <c r="IC232">
        <f>DATEDIF(Table1[[#This Row],[PLAN MC-0
start]],Table1[[#This Row],[PLAN TC
finish]],"m")</f>
        <v>1</v>
      </c>
    </row>
    <row r="233" spans="2:237" s="4" customFormat="1" ht="15" hidden="1" customHeight="1" x14ac:dyDescent="0.2">
      <c r="B233" s="311">
        <f>SUBTOTAL(3,$D$5:D233)</f>
        <v>84</v>
      </c>
      <c r="C233" s="348">
        <v>229</v>
      </c>
      <c r="D233" s="315" t="s">
        <v>673</v>
      </c>
      <c r="E233" s="338" t="s">
        <v>1780</v>
      </c>
      <c r="F233" s="338" t="s">
        <v>1781</v>
      </c>
      <c r="G233" s="349">
        <v>45935</v>
      </c>
      <c r="H233" s="338" t="s">
        <v>681</v>
      </c>
      <c r="I233" s="338" t="s">
        <v>278</v>
      </c>
      <c r="J233" s="315" t="s">
        <v>882</v>
      </c>
      <c r="K233" s="338" t="s">
        <v>676</v>
      </c>
      <c r="L233" s="316" t="s">
        <v>250</v>
      </c>
      <c r="M233" s="316" t="s">
        <v>269</v>
      </c>
      <c r="N233" s="107">
        <v>208</v>
      </c>
      <c r="O233" s="31" t="s">
        <v>252</v>
      </c>
      <c r="P23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3" s="35" t="e">
        <v>#N/A</v>
      </c>
      <c r="S233" s="35">
        <v>1</v>
      </c>
      <c r="T233" s="35">
        <f>Table1[[#This Row],[Progres Total Aktual
(%)]]</f>
        <v>1</v>
      </c>
      <c r="U233" s="124">
        <f>Table1[[#This Row],[Progres Aktual
(%)]]-Table1[[#This Row],[Target Progres
(%)]]</f>
        <v>0</v>
      </c>
      <c r="V233" s="350">
        <f>Table1[[#This Row],["Volume
BA MC-0"]]</f>
        <v>208</v>
      </c>
      <c r="W233" s="351">
        <f>Table1[[#This Row],[Total Panjang Pipa Aktual
(Sum-&gt;)3]]</f>
        <v>208</v>
      </c>
      <c r="X233" s="47"/>
      <c r="Y233" s="67" t="s">
        <v>1782</v>
      </c>
      <c r="Z233" s="67">
        <v>265106945</v>
      </c>
      <c r="AA233" s="67">
        <f>Table1[[#This Row],[Nilai RAB Jaringan
(file pa aji)]]</f>
        <v>265106945</v>
      </c>
      <c r="AB233" s="320">
        <f>SUM(Table1[[#This Row],[RAB Kegiatan Umum]:[RAB Perizinan]])</f>
        <v>0</v>
      </c>
      <c r="AC233" s="320"/>
      <c r="AD233" s="320"/>
      <c r="AE233" s="320"/>
      <c r="AF233" s="320"/>
      <c r="AG233" s="436">
        <v>63211159</v>
      </c>
      <c r="AH233" s="35" t="e">
        <f>SUM(Table1[[#This Row],[Bobot Keg Umum]:[Bobot Perizinan]])</f>
        <v>#DIV/0!</v>
      </c>
      <c r="AI233" s="35" t="e">
        <f>Table1[[#This Row],[RAB Kegiatan Umum]]/Table1[[#This Row],[Nilai RAB Jaringan
(Exclude Ppn)]]</f>
        <v>#DIV/0!</v>
      </c>
      <c r="AJ233" s="35" t="e">
        <f>Table1[[#This Row],[RAB Pemasangan]]/Table1[[#This Row],[Nilai RAB Jaringan
(Exclude Ppn)]]</f>
        <v>#DIV/0!</v>
      </c>
      <c r="AK233" s="35" t="e">
        <f>Table1[[#This Row],[RAB Pengadaan]]/Table1[[#This Row],[Nilai RAB Jaringan
(Exclude Ppn)]]</f>
        <v>#DIV/0!</v>
      </c>
      <c r="AL233" s="35" t="e">
        <f>Table1[[#This Row],[RAB Perizinan]]/Table1[[#This Row],[Nilai RAB Jaringan
(Exclude Ppn)]]</f>
        <v>#DIV/0!</v>
      </c>
      <c r="AM233" s="47"/>
      <c r="AN233" s="285">
        <v>208</v>
      </c>
      <c r="AO233" s="285">
        <f>SUM(Table1[[#This Row],[Pipa 63 mm]:[Pipa 1,800 mm]])</f>
        <v>0</v>
      </c>
      <c r="AP233" s="285"/>
      <c r="AQ233" s="285"/>
      <c r="AR233" s="285"/>
      <c r="AS233" s="285"/>
      <c r="AT233" s="285"/>
      <c r="AU233" s="285"/>
      <c r="AV233" s="285"/>
      <c r="AW233" s="285"/>
      <c r="AX233" s="285"/>
      <c r="AY233" s="285"/>
      <c r="AZ233" s="285"/>
      <c r="BA233" s="285"/>
      <c r="BB233" s="285"/>
      <c r="BC233" s="285"/>
      <c r="BD233" s="285"/>
      <c r="BE233" s="285"/>
      <c r="BF233" s="285"/>
      <c r="BG233" s="285"/>
      <c r="BH233" s="285"/>
      <c r="BI233" s="285"/>
      <c r="BJ233" s="446">
        <f>SUM(Table1[[#This Row],[Pipa 63 mm2]:[Pipa 1,800 mm21]])</f>
        <v>208</v>
      </c>
      <c r="BK233" s="32">
        <v>208</v>
      </c>
      <c r="BL233" s="32"/>
      <c r="BM233" s="32"/>
      <c r="BN233" s="32"/>
      <c r="BO233" s="32"/>
      <c r="BP233" s="32"/>
      <c r="BQ233" s="32"/>
      <c r="BR233" s="32"/>
      <c r="BS233" s="32"/>
      <c r="BT233" s="32"/>
      <c r="BU233" s="32"/>
      <c r="BV233" s="32"/>
      <c r="BW233" s="32"/>
      <c r="BX233" s="32"/>
      <c r="BY233" s="32"/>
      <c r="BZ233" s="32"/>
      <c r="CA233" s="32"/>
      <c r="CB233" s="32"/>
      <c r="CC233" s="32"/>
      <c r="CD233" s="32"/>
      <c r="CE233" s="32">
        <v>0</v>
      </c>
      <c r="CF233" s="32">
        <v>0</v>
      </c>
      <c r="CG233" s="32">
        <v>0</v>
      </c>
      <c r="CH233" s="32">
        <v>0</v>
      </c>
      <c r="CI233" s="32">
        <f t="shared" si="12"/>
        <v>0</v>
      </c>
      <c r="CJ233" s="65">
        <f>IF((Table1[[#This Row],["Volume
BA MC-0"]]-Table1[[#This Row],[Total Panjang Pipa Aktual
(Sum-&gt;)3]]-Table1[[#This Row],[Total Volume
tidak dapat dipasang]])&gt;=0,Table1[[#This Row],["Volume
BA MC-0"]]-Table1[[#This Row],[Total Panjang Pipa Aktual
(Sum-&gt;)3]]-Table1[[#This Row],[Total Volume
tidak dapat dipasang]],0)</f>
        <v>0</v>
      </c>
      <c r="CK233" s="47"/>
      <c r="CL233" s="131"/>
      <c r="CM233" s="35"/>
      <c r="CN233" s="131"/>
      <c r="CO233" s="131"/>
      <c r="CP23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3" s="66">
        <f>IFERROR(Table1[[#This Row],[Progres Keg. Umum
(%)]]*Table1[[#This Row],[Nilai RAB Jaringan
(file pa aji)]],0)</f>
        <v>0</v>
      </c>
      <c r="CR233" s="66">
        <f>IFERROR(Table1[[#This Row],[Progres MOS
(%)]]*Table1[[#This Row],[Nilai RAB Jaringan
(file pa aji)]],0)</f>
        <v>0</v>
      </c>
      <c r="CS233" s="66">
        <f>IFERROR(Table1[[#This Row],[Progres Pemasangan
(%)]]*Table1[[#This Row],[Nilai RAB Jaringan
(file pa aji)]],0)</f>
        <v>0</v>
      </c>
      <c r="CT233" s="66">
        <f>IFERROR(Table1[[#This Row],[Progres Perizinan
(%)]]*Table1[[#This Row],[Nilai RAB Jaringan
(file pa aji)]],0)</f>
        <v>0</v>
      </c>
      <c r="CU233" s="329">
        <v>184205568</v>
      </c>
      <c r="CV233" s="329">
        <v>184205568</v>
      </c>
      <c r="CW233" s="583">
        <v>184205568</v>
      </c>
      <c r="CX233" s="329">
        <v>184205568</v>
      </c>
      <c r="CY233" s="47"/>
      <c r="CZ233" s="330">
        <v>45747</v>
      </c>
      <c r="DA233" s="330">
        <v>45774</v>
      </c>
      <c r="DB233" s="331">
        <v>45755</v>
      </c>
      <c r="DC233" s="316" t="s">
        <v>1783</v>
      </c>
      <c r="DD233" s="67">
        <v>265106945</v>
      </c>
      <c r="DE23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3" s="331">
        <v>45763</v>
      </c>
      <c r="DG233" s="316" t="s">
        <v>1784</v>
      </c>
      <c r="DH233" s="67">
        <v>265106945</v>
      </c>
      <c r="DI23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3" s="330">
        <v>45775</v>
      </c>
      <c r="DK233" s="330">
        <v>45837</v>
      </c>
      <c r="DL233" s="331">
        <v>45786</v>
      </c>
      <c r="DM233" s="316" t="s">
        <v>1785</v>
      </c>
      <c r="DN23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3" s="331">
        <v>45882</v>
      </c>
      <c r="DP233" s="316" t="s">
        <v>1786</v>
      </c>
      <c r="DQ233" s="338" t="s">
        <v>1542</v>
      </c>
      <c r="DR23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33" s="330">
        <v>45775</v>
      </c>
      <c r="DT233" s="330" t="e">
        <v>#N/A</v>
      </c>
      <c r="DU233" s="330">
        <v>45816</v>
      </c>
      <c r="DV233" s="330" t="e">
        <v>#N/A</v>
      </c>
      <c r="DW233" s="331">
        <v>45786</v>
      </c>
      <c r="DX233" s="316" t="s">
        <v>1787</v>
      </c>
      <c r="DY233" s="334"/>
      <c r="DZ233" s="334"/>
      <c r="EA23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3" s="331">
        <v>46006</v>
      </c>
      <c r="EC233" s="332"/>
      <c r="ED233" s="332"/>
      <c r="EE233" s="330" t="s">
        <v>1788</v>
      </c>
      <c r="EF233" s="35">
        <v>1</v>
      </c>
      <c r="EG233" s="337">
        <v>1</v>
      </c>
      <c r="EH233" s="316" t="str">
        <f>IF(Table1[[#This Row],[PO Material Aktual 
(%)]]&gt;=100%,"Selesai PO = 100%",IF(Table1[[#This Row],[PO Material Aktual 
(%)]]&gt;=50%,"Proses PO &gt; 100%",IF(Table1[[#This Row],[PO Material Aktual 
(%)]]&gt;0%,"Proses PO &gt; 50%",IF(Table1[[#This Row],[PO Material Aktual 
(%)]]=0,"Belum PO = 0%"))))</f>
        <v>Selesai PO = 100%</v>
      </c>
      <c r="EI23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3" s="330">
        <v>45817</v>
      </c>
      <c r="EK233" s="330" t="e">
        <v>#N/A</v>
      </c>
      <c r="EL233" s="330">
        <v>45865</v>
      </c>
      <c r="EM233" s="330" t="e">
        <v>#N/A</v>
      </c>
      <c r="EN233" s="331">
        <v>46091</v>
      </c>
      <c r="EO233" s="332"/>
      <c r="EP233" s="332"/>
      <c r="EQ233" s="87">
        <v>1</v>
      </c>
      <c r="ER233" s="87">
        <v>1</v>
      </c>
      <c r="ES233" s="316" t="str">
        <f>IF(Table1[[#This Row],[Progres MOS]]&gt;=100%,"Selesai MOS = 100%",IF(Table1[[#This Row],[Progres MOS]]&gt;=50%,"Proses MOS &gt; 100%",IF(Table1[[#This Row],[Progres MOS]]&gt;0%,"Proses MOS &gt; 50%",IF(Table1[[#This Row],[Progres MOS]]=0,"Belum MOS = 0%"))))</f>
        <v>Selesai MOS = 100%</v>
      </c>
      <c r="ET23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3" s="47"/>
      <c r="EV233" s="330">
        <v>45775</v>
      </c>
      <c r="EW233" s="330" t="e">
        <v>#N/A</v>
      </c>
      <c r="EX233" s="330">
        <v>45865</v>
      </c>
      <c r="EY233" s="330" t="e">
        <v>#N/A</v>
      </c>
      <c r="EZ233" s="352" t="s">
        <v>298</v>
      </c>
      <c r="FA233" s="336" t="s">
        <v>259</v>
      </c>
      <c r="FB233" s="330" t="s">
        <v>260</v>
      </c>
      <c r="FC233" s="330">
        <v>45838</v>
      </c>
      <c r="FD233" s="330" t="s">
        <v>260</v>
      </c>
      <c r="FE233" s="330">
        <v>45895</v>
      </c>
      <c r="FF233" s="330">
        <v>45929</v>
      </c>
      <c r="FG233" s="330" t="s">
        <v>260</v>
      </c>
      <c r="FH233" s="330" t="s">
        <v>260</v>
      </c>
      <c r="FI233" s="330">
        <v>46010</v>
      </c>
      <c r="FJ233" s="330" t="s">
        <v>260</v>
      </c>
      <c r="FK233" s="330">
        <v>46111</v>
      </c>
      <c r="FL233" s="336" t="s">
        <v>298</v>
      </c>
      <c r="FM233" s="352">
        <v>45838</v>
      </c>
      <c r="FN233" s="338">
        <f>IF(Table1[[#This Row],[Tanggal Pengajuan Dokumen]]="","",Table1[[#This Row],[PLAN PERMIT
start]]-Table1[[#This Row],[Tanggal Pengajuan Dokumen]])</f>
        <v>-63</v>
      </c>
      <c r="FO233" s="437">
        <v>46086</v>
      </c>
      <c r="FP233" s="316"/>
      <c r="FQ233" s="338"/>
      <c r="FR233" s="338"/>
      <c r="FS233" s="338" t="str">
        <f t="shared" si="11"/>
        <v>Sudah Terbit</v>
      </c>
      <c r="FT23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3" s="344">
        <f ca="1">IF(Table1[[#This Row],[Status Izin]]="Selesai",Table1[[#This Row],[PLAN PERMIT
finish]]-Table1[[#This Row],[Tanggal Terbit/ Target Izin Terbit]],ROUNDUP(Table1[[#This Row],[PLAN PERMIT
finish]]-NOW(),0))</f>
        <v>-221</v>
      </c>
      <c r="FV23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3" s="344"/>
      <c r="FX233" s="47"/>
      <c r="FY233" s="340"/>
      <c r="FZ233" s="341"/>
      <c r="GA23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3" s="330">
        <v>45839</v>
      </c>
      <c r="GC233" s="352">
        <v>45880</v>
      </c>
      <c r="GD23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33" s="330">
        <v>45846</v>
      </c>
      <c r="GF233" s="352">
        <v>45880</v>
      </c>
      <c r="GG23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33" s="330">
        <v>45852</v>
      </c>
      <c r="GI233" s="330">
        <v>45858</v>
      </c>
      <c r="GJ233" s="352">
        <v>45916</v>
      </c>
      <c r="GK23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33" s="330">
        <v>45866</v>
      </c>
      <c r="GM233" s="330" t="e">
        <v>#N/A</v>
      </c>
      <c r="GN233" s="330">
        <v>45886</v>
      </c>
      <c r="GO233" s="330" t="e">
        <v>#N/A</v>
      </c>
      <c r="GP233" s="316"/>
      <c r="GQ23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3" s="330" t="s">
        <v>261</v>
      </c>
      <c r="GS233" s="421" t="s">
        <v>261</v>
      </c>
      <c r="GT233" s="431">
        <v>45926</v>
      </c>
      <c r="GU233" s="423" t="str">
        <f>IF(Table1[[#This Row],[Hydro Tes Actual
(tanggal)]]&lt;&gt;"","Sudah","Belum")</f>
        <v>Sudah</v>
      </c>
      <c r="GV233" s="330" t="s">
        <v>261</v>
      </c>
      <c r="GW233" s="330" t="s">
        <v>261</v>
      </c>
      <c r="GX233" s="331">
        <v>45925</v>
      </c>
      <c r="GY233" s="344" t="str">
        <f>IF(Table1[[#This Row],[Interkoneksi Actual
(tanggal)]]&lt;&gt;"","Sudah","Belum")</f>
        <v>Sudah</v>
      </c>
      <c r="GZ233" s="330" t="s">
        <v>261</v>
      </c>
      <c r="HA233" s="421" t="s">
        <v>261</v>
      </c>
      <c r="HB233" s="432">
        <v>45926</v>
      </c>
      <c r="HC233" s="344" t="str">
        <f>IF(Table1[[#This Row],[Flushing Actual
(tanggal)]]&lt;&gt;"","Sudah","Belum")</f>
        <v>Sudah</v>
      </c>
      <c r="HD233" s="330">
        <v>45873</v>
      </c>
      <c r="HE233" s="330" t="e">
        <v>#N/A</v>
      </c>
      <c r="HF233" s="330">
        <v>45886</v>
      </c>
      <c r="HG233" s="352">
        <v>45929</v>
      </c>
      <c r="HH23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3" s="330" t="s">
        <v>261</v>
      </c>
      <c r="HJ233" s="330" t="s">
        <v>261</v>
      </c>
      <c r="HK233" s="331"/>
      <c r="HL233" s="316"/>
      <c r="HM233" s="330">
        <v>45891</v>
      </c>
      <c r="HN233" s="330">
        <v>45891</v>
      </c>
      <c r="HO233" s="330" t="e">
        <v>#N/A</v>
      </c>
      <c r="HP233" s="331">
        <v>45931</v>
      </c>
      <c r="HQ23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33" s="330">
        <v>45898</v>
      </c>
      <c r="HS233" s="330"/>
      <c r="HT233" s="330">
        <v>45898</v>
      </c>
      <c r="HU233" s="527"/>
      <c r="HV233" s="331">
        <v>45968</v>
      </c>
      <c r="HW23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33" s="47"/>
      <c r="HY233" s="352"/>
      <c r="HZ233" s="352"/>
      <c r="IB233" s="618">
        <f>IFERROR(ROUND((Table1[[#This Row],[PLAN TC
finish]]-Table1[[#This Row],[PLAN MC-0
start]])/30,2),"")</f>
        <v>1.1299999999999999</v>
      </c>
      <c r="IC233">
        <f>DATEDIF(Table1[[#This Row],[PLAN MC-0
start]],Table1[[#This Row],[PLAN TC
finish]],"m")</f>
        <v>1</v>
      </c>
    </row>
    <row r="234" spans="2:237" s="4" customFormat="1" ht="15" hidden="1" customHeight="1" x14ac:dyDescent="0.2">
      <c r="B234" s="311">
        <f>SUBTOTAL(3,$D$5:D234)</f>
        <v>84</v>
      </c>
      <c r="C234" s="348">
        <v>230</v>
      </c>
      <c r="D234" s="315" t="s">
        <v>673</v>
      </c>
      <c r="E234" s="338" t="s">
        <v>1789</v>
      </c>
      <c r="F234" s="338" t="s">
        <v>1790</v>
      </c>
      <c r="G234" s="349">
        <v>45935</v>
      </c>
      <c r="H234" s="338" t="s">
        <v>681</v>
      </c>
      <c r="I234" s="338" t="s">
        <v>278</v>
      </c>
      <c r="J234" s="315"/>
      <c r="K234" s="338" t="s">
        <v>676</v>
      </c>
      <c r="L234" s="316" t="s">
        <v>250</v>
      </c>
      <c r="M234" s="316" t="s">
        <v>269</v>
      </c>
      <c r="N234" s="107">
        <v>75</v>
      </c>
      <c r="O234" s="31" t="s">
        <v>252</v>
      </c>
      <c r="P23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4" s="35" t="e">
        <v>#N/A</v>
      </c>
      <c r="S234" s="35">
        <v>1</v>
      </c>
      <c r="T234" s="35">
        <f>Table1[[#This Row],[Progres Total Aktual
(%)]]</f>
        <v>1</v>
      </c>
      <c r="U234" s="124">
        <f>Table1[[#This Row],[Progres Aktual
(%)]]-Table1[[#This Row],[Target Progres
(%)]]</f>
        <v>0</v>
      </c>
      <c r="V234" s="350">
        <f>Table1[[#This Row],["Volume
BA MC-0"]]</f>
        <v>100</v>
      </c>
      <c r="W234" s="351">
        <f>Table1[[#This Row],[Total Panjang Pipa Aktual
(Sum-&gt;)3]]</f>
        <v>100</v>
      </c>
      <c r="X234" s="47"/>
      <c r="Y234" s="67" t="s">
        <v>1791</v>
      </c>
      <c r="Z234" s="67">
        <v>186108320</v>
      </c>
      <c r="AA234" s="67">
        <f>Table1[[#This Row],[Nilai RAB Jaringan
(file pa aji)]]</f>
        <v>186108320</v>
      </c>
      <c r="AB234" s="320">
        <f>SUM(Table1[[#This Row],[RAB Kegiatan Umum]:[RAB Perizinan]])</f>
        <v>0</v>
      </c>
      <c r="AC234" s="320"/>
      <c r="AD234" s="320"/>
      <c r="AE234" s="320"/>
      <c r="AF234" s="320"/>
      <c r="AG234" s="436">
        <v>2107039</v>
      </c>
      <c r="AH234" s="35" t="e">
        <f>SUM(Table1[[#This Row],[Bobot Keg Umum]:[Bobot Perizinan]])</f>
        <v>#DIV/0!</v>
      </c>
      <c r="AI234" s="35" t="e">
        <f>Table1[[#This Row],[RAB Kegiatan Umum]]/Table1[[#This Row],[Nilai RAB Jaringan
(Exclude Ppn)]]</f>
        <v>#DIV/0!</v>
      </c>
      <c r="AJ234" s="35" t="e">
        <f>Table1[[#This Row],[RAB Pemasangan]]/Table1[[#This Row],[Nilai RAB Jaringan
(Exclude Ppn)]]</f>
        <v>#DIV/0!</v>
      </c>
      <c r="AK234" s="35" t="e">
        <f>Table1[[#This Row],[RAB Pengadaan]]/Table1[[#This Row],[Nilai RAB Jaringan
(Exclude Ppn)]]</f>
        <v>#DIV/0!</v>
      </c>
      <c r="AL234" s="35" t="e">
        <f>Table1[[#This Row],[RAB Perizinan]]/Table1[[#This Row],[Nilai RAB Jaringan
(Exclude Ppn)]]</f>
        <v>#DIV/0!</v>
      </c>
      <c r="AM234" s="47"/>
      <c r="AN234" s="285">
        <v>100</v>
      </c>
      <c r="AO234" s="285">
        <f>SUM(Table1[[#This Row],[Pipa 63 mm]:[Pipa 1,800 mm]])</f>
        <v>0</v>
      </c>
      <c r="AP234" s="285"/>
      <c r="AQ234" s="285"/>
      <c r="AR234" s="285"/>
      <c r="AS234" s="285"/>
      <c r="AT234" s="285"/>
      <c r="AU234" s="285"/>
      <c r="AV234" s="285"/>
      <c r="AW234" s="285"/>
      <c r="AX234" s="285"/>
      <c r="AY234" s="285"/>
      <c r="AZ234" s="285"/>
      <c r="BA234" s="285"/>
      <c r="BB234" s="285"/>
      <c r="BC234" s="285"/>
      <c r="BD234" s="285"/>
      <c r="BE234" s="285"/>
      <c r="BF234" s="285"/>
      <c r="BG234" s="285"/>
      <c r="BH234" s="285"/>
      <c r="BI234" s="285"/>
      <c r="BJ234" s="446">
        <f>SUM(Table1[[#This Row],[Pipa 63 mm2]:[Pipa 1,800 mm21]])</f>
        <v>100</v>
      </c>
      <c r="BK234" s="32">
        <v>100</v>
      </c>
      <c r="BL234" s="32"/>
      <c r="BM234" s="32"/>
      <c r="BN234" s="32"/>
      <c r="BO234" s="32"/>
      <c r="BP234" s="32"/>
      <c r="BQ234" s="32"/>
      <c r="BR234" s="32"/>
      <c r="BS234" s="32"/>
      <c r="BT234" s="32"/>
      <c r="BU234" s="32"/>
      <c r="BV234" s="32"/>
      <c r="BW234" s="32"/>
      <c r="BX234" s="32"/>
      <c r="BY234" s="32"/>
      <c r="BZ234" s="32"/>
      <c r="CA234" s="32"/>
      <c r="CB234" s="32"/>
      <c r="CC234" s="32"/>
      <c r="CD234" s="32"/>
      <c r="CE234" s="32">
        <v>0</v>
      </c>
      <c r="CF234" s="32">
        <v>0</v>
      </c>
      <c r="CG234" s="32">
        <v>0</v>
      </c>
      <c r="CH234" s="32">
        <v>0</v>
      </c>
      <c r="CI234" s="32">
        <f t="shared" si="12"/>
        <v>0</v>
      </c>
      <c r="CJ234" s="65">
        <f>IF((Table1[[#This Row],["Volume
BA MC-0"]]-Table1[[#This Row],[Total Panjang Pipa Aktual
(Sum-&gt;)3]]-Table1[[#This Row],[Total Volume
tidak dapat dipasang]])&gt;=0,Table1[[#This Row],["Volume
BA MC-0"]]-Table1[[#This Row],[Total Panjang Pipa Aktual
(Sum-&gt;)3]]-Table1[[#This Row],[Total Volume
tidak dapat dipasang]],0)</f>
        <v>0</v>
      </c>
      <c r="CK234" s="47"/>
      <c r="CL234" s="131"/>
      <c r="CM234" s="35"/>
      <c r="CN234" s="131"/>
      <c r="CO234" s="131"/>
      <c r="CP23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4" s="66">
        <f>IFERROR(Table1[[#This Row],[Progres Keg. Umum
(%)]]*Table1[[#This Row],[Nilai RAB Jaringan
(file pa aji)]],0)</f>
        <v>0</v>
      </c>
      <c r="CR234" s="66">
        <f>IFERROR(Table1[[#This Row],[Progres MOS
(%)]]*Table1[[#This Row],[Nilai RAB Jaringan
(file pa aji)]],0)</f>
        <v>0</v>
      </c>
      <c r="CS234" s="66">
        <f>IFERROR(Table1[[#This Row],[Progres Pemasangan
(%)]]*Table1[[#This Row],[Nilai RAB Jaringan
(file pa aji)]],0)</f>
        <v>0</v>
      </c>
      <c r="CT234" s="66">
        <f>IFERROR(Table1[[#This Row],[Progres Perizinan
(%)]]*Table1[[#This Row],[Nilai RAB Jaringan
(file pa aji)]],0)</f>
        <v>0</v>
      </c>
      <c r="CU234" s="329">
        <v>187931124</v>
      </c>
      <c r="CV234" s="329">
        <v>187931124</v>
      </c>
      <c r="CW234" s="583">
        <v>187931124</v>
      </c>
      <c r="CX234" s="329">
        <v>187931124</v>
      </c>
      <c r="CY234" s="47"/>
      <c r="CZ234" s="330">
        <v>45775</v>
      </c>
      <c r="DA234" s="330">
        <v>45802</v>
      </c>
      <c r="DB234" s="331">
        <v>45793</v>
      </c>
      <c r="DC234" s="316" t="s">
        <v>1792</v>
      </c>
      <c r="DD234" s="67">
        <v>186108320</v>
      </c>
      <c r="DE23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4" s="331">
        <v>45799</v>
      </c>
      <c r="DG234" s="316" t="s">
        <v>1793</v>
      </c>
      <c r="DH234" s="67">
        <v>186108320</v>
      </c>
      <c r="DI23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4" s="330">
        <v>45803</v>
      </c>
      <c r="DK234" s="330">
        <v>45872</v>
      </c>
      <c r="DL234" s="331">
        <v>45824</v>
      </c>
      <c r="DM234" s="316" t="s">
        <v>1794</v>
      </c>
      <c r="DN23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4" s="331">
        <v>45853</v>
      </c>
      <c r="DP234" s="316" t="s">
        <v>1795</v>
      </c>
      <c r="DQ234" s="338" t="s">
        <v>1542</v>
      </c>
      <c r="DR23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4" s="330">
        <v>45803</v>
      </c>
      <c r="DT234" s="330" t="e">
        <v>#N/A</v>
      </c>
      <c r="DU234" s="330">
        <v>45844</v>
      </c>
      <c r="DV234" s="330" t="e">
        <v>#N/A</v>
      </c>
      <c r="DW234" s="331">
        <v>45824</v>
      </c>
      <c r="DX234" s="316" t="s">
        <v>1796</v>
      </c>
      <c r="DY234" s="334"/>
      <c r="DZ234" s="334"/>
      <c r="EA23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4" s="331">
        <v>45722</v>
      </c>
      <c r="EC234" s="332"/>
      <c r="ED234" s="332"/>
      <c r="EE234" s="330" t="s">
        <v>1797</v>
      </c>
      <c r="EF234" s="35">
        <v>1</v>
      </c>
      <c r="EG234" s="337">
        <v>1</v>
      </c>
      <c r="EH234" s="316" t="str">
        <f>IF(Table1[[#This Row],[PO Material Aktual 
(%)]]&gt;=100%,"Selesai PO = 100%",IF(Table1[[#This Row],[PO Material Aktual 
(%)]]&gt;=50%,"Proses PO &gt; 100%",IF(Table1[[#This Row],[PO Material Aktual 
(%)]]&gt;0%,"Proses PO &gt; 50%",IF(Table1[[#This Row],[PO Material Aktual 
(%)]]=0,"Belum PO = 0%"))))</f>
        <v>Selesai PO = 100%</v>
      </c>
      <c r="EI23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234" s="330">
        <v>45845</v>
      </c>
      <c r="EK234" s="330" t="e">
        <v>#N/A</v>
      </c>
      <c r="EL234" s="330">
        <v>45900</v>
      </c>
      <c r="EM234" s="330" t="e">
        <v>#N/A</v>
      </c>
      <c r="EN234" s="331">
        <v>46091</v>
      </c>
      <c r="EO234" s="332"/>
      <c r="EP234" s="332"/>
      <c r="EQ234" s="87">
        <v>1</v>
      </c>
      <c r="ER234" s="87">
        <v>1</v>
      </c>
      <c r="ES234" s="316" t="str">
        <f>IF(Table1[[#This Row],[Progres MOS]]&gt;=100%,"Selesai MOS = 100%",IF(Table1[[#This Row],[Progres MOS]]&gt;=50%,"Proses MOS &gt; 100%",IF(Table1[[#This Row],[Progres MOS]]&gt;0%,"Proses MOS &gt; 50%",IF(Table1[[#This Row],[Progres MOS]]=0,"Belum MOS = 0%"))))</f>
        <v>Selesai MOS = 100%</v>
      </c>
      <c r="ET23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4" s="47"/>
      <c r="EV234" s="330">
        <v>45803</v>
      </c>
      <c r="EW234" s="330" t="e">
        <v>#N/A</v>
      </c>
      <c r="EX234" s="330">
        <v>45900</v>
      </c>
      <c r="EY234" s="330" t="e">
        <v>#N/A</v>
      </c>
      <c r="EZ234" s="352" t="s">
        <v>298</v>
      </c>
      <c r="FA234" s="336" t="s">
        <v>259</v>
      </c>
      <c r="FB234" s="330" t="s">
        <v>260</v>
      </c>
      <c r="FC234" s="330">
        <v>45838</v>
      </c>
      <c r="FD234" s="330" t="s">
        <v>260</v>
      </c>
      <c r="FE234" s="330">
        <v>45910</v>
      </c>
      <c r="FF234" s="330">
        <v>45929</v>
      </c>
      <c r="FG234" s="330" t="s">
        <v>260</v>
      </c>
      <c r="FH234" s="330" t="s">
        <v>260</v>
      </c>
      <c r="FI234" s="330">
        <v>46010</v>
      </c>
      <c r="FJ234" s="330" t="s">
        <v>260</v>
      </c>
      <c r="FK234" s="330">
        <v>46094</v>
      </c>
      <c r="FL234" s="336" t="s">
        <v>298</v>
      </c>
      <c r="FM234" s="352">
        <v>45838</v>
      </c>
      <c r="FN234" s="338">
        <f>IF(Table1[[#This Row],[Tanggal Pengajuan Dokumen]]="","",Table1[[#This Row],[PLAN PERMIT
start]]-Table1[[#This Row],[Tanggal Pengajuan Dokumen]])</f>
        <v>-35</v>
      </c>
      <c r="FO234" s="437">
        <v>46086</v>
      </c>
      <c r="FP234" s="316"/>
      <c r="FQ234" s="338"/>
      <c r="FR234" s="338"/>
      <c r="FS234" s="338" t="str">
        <f t="shared" si="11"/>
        <v>Sudah Terbit</v>
      </c>
      <c r="FT23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4" s="344">
        <f ca="1">IF(Table1[[#This Row],[Status Izin]]="Selesai",Table1[[#This Row],[PLAN PERMIT
finish]]-Table1[[#This Row],[Tanggal Terbit/ Target Izin Terbit]],ROUNDUP(Table1[[#This Row],[PLAN PERMIT
finish]]-NOW(),0))</f>
        <v>-186</v>
      </c>
      <c r="FV23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4" s="344"/>
      <c r="FX234" s="47"/>
      <c r="FY234" s="340"/>
      <c r="FZ234" s="341"/>
      <c r="GA23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4" s="330">
        <v>45874</v>
      </c>
      <c r="GC234" s="352">
        <v>45880</v>
      </c>
      <c r="GD23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34" s="330">
        <v>45881</v>
      </c>
      <c r="GF234" s="352">
        <v>45880</v>
      </c>
      <c r="GG23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4" s="330">
        <v>45887</v>
      </c>
      <c r="GI234" s="330">
        <v>45893</v>
      </c>
      <c r="GJ234" s="352">
        <v>45882</v>
      </c>
      <c r="GK23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4" s="330">
        <v>45901</v>
      </c>
      <c r="GM234" s="330" t="e">
        <v>#N/A</v>
      </c>
      <c r="GN234" s="330">
        <v>45914</v>
      </c>
      <c r="GO234" s="330" t="e">
        <v>#N/A</v>
      </c>
      <c r="GP234" s="316"/>
      <c r="GQ23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4" s="330" t="s">
        <v>261</v>
      </c>
      <c r="GS234" s="421" t="s">
        <v>261</v>
      </c>
      <c r="GT234" s="431">
        <v>45895</v>
      </c>
      <c r="GU234" s="423" t="str">
        <f>IF(Table1[[#This Row],[Hydro Tes Actual
(tanggal)]]&lt;&gt;"","Sudah","Belum")</f>
        <v>Sudah</v>
      </c>
      <c r="GV234" s="330" t="s">
        <v>261</v>
      </c>
      <c r="GW234" s="330" t="s">
        <v>261</v>
      </c>
      <c r="GX234" s="331">
        <v>45895</v>
      </c>
      <c r="GY234" s="344" t="str">
        <f>IF(Table1[[#This Row],[Interkoneksi Actual
(tanggal)]]&lt;&gt;"","Sudah","Belum")</f>
        <v>Sudah</v>
      </c>
      <c r="GZ234" s="330" t="s">
        <v>261</v>
      </c>
      <c r="HA234" s="421" t="s">
        <v>261</v>
      </c>
      <c r="HB234" s="432">
        <v>45886</v>
      </c>
      <c r="HC234" s="344" t="str">
        <f>IF(Table1[[#This Row],[Flushing Actual
(tanggal)]]&lt;&gt;"","Sudah","Belum")</f>
        <v>Sudah</v>
      </c>
      <c r="HD234" s="330">
        <v>45901</v>
      </c>
      <c r="HE234" s="330" t="e">
        <v>#N/A</v>
      </c>
      <c r="HF234" s="330">
        <v>45914</v>
      </c>
      <c r="HG234" s="352">
        <v>45908</v>
      </c>
      <c r="HH23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34" s="330" t="s">
        <v>261</v>
      </c>
      <c r="HJ234" s="330" t="s">
        <v>261</v>
      </c>
      <c r="HK234" s="331"/>
      <c r="HL234" s="316"/>
      <c r="HM234" s="330">
        <v>45919</v>
      </c>
      <c r="HN234" s="330">
        <v>45919</v>
      </c>
      <c r="HO234" s="330" t="e">
        <v>#N/A</v>
      </c>
      <c r="HP234" s="331">
        <v>45927</v>
      </c>
      <c r="HQ23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34" s="330">
        <v>45926</v>
      </c>
      <c r="HS234" s="330"/>
      <c r="HT234" s="330">
        <v>45926</v>
      </c>
      <c r="HU234" s="527"/>
      <c r="HV234" s="331">
        <v>45934</v>
      </c>
      <c r="HW23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34" s="47"/>
      <c r="HY234" s="352"/>
      <c r="HZ234" s="352"/>
      <c r="IB234" s="618">
        <f>IFERROR(ROUND((Table1[[#This Row],[PLAN TC
finish]]-Table1[[#This Row],[PLAN MC-0
start]])/30,2),"")</f>
        <v>0.9</v>
      </c>
      <c r="IC234">
        <f>DATEDIF(Table1[[#This Row],[PLAN MC-0
start]],Table1[[#This Row],[PLAN TC
finish]],"m")</f>
        <v>0</v>
      </c>
    </row>
    <row r="235" spans="2:237" s="4" customFormat="1" ht="21.75" hidden="1" customHeight="1" x14ac:dyDescent="0.2">
      <c r="B235" s="311">
        <f>SUBTOTAL(3,$D$5:D235)</f>
        <v>84</v>
      </c>
      <c r="C235" s="348">
        <v>231</v>
      </c>
      <c r="D235" s="315" t="s">
        <v>673</v>
      </c>
      <c r="E235" s="338" t="s">
        <v>1798</v>
      </c>
      <c r="F235" s="338" t="s">
        <v>1799</v>
      </c>
      <c r="G235" s="349">
        <v>45935</v>
      </c>
      <c r="H235" s="338" t="s">
        <v>681</v>
      </c>
      <c r="I235" s="338" t="s">
        <v>278</v>
      </c>
      <c r="J235" s="315"/>
      <c r="K235" s="338" t="s">
        <v>676</v>
      </c>
      <c r="L235" s="316" t="s">
        <v>250</v>
      </c>
      <c r="M235" s="316" t="s">
        <v>269</v>
      </c>
      <c r="N235" s="107">
        <v>773</v>
      </c>
      <c r="O235" s="31" t="s">
        <v>252</v>
      </c>
      <c r="P23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5" s="35" t="e">
        <v>#N/A</v>
      </c>
      <c r="S235" s="35">
        <v>1</v>
      </c>
      <c r="T235" s="35">
        <f>Table1[[#This Row],[Progres Total Aktual
(%)]]</f>
        <v>1</v>
      </c>
      <c r="U235" s="124">
        <f>Table1[[#This Row],[Progres Aktual
(%)]]-Table1[[#This Row],[Target Progres
(%)]]</f>
        <v>0</v>
      </c>
      <c r="V235" s="350">
        <f>Table1[[#This Row],["Volume
BA MC-0"]]</f>
        <v>791</v>
      </c>
      <c r="W235" s="351">
        <f>Table1[[#This Row],[Total Panjang Pipa Aktual
(Sum-&gt;)3]]</f>
        <v>783</v>
      </c>
      <c r="X235" s="47"/>
      <c r="Y235" s="458" t="s">
        <v>1800</v>
      </c>
      <c r="Z235" s="67">
        <v>1377871182</v>
      </c>
      <c r="AA235" s="67">
        <f>Table1[[#This Row],[Nilai RAB Jaringan
(file pa aji)]]</f>
        <v>1377871182</v>
      </c>
      <c r="AB235" s="320">
        <f>SUM(Table1[[#This Row],[RAB Kegiatan Umum]:[RAB Perizinan]])</f>
        <v>0</v>
      </c>
      <c r="AC235" s="320"/>
      <c r="AD235" s="320"/>
      <c r="AE235" s="320"/>
      <c r="AF235" s="320"/>
      <c r="AG235" s="436">
        <v>2107039</v>
      </c>
      <c r="AH235" s="35" t="e">
        <f>SUM(Table1[[#This Row],[Bobot Keg Umum]:[Bobot Perizinan]])</f>
        <v>#DIV/0!</v>
      </c>
      <c r="AI235" s="35" t="e">
        <f>Table1[[#This Row],[RAB Kegiatan Umum]]/Table1[[#This Row],[Nilai RAB Jaringan
(Exclude Ppn)]]</f>
        <v>#DIV/0!</v>
      </c>
      <c r="AJ235" s="35" t="e">
        <f>Table1[[#This Row],[RAB Pemasangan]]/Table1[[#This Row],[Nilai RAB Jaringan
(Exclude Ppn)]]</f>
        <v>#DIV/0!</v>
      </c>
      <c r="AK235" s="35" t="e">
        <f>Table1[[#This Row],[RAB Pengadaan]]/Table1[[#This Row],[Nilai RAB Jaringan
(Exclude Ppn)]]</f>
        <v>#DIV/0!</v>
      </c>
      <c r="AL235" s="35" t="e">
        <f>Table1[[#This Row],[RAB Perizinan]]/Table1[[#This Row],[Nilai RAB Jaringan
(Exclude Ppn)]]</f>
        <v>#DIV/0!</v>
      </c>
      <c r="AM235" s="47"/>
      <c r="AN235" s="285">
        <v>791</v>
      </c>
      <c r="AO235" s="285">
        <f>SUM(Table1[[#This Row],[Pipa 63 mm]:[Pipa 1,800 mm]])</f>
        <v>0</v>
      </c>
      <c r="AP235" s="285"/>
      <c r="AQ235" s="285"/>
      <c r="AR235" s="285"/>
      <c r="AS235" s="285"/>
      <c r="AT235" s="285"/>
      <c r="AU235" s="285"/>
      <c r="AV235" s="285"/>
      <c r="AW235" s="285"/>
      <c r="AX235" s="285"/>
      <c r="AY235" s="285"/>
      <c r="AZ235" s="285"/>
      <c r="BA235" s="285"/>
      <c r="BB235" s="285"/>
      <c r="BC235" s="285"/>
      <c r="BD235" s="285"/>
      <c r="BE235" s="285"/>
      <c r="BF235" s="285"/>
      <c r="BG235" s="285"/>
      <c r="BH235" s="285"/>
      <c r="BI235" s="285"/>
      <c r="BJ235" s="446">
        <f>SUM(Table1[[#This Row],[Pipa 63 mm2]:[Pipa 1,800 mm21]])</f>
        <v>783</v>
      </c>
      <c r="BK235" s="32">
        <v>17</v>
      </c>
      <c r="BL235" s="32">
        <v>331</v>
      </c>
      <c r="BM235" s="32">
        <v>375</v>
      </c>
      <c r="BN235" s="32">
        <v>60</v>
      </c>
      <c r="BO235" s="32"/>
      <c r="BP235" s="32"/>
      <c r="BQ235" s="32"/>
      <c r="BR235" s="32"/>
      <c r="BS235" s="32"/>
      <c r="BT235" s="32"/>
      <c r="BU235" s="32"/>
      <c r="BV235" s="32"/>
      <c r="BW235" s="32"/>
      <c r="BX235" s="32"/>
      <c r="BY235" s="32"/>
      <c r="BZ235" s="32"/>
      <c r="CA235" s="32"/>
      <c r="CB235" s="32"/>
      <c r="CC235" s="32"/>
      <c r="CD235" s="32"/>
      <c r="CE235" s="32">
        <v>0</v>
      </c>
      <c r="CF235" s="32">
        <v>0</v>
      </c>
      <c r="CG235" s="32">
        <v>0</v>
      </c>
      <c r="CH235" s="32">
        <v>0</v>
      </c>
      <c r="CI235" s="32">
        <f t="shared" si="12"/>
        <v>0</v>
      </c>
      <c r="CJ235" s="65">
        <f>IF((Table1[[#This Row],["Volume
BA MC-0"]]-Table1[[#This Row],[Total Panjang Pipa Aktual
(Sum-&gt;)3]]-Table1[[#This Row],[Total Volume
tidak dapat dipasang]])&gt;=0,Table1[[#This Row],["Volume
BA MC-0"]]-Table1[[#This Row],[Total Panjang Pipa Aktual
(Sum-&gt;)3]]-Table1[[#This Row],[Total Volume
tidak dapat dipasang]],0)</f>
        <v>8</v>
      </c>
      <c r="CK235" s="47"/>
      <c r="CL235" s="131"/>
      <c r="CM235" s="35"/>
      <c r="CN235" s="131"/>
      <c r="CO235" s="131"/>
      <c r="CP23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5" s="66">
        <f>IFERROR(Table1[[#This Row],[Progres Keg. Umum
(%)]]*Table1[[#This Row],[Nilai RAB Jaringan
(file pa aji)]],0)</f>
        <v>0</v>
      </c>
      <c r="CR235" s="66">
        <f>IFERROR(Table1[[#This Row],[Progres MOS
(%)]]*Table1[[#This Row],[Nilai RAB Jaringan
(file pa aji)]],0)</f>
        <v>0</v>
      </c>
      <c r="CS235" s="66">
        <f>IFERROR(Table1[[#This Row],[Progres Pemasangan
(%)]]*Table1[[#This Row],[Nilai RAB Jaringan
(file pa aji)]],0)</f>
        <v>0</v>
      </c>
      <c r="CT235" s="66">
        <f>IFERROR(Table1[[#This Row],[Progres Perizinan
(%)]]*Table1[[#This Row],[Nilai RAB Jaringan
(file pa aji)]],0)</f>
        <v>0</v>
      </c>
      <c r="CU235" s="329">
        <v>1458507560</v>
      </c>
      <c r="CV235" s="329">
        <v>1458507560</v>
      </c>
      <c r="CW235" s="583">
        <v>1458507560</v>
      </c>
      <c r="CX235" s="329">
        <v>1458507560</v>
      </c>
      <c r="CY235" s="47"/>
      <c r="CZ235" s="330">
        <v>45775</v>
      </c>
      <c r="DA235" s="330">
        <v>45795</v>
      </c>
      <c r="DB235" s="331">
        <v>45782</v>
      </c>
      <c r="DC235" s="316" t="s">
        <v>1801</v>
      </c>
      <c r="DD235" s="67">
        <v>1377871183</v>
      </c>
      <c r="DE23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5" s="331">
        <v>45799</v>
      </c>
      <c r="DG235" s="316" t="s">
        <v>1802</v>
      </c>
      <c r="DH235" s="67">
        <v>1377871183</v>
      </c>
      <c r="DI23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35" s="330">
        <v>45796</v>
      </c>
      <c r="DK235" s="330">
        <v>45837</v>
      </c>
      <c r="DL235" s="331">
        <v>45817</v>
      </c>
      <c r="DM235" s="316" t="s">
        <v>1803</v>
      </c>
      <c r="DN23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5" s="331">
        <v>45824</v>
      </c>
      <c r="DP235" s="316" t="s">
        <v>1804</v>
      </c>
      <c r="DQ235" s="338" t="s">
        <v>371</v>
      </c>
      <c r="DR23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5" s="330">
        <v>45796</v>
      </c>
      <c r="DT235" s="330" t="e">
        <v>#N/A</v>
      </c>
      <c r="DU235" s="330">
        <v>45830</v>
      </c>
      <c r="DV235" s="330" t="e">
        <v>#N/A</v>
      </c>
      <c r="DW235" s="331">
        <v>45817</v>
      </c>
      <c r="DX235" s="316" t="s">
        <v>1805</v>
      </c>
      <c r="DY235" s="334"/>
      <c r="DZ235" s="334"/>
      <c r="EA23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5" s="331">
        <v>46135</v>
      </c>
      <c r="EC235" s="332"/>
      <c r="ED235" s="332"/>
      <c r="EE235" s="330" t="s">
        <v>1806</v>
      </c>
      <c r="EF235" s="35">
        <v>1</v>
      </c>
      <c r="EG235" s="337">
        <v>1</v>
      </c>
      <c r="EH235" s="316" t="str">
        <f>IF(Table1[[#This Row],[PO Material Aktual 
(%)]]&gt;=100%,"Selesai PO = 100%",IF(Table1[[#This Row],[PO Material Aktual 
(%)]]&gt;=50%,"Proses PO &gt; 100%",IF(Table1[[#This Row],[PO Material Aktual 
(%)]]&gt;0%,"Proses PO &gt; 50%",IF(Table1[[#This Row],[PO Material Aktual 
(%)]]=0,"Belum PO = 0%"))))</f>
        <v>Selesai PO = 100%</v>
      </c>
      <c r="EI23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5" s="330">
        <v>45831</v>
      </c>
      <c r="EK235" s="330" t="e">
        <v>#N/A</v>
      </c>
      <c r="EL235" s="330">
        <v>45879</v>
      </c>
      <c r="EM235" s="330" t="e">
        <v>#N/A</v>
      </c>
      <c r="EN235" s="331">
        <v>46160</v>
      </c>
      <c r="EO235" s="332"/>
      <c r="EP235" s="332"/>
      <c r="EQ235" s="87">
        <v>1</v>
      </c>
      <c r="ER235" s="87">
        <v>1</v>
      </c>
      <c r="ES235" s="316" t="str">
        <f>IF(Table1[[#This Row],[Progres MOS]]&gt;=100%,"Selesai MOS = 100%",IF(Table1[[#This Row],[Progres MOS]]&gt;=50%,"Proses MOS &gt; 100%",IF(Table1[[#This Row],[Progres MOS]]&gt;0%,"Proses MOS &gt; 50%",IF(Table1[[#This Row],[Progres MOS]]=0,"Belum MOS = 0%"))))</f>
        <v>Selesai MOS = 100%</v>
      </c>
      <c r="ET23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5" s="47"/>
      <c r="EV235" s="330">
        <v>45796</v>
      </c>
      <c r="EW235" s="330" t="e">
        <v>#N/A</v>
      </c>
      <c r="EX235" s="330">
        <v>45865</v>
      </c>
      <c r="EY235" s="330" t="e">
        <v>#N/A</v>
      </c>
      <c r="EZ235" s="352" t="s">
        <v>298</v>
      </c>
      <c r="FA235" s="336" t="s">
        <v>259</v>
      </c>
      <c r="FB235" s="330" t="s">
        <v>260</v>
      </c>
      <c r="FC235" s="330">
        <v>45785</v>
      </c>
      <c r="FD235" s="330" t="s">
        <v>260</v>
      </c>
      <c r="FE235" s="330">
        <v>45910</v>
      </c>
      <c r="FF235" s="330">
        <v>45958</v>
      </c>
      <c r="FG235" s="330" t="s">
        <v>260</v>
      </c>
      <c r="FH235" s="330" t="s">
        <v>260</v>
      </c>
      <c r="FI235" s="330">
        <v>46010</v>
      </c>
      <c r="FJ235" s="330" t="s">
        <v>260</v>
      </c>
      <c r="FK235" s="330">
        <v>46111</v>
      </c>
      <c r="FL235" s="336" t="s">
        <v>298</v>
      </c>
      <c r="FM235" s="352">
        <v>45785</v>
      </c>
      <c r="FN235" s="338">
        <f>IF(Table1[[#This Row],[Tanggal Pengajuan Dokumen]]="","",Table1[[#This Row],[PLAN PERMIT
start]]-Table1[[#This Row],[Tanggal Pengajuan Dokumen]])</f>
        <v>11</v>
      </c>
      <c r="FO235" s="437">
        <v>46086</v>
      </c>
      <c r="FP235" s="316"/>
      <c r="FQ235" s="338"/>
      <c r="FR235" s="338"/>
      <c r="FS235" s="338" t="str">
        <f t="shared" si="11"/>
        <v>Sudah Terbit</v>
      </c>
      <c r="FT23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5" s="344">
        <f ca="1">IF(Table1[[#This Row],[Status Izin]]="Selesai",Table1[[#This Row],[PLAN PERMIT
finish]]-Table1[[#This Row],[Tanggal Terbit/ Target Izin Terbit]],ROUNDUP(Table1[[#This Row],[PLAN PERMIT
finish]]-NOW(),0))</f>
        <v>-221</v>
      </c>
      <c r="FV23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5" s="344"/>
      <c r="FX235" s="47"/>
      <c r="FY235" s="340"/>
      <c r="FZ235" s="341"/>
      <c r="GA23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5" s="330">
        <v>45839</v>
      </c>
      <c r="GC235" s="352">
        <v>45826</v>
      </c>
      <c r="GD23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5" s="330">
        <v>45846</v>
      </c>
      <c r="GF235" s="352">
        <v>45828</v>
      </c>
      <c r="GG23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5" s="330">
        <v>45852</v>
      </c>
      <c r="GI235" s="330">
        <v>45858</v>
      </c>
      <c r="GJ235" s="352">
        <v>45832</v>
      </c>
      <c r="GK23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5" s="330">
        <v>45866</v>
      </c>
      <c r="GM235" s="330" t="e">
        <v>#N/A</v>
      </c>
      <c r="GN235" s="330">
        <v>45914</v>
      </c>
      <c r="GO235" s="330" t="e">
        <v>#N/A</v>
      </c>
      <c r="GP235" s="316"/>
      <c r="GQ23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5" s="330" t="s">
        <v>261</v>
      </c>
      <c r="GS235" s="421" t="s">
        <v>261</v>
      </c>
      <c r="GT235" s="431">
        <v>45917</v>
      </c>
      <c r="GU235" s="423" t="str">
        <f>IF(Table1[[#This Row],[Hydro Tes Actual
(tanggal)]]&lt;&gt;"","Sudah","Belum")</f>
        <v>Sudah</v>
      </c>
      <c r="GV235" s="330" t="s">
        <v>261</v>
      </c>
      <c r="GW235" s="330" t="s">
        <v>261</v>
      </c>
      <c r="GX235" s="331">
        <v>45917</v>
      </c>
      <c r="GY235" s="344" t="str">
        <f>IF(Table1[[#This Row],[Interkoneksi Actual
(tanggal)]]&lt;&gt;"","Sudah","Belum")</f>
        <v>Sudah</v>
      </c>
      <c r="GZ235" s="330" t="s">
        <v>261</v>
      </c>
      <c r="HA235" s="421" t="s">
        <v>261</v>
      </c>
      <c r="HB235" s="432">
        <v>45923</v>
      </c>
      <c r="HC235" s="344" t="str">
        <f>IF(Table1[[#This Row],[Flushing Actual
(tanggal)]]&lt;&gt;"","Sudah","Belum")</f>
        <v>Sudah</v>
      </c>
      <c r="HD235" s="330">
        <v>45887</v>
      </c>
      <c r="HE235" s="330" t="e">
        <v>#N/A</v>
      </c>
      <c r="HF235" s="330">
        <v>45907</v>
      </c>
      <c r="HG235" s="352">
        <v>45924</v>
      </c>
      <c r="HH23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5" s="330" t="s">
        <v>261</v>
      </c>
      <c r="HJ235" s="330" t="s">
        <v>261</v>
      </c>
      <c r="HK235" s="331"/>
      <c r="HL235" s="316"/>
      <c r="HM235" s="330">
        <v>45919</v>
      </c>
      <c r="HN235" s="330">
        <v>45919</v>
      </c>
      <c r="HO235" s="330" t="e">
        <v>#N/A</v>
      </c>
      <c r="HP235" s="331">
        <v>45929</v>
      </c>
      <c r="HQ23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35" s="330">
        <v>45926</v>
      </c>
      <c r="HS235" s="330"/>
      <c r="HT235" s="330">
        <v>45926</v>
      </c>
      <c r="HU235" s="527"/>
      <c r="HV235" s="331">
        <v>45934</v>
      </c>
      <c r="HW23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35" s="47"/>
      <c r="HY235" s="352"/>
      <c r="HZ235" s="352"/>
      <c r="IB235" s="618">
        <f>IFERROR(ROUND((Table1[[#This Row],[PLAN TC
finish]]-Table1[[#This Row],[PLAN MC-0
start]])/30,2),"")</f>
        <v>1.83</v>
      </c>
      <c r="IC235">
        <f>DATEDIF(Table1[[#This Row],[PLAN MC-0
start]],Table1[[#This Row],[PLAN TC
finish]],"m")</f>
        <v>1</v>
      </c>
    </row>
    <row r="236" spans="2:237" s="4" customFormat="1" ht="15" hidden="1" customHeight="1" x14ac:dyDescent="0.2">
      <c r="B236" s="311">
        <f>SUBTOTAL(3,$D$5:D236)</f>
        <v>84</v>
      </c>
      <c r="C236" s="459">
        <v>232</v>
      </c>
      <c r="D236" s="460" t="s">
        <v>673</v>
      </c>
      <c r="E236" s="461" t="s">
        <v>1807</v>
      </c>
      <c r="F236" s="461" t="s">
        <v>1808</v>
      </c>
      <c r="G236" s="462">
        <v>45935</v>
      </c>
      <c r="H236" s="338" t="s">
        <v>681</v>
      </c>
      <c r="I236" s="338" t="s">
        <v>278</v>
      </c>
      <c r="J236" s="315"/>
      <c r="K236" s="461" t="s">
        <v>676</v>
      </c>
      <c r="L236" s="316" t="s">
        <v>250</v>
      </c>
      <c r="M236" s="316" t="s">
        <v>269</v>
      </c>
      <c r="N236" s="463">
        <v>367</v>
      </c>
      <c r="O236" s="464" t="s">
        <v>252</v>
      </c>
      <c r="P236" s="465"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6" s="35" t="e">
        <v>#N/A</v>
      </c>
      <c r="S236" s="35">
        <v>1</v>
      </c>
      <c r="T236" s="151">
        <f>Table1[[#This Row],[Progres Total Aktual
(%)]]</f>
        <v>1</v>
      </c>
      <c r="U236" s="125">
        <f>Table1[[#This Row],[Progres Aktual
(%)]]-Table1[[#This Row],[Target Progres
(%)]]</f>
        <v>0</v>
      </c>
      <c r="V236" s="466">
        <f>Table1[[#This Row],["Volume
BA MC-0"]]</f>
        <v>395</v>
      </c>
      <c r="W236" s="467">
        <f>Table1[[#This Row],[Total Panjang Pipa Aktual
(Sum-&gt;)3]]</f>
        <v>360</v>
      </c>
      <c r="X236" s="47"/>
      <c r="Y236" s="67" t="s">
        <v>1809</v>
      </c>
      <c r="Z236" s="468">
        <v>989398061</v>
      </c>
      <c r="AA236" s="67">
        <f>Table1[[#This Row],[Nilai RAB Jaringan
(file pa aji)]]</f>
        <v>989398061</v>
      </c>
      <c r="AB236" s="469">
        <f>SUM(Table1[[#This Row],[RAB Kegiatan Umum]:[RAB Perizinan]])</f>
        <v>0</v>
      </c>
      <c r="AC236" s="469"/>
      <c r="AD236" s="469"/>
      <c r="AE236" s="469"/>
      <c r="AF236" s="469"/>
      <c r="AG236" s="436">
        <v>2107039</v>
      </c>
      <c r="AH236" s="151" t="e">
        <f>SUM(Table1[[#This Row],[Bobot Keg Umum]:[Bobot Perizinan]])</f>
        <v>#DIV/0!</v>
      </c>
      <c r="AI236" s="151" t="e">
        <f>Table1[[#This Row],[RAB Kegiatan Umum]]/Table1[[#This Row],[Nilai RAB Jaringan
(Exclude Ppn)]]</f>
        <v>#DIV/0!</v>
      </c>
      <c r="AJ236" s="151" t="e">
        <f>Table1[[#This Row],[RAB Pemasangan]]/Table1[[#This Row],[Nilai RAB Jaringan
(Exclude Ppn)]]</f>
        <v>#DIV/0!</v>
      </c>
      <c r="AK236" s="151" t="e">
        <f>Table1[[#This Row],[RAB Pengadaan]]/Table1[[#This Row],[Nilai RAB Jaringan
(Exclude Ppn)]]</f>
        <v>#DIV/0!</v>
      </c>
      <c r="AL236" s="151" t="e">
        <f>Table1[[#This Row],[RAB Perizinan]]/Table1[[#This Row],[Nilai RAB Jaringan
(Exclude Ppn)]]</f>
        <v>#DIV/0!</v>
      </c>
      <c r="AM236" s="47"/>
      <c r="AN236" s="470">
        <v>395</v>
      </c>
      <c r="AO236" s="470">
        <f>SUM(Table1[[#This Row],[Pipa 63 mm]:[Pipa 1,800 mm]])</f>
        <v>0</v>
      </c>
      <c r="AP236" s="470"/>
      <c r="AQ236" s="470"/>
      <c r="AR236" s="470"/>
      <c r="AS236" s="470"/>
      <c r="AT236" s="470"/>
      <c r="AU236" s="470"/>
      <c r="AV236" s="470"/>
      <c r="AW236" s="470"/>
      <c r="AX236" s="470"/>
      <c r="AY236" s="470"/>
      <c r="AZ236" s="470"/>
      <c r="BA236" s="470"/>
      <c r="BB236" s="470"/>
      <c r="BC236" s="470"/>
      <c r="BD236" s="470"/>
      <c r="BE236" s="470"/>
      <c r="BF236" s="470"/>
      <c r="BG236" s="470"/>
      <c r="BH236" s="470"/>
      <c r="BI236" s="470"/>
      <c r="BJ236" s="446">
        <f>SUM(Table1[[#This Row],[Pipa 63 mm2]:[Pipa 1,800 mm21]])</f>
        <v>360</v>
      </c>
      <c r="BK236" s="471">
        <v>89</v>
      </c>
      <c r="BL236" s="471">
        <v>269</v>
      </c>
      <c r="BM236" s="471">
        <v>2</v>
      </c>
      <c r="BN236" s="471"/>
      <c r="BO236" s="471"/>
      <c r="BP236" s="471"/>
      <c r="BQ236" s="471"/>
      <c r="BR236" s="471"/>
      <c r="BS236" s="471"/>
      <c r="BT236" s="471"/>
      <c r="BU236" s="471"/>
      <c r="BV236" s="471"/>
      <c r="BW236" s="471"/>
      <c r="BX236" s="471"/>
      <c r="BY236" s="471"/>
      <c r="BZ236" s="471"/>
      <c r="CA236" s="471"/>
      <c r="CB236" s="471"/>
      <c r="CC236" s="471"/>
      <c r="CD236" s="471"/>
      <c r="CE236" s="471">
        <v>0</v>
      </c>
      <c r="CF236" s="471">
        <v>0</v>
      </c>
      <c r="CG236" s="471">
        <v>0</v>
      </c>
      <c r="CH236" s="471">
        <v>0</v>
      </c>
      <c r="CI236" s="471">
        <f t="shared" si="12"/>
        <v>0</v>
      </c>
      <c r="CJ236" s="65">
        <f>IF((Table1[[#This Row],["Volume
BA MC-0"]]-Table1[[#This Row],[Total Panjang Pipa Aktual
(Sum-&gt;)3]]-Table1[[#This Row],[Total Volume
tidak dapat dipasang]])&gt;=0,Table1[[#This Row],["Volume
BA MC-0"]]-Table1[[#This Row],[Total Panjang Pipa Aktual
(Sum-&gt;)3]]-Table1[[#This Row],[Total Volume
tidak dapat dipasang]],0)</f>
        <v>35</v>
      </c>
      <c r="CK236" s="47"/>
      <c r="CL236" s="472"/>
      <c r="CM236" s="151"/>
      <c r="CN236" s="472"/>
      <c r="CO236" s="472"/>
      <c r="CP23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6" s="473">
        <f>IFERROR(Table1[[#This Row],[Progres Keg. Umum
(%)]]*Table1[[#This Row],[Nilai RAB Jaringan
(file pa aji)]],0)</f>
        <v>0</v>
      </c>
      <c r="CR236" s="473">
        <f>IFERROR(Table1[[#This Row],[Progres MOS
(%)]]*Table1[[#This Row],[Nilai RAB Jaringan
(file pa aji)]],0)</f>
        <v>0</v>
      </c>
      <c r="CS236" s="473">
        <f>IFERROR(Table1[[#This Row],[Progres Pemasangan
(%)]]*Table1[[#This Row],[Nilai RAB Jaringan
(file pa aji)]],0)</f>
        <v>0</v>
      </c>
      <c r="CT236" s="473">
        <f>IFERROR(Table1[[#This Row],[Progres Perizinan
(%)]]*Table1[[#This Row],[Nilai RAB Jaringan
(file pa aji)]],0)</f>
        <v>0</v>
      </c>
      <c r="CU236" s="329">
        <v>748396270</v>
      </c>
      <c r="CV236" s="329">
        <v>748396270</v>
      </c>
      <c r="CW236" s="580">
        <v>748396270</v>
      </c>
      <c r="CX236" s="329">
        <v>748396270</v>
      </c>
      <c r="CY236" s="47"/>
      <c r="CZ236" s="330">
        <v>45803</v>
      </c>
      <c r="DA236" s="330">
        <v>45823</v>
      </c>
      <c r="DB236" s="331">
        <v>45804</v>
      </c>
      <c r="DC236" s="334" t="s">
        <v>1810</v>
      </c>
      <c r="DD236" s="468">
        <v>989398061</v>
      </c>
      <c r="DE23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6" s="331">
        <v>45825</v>
      </c>
      <c r="DG236" s="334" t="s">
        <v>1811</v>
      </c>
      <c r="DH236" s="468">
        <v>989398061</v>
      </c>
      <c r="DI236"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36" s="330">
        <v>45824</v>
      </c>
      <c r="DK236" s="330">
        <v>45872</v>
      </c>
      <c r="DL236" s="331">
        <v>45828</v>
      </c>
      <c r="DM236" s="334" t="s">
        <v>1812</v>
      </c>
      <c r="DN23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6" s="331">
        <v>45853</v>
      </c>
      <c r="DP236" s="334" t="s">
        <v>1813</v>
      </c>
      <c r="DQ236" s="461" t="s">
        <v>1542</v>
      </c>
      <c r="DR23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6" s="330">
        <v>45824</v>
      </c>
      <c r="DT236" s="330" t="e">
        <v>#N/A</v>
      </c>
      <c r="DU236" s="330">
        <v>45858</v>
      </c>
      <c r="DV236" s="330" t="e">
        <v>#N/A</v>
      </c>
      <c r="DW236" s="331">
        <v>45828</v>
      </c>
      <c r="DX236" s="334" t="s">
        <v>1814</v>
      </c>
      <c r="DY236" s="334"/>
      <c r="DZ236" s="334"/>
      <c r="EA23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6" s="331">
        <v>46039</v>
      </c>
      <c r="EC236" s="335"/>
      <c r="ED236" s="335"/>
      <c r="EE236" s="527" t="s">
        <v>1815</v>
      </c>
      <c r="EF236" s="151">
        <v>1</v>
      </c>
      <c r="EG236" s="475">
        <v>1</v>
      </c>
      <c r="EH236" s="316" t="str">
        <f>IF(Table1[[#This Row],[PO Material Aktual 
(%)]]&gt;=100%,"Selesai PO = 100%",IF(Table1[[#This Row],[PO Material Aktual 
(%)]]&gt;=50%,"Proses PO &gt; 100%",IF(Table1[[#This Row],[PO Material Aktual 
(%)]]&gt;0%,"Proses PO &gt; 50%",IF(Table1[[#This Row],[PO Material Aktual 
(%)]]=0,"Belum PO = 0%"))))</f>
        <v>Selesai PO = 100%</v>
      </c>
      <c r="EI23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6" s="330">
        <v>45859</v>
      </c>
      <c r="EK236" s="330" t="e">
        <v>#N/A</v>
      </c>
      <c r="EL236" s="330">
        <v>45900</v>
      </c>
      <c r="EM236" s="330" t="e">
        <v>#N/A</v>
      </c>
      <c r="EN236" s="331">
        <v>46088</v>
      </c>
      <c r="EO236" s="332"/>
      <c r="EP236" s="332"/>
      <c r="EQ236" s="87">
        <v>1</v>
      </c>
      <c r="ER236" s="87">
        <v>1</v>
      </c>
      <c r="ES236" s="316" t="str">
        <f>IF(Table1[[#This Row],[Progres MOS]]&gt;=100%,"Selesai MOS = 100%",IF(Table1[[#This Row],[Progres MOS]]&gt;=50%,"Proses MOS &gt; 100%",IF(Table1[[#This Row],[Progres MOS]]&gt;0%,"Proses MOS &gt; 50%",IF(Table1[[#This Row],[Progres MOS]]=0,"Belum MOS = 0%"))))</f>
        <v>Selesai MOS = 100%</v>
      </c>
      <c r="ET23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6" s="47"/>
      <c r="EV236" s="330">
        <v>45824</v>
      </c>
      <c r="EW236" s="330" t="e">
        <v>#N/A</v>
      </c>
      <c r="EX236" s="330">
        <v>45900</v>
      </c>
      <c r="EY236" s="330" t="e">
        <v>#N/A</v>
      </c>
      <c r="EZ236" s="352" t="s">
        <v>298</v>
      </c>
      <c r="FA236" s="336" t="s">
        <v>259</v>
      </c>
      <c r="FB236" s="330" t="s">
        <v>260</v>
      </c>
      <c r="FC236" s="330">
        <v>45805</v>
      </c>
      <c r="FD236" s="330" t="s">
        <v>260</v>
      </c>
      <c r="FE236" s="330">
        <v>45863</v>
      </c>
      <c r="FF236" s="330">
        <v>45958</v>
      </c>
      <c r="FG236" s="330" t="s">
        <v>260</v>
      </c>
      <c r="FH236" s="330" t="s">
        <v>260</v>
      </c>
      <c r="FI236" s="330">
        <v>46003</v>
      </c>
      <c r="FJ236" s="330" t="s">
        <v>260</v>
      </c>
      <c r="FK236" s="330">
        <v>46111</v>
      </c>
      <c r="FL236" s="336" t="s">
        <v>298</v>
      </c>
      <c r="FM236" s="352">
        <v>45805</v>
      </c>
      <c r="FN236" s="338">
        <f>IF(Table1[[#This Row],[Tanggal Pengajuan Dokumen]]="","",Table1[[#This Row],[PLAN PERMIT
start]]-Table1[[#This Row],[Tanggal Pengajuan Dokumen]])</f>
        <v>19</v>
      </c>
      <c r="FO236" s="437">
        <v>46086</v>
      </c>
      <c r="FP236" s="316"/>
      <c r="FQ236" s="338"/>
      <c r="FR236" s="338"/>
      <c r="FS236" s="338" t="str">
        <f t="shared" si="11"/>
        <v>Sudah Terbit</v>
      </c>
      <c r="FT236"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6" s="476">
        <f ca="1">IF(Table1[[#This Row],[Status Izin]]="Selesai",Table1[[#This Row],[PLAN PERMIT
finish]]-Table1[[#This Row],[Tanggal Terbit/ Target Izin Terbit]],ROUNDUP(Table1[[#This Row],[PLAN PERMIT
finish]]-NOW(),0))</f>
        <v>-186</v>
      </c>
      <c r="FV236"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6" s="476"/>
      <c r="FX236" s="47"/>
      <c r="FY236" s="340"/>
      <c r="FZ236" s="341"/>
      <c r="GA23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6" s="330">
        <v>45874</v>
      </c>
      <c r="GC236" s="477">
        <v>45826</v>
      </c>
      <c r="GD236"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6" s="330">
        <v>45881</v>
      </c>
      <c r="GF236" s="477">
        <v>45828</v>
      </c>
      <c r="GG236"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6" s="330">
        <v>45887</v>
      </c>
      <c r="GI236" s="330">
        <v>45893</v>
      </c>
      <c r="GJ236" s="477">
        <v>45832</v>
      </c>
      <c r="GK236"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6" s="330">
        <v>45901</v>
      </c>
      <c r="GM236" s="330" t="e">
        <v>#N/A</v>
      </c>
      <c r="GN236" s="330">
        <v>45914</v>
      </c>
      <c r="GO236" s="330" t="e">
        <v>#N/A</v>
      </c>
      <c r="GP236" s="334"/>
      <c r="GQ236"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6" s="330" t="s">
        <v>261</v>
      </c>
      <c r="GS236" s="421" t="s">
        <v>261</v>
      </c>
      <c r="GT236" s="431">
        <v>45866</v>
      </c>
      <c r="GU236" s="478" t="str">
        <f>IF(Table1[[#This Row],[Hydro Tes Actual
(tanggal)]]&lt;&gt;"","Sudah","Belum")</f>
        <v>Sudah</v>
      </c>
      <c r="GV236" s="330" t="s">
        <v>261</v>
      </c>
      <c r="GW236" s="330" t="s">
        <v>261</v>
      </c>
      <c r="GX236" s="420">
        <v>45866</v>
      </c>
      <c r="GY236" s="344" t="str">
        <f>IF(Table1[[#This Row],[Interkoneksi Actual
(tanggal)]]&lt;&gt;"","Sudah","Belum")</f>
        <v>Sudah</v>
      </c>
      <c r="GZ236" s="330" t="s">
        <v>261</v>
      </c>
      <c r="HA236" s="421" t="s">
        <v>261</v>
      </c>
      <c r="HB236" s="432">
        <v>45867</v>
      </c>
      <c r="HC236" s="344" t="str">
        <f>IF(Table1[[#This Row],[Flushing Actual
(tanggal)]]&lt;&gt;"","Sudah","Belum")</f>
        <v>Sudah</v>
      </c>
      <c r="HD236" s="330">
        <v>45901</v>
      </c>
      <c r="HE236" s="330" t="e">
        <v>#N/A</v>
      </c>
      <c r="HF236" s="330">
        <v>45914</v>
      </c>
      <c r="HG236" s="477">
        <v>45909</v>
      </c>
      <c r="HH236"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36" s="330" t="s">
        <v>261</v>
      </c>
      <c r="HJ236" s="330" t="s">
        <v>261</v>
      </c>
      <c r="HK236" s="420"/>
      <c r="HL236" s="334"/>
      <c r="HM236" s="330">
        <v>45919</v>
      </c>
      <c r="HN236" s="330">
        <v>45919</v>
      </c>
      <c r="HO236" s="330" t="e">
        <v>#N/A</v>
      </c>
      <c r="HP236" s="420">
        <v>45929</v>
      </c>
      <c r="HQ236"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36" s="330">
        <v>45926</v>
      </c>
      <c r="HS236" s="330"/>
      <c r="HT236" s="330">
        <v>45926</v>
      </c>
      <c r="HU236" s="527"/>
      <c r="HV236" s="331">
        <v>45934</v>
      </c>
      <c r="HW236" s="420"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36" s="47"/>
      <c r="HY236" s="477"/>
      <c r="HZ236" s="477"/>
      <c r="IB236" s="618">
        <f>IFERROR(ROUND((Table1[[#This Row],[PLAN TC
finish]]-Table1[[#This Row],[PLAN MC-0
start]])/30,2),"")</f>
        <v>0.9</v>
      </c>
      <c r="IC236">
        <f>DATEDIF(Table1[[#This Row],[PLAN MC-0
start]],Table1[[#This Row],[PLAN TC
finish]],"m")</f>
        <v>0</v>
      </c>
    </row>
    <row r="237" spans="2:237" s="4" customFormat="1" ht="15" hidden="1" customHeight="1" x14ac:dyDescent="0.2">
      <c r="B237" s="311">
        <f>SUBTOTAL(3,$D$5:D237)</f>
        <v>84</v>
      </c>
      <c r="C237" s="316">
        <v>233</v>
      </c>
      <c r="D237" s="338" t="s">
        <v>629</v>
      </c>
      <c r="E237" s="338" t="s">
        <v>1816</v>
      </c>
      <c r="F237" s="338" t="s">
        <v>1817</v>
      </c>
      <c r="G237" s="349">
        <v>46117</v>
      </c>
      <c r="H237" s="314" t="s">
        <v>247</v>
      </c>
      <c r="I237" s="338" t="s">
        <v>248</v>
      </c>
      <c r="J237" s="480" t="s">
        <v>1818</v>
      </c>
      <c r="K237" s="338" t="s">
        <v>915</v>
      </c>
      <c r="L237" s="316" t="s">
        <v>250</v>
      </c>
      <c r="M237" s="355" t="s">
        <v>251</v>
      </c>
      <c r="N237" s="107">
        <v>2363</v>
      </c>
      <c r="O237" s="131" t="s">
        <v>252</v>
      </c>
      <c r="P23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7" s="320" t="s">
        <v>1819</v>
      </c>
      <c r="R237" s="35">
        <v>0.89951060580720976</v>
      </c>
      <c r="S237" s="34">
        <v>1</v>
      </c>
      <c r="T237" s="34">
        <f>Table1[[#This Row],[Progres Total Aktual
(%)]]</f>
        <v>0.82439331406627447</v>
      </c>
      <c r="U237" s="98">
        <f>Table1[[#This Row],[Progres Aktual
(%)]]-Table1[[#This Row],[Target Progres
(%)]]</f>
        <v>-0.17560668593372553</v>
      </c>
      <c r="V237" s="80">
        <f>Table1[[#This Row],["Volume
BA MC-0"]]</f>
        <v>2363</v>
      </c>
      <c r="W237" s="46">
        <f>Table1[[#This Row],[Total Panjang Pipa Aktual
(Sum-&gt;)3]]</f>
        <v>2107.5</v>
      </c>
      <c r="X237" s="47"/>
      <c r="Y237" s="67" t="s">
        <v>1820</v>
      </c>
      <c r="Z237" s="67">
        <v>48813195121</v>
      </c>
      <c r="AA237" s="458">
        <f>ROUND((Table1[[#This Row],[Nilai RAB Jaringan
(Exclude Ppn)]]-Table1[[#This Row],[RAB Perizinan]])*1.11+Table1[[#This Row],[RAB Perizinan]],0)</f>
        <v>48813195120</v>
      </c>
      <c r="AB237" s="436">
        <f>SUM(Table1[[#This Row],[RAB Kegiatan Umum]:[RAB Perizinan]])</f>
        <v>43984963701</v>
      </c>
      <c r="AC237" s="481">
        <v>1778006120</v>
      </c>
      <c r="AD237" s="482">
        <v>22225076498</v>
      </c>
      <c r="AE237" s="436">
        <v>19889930283</v>
      </c>
      <c r="AF237" s="436">
        <v>91950800</v>
      </c>
      <c r="AG237" s="483">
        <v>0</v>
      </c>
      <c r="AH237" s="33">
        <f>SUM(Table1[[#This Row],[Bobot Keg Umum]:[Bobot Perizinan]])</f>
        <v>1</v>
      </c>
      <c r="AI237" s="33">
        <f>Table1[[#This Row],[RAB Kegiatan Umum]]/Table1[[#This Row],[Nilai RAB Jaringan
(Exclude Ppn)]]</f>
        <v>4.0423043931250915E-2</v>
      </c>
      <c r="AJ237" s="33">
        <f>Table1[[#This Row],[RAB Pemasangan]]/Table1[[#This Row],[Nilai RAB Jaringan
(Exclude Ppn)]]</f>
        <v>0.50528804909516645</v>
      </c>
      <c r="AK237" s="33">
        <f>Table1[[#This Row],[RAB Pengadaan]]/Table1[[#This Row],[Nilai RAB Jaringan
(Exclude Ppn)]]</f>
        <v>0.452198401667609</v>
      </c>
      <c r="AL237" s="33">
        <f>Table1[[#This Row],[RAB Perizinan]]/Table1[[#This Row],[Nilai RAB Jaringan
(Exclude Ppn)]]</f>
        <v>2.0905053059736751E-3</v>
      </c>
      <c r="AM237" s="47"/>
      <c r="AN237" s="285">
        <v>2363</v>
      </c>
      <c r="AO237" s="285">
        <f>SUM(Table1[[#This Row],[Pipa 63 mm]:[Pipa 1,800 mm]])</f>
        <v>2363</v>
      </c>
      <c r="AP237" s="285"/>
      <c r="AQ237" s="285"/>
      <c r="AR237" s="285"/>
      <c r="AS237" s="285"/>
      <c r="AT237" s="285"/>
      <c r="AU237" s="285"/>
      <c r="AV237" s="285"/>
      <c r="AW237" s="285"/>
      <c r="AX237" s="285"/>
      <c r="AY237" s="285"/>
      <c r="AZ237" s="285">
        <v>2363</v>
      </c>
      <c r="BA237" s="285"/>
      <c r="BB237" s="285"/>
      <c r="BC237" s="285"/>
      <c r="BD237" s="285"/>
      <c r="BE237" s="285"/>
      <c r="BF237" s="285"/>
      <c r="BG237" s="285"/>
      <c r="BH237" s="285"/>
      <c r="BI237" s="285"/>
      <c r="BJ237" s="36">
        <f>SUM(Table1[[#This Row],[Pipa 63 mm2]:[Pipa 1,800 mm21]])</f>
        <v>2107.5</v>
      </c>
      <c r="BK237" s="32"/>
      <c r="BL237" s="32"/>
      <c r="BM237" s="32"/>
      <c r="BN237" s="32"/>
      <c r="BO237" s="32"/>
      <c r="BP237" s="32"/>
      <c r="BQ237" s="32"/>
      <c r="BR237" s="32"/>
      <c r="BS237" s="32"/>
      <c r="BT237" s="32"/>
      <c r="BU237" s="32">
        <v>2107.5</v>
      </c>
      <c r="BV237" s="32"/>
      <c r="BW237" s="32"/>
      <c r="BX237" s="32"/>
      <c r="BY237" s="32"/>
      <c r="BZ237" s="32"/>
      <c r="CA237" s="32"/>
      <c r="CB237" s="32"/>
      <c r="CC237" s="32"/>
      <c r="CD237" s="32"/>
      <c r="CE237" s="32"/>
      <c r="CF237" s="32"/>
      <c r="CG237" s="32"/>
      <c r="CH237" s="32"/>
      <c r="CI237" s="32">
        <f t="shared" si="12"/>
        <v>0</v>
      </c>
      <c r="CJ237" s="65">
        <f>IF((Table1[[#This Row],["Volume
BA MC-0"]]-Table1[[#This Row],[Total Panjang Pipa Aktual
(Sum-&gt;)3]]-Table1[[#This Row],[Total Volume
tidak dapat dipasang]])&gt;=0,Table1[[#This Row],["Volume
BA MC-0"]]-Table1[[#This Row],[Total Panjang Pipa Aktual
(Sum-&gt;)3]]-Table1[[#This Row],[Total Volume
tidak dapat dipasang]],0)</f>
        <v>255.5</v>
      </c>
      <c r="CK237" s="47"/>
      <c r="CL237" s="484" t="s">
        <v>1821</v>
      </c>
      <c r="CM237" s="34" t="s">
        <v>1821</v>
      </c>
      <c r="CN237" s="484" t="s">
        <v>1821</v>
      </c>
      <c r="CO237" s="484" t="s">
        <v>1821</v>
      </c>
      <c r="CP23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0.82439331406627447</v>
      </c>
      <c r="CQ237" s="66">
        <f>IFERROR(Table1[[#This Row],[Progres Keg. Umum
(%)]]*Table1[[#This Row],[Nilai RAB Jaringan
(file pa aji)]],0)</f>
        <v>0</v>
      </c>
      <c r="CR237" s="66">
        <f>IFERROR(Table1[[#This Row],[Progres MOS
(%)]]*Table1[[#This Row],[Nilai RAB Jaringan
(file pa aji)]],0)</f>
        <v>0</v>
      </c>
      <c r="CS237" s="66">
        <f>IFERROR(Table1[[#This Row],[Progres Pemasangan
(%)]]*Table1[[#This Row],[Nilai RAB Jaringan
(file pa aji)]],0)</f>
        <v>0</v>
      </c>
      <c r="CT237" s="66">
        <f>IFERROR(Table1[[#This Row],[Progres Perizinan
(%)]]*Table1[[#This Row],[Nilai RAB Jaringan
(file pa aji)]],0)</f>
        <v>0</v>
      </c>
      <c r="CU237" s="329">
        <v>40241271695.140495</v>
      </c>
      <c r="CV237" s="329">
        <v>40241271695.140495</v>
      </c>
      <c r="CW237" s="583">
        <v>0</v>
      </c>
      <c r="CX237" s="329">
        <v>0</v>
      </c>
      <c r="CY237" s="47"/>
      <c r="CZ237" s="330">
        <v>45803</v>
      </c>
      <c r="DA237" s="330">
        <v>45830</v>
      </c>
      <c r="DB237" s="331">
        <v>45776</v>
      </c>
      <c r="DC237" s="316" t="s">
        <v>1822</v>
      </c>
      <c r="DD237" s="67">
        <v>50475884742</v>
      </c>
      <c r="DE23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7" s="331">
        <v>45807</v>
      </c>
      <c r="DG237" s="316" t="s">
        <v>1823</v>
      </c>
      <c r="DH237" s="67">
        <v>50475884742</v>
      </c>
      <c r="DI23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7" s="330">
        <v>45831</v>
      </c>
      <c r="DK237" s="330">
        <v>45900</v>
      </c>
      <c r="DL237" s="331">
        <v>45874</v>
      </c>
      <c r="DM237" s="316" t="s">
        <v>1824</v>
      </c>
      <c r="DN23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7" s="331">
        <v>45894</v>
      </c>
      <c r="DP237" s="316" t="s">
        <v>1825</v>
      </c>
      <c r="DQ237" s="338" t="s">
        <v>1826</v>
      </c>
      <c r="DR23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7" s="330">
        <v>45831</v>
      </c>
      <c r="DT237" s="330" t="e">
        <v>#N/A</v>
      </c>
      <c r="DU237" s="330">
        <v>45872</v>
      </c>
      <c r="DV237" s="330" t="e">
        <v>#N/A</v>
      </c>
      <c r="DW237" s="331">
        <v>46036</v>
      </c>
      <c r="DX237" s="316" t="s">
        <v>1827</v>
      </c>
      <c r="DY237" s="334">
        <v>166</v>
      </c>
      <c r="DZ237" s="334">
        <v>166</v>
      </c>
      <c r="EA23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37" s="331"/>
      <c r="EC237" s="332">
        <v>122</v>
      </c>
      <c r="ED237" s="332">
        <v>122</v>
      </c>
      <c r="EE237" s="330"/>
      <c r="EF237" s="35">
        <v>0.73493975903614461</v>
      </c>
      <c r="EG237" s="35">
        <f>Table1[[#This Row],[Line PO (kolom  bantu)2]]/Table1[[#This Row],[Line PR]]</f>
        <v>0.73493975903614461</v>
      </c>
      <c r="EH237" s="316" t="str">
        <f>IF(Table1[[#This Row],[PO Material Aktual 
(%)]]&gt;=100%,"Selesai PO = 100%",IF(Table1[[#This Row],[PO Material Aktual 
(%)]]&gt;=50%,"Proses PO &gt; 100%",IF(Table1[[#This Row],[PO Material Aktual 
(%)]]&gt;0%,"Proses PO &gt; 50%",IF(Table1[[#This Row],[PO Material Aktual 
(%)]]=0,"Belum PO = 0%"))))</f>
        <v>Proses PO &gt; 100%</v>
      </c>
      <c r="EI23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37" s="330">
        <v>45873</v>
      </c>
      <c r="EK237" s="330" t="e">
        <v>#N/A</v>
      </c>
      <c r="EL237" s="330">
        <v>46019</v>
      </c>
      <c r="EM237" s="330" t="e">
        <v>#N/A</v>
      </c>
      <c r="EN237" s="331"/>
      <c r="EO237" s="316">
        <v>116</v>
      </c>
      <c r="EP237" s="316">
        <v>116</v>
      </c>
      <c r="EQ237" s="35">
        <v>0.6987951807228916</v>
      </c>
      <c r="ER237" s="35">
        <f>Table1[[#This Row],[Line MOS]]/Table1[[#This Row],[Line PR]]</f>
        <v>0.6987951807228916</v>
      </c>
      <c r="ES237" s="316" t="str">
        <f>IF(Table1[[#This Row],[Progres MOS]]&gt;=100%,"Selesai MOS = 100%",IF(Table1[[#This Row],[Progres MOS]]&gt;=50%,"Proses MOS &gt; 100%",IF(Table1[[#This Row],[Progres MOS]]&gt;0%,"Proses MOS &gt; 50%",IF(Table1[[#This Row],[Progres MOS]]=0,"Belum MOS = 0%"))))</f>
        <v>Proses MOS &gt; 100%</v>
      </c>
      <c r="ET23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37" s="47"/>
      <c r="EV237" s="330">
        <v>45831</v>
      </c>
      <c r="EW237" s="330" t="e">
        <v>#N/A</v>
      </c>
      <c r="EX237" s="330">
        <v>45928</v>
      </c>
      <c r="EY237" s="330" t="e">
        <v>#N/A</v>
      </c>
      <c r="EZ237" s="352" t="s">
        <v>259</v>
      </c>
      <c r="FA237" s="336" t="s">
        <v>259</v>
      </c>
      <c r="FB237" s="330" t="s">
        <v>260</v>
      </c>
      <c r="FC237" s="330">
        <v>45857</v>
      </c>
      <c r="FD237" s="330" t="s">
        <v>260</v>
      </c>
      <c r="FE237" s="330">
        <v>45884</v>
      </c>
      <c r="FF237" s="330">
        <v>45919</v>
      </c>
      <c r="FG237" s="330" t="s">
        <v>260</v>
      </c>
      <c r="FH237" s="330" t="s">
        <v>260</v>
      </c>
      <c r="FI237" s="330">
        <v>45993</v>
      </c>
      <c r="FJ237" s="330" t="s">
        <v>260</v>
      </c>
      <c r="FK237" s="330">
        <v>46094</v>
      </c>
      <c r="FL237" s="336" t="s">
        <v>259</v>
      </c>
      <c r="FM237" s="352">
        <v>45857</v>
      </c>
      <c r="FN237" s="338">
        <f>IF(Table1[[#This Row],[Tanggal Pengajuan Dokumen]]="","",Table1[[#This Row],[PLAN PERMIT
start]]-Table1[[#This Row],[Tanggal Pengajuan Dokumen]])</f>
        <v>-26</v>
      </c>
      <c r="FO237" s="437">
        <v>46064</v>
      </c>
      <c r="FP237" s="316"/>
      <c r="FQ237" s="338"/>
      <c r="FR237" s="338"/>
      <c r="FS237" s="338" t="str">
        <f t="shared" si="11"/>
        <v>Sudah Terbit</v>
      </c>
      <c r="FT23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7" s="344">
        <f ca="1">IF(Table1[[#This Row],[Status Izin]]="Selesai",Table1[[#This Row],[PLAN PERMIT
finish]]-Table1[[#This Row],[Tanggal Terbit/ Target Izin Terbit]],ROUNDUP(Table1[[#This Row],[PLAN PERMIT
finish]]-NOW(),0))</f>
        <v>-136</v>
      </c>
      <c r="FV23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7" s="344"/>
      <c r="FX237" s="47"/>
      <c r="FY237" s="340"/>
      <c r="FZ237" s="341">
        <v>45911</v>
      </c>
      <c r="GA23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37" s="330">
        <v>45902</v>
      </c>
      <c r="GC237" s="352">
        <v>45997</v>
      </c>
      <c r="GD23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37" s="330">
        <v>45909</v>
      </c>
      <c r="GF237" s="352">
        <v>45970</v>
      </c>
      <c r="GG23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37" s="330">
        <v>45915</v>
      </c>
      <c r="GI237" s="330">
        <v>45921</v>
      </c>
      <c r="GJ237" s="352">
        <v>45970</v>
      </c>
      <c r="GK23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37" s="330">
        <v>45929</v>
      </c>
      <c r="GM237" s="330" t="e">
        <v>#N/A</v>
      </c>
      <c r="GN237" s="330">
        <v>46096</v>
      </c>
      <c r="GO237" s="330" t="e">
        <v>#N/A</v>
      </c>
      <c r="GP237" s="316"/>
      <c r="GQ23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7" s="330" t="s">
        <v>261</v>
      </c>
      <c r="GS237" s="330" t="s">
        <v>261</v>
      </c>
      <c r="GT237" s="330">
        <v>46130</v>
      </c>
      <c r="GU237" s="344" t="str">
        <f>IF(Table1[[#This Row],[Hydro Tes Actual
(tanggal)]]&lt;&gt;"","Sudah","Belum")</f>
        <v>Sudah</v>
      </c>
      <c r="GV237" s="330" t="s">
        <v>261</v>
      </c>
      <c r="GW237" s="330" t="s">
        <v>261</v>
      </c>
      <c r="GX237" s="330">
        <v>46130</v>
      </c>
      <c r="GY237" s="344" t="str">
        <f>IF(Table1[[#This Row],[Interkoneksi Actual
(tanggal)]]&lt;&gt;"","Sudah","Belum")</f>
        <v>Sudah</v>
      </c>
      <c r="GZ237" s="330" t="s">
        <v>261</v>
      </c>
      <c r="HA237" s="330" t="s">
        <v>261</v>
      </c>
      <c r="HB237" s="330">
        <v>46155</v>
      </c>
      <c r="HC237" s="344" t="str">
        <f>IF(Table1[[#This Row],[Flushing Actual
(tanggal)]]&lt;&gt;"","Sudah","Belum")</f>
        <v>Sudah</v>
      </c>
      <c r="HD237" s="330">
        <v>46069</v>
      </c>
      <c r="HE237" s="330" t="e">
        <v>#N/A</v>
      </c>
      <c r="HF237" s="330">
        <v>46082</v>
      </c>
      <c r="HG237" s="352">
        <v>46178</v>
      </c>
      <c r="HH23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7" s="330" t="s">
        <v>261</v>
      </c>
      <c r="HJ237" s="330" t="s">
        <v>261</v>
      </c>
      <c r="HK237" s="331"/>
      <c r="HL237" s="316"/>
      <c r="HM237" s="330">
        <v>46101</v>
      </c>
      <c r="HN237" s="330">
        <v>46101</v>
      </c>
      <c r="HO237" s="330" t="e">
        <v>#N/A</v>
      </c>
      <c r="HP237" s="331"/>
      <c r="HQ237"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37" s="330">
        <v>46108</v>
      </c>
      <c r="HS237" s="330"/>
      <c r="HT237" s="330">
        <v>46108</v>
      </c>
      <c r="HU237" s="330"/>
      <c r="HV237" s="331"/>
      <c r="HW23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37" s="47"/>
      <c r="HY237" s="352"/>
      <c r="HZ237" s="352"/>
      <c r="IB237" s="618">
        <f>IFERROR(ROUND((Table1[[#This Row],[PLAN TC
finish]]-Table1[[#This Row],[PLAN MC-0
start]])/30,2),"")</f>
        <v>5.57</v>
      </c>
      <c r="IC237">
        <f>DATEDIF(Table1[[#This Row],[PLAN MC-0
start]],Table1[[#This Row],[PLAN TC
finish]],"m")</f>
        <v>5</v>
      </c>
    </row>
    <row r="238" spans="2:237" s="4" customFormat="1" ht="15" hidden="1" customHeight="1" x14ac:dyDescent="0.2">
      <c r="B238" s="311">
        <f>SUBTOTAL(3,$D$5:D238)</f>
        <v>84</v>
      </c>
      <c r="C238" s="316">
        <v>234</v>
      </c>
      <c r="D238" s="338" t="s">
        <v>629</v>
      </c>
      <c r="E238" s="338" t="s">
        <v>1828</v>
      </c>
      <c r="F238" s="338" t="s">
        <v>1829</v>
      </c>
      <c r="G238" s="349">
        <v>46117</v>
      </c>
      <c r="H238" s="314" t="s">
        <v>247</v>
      </c>
      <c r="I238" s="338" t="s">
        <v>248</v>
      </c>
      <c r="J238" s="480" t="s">
        <v>1830</v>
      </c>
      <c r="K238" s="338" t="s">
        <v>632</v>
      </c>
      <c r="L238" s="316" t="s">
        <v>250</v>
      </c>
      <c r="M238" s="355" t="s">
        <v>251</v>
      </c>
      <c r="N238" s="107">
        <v>2248</v>
      </c>
      <c r="O238" s="131" t="s">
        <v>252</v>
      </c>
      <c r="P23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8" s="35">
        <v>0.9082112638787081</v>
      </c>
      <c r="S238" s="34">
        <v>1</v>
      </c>
      <c r="T238" s="34">
        <f>Table1[[#This Row],[Progres Total Aktual
(%)]]</f>
        <v>1</v>
      </c>
      <c r="U238" s="98">
        <f>Table1[[#This Row],[Progres Aktual
(%)]]-Table1[[#This Row],[Target Progres
(%)]]</f>
        <v>0</v>
      </c>
      <c r="V238" s="80">
        <f>Table1[[#This Row],["Volume
BA MC-0"]]</f>
        <v>2248</v>
      </c>
      <c r="W238" s="46">
        <f>Table1[[#This Row],[Total Panjang Pipa Aktual
(Sum-&gt;)3]]</f>
        <v>2183.6999999999998</v>
      </c>
      <c r="X238" s="47"/>
      <c r="Y238" s="67" t="s">
        <v>1831</v>
      </c>
      <c r="Z238" s="67">
        <v>161684727811.64001</v>
      </c>
      <c r="AA238" s="458">
        <f>ROUND((Table1[[#This Row],[Nilai RAB Jaringan
(Exclude Ppn)]]-Table1[[#This Row],[RAB Perizinan]])*1.11+Table1[[#This Row],[RAB Perizinan]],0)</f>
        <v>161684727812</v>
      </c>
      <c r="AB238" s="436">
        <f>SUM(Table1[[#This Row],[RAB Kegiatan Umum]:[RAB Perizinan]])</f>
        <v>145690776451</v>
      </c>
      <c r="AC238" s="436">
        <v>3299351015</v>
      </c>
      <c r="AD238" s="436">
        <v>54989183567</v>
      </c>
      <c r="AE238" s="436">
        <v>87111023242</v>
      </c>
      <c r="AF238" s="436">
        <v>291218627</v>
      </c>
      <c r="AG238" s="483">
        <v>0</v>
      </c>
      <c r="AH238" s="33">
        <f>SUM(Table1[[#This Row],[Bobot Keg Umum]:[Bobot Perizinan]])</f>
        <v>1</v>
      </c>
      <c r="AI238" s="33">
        <f>Table1[[#This Row],[RAB Kegiatan Umum]]/Table1[[#This Row],[Nilai RAB Jaringan
(Exclude Ppn)]]</f>
        <v>2.2646258708832311E-2</v>
      </c>
      <c r="AJ238" s="33">
        <f>Table1[[#This Row],[RAB Pemasangan]]/Table1[[#This Row],[Nilai RAB Jaringan
(Exclude Ppn)]]</f>
        <v>0.37743764503509558</v>
      </c>
      <c r="AK238" s="33">
        <f>Table1[[#This Row],[RAB Pengadaan]]/Table1[[#This Row],[Nilai RAB Jaringan
(Exclude Ppn)]]</f>
        <v>0.59791721455543168</v>
      </c>
      <c r="AL238" s="33">
        <f>Table1[[#This Row],[RAB Perizinan]]/Table1[[#This Row],[Nilai RAB Jaringan
(Exclude Ppn)]]</f>
        <v>1.9988817006404329E-3</v>
      </c>
      <c r="AM238" s="47"/>
      <c r="AN238" s="285">
        <v>2248</v>
      </c>
      <c r="AO238" s="285">
        <f>SUM(Table1[[#This Row],[Pipa 63 mm]:[Pipa 1,800 mm]])</f>
        <v>2307</v>
      </c>
      <c r="AP238" s="285"/>
      <c r="AQ238" s="285"/>
      <c r="AR238" s="285"/>
      <c r="AS238" s="285"/>
      <c r="AT238" s="285"/>
      <c r="AU238" s="285"/>
      <c r="AV238" s="285"/>
      <c r="AW238" s="285"/>
      <c r="AX238" s="285"/>
      <c r="AY238" s="285"/>
      <c r="AZ238" s="285"/>
      <c r="BA238" s="285"/>
      <c r="BB238" s="285"/>
      <c r="BC238" s="285"/>
      <c r="BD238" s="285"/>
      <c r="BE238" s="285"/>
      <c r="BF238" s="285"/>
      <c r="BG238" s="285"/>
      <c r="BH238" s="285">
        <v>2307</v>
      </c>
      <c r="BI238" s="285"/>
      <c r="BJ238" s="36">
        <f>SUM(Table1[[#This Row],[Pipa 63 mm2]:[Pipa 1,800 mm21]])</f>
        <v>2183.6999999999998</v>
      </c>
      <c r="BK238" s="32"/>
      <c r="BL238" s="32"/>
      <c r="BM238" s="32"/>
      <c r="BN238" s="32"/>
      <c r="BO238" s="32"/>
      <c r="BP238" s="32"/>
      <c r="BQ238" s="32"/>
      <c r="BR238" s="32"/>
      <c r="BS238" s="32"/>
      <c r="BT238" s="32"/>
      <c r="BU238" s="32"/>
      <c r="BV238" s="32"/>
      <c r="BW238" s="32"/>
      <c r="BX238" s="32"/>
      <c r="BY238" s="32"/>
      <c r="BZ238" s="32"/>
      <c r="CA238" s="32"/>
      <c r="CB238" s="32"/>
      <c r="CC238" s="32">
        <v>2183.6999999999998</v>
      </c>
      <c r="CD238" s="32"/>
      <c r="CE238" s="32"/>
      <c r="CF238" s="32"/>
      <c r="CG238" s="32"/>
      <c r="CH238" s="32"/>
      <c r="CI238" s="32">
        <f t="shared" si="12"/>
        <v>0</v>
      </c>
      <c r="CJ238" s="65">
        <f>IF((Table1[[#This Row],["Volume
BA MC-0"]]-Table1[[#This Row],[Total Panjang Pipa Aktual
(Sum-&gt;)3]]-Table1[[#This Row],[Total Volume
tidak dapat dipasang]])&gt;=0,Table1[[#This Row],["Volume
BA MC-0"]]-Table1[[#This Row],[Total Panjang Pipa Aktual
(Sum-&gt;)3]]-Table1[[#This Row],[Total Volume
tidak dapat dipasang]],0)</f>
        <v>64.300000000000182</v>
      </c>
      <c r="CK238" s="47"/>
      <c r="CL238" s="327">
        <v>4.1999999999999997E-3</v>
      </c>
      <c r="CM238" s="34">
        <v>0.1721</v>
      </c>
      <c r="CN238" s="327">
        <v>1E-4</v>
      </c>
      <c r="CO238" s="327">
        <v>0</v>
      </c>
      <c r="CP23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8" s="66">
        <f>IFERROR(Table1[[#This Row],[Progres Keg. Umum
(%)]]*Table1[[#This Row],[Nilai RAB Jaringan
(file pa aji)]],0)</f>
        <v>679075856.80888808</v>
      </c>
      <c r="CR238" s="66">
        <f>IFERROR(Table1[[#This Row],[Progres MOS
(%)]]*Table1[[#This Row],[Nilai RAB Jaringan
(file pa aji)]],0)</f>
        <v>27825941656.383247</v>
      </c>
      <c r="CS238" s="66">
        <f>IFERROR(Table1[[#This Row],[Progres Pemasangan
(%)]]*Table1[[#This Row],[Nilai RAB Jaringan
(file pa aji)]],0)</f>
        <v>16168472.781164002</v>
      </c>
      <c r="CT238" s="66">
        <f>IFERROR(Table1[[#This Row],[Progres Perizinan
(%)]]*Table1[[#This Row],[Nilai RAB Jaringan
(file pa aji)]],0)</f>
        <v>0</v>
      </c>
      <c r="CU238" s="329">
        <v>144789880439</v>
      </c>
      <c r="CV238" s="329">
        <v>144789880439</v>
      </c>
      <c r="CW238" s="583">
        <v>144789880439</v>
      </c>
      <c r="CX238" s="329">
        <v>144789880439</v>
      </c>
      <c r="CY238" s="47"/>
      <c r="CZ238" s="330">
        <v>45803</v>
      </c>
      <c r="DA238" s="330">
        <v>45830</v>
      </c>
      <c r="DB238" s="331">
        <v>45365</v>
      </c>
      <c r="DC238" s="316" t="s">
        <v>1832</v>
      </c>
      <c r="DD238" s="67">
        <v>161457209185</v>
      </c>
      <c r="DE23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8" s="331">
        <v>45805</v>
      </c>
      <c r="DG238" s="316" t="s">
        <v>1833</v>
      </c>
      <c r="DH238" s="67">
        <v>161457209185</v>
      </c>
      <c r="DI23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8" s="330">
        <v>45831</v>
      </c>
      <c r="DK238" s="330">
        <v>45900</v>
      </c>
      <c r="DL238" s="331">
        <v>45825</v>
      </c>
      <c r="DM238" s="316" t="s">
        <v>1834</v>
      </c>
      <c r="DN23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8" s="331">
        <v>45924</v>
      </c>
      <c r="DP238" s="316" t="s">
        <v>1835</v>
      </c>
      <c r="DQ238" s="338" t="s">
        <v>1836</v>
      </c>
      <c r="DR23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38" s="330">
        <v>45831</v>
      </c>
      <c r="DT238" s="330" t="e">
        <v>#N/A</v>
      </c>
      <c r="DU238" s="330">
        <v>45872</v>
      </c>
      <c r="DV238" s="330" t="e">
        <v>#N/A</v>
      </c>
      <c r="DW238" s="331">
        <v>45912</v>
      </c>
      <c r="DX238" s="316" t="s">
        <v>1837</v>
      </c>
      <c r="DY238" s="334">
        <v>150</v>
      </c>
      <c r="DZ238" s="334">
        <v>150</v>
      </c>
      <c r="EA23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38" s="331">
        <v>46080</v>
      </c>
      <c r="EC238" s="332">
        <v>128</v>
      </c>
      <c r="ED238" s="332">
        <v>128</v>
      </c>
      <c r="EE238" s="330" t="s">
        <v>1838</v>
      </c>
      <c r="EF238" s="35">
        <v>1</v>
      </c>
      <c r="EG238" s="337">
        <v>1</v>
      </c>
      <c r="EH238" s="316" t="str">
        <f>IF(Table1[[#This Row],[PO Material Aktual 
(%)]]&gt;=100%,"Selesai PO = 100%",IF(Table1[[#This Row],[PO Material Aktual 
(%)]]&gt;=50%,"Proses PO &gt; 100%",IF(Table1[[#This Row],[PO Material Aktual 
(%)]]&gt;0%,"Proses PO &gt; 50%",IF(Table1[[#This Row],[PO Material Aktual 
(%)]]=0,"Belum PO = 0%"))))</f>
        <v>Selesai PO = 100%</v>
      </c>
      <c r="EI23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8" s="330">
        <v>45873</v>
      </c>
      <c r="EK238" s="330" t="e">
        <v>#N/A</v>
      </c>
      <c r="EL238" s="330">
        <v>46019</v>
      </c>
      <c r="EM238" s="330" t="e">
        <v>#N/A</v>
      </c>
      <c r="EN238" s="331">
        <v>46107</v>
      </c>
      <c r="EO238" s="332">
        <f>Table1[[#This Row],[Line PO]]</f>
        <v>128</v>
      </c>
      <c r="EP238" s="332">
        <v>128</v>
      </c>
      <c r="EQ238" s="35">
        <v>0.85333333333333339</v>
      </c>
      <c r="ER238" s="35">
        <f>Table1[[#This Row],[Line MOS]]/Table1[[#This Row],[Line PR]]</f>
        <v>0.85333333333333339</v>
      </c>
      <c r="ES238" s="316" t="str">
        <f>IF(Table1[[#This Row],[Progres MOS]]&gt;=100%,"Selesai MOS = 100%",IF(Table1[[#This Row],[Progres MOS]]&gt;=50%,"Proses MOS &gt; 100%",IF(Table1[[#This Row],[Progres MOS]]&gt;0%,"Proses MOS &gt; 50%",IF(Table1[[#This Row],[Progres MOS]]=0,"Belum MOS = 0%"))))</f>
        <v>Proses MOS &gt; 100%</v>
      </c>
      <c r="ET23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8" s="47"/>
      <c r="EV238" s="330">
        <v>45831</v>
      </c>
      <c r="EW238" s="330" t="e">
        <v>#N/A</v>
      </c>
      <c r="EX238" s="330">
        <v>45928</v>
      </c>
      <c r="EY238" s="330" t="e">
        <v>#N/A</v>
      </c>
      <c r="EZ238" s="352" t="s">
        <v>259</v>
      </c>
      <c r="FA238" s="336" t="s">
        <v>259</v>
      </c>
      <c r="FB238" s="330" t="s">
        <v>260</v>
      </c>
      <c r="FC238" s="330">
        <v>45013</v>
      </c>
      <c r="FD238" s="330" t="s">
        <v>260</v>
      </c>
      <c r="FE238" s="330">
        <v>45139</v>
      </c>
      <c r="FF238" s="330">
        <v>45870</v>
      </c>
      <c r="FG238" s="330" t="s">
        <v>260</v>
      </c>
      <c r="FH238" s="330" t="s">
        <v>260</v>
      </c>
      <c r="FI238" s="330">
        <v>45195</v>
      </c>
      <c r="FJ238" s="330" t="s">
        <v>260</v>
      </c>
      <c r="FK238" s="330">
        <v>45573</v>
      </c>
      <c r="FL238" s="336" t="s">
        <v>259</v>
      </c>
      <c r="FM238" s="352">
        <v>45013</v>
      </c>
      <c r="FN238" s="338">
        <f>IF(Table1[[#This Row],[Tanggal Pengajuan Dokumen]]="","",Table1[[#This Row],[PLAN PERMIT
start]]-Table1[[#This Row],[Tanggal Pengajuan Dokumen]])</f>
        <v>818</v>
      </c>
      <c r="FO238" s="437">
        <v>45573</v>
      </c>
      <c r="FP238" s="316"/>
      <c r="FQ238" s="338"/>
      <c r="FR238" s="338" t="s">
        <v>172</v>
      </c>
      <c r="FS238" s="338" t="str">
        <f t="shared" si="11"/>
        <v>On Going</v>
      </c>
      <c r="FT23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38" s="344">
        <f ca="1">IF(Table1[[#This Row],[Status Izin]]="Selesai",Table1[[#This Row],[PLAN PERMIT
finish]]-Table1[[#This Row],[Tanggal Terbit/ Target Izin Terbit]],ROUNDUP(Table1[[#This Row],[PLAN PERMIT
finish]]-NOW(),0))</f>
        <v>-263</v>
      </c>
      <c r="FV23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38" s="344"/>
      <c r="FX238" s="47"/>
      <c r="FY238" s="340"/>
      <c r="FZ238" s="341">
        <v>45947</v>
      </c>
      <c r="GA23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38" s="330">
        <v>45902</v>
      </c>
      <c r="GC238" s="352">
        <v>45820</v>
      </c>
      <c r="GD23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8" s="330">
        <v>45909</v>
      </c>
      <c r="GF238" s="352">
        <v>45997</v>
      </c>
      <c r="GG23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38" s="330">
        <v>45915</v>
      </c>
      <c r="GI238" s="330">
        <v>45921</v>
      </c>
      <c r="GJ238" s="352">
        <v>45832</v>
      </c>
      <c r="GK23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8" s="330">
        <v>45929</v>
      </c>
      <c r="GM238" s="330" t="e">
        <v>#N/A</v>
      </c>
      <c r="GN238" s="330">
        <v>46096</v>
      </c>
      <c r="GO238" s="330" t="e">
        <v>#N/A</v>
      </c>
      <c r="GP238" s="316"/>
      <c r="GQ23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8" s="330" t="s">
        <v>261</v>
      </c>
      <c r="GS238" s="330" t="s">
        <v>261</v>
      </c>
      <c r="GT238" s="354">
        <v>46094</v>
      </c>
      <c r="GU238" s="344" t="str">
        <f>IF(Table1[[#This Row],[Hydro Tes Actual
(tanggal)]]&lt;&gt;"","Sudah","Belum")</f>
        <v>Sudah</v>
      </c>
      <c r="GV238" s="330" t="s">
        <v>261</v>
      </c>
      <c r="GW238" s="330" t="s">
        <v>261</v>
      </c>
      <c r="GX238" s="331">
        <v>46106</v>
      </c>
      <c r="GY238" s="344" t="str">
        <f>IF(Table1[[#This Row],[Interkoneksi Actual
(tanggal)]]&lt;&gt;"","Sudah","Belum")</f>
        <v>Sudah</v>
      </c>
      <c r="GZ238" s="330" t="s">
        <v>261</v>
      </c>
      <c r="HA238" s="330" t="s">
        <v>261</v>
      </c>
      <c r="HB238" s="331">
        <v>46107</v>
      </c>
      <c r="HC238" s="344" t="str">
        <f>IF(Table1[[#This Row],[Flushing Actual
(tanggal)]]&lt;&gt;"","Sudah","Belum")</f>
        <v>Sudah</v>
      </c>
      <c r="HD238" s="330">
        <v>46069</v>
      </c>
      <c r="HE238" s="330" t="e">
        <v>#N/A</v>
      </c>
      <c r="HF238" s="330">
        <v>46082</v>
      </c>
      <c r="HG238" s="352">
        <v>46115</v>
      </c>
      <c r="HH23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8" s="330" t="s">
        <v>261</v>
      </c>
      <c r="HJ238" s="330" t="s">
        <v>261</v>
      </c>
      <c r="HK238" s="331"/>
      <c r="HL238" s="316"/>
      <c r="HM238" s="330">
        <v>46101</v>
      </c>
      <c r="HN238" s="330">
        <v>46101</v>
      </c>
      <c r="HO238" s="330" t="e">
        <v>#N/A</v>
      </c>
      <c r="HP238" s="331">
        <v>46116</v>
      </c>
      <c r="HQ238"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38" s="330">
        <v>46108</v>
      </c>
      <c r="HS238" s="330"/>
      <c r="HT238" s="330">
        <v>46108</v>
      </c>
      <c r="HU238" s="330"/>
      <c r="HV238" s="331">
        <v>46116</v>
      </c>
      <c r="HW23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38" s="47"/>
      <c r="HY238" s="352"/>
      <c r="HZ238" s="352"/>
      <c r="IB238" s="618">
        <f>IFERROR(ROUND((Table1[[#This Row],[PLAN TC
finish]]-Table1[[#This Row],[PLAN MC-0
start]])/30,2),"")</f>
        <v>5.57</v>
      </c>
      <c r="IC238">
        <f>DATEDIF(Table1[[#This Row],[PLAN MC-0
start]],Table1[[#This Row],[PLAN TC
finish]],"m")</f>
        <v>5</v>
      </c>
    </row>
    <row r="239" spans="2:237" s="4" customFormat="1" ht="15" hidden="1" customHeight="1" x14ac:dyDescent="0.2">
      <c r="B239" s="311">
        <f>SUBTOTAL(3,$D$5:D239)</f>
        <v>84</v>
      </c>
      <c r="C239" s="316">
        <v>235</v>
      </c>
      <c r="D239" s="338" t="s">
        <v>629</v>
      </c>
      <c r="E239" s="338" t="s">
        <v>1839</v>
      </c>
      <c r="F239" s="338" t="s">
        <v>1840</v>
      </c>
      <c r="G239" s="349">
        <v>46117</v>
      </c>
      <c r="H239" s="314" t="s">
        <v>247</v>
      </c>
      <c r="I239" s="338" t="s">
        <v>248</v>
      </c>
      <c r="J239" s="480" t="s">
        <v>1830</v>
      </c>
      <c r="K239" s="338" t="s">
        <v>632</v>
      </c>
      <c r="L239" s="316" t="s">
        <v>250</v>
      </c>
      <c r="M239" s="355" t="s">
        <v>251</v>
      </c>
      <c r="N239" s="107">
        <v>484</v>
      </c>
      <c r="O239" s="131" t="s">
        <v>252</v>
      </c>
      <c r="P23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9" s="35">
        <v>0.81687503729062705</v>
      </c>
      <c r="S239" s="34">
        <v>1</v>
      </c>
      <c r="T239" s="34">
        <f>Table1[[#This Row],[Progres Total Aktual
(%)]]</f>
        <v>1</v>
      </c>
      <c r="U239" s="98">
        <f>Table1[[#This Row],[Progres Aktual
(%)]]-Table1[[#This Row],[Target Progres
(%)]]</f>
        <v>0</v>
      </c>
      <c r="V239" s="80">
        <f>Table1[[#This Row],["Volume
BA MC-0"]]</f>
        <v>484</v>
      </c>
      <c r="W239" s="46">
        <f>Table1[[#This Row],[Total Panjang Pipa Aktual
(Sum-&gt;)3]]</f>
        <v>539</v>
      </c>
      <c r="X239" s="47"/>
      <c r="Y239" s="67" t="s">
        <v>1841</v>
      </c>
      <c r="Z239" s="67">
        <v>27152951022.120003</v>
      </c>
      <c r="AA239" s="67">
        <f>ROUND((Table1[[#This Row],[Nilai RAB Jaringan
(Exclude Ppn)]]-Table1[[#This Row],[RAB Perizinan]])*1.11+Table1[[#This Row],[RAB Perizinan]],0)</f>
        <v>27152951021</v>
      </c>
      <c r="AB239" s="436">
        <f>SUM(Table1[[#This Row],[RAB Kegiatan Umum]:[RAB Perizinan]])</f>
        <v>24469463445</v>
      </c>
      <c r="AC239" s="436">
        <v>1111501224</v>
      </c>
      <c r="AD239" s="436">
        <v>11115012233</v>
      </c>
      <c r="AE239" s="436">
        <v>12168828145</v>
      </c>
      <c r="AF239" s="436">
        <v>74121843</v>
      </c>
      <c r="AG239" s="483">
        <v>0</v>
      </c>
      <c r="AH239" s="33">
        <f>SUM(Table1[[#This Row],[Bobot Keg Umum]:[Bobot Perizinan]])</f>
        <v>1</v>
      </c>
      <c r="AI239" s="33">
        <f>Table1[[#This Row],[RAB Kegiatan Umum]]/Table1[[#This Row],[Nilai RAB Jaringan
(Exclude Ppn)]]</f>
        <v>4.5424012933439291E-2</v>
      </c>
      <c r="AJ239" s="33">
        <f>Table1[[#This Row],[RAB Pemasangan]]/Table1[[#This Row],[Nilai RAB Jaringan
(Exclude Ppn)]]</f>
        <v>0.45424012904832212</v>
      </c>
      <c r="AK239" s="33">
        <f>Table1[[#This Row],[RAB Pengadaan]]/Table1[[#This Row],[Nilai RAB Jaringan
(Exclude Ppn)]]</f>
        <v>0.49730670116048392</v>
      </c>
      <c r="AL239" s="33">
        <f>Table1[[#This Row],[RAB Perizinan]]/Table1[[#This Row],[Nilai RAB Jaringan
(Exclude Ppn)]]</f>
        <v>3.0291568577547126E-3</v>
      </c>
      <c r="AM239" s="47"/>
      <c r="AN239" s="285">
        <v>484</v>
      </c>
      <c r="AO239" s="285">
        <f>SUM(Table1[[#This Row],[Pipa 63 mm]:[Pipa 1,800 mm]])</f>
        <v>562</v>
      </c>
      <c r="AP239" s="285"/>
      <c r="AQ239" s="285"/>
      <c r="AR239" s="285"/>
      <c r="AS239" s="285"/>
      <c r="AT239" s="285"/>
      <c r="AU239" s="285"/>
      <c r="AV239" s="285"/>
      <c r="AW239" s="285"/>
      <c r="AX239" s="285"/>
      <c r="AY239" s="285"/>
      <c r="AZ239" s="285"/>
      <c r="BA239" s="285"/>
      <c r="BB239" s="285"/>
      <c r="BC239" s="285"/>
      <c r="BD239" s="285"/>
      <c r="BE239" s="285">
        <v>562</v>
      </c>
      <c r="BF239" s="285"/>
      <c r="BG239" s="285"/>
      <c r="BH239" s="285"/>
      <c r="BI239" s="285"/>
      <c r="BJ239" s="36">
        <f>SUM(Table1[[#This Row],[Pipa 63 mm2]:[Pipa 1,800 mm21]])</f>
        <v>539</v>
      </c>
      <c r="BK239" s="32"/>
      <c r="BL239" s="32"/>
      <c r="BM239" s="32"/>
      <c r="BN239" s="32"/>
      <c r="BO239" s="32"/>
      <c r="BP239" s="32"/>
      <c r="BQ239" s="32"/>
      <c r="BR239" s="32"/>
      <c r="BS239" s="32"/>
      <c r="BT239" s="32"/>
      <c r="BU239" s="32"/>
      <c r="BV239" s="32"/>
      <c r="BW239" s="32"/>
      <c r="BX239" s="32"/>
      <c r="BY239" s="32"/>
      <c r="BZ239" s="32">
        <v>539</v>
      </c>
      <c r="CA239" s="32"/>
      <c r="CB239" s="32"/>
      <c r="CC239" s="32"/>
      <c r="CD239" s="32"/>
      <c r="CE239" s="32"/>
      <c r="CF239" s="32"/>
      <c r="CG239" s="32"/>
      <c r="CH239" s="32"/>
      <c r="CI239" s="32">
        <f t="shared" si="12"/>
        <v>0</v>
      </c>
      <c r="CJ239" s="65">
        <f>IF((Table1[[#This Row],["Volume
BA MC-0"]]-Table1[[#This Row],[Total Panjang Pipa Aktual
(Sum-&gt;)3]]-Table1[[#This Row],[Total Volume
tidak dapat dipasang]])&gt;=0,Table1[[#This Row],["Volume
BA MC-0"]]-Table1[[#This Row],[Total Panjang Pipa Aktual
(Sum-&gt;)3]]-Table1[[#This Row],[Total Volume
tidak dapat dipasang]],0)</f>
        <v>0</v>
      </c>
      <c r="CK239" s="47"/>
      <c r="CL239" s="327">
        <v>4.1000000000000003E-3</v>
      </c>
      <c r="CM239" s="34">
        <v>8.3000000000000004E-2</v>
      </c>
      <c r="CN239" s="327">
        <v>0</v>
      </c>
      <c r="CO239" s="327">
        <v>0</v>
      </c>
      <c r="CP23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9" s="66">
        <f>IFERROR(Table1[[#This Row],[Progres Keg. Umum
(%)]]*Table1[[#This Row],[Nilai RAB Jaringan
(file pa aji)]],0)</f>
        <v>111327099.19069202</v>
      </c>
      <c r="CR239" s="66">
        <f>IFERROR(Table1[[#This Row],[Progres MOS
(%)]]*Table1[[#This Row],[Nilai RAB Jaringan
(file pa aji)]],0)</f>
        <v>2253694934.8359604</v>
      </c>
      <c r="CS239" s="66">
        <f>IFERROR(Table1[[#This Row],[Progres Pemasangan
(%)]]*Table1[[#This Row],[Nilai RAB Jaringan
(file pa aji)]],0)</f>
        <v>0</v>
      </c>
      <c r="CT239" s="66">
        <f>IFERROR(Table1[[#This Row],[Progres Perizinan
(%)]]*Table1[[#This Row],[Nilai RAB Jaringan
(file pa aji)]],0)</f>
        <v>0</v>
      </c>
      <c r="CU239" s="329">
        <v>30081829643</v>
      </c>
      <c r="CV239" s="329">
        <v>30081829643</v>
      </c>
      <c r="CW239" s="583">
        <v>30081829643</v>
      </c>
      <c r="CX239" s="329">
        <v>30081829643</v>
      </c>
      <c r="CY239" s="47"/>
      <c r="CZ239" s="330">
        <v>45803</v>
      </c>
      <c r="DA239" s="330">
        <v>45830</v>
      </c>
      <c r="DB239" s="331">
        <v>45770</v>
      </c>
      <c r="DC239" s="316" t="s">
        <v>1842</v>
      </c>
      <c r="DD239" s="67">
        <v>27164979179</v>
      </c>
      <c r="DE23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9" s="331">
        <v>45798</v>
      </c>
      <c r="DG239" s="316" t="s">
        <v>1843</v>
      </c>
      <c r="DH239" s="67">
        <v>27164979179</v>
      </c>
      <c r="DI23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9" s="330">
        <v>45831</v>
      </c>
      <c r="DK239" s="330">
        <v>45991</v>
      </c>
      <c r="DL239" s="331">
        <v>45840</v>
      </c>
      <c r="DM239" s="316" t="s">
        <v>1844</v>
      </c>
      <c r="DN23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9" s="331">
        <v>45859</v>
      </c>
      <c r="DP239" s="316" t="s">
        <v>1845</v>
      </c>
      <c r="DQ239" s="338" t="s">
        <v>1836</v>
      </c>
      <c r="DR23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9" s="330">
        <v>45831</v>
      </c>
      <c r="DT239" s="330" t="e">
        <v>#N/A</v>
      </c>
      <c r="DU239" s="330">
        <v>45872</v>
      </c>
      <c r="DV239" s="330" t="e">
        <v>#N/A</v>
      </c>
      <c r="DW239" s="331">
        <v>45915</v>
      </c>
      <c r="DX239" s="316" t="s">
        <v>1846</v>
      </c>
      <c r="DY239" s="334">
        <v>111</v>
      </c>
      <c r="DZ239" s="334">
        <v>111</v>
      </c>
      <c r="EA23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39" s="331">
        <v>46113</v>
      </c>
      <c r="EC239" s="332">
        <v>82</v>
      </c>
      <c r="ED239" s="332">
        <v>82</v>
      </c>
      <c r="EE239" s="330" t="s">
        <v>1847</v>
      </c>
      <c r="EF239" s="35">
        <v>1</v>
      </c>
      <c r="EG239" s="337">
        <v>1</v>
      </c>
      <c r="EH239" s="316" t="str">
        <f>IF(Table1[[#This Row],[PO Material Aktual 
(%)]]&gt;=100%,"Selesai PO = 100%",IF(Table1[[#This Row],[PO Material Aktual 
(%)]]&gt;=50%,"Proses PO &gt; 100%",IF(Table1[[#This Row],[PO Material Aktual 
(%)]]&gt;0%,"Proses PO &gt; 50%",IF(Table1[[#This Row],[PO Material Aktual 
(%)]]=0,"Belum PO = 0%"))))</f>
        <v>Selesai PO = 100%</v>
      </c>
      <c r="EI23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9" s="330">
        <v>45873</v>
      </c>
      <c r="EK239" s="330" t="e">
        <v>#N/A</v>
      </c>
      <c r="EL239" s="330">
        <v>46019</v>
      </c>
      <c r="EM239" s="330" t="e">
        <v>#N/A</v>
      </c>
      <c r="EN239" s="331">
        <v>46141</v>
      </c>
      <c r="EO239" s="332">
        <f>Table1[[#This Row],[Line PO]]</f>
        <v>82</v>
      </c>
      <c r="EP239" s="332">
        <v>82</v>
      </c>
      <c r="EQ239" s="35">
        <v>0.73873873873873874</v>
      </c>
      <c r="ER239" s="35">
        <f>Table1[[#This Row],[Line MOS]]/Table1[[#This Row],[Line PR]]</f>
        <v>0.73873873873873874</v>
      </c>
      <c r="ES239" s="316" t="str">
        <f>IF(Table1[[#This Row],[Progres MOS]]&gt;=100%,"Selesai MOS = 100%",IF(Table1[[#This Row],[Progres MOS]]&gt;=50%,"Proses MOS &gt; 100%",IF(Table1[[#This Row],[Progres MOS]]&gt;0%,"Proses MOS &gt; 50%",IF(Table1[[#This Row],[Progres MOS]]=0,"Belum MOS = 0%"))))</f>
        <v>Proses MOS &gt; 100%</v>
      </c>
      <c r="ET23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9" s="47"/>
      <c r="EV239" s="330">
        <v>45831</v>
      </c>
      <c r="EW239" s="330" t="e">
        <v>#N/A</v>
      </c>
      <c r="EX239" s="330">
        <v>46019</v>
      </c>
      <c r="EY239" s="330" t="e">
        <v>#N/A</v>
      </c>
      <c r="EZ239" s="352" t="s">
        <v>259</v>
      </c>
      <c r="FA239" s="336" t="s">
        <v>259</v>
      </c>
      <c r="FB239" s="330" t="s">
        <v>260</v>
      </c>
      <c r="FC239" s="330">
        <v>45013</v>
      </c>
      <c r="FD239" s="330" t="s">
        <v>260</v>
      </c>
      <c r="FE239" s="330">
        <v>45139</v>
      </c>
      <c r="FF239" s="330">
        <v>45870</v>
      </c>
      <c r="FG239" s="330" t="s">
        <v>260</v>
      </c>
      <c r="FH239" s="330" t="s">
        <v>260</v>
      </c>
      <c r="FI239" s="330">
        <v>45195</v>
      </c>
      <c r="FJ239" s="330" t="s">
        <v>260</v>
      </c>
      <c r="FK239" s="330">
        <v>45573</v>
      </c>
      <c r="FL239" s="336" t="s">
        <v>259</v>
      </c>
      <c r="FM239" s="352">
        <v>45013</v>
      </c>
      <c r="FN239" s="338">
        <f>IF(Table1[[#This Row],[Tanggal Pengajuan Dokumen]]="","",Table1[[#This Row],[PLAN PERMIT
start]]-Table1[[#This Row],[Tanggal Pengajuan Dokumen]])</f>
        <v>818</v>
      </c>
      <c r="FO239" s="437">
        <v>45573</v>
      </c>
      <c r="FP239" s="316"/>
      <c r="FQ239" s="338"/>
      <c r="FR239" s="338" t="s">
        <v>175</v>
      </c>
      <c r="FS239" s="338" t="str">
        <f t="shared" si="11"/>
        <v>On Going</v>
      </c>
      <c r="FT23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39" s="344">
        <f ca="1">IF(Table1[[#This Row],[Status Izin]]="Selesai",Table1[[#This Row],[PLAN PERMIT
finish]]-Table1[[#This Row],[Tanggal Terbit/ Target Izin Terbit]],ROUNDUP(Table1[[#This Row],[PLAN PERMIT
finish]]-NOW(),0))</f>
        <v>-172</v>
      </c>
      <c r="FV23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39" s="344"/>
      <c r="FX239" s="47"/>
      <c r="FY239" s="340"/>
      <c r="FZ239" s="341">
        <v>45947</v>
      </c>
      <c r="GA23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39" s="330">
        <v>45993</v>
      </c>
      <c r="GC239" s="352">
        <v>45820</v>
      </c>
      <c r="GD23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9" s="330">
        <v>46000</v>
      </c>
      <c r="GF239" s="352">
        <v>45997</v>
      </c>
      <c r="GG23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9" s="330">
        <v>46006</v>
      </c>
      <c r="GI239" s="330">
        <v>46012</v>
      </c>
      <c r="GJ239" s="352">
        <v>45832</v>
      </c>
      <c r="GK23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9" s="330">
        <v>46020</v>
      </c>
      <c r="GM239" s="330" t="e">
        <v>#N/A</v>
      </c>
      <c r="GN239" s="330">
        <v>46096</v>
      </c>
      <c r="GO239" s="330" t="e">
        <v>#N/A</v>
      </c>
      <c r="GP239" s="316"/>
      <c r="GQ23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9" s="330" t="s">
        <v>261</v>
      </c>
      <c r="GS239" s="330" t="s">
        <v>261</v>
      </c>
      <c r="GT239" s="354">
        <v>46101</v>
      </c>
      <c r="GU239" s="344" t="str">
        <f>IF(Table1[[#This Row],[Hydro Tes Actual
(tanggal)]]&lt;&gt;"","Sudah","Belum")</f>
        <v>Sudah</v>
      </c>
      <c r="GV239" s="330" t="s">
        <v>261</v>
      </c>
      <c r="GW239" s="330" t="s">
        <v>261</v>
      </c>
      <c r="GX239" s="331">
        <v>46106</v>
      </c>
      <c r="GY239" s="344" t="str">
        <f>IF(Table1[[#This Row],[Interkoneksi Actual
(tanggal)]]&lt;&gt;"","Sudah","Belum")</f>
        <v>Sudah</v>
      </c>
      <c r="GZ239" s="330" t="s">
        <v>261</v>
      </c>
      <c r="HA239" s="330" t="s">
        <v>261</v>
      </c>
      <c r="HB239" s="331">
        <v>46107</v>
      </c>
      <c r="HC239" s="344" t="str">
        <f>IF(Table1[[#This Row],[Flushing Actual
(tanggal)]]&lt;&gt;"","Sudah","Belum")</f>
        <v>Sudah</v>
      </c>
      <c r="HD239" s="330">
        <v>46069</v>
      </c>
      <c r="HE239" s="330" t="e">
        <v>#N/A</v>
      </c>
      <c r="HF239" s="330">
        <v>46082</v>
      </c>
      <c r="HG239" s="352">
        <v>46112</v>
      </c>
      <c r="HH23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9" s="330" t="s">
        <v>261</v>
      </c>
      <c r="HJ239" s="330" t="s">
        <v>261</v>
      </c>
      <c r="HK239" s="331"/>
      <c r="HL239" s="316"/>
      <c r="HM239" s="330">
        <v>46101</v>
      </c>
      <c r="HN239" s="330">
        <v>46101</v>
      </c>
      <c r="HO239" s="330" t="e">
        <v>#N/A</v>
      </c>
      <c r="HP239" s="331">
        <v>46116</v>
      </c>
      <c r="HQ239"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39" s="330">
        <v>46108</v>
      </c>
      <c r="HS239" s="330"/>
      <c r="HT239" s="330">
        <v>46108</v>
      </c>
      <c r="HU239" s="330"/>
      <c r="HV239" s="331">
        <v>46116</v>
      </c>
      <c r="HW23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39" s="47"/>
      <c r="HY239" s="352"/>
      <c r="HZ239" s="352"/>
      <c r="IB239" s="618">
        <f>IFERROR(ROUND((Table1[[#This Row],[PLAN TC
finish]]-Table1[[#This Row],[PLAN MC-0
start]])/30,2),"")</f>
        <v>2.5299999999999998</v>
      </c>
      <c r="IC239">
        <f>DATEDIF(Table1[[#This Row],[PLAN MC-0
start]],Table1[[#This Row],[PLAN TC
finish]],"m")</f>
        <v>2</v>
      </c>
    </row>
    <row r="240" spans="2:237" s="4" customFormat="1" ht="15" hidden="1" customHeight="1" x14ac:dyDescent="0.2">
      <c r="B240" s="311">
        <f>SUBTOTAL(3,$D$5:D240)</f>
        <v>84</v>
      </c>
      <c r="C240" s="316">
        <v>236</v>
      </c>
      <c r="D240" s="338" t="s">
        <v>629</v>
      </c>
      <c r="E240" s="338" t="s">
        <v>1848</v>
      </c>
      <c r="F240" s="338" t="s">
        <v>1849</v>
      </c>
      <c r="G240" s="349">
        <v>46117</v>
      </c>
      <c r="H240" s="314" t="s">
        <v>247</v>
      </c>
      <c r="I240" s="338" t="s">
        <v>248</v>
      </c>
      <c r="J240" s="480" t="s">
        <v>1818</v>
      </c>
      <c r="K240" s="338" t="s">
        <v>632</v>
      </c>
      <c r="L240" s="316" t="s">
        <v>250</v>
      </c>
      <c r="M240" s="355" t="s">
        <v>251</v>
      </c>
      <c r="N240" s="107">
        <v>4450</v>
      </c>
      <c r="O240" s="131" t="s">
        <v>252</v>
      </c>
      <c r="P24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0" s="35">
        <v>0.89813023006235615</v>
      </c>
      <c r="S240" s="34">
        <v>1</v>
      </c>
      <c r="T240" s="34">
        <f>Table1[[#This Row],[Progres Total Aktual
(%)]]</f>
        <v>0.81768367320736579</v>
      </c>
      <c r="U240" s="98">
        <f>Table1[[#This Row],[Progres Aktual
(%)]]-Table1[[#This Row],[Target Progres
(%)]]</f>
        <v>-0.18231632679263421</v>
      </c>
      <c r="V240" s="80">
        <f>Table1[[#This Row],["Volume
BA MC-0"]]</f>
        <v>4335</v>
      </c>
      <c r="W240" s="46">
        <f>Table1[[#This Row],[Total Panjang Pipa Aktual
(Sum-&gt;)3]]</f>
        <v>3046.4</v>
      </c>
      <c r="X240" s="47"/>
      <c r="Y240" s="67" t="s">
        <v>1850</v>
      </c>
      <c r="Z240" s="67">
        <v>201942465302.90002</v>
      </c>
      <c r="AA240" s="67">
        <f>ROUND((Table1[[#This Row],[Nilai RAB Jaringan
(Exclude Ppn)]]-Table1[[#This Row],[RAB Perizinan]])*1.11+Table1[[#This Row],[RAB Perizinan]],0)</f>
        <v>201942465303</v>
      </c>
      <c r="AB240" s="436">
        <f>SUM(Table1[[#This Row],[RAB Kegiatan Umum]:[RAB Perizinan]])</f>
        <v>181969587984</v>
      </c>
      <c r="AC240" s="436">
        <v>5916445186</v>
      </c>
      <c r="AD240" s="436">
        <v>98607419756</v>
      </c>
      <c r="AE240" s="436">
        <v>77047747048</v>
      </c>
      <c r="AF240" s="436">
        <v>397975994</v>
      </c>
      <c r="AG240" s="483">
        <v>0</v>
      </c>
      <c r="AH240" s="33">
        <f>SUM(Table1[[#This Row],[Bobot Keg Umum]:[Bobot Perizinan]])</f>
        <v>1</v>
      </c>
      <c r="AI240" s="33">
        <f>Table1[[#This Row],[RAB Kegiatan Umum]]/Table1[[#This Row],[Nilai RAB Jaringan
(Exclude Ppn)]]</f>
        <v>3.2513373534264492E-2</v>
      </c>
      <c r="AJ240" s="33">
        <f>Table1[[#This Row],[RAB Pemasangan]]/Table1[[#This Row],[Nilai RAB Jaringan
(Exclude Ppn)]]</f>
        <v>0.54188955884579038</v>
      </c>
      <c r="AK240" s="33">
        <f>Table1[[#This Row],[RAB Pengadaan]]/Table1[[#This Row],[Nilai RAB Jaringan
(Exclude Ppn)]]</f>
        <v>0.42341002088093183</v>
      </c>
      <c r="AL240" s="33">
        <f>Table1[[#This Row],[RAB Perizinan]]/Table1[[#This Row],[Nilai RAB Jaringan
(Exclude Ppn)]]</f>
        <v>2.1870467390132948E-3</v>
      </c>
      <c r="AM240" s="47"/>
      <c r="AN240" s="285">
        <v>4335</v>
      </c>
      <c r="AO240" s="285">
        <f>SUM(Table1[[#This Row],[Pipa 63 mm]:[Pipa 1,800 mm]])</f>
        <v>4335</v>
      </c>
      <c r="AP240" s="285"/>
      <c r="AQ240" s="285"/>
      <c r="AR240" s="285"/>
      <c r="AS240" s="285"/>
      <c r="AT240" s="285"/>
      <c r="AU240" s="285"/>
      <c r="AV240" s="285"/>
      <c r="AW240" s="285"/>
      <c r="AX240" s="285"/>
      <c r="AY240" s="285"/>
      <c r="AZ240" s="285"/>
      <c r="BA240" s="285"/>
      <c r="BB240" s="285"/>
      <c r="BC240" s="285"/>
      <c r="BD240" s="285">
        <v>4335</v>
      </c>
      <c r="BE240" s="285"/>
      <c r="BF240" s="285"/>
      <c r="BG240" s="285"/>
      <c r="BH240" s="285"/>
      <c r="BI240" s="285"/>
      <c r="BJ240" s="36">
        <f>SUM(Table1[[#This Row],[Pipa 63 mm2]:[Pipa 1,800 mm21]])</f>
        <v>3046.4</v>
      </c>
      <c r="BK240" s="32"/>
      <c r="BL240" s="32"/>
      <c r="BM240" s="32"/>
      <c r="BN240" s="32"/>
      <c r="BO240" s="32"/>
      <c r="BP240" s="32"/>
      <c r="BQ240" s="32"/>
      <c r="BR240" s="32"/>
      <c r="BS240" s="32"/>
      <c r="BT240" s="32"/>
      <c r="BU240" s="32"/>
      <c r="BV240" s="32"/>
      <c r="BW240" s="32"/>
      <c r="BX240" s="32"/>
      <c r="BY240" s="32">
        <v>3046.4</v>
      </c>
      <c r="BZ240" s="32"/>
      <c r="CA240" s="32"/>
      <c r="CB240" s="32"/>
      <c r="CC240" s="32"/>
      <c r="CD240" s="32"/>
      <c r="CE240" s="32"/>
      <c r="CF240" s="32"/>
      <c r="CG240" s="32"/>
      <c r="CH240" s="32"/>
      <c r="CI240" s="32">
        <f t="shared" si="12"/>
        <v>0</v>
      </c>
      <c r="CJ240" s="65">
        <f>IF((Table1[[#This Row],["Volume
BA MC-0"]]-Table1[[#This Row],[Total Panjang Pipa Aktual
(Sum-&gt;)3]]-Table1[[#This Row],[Total Volume
tidak dapat dipasang]])&gt;=0,Table1[[#This Row],["Volume
BA MC-0"]]-Table1[[#This Row],[Total Panjang Pipa Aktual
(Sum-&gt;)3]]-Table1[[#This Row],[Total Volume
tidak dapat dipasang]],0)</f>
        <v>1288.5999999999999</v>
      </c>
      <c r="CK240" s="47"/>
      <c r="CL240" s="327">
        <v>8.8999999999999999E-3</v>
      </c>
      <c r="CM240" s="34">
        <v>0.1026</v>
      </c>
      <c r="CN240" s="327">
        <v>1E-4</v>
      </c>
      <c r="CO240" s="327">
        <v>0</v>
      </c>
      <c r="CP24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0.81768367320736579</v>
      </c>
      <c r="CQ240" s="66">
        <f>IFERROR(Table1[[#This Row],[Progres Keg. Umum
(%)]]*Table1[[#This Row],[Nilai RAB Jaringan
(file pa aji)]],0)</f>
        <v>1797287941.1958103</v>
      </c>
      <c r="CR240" s="66">
        <f>IFERROR(Table1[[#This Row],[Progres MOS
(%)]]*Table1[[#This Row],[Nilai RAB Jaringan
(file pa aji)]],0)</f>
        <v>20719296940.077541</v>
      </c>
      <c r="CS240" s="66">
        <f>IFERROR(Table1[[#This Row],[Progres Pemasangan
(%)]]*Table1[[#This Row],[Nilai RAB Jaringan
(file pa aji)]],0)</f>
        <v>20194246.530290004</v>
      </c>
      <c r="CT240" s="66">
        <f>IFERROR(Table1[[#This Row],[Progres Perizinan
(%)]]*Table1[[#This Row],[Nilai RAB Jaringan
(file pa aji)]],0)</f>
        <v>0</v>
      </c>
      <c r="CU240" s="329">
        <v>165125056805.50806</v>
      </c>
      <c r="CV240" s="329">
        <v>165125056805.50806</v>
      </c>
      <c r="CW240" s="583">
        <v>0</v>
      </c>
      <c r="CX240" s="329">
        <v>0</v>
      </c>
      <c r="CY240" s="47"/>
      <c r="CZ240" s="330">
        <v>45803</v>
      </c>
      <c r="DA240" s="330">
        <v>45830</v>
      </c>
      <c r="DB240" s="331">
        <v>45770</v>
      </c>
      <c r="DC240" s="316" t="s">
        <v>1851</v>
      </c>
      <c r="DD240" s="67">
        <v>201747689310</v>
      </c>
      <c r="DE24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40" s="331">
        <v>45782</v>
      </c>
      <c r="DG240" s="316" t="s">
        <v>1852</v>
      </c>
      <c r="DH240" s="67">
        <v>201747689310</v>
      </c>
      <c r="DI24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40" s="330">
        <v>45831</v>
      </c>
      <c r="DK240" s="330">
        <v>45900</v>
      </c>
      <c r="DL240" s="331">
        <v>45825</v>
      </c>
      <c r="DM240" s="316" t="s">
        <v>1853</v>
      </c>
      <c r="DN24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0" s="331">
        <v>45859</v>
      </c>
      <c r="DP240" s="316" t="s">
        <v>1845</v>
      </c>
      <c r="DQ240" s="338" t="s">
        <v>1836</v>
      </c>
      <c r="DR24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40" s="330">
        <v>45831</v>
      </c>
      <c r="DT240" s="330" t="e">
        <v>#N/A</v>
      </c>
      <c r="DU240" s="330">
        <v>45872</v>
      </c>
      <c r="DV240" s="330" t="e">
        <v>#N/A</v>
      </c>
      <c r="DW240" s="331">
        <v>45922</v>
      </c>
      <c r="DX240" s="316" t="s">
        <v>1854</v>
      </c>
      <c r="DY240" s="334">
        <v>215</v>
      </c>
      <c r="DZ240" s="334">
        <v>215</v>
      </c>
      <c r="EA24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0" s="331"/>
      <c r="EC240" s="332">
        <v>174</v>
      </c>
      <c r="ED240" s="332">
        <v>174</v>
      </c>
      <c r="EE240" s="330"/>
      <c r="EF240" s="35">
        <v>0.80930232558139537</v>
      </c>
      <c r="EG240" s="35">
        <f>Table1[[#This Row],[Line PO (kolom  bantu)2]]/Table1[[#This Row],[Line PR]]</f>
        <v>0.80930232558139537</v>
      </c>
      <c r="EH240" s="316" t="str">
        <f>IF(Table1[[#This Row],[PO Material Aktual 
(%)]]&gt;=100%,"Selesai PO = 100%",IF(Table1[[#This Row],[PO Material Aktual 
(%)]]&gt;=50%,"Proses PO &gt; 100%",IF(Table1[[#This Row],[PO Material Aktual 
(%)]]&gt;0%,"Proses PO &gt; 50%",IF(Table1[[#This Row],[PO Material Aktual 
(%)]]=0,"Belum PO = 0%"))))</f>
        <v>Proses PO &gt; 100%</v>
      </c>
      <c r="EI24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40" s="330">
        <v>45873</v>
      </c>
      <c r="EK240" s="330" t="e">
        <v>#N/A</v>
      </c>
      <c r="EL240" s="330">
        <v>46019</v>
      </c>
      <c r="EM240" s="330" t="e">
        <v>#N/A</v>
      </c>
      <c r="EN240" s="331"/>
      <c r="EO240" s="316">
        <v>171</v>
      </c>
      <c r="EP240" s="316">
        <v>171</v>
      </c>
      <c r="EQ240" s="35">
        <v>0.79534883720930227</v>
      </c>
      <c r="ER240" s="35">
        <f>Table1[[#This Row],[Line MOS]]/Table1[[#This Row],[Line PR]]</f>
        <v>0.79534883720930227</v>
      </c>
      <c r="ES240" s="316" t="str">
        <f>IF(Table1[[#This Row],[Progres MOS]]&gt;=100%,"Selesai MOS = 100%",IF(Table1[[#This Row],[Progres MOS]]&gt;=50%,"Proses MOS &gt; 100%",IF(Table1[[#This Row],[Progres MOS]]&gt;0%,"Proses MOS &gt; 50%",IF(Table1[[#This Row],[Progres MOS]]=0,"Belum MOS = 0%"))))</f>
        <v>Proses MOS &gt; 100%</v>
      </c>
      <c r="ET24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0" s="47"/>
      <c r="EV240" s="330">
        <v>45831</v>
      </c>
      <c r="EW240" s="330" t="e">
        <v>#N/A</v>
      </c>
      <c r="EX240" s="330">
        <v>45928</v>
      </c>
      <c r="EY240" s="330" t="e">
        <v>#N/A</v>
      </c>
      <c r="EZ240" s="352" t="s">
        <v>259</v>
      </c>
      <c r="FA240" s="336" t="s">
        <v>259</v>
      </c>
      <c r="FB240" s="330" t="s">
        <v>260</v>
      </c>
      <c r="FC240" s="330">
        <v>45013</v>
      </c>
      <c r="FD240" s="330" t="s">
        <v>260</v>
      </c>
      <c r="FE240" s="330">
        <v>45139</v>
      </c>
      <c r="FF240" s="330">
        <v>45870</v>
      </c>
      <c r="FG240" s="330" t="s">
        <v>260</v>
      </c>
      <c r="FH240" s="330" t="s">
        <v>260</v>
      </c>
      <c r="FI240" s="330">
        <v>45195</v>
      </c>
      <c r="FJ240" s="330" t="s">
        <v>260</v>
      </c>
      <c r="FK240" s="330">
        <v>45573</v>
      </c>
      <c r="FL240" s="336" t="s">
        <v>259</v>
      </c>
      <c r="FM240" s="352">
        <v>45013</v>
      </c>
      <c r="FN240" s="338">
        <f>IF(Table1[[#This Row],[Tanggal Pengajuan Dokumen]]="","",Table1[[#This Row],[PLAN PERMIT
start]]-Table1[[#This Row],[Tanggal Pengajuan Dokumen]])</f>
        <v>818</v>
      </c>
      <c r="FO240" s="437">
        <v>45573</v>
      </c>
      <c r="FP240" s="316" t="s">
        <v>1855</v>
      </c>
      <c r="FQ240" s="338"/>
      <c r="FR240" s="338" t="s">
        <v>172</v>
      </c>
      <c r="FS240" s="338" t="str">
        <f t="shared" si="11"/>
        <v>On Going</v>
      </c>
      <c r="FT24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0" s="344">
        <f ca="1">IF(Table1[[#This Row],[Status Izin]]="Selesai",Table1[[#This Row],[PLAN PERMIT
finish]]-Table1[[#This Row],[Tanggal Terbit/ Target Izin Terbit]],ROUNDUP(Table1[[#This Row],[PLAN PERMIT
finish]]-NOW(),0))</f>
        <v>-263</v>
      </c>
      <c r="FV24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40" s="344"/>
      <c r="FX240" s="47"/>
      <c r="FY240" s="340"/>
      <c r="FZ240" s="341">
        <v>45947</v>
      </c>
      <c r="GA24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0" s="330">
        <v>45902</v>
      </c>
      <c r="GC240" s="352">
        <v>45820</v>
      </c>
      <c r="GD24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0" s="330">
        <v>45909</v>
      </c>
      <c r="GF240" s="352">
        <v>45997</v>
      </c>
      <c r="GG24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0" s="330">
        <v>45915</v>
      </c>
      <c r="GI240" s="330">
        <v>45921</v>
      </c>
      <c r="GJ240" s="352">
        <v>45833</v>
      </c>
      <c r="GK24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0" s="330">
        <v>45929</v>
      </c>
      <c r="GM240" s="330" t="e">
        <v>#N/A</v>
      </c>
      <c r="GN240" s="330">
        <v>46096</v>
      </c>
      <c r="GO240" s="330" t="e">
        <v>#N/A</v>
      </c>
      <c r="GP240" s="316"/>
      <c r="GQ24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0" s="330" t="s">
        <v>261</v>
      </c>
      <c r="GS240" s="330" t="s">
        <v>261</v>
      </c>
      <c r="GT240" s="354"/>
      <c r="GU240" s="344" t="str">
        <f>IF(Table1[[#This Row],[Hydro Tes Actual
(tanggal)]]&lt;&gt;"","Sudah","Belum")</f>
        <v>Belum</v>
      </c>
      <c r="GV240" s="330" t="s">
        <v>261</v>
      </c>
      <c r="GW240" s="330" t="s">
        <v>261</v>
      </c>
      <c r="GX240" s="331">
        <v>46168</v>
      </c>
      <c r="GY240" s="344" t="str">
        <f>IF(Table1[[#This Row],[Interkoneksi Actual
(tanggal)]]&lt;&gt;"","Sudah","Belum")</f>
        <v>Sudah</v>
      </c>
      <c r="GZ240" s="330" t="s">
        <v>261</v>
      </c>
      <c r="HA240" s="330" t="s">
        <v>261</v>
      </c>
      <c r="HB240" s="331"/>
      <c r="HC240" s="344" t="str">
        <f>IF(Table1[[#This Row],[Flushing Actual
(tanggal)]]&lt;&gt;"","Sudah","Belum")</f>
        <v>Belum</v>
      </c>
      <c r="HD240" s="330">
        <v>46069</v>
      </c>
      <c r="HE240" s="330" t="e">
        <v>#N/A</v>
      </c>
      <c r="HF240" s="330">
        <v>46082</v>
      </c>
      <c r="HG240" s="352"/>
      <c r="HH24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0" s="330" t="s">
        <v>261</v>
      </c>
      <c r="HJ240" s="330" t="s">
        <v>261</v>
      </c>
      <c r="HK240" s="331"/>
      <c r="HL240" s="316"/>
      <c r="HM240" s="330">
        <v>46101</v>
      </c>
      <c r="HN240" s="330">
        <v>46101</v>
      </c>
      <c r="HO240" s="330" t="e">
        <v>#N/A</v>
      </c>
      <c r="HP240" s="331"/>
      <c r="HQ240"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40" s="330">
        <v>46108</v>
      </c>
      <c r="HS240" s="330"/>
      <c r="HT240" s="330">
        <v>46108</v>
      </c>
      <c r="HU240" s="330"/>
      <c r="HV240" s="331"/>
      <c r="HW24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40" s="47"/>
      <c r="HY240" s="352"/>
      <c r="HZ240" s="352"/>
      <c r="IB240" s="618">
        <f>IFERROR(ROUND((Table1[[#This Row],[PLAN TC
finish]]-Table1[[#This Row],[PLAN MC-0
start]])/30,2),"")</f>
        <v>5.57</v>
      </c>
      <c r="IC240">
        <f>DATEDIF(Table1[[#This Row],[PLAN MC-0
start]],Table1[[#This Row],[PLAN TC
finish]],"m")</f>
        <v>5</v>
      </c>
    </row>
    <row r="241" spans="2:237" s="4" customFormat="1" ht="15" hidden="1" customHeight="1" x14ac:dyDescent="0.2">
      <c r="B241" s="311">
        <f>SUBTOTAL(3,$D$5:D241)</f>
        <v>84</v>
      </c>
      <c r="C241" s="316">
        <v>237</v>
      </c>
      <c r="D241" s="338" t="s">
        <v>629</v>
      </c>
      <c r="E241" s="338" t="s">
        <v>1856</v>
      </c>
      <c r="F241" s="338" t="s">
        <v>1857</v>
      </c>
      <c r="G241" s="349">
        <v>46117</v>
      </c>
      <c r="H241" s="314" t="s">
        <v>247</v>
      </c>
      <c r="I241" s="338" t="s">
        <v>248</v>
      </c>
      <c r="J241" s="480" t="s">
        <v>1818</v>
      </c>
      <c r="K241" s="338" t="s">
        <v>915</v>
      </c>
      <c r="L241" s="316" t="s">
        <v>250</v>
      </c>
      <c r="M241" s="355" t="s">
        <v>251</v>
      </c>
      <c r="N241" s="107">
        <v>2084</v>
      </c>
      <c r="O241" s="131" t="s">
        <v>252</v>
      </c>
      <c r="P24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41" s="35">
        <v>0.89505227678599575</v>
      </c>
      <c r="S241" s="34">
        <v>1</v>
      </c>
      <c r="T241" s="34">
        <f>Table1[[#This Row],[Progres Total Aktual
(%)]]</f>
        <v>0.94810093755324509</v>
      </c>
      <c r="U241" s="98">
        <f>Table1[[#This Row],[Progres Aktual
(%)]]-Table1[[#This Row],[Target Progres
(%)]]</f>
        <v>-5.1899062446754907E-2</v>
      </c>
      <c r="V241" s="80">
        <f>Table1[[#This Row],["Volume
BA MC-0"]]</f>
        <v>2066</v>
      </c>
      <c r="W241" s="46">
        <f>Table1[[#This Row],[Total Panjang Pipa Aktual
(Sum-&gt;)3]]</f>
        <v>2066</v>
      </c>
      <c r="X241" s="47"/>
      <c r="Y241" s="67" t="s">
        <v>1858</v>
      </c>
      <c r="Z241" s="67">
        <v>30274805397</v>
      </c>
      <c r="AA241" s="67">
        <f>ROUND((Table1[[#This Row],[Nilai RAB Jaringan
(Exclude Ppn)]]-Table1[[#This Row],[RAB Perizinan]])*1.11+Table1[[#This Row],[RAB Perizinan]],0)</f>
        <v>30274805396</v>
      </c>
      <c r="AB241" s="436">
        <f>SUM(Table1[[#This Row],[RAB Kegiatan Umum]:[RAB Perizinan]])</f>
        <v>27279913467</v>
      </c>
      <c r="AC241" s="436">
        <v>1529656489</v>
      </c>
      <c r="AD241" s="436">
        <v>15296564884</v>
      </c>
      <c r="AE241" s="436">
        <v>10400068894</v>
      </c>
      <c r="AF241" s="436">
        <v>53623200</v>
      </c>
      <c r="AG241" s="483">
        <v>0</v>
      </c>
      <c r="AH241" s="33">
        <f>SUM(Table1[[#This Row],[Bobot Keg Umum]:[Bobot Perizinan]])</f>
        <v>1.0000000000000002</v>
      </c>
      <c r="AI241" s="33">
        <f>Table1[[#This Row],[RAB Kegiatan Umum]]/Table1[[#This Row],[Nilai RAB Jaringan
(Exclude Ppn)]]</f>
        <v>5.6072629806923575E-2</v>
      </c>
      <c r="AJ241" s="33">
        <f>Table1[[#This Row],[RAB Pemasangan]]/Table1[[#This Row],[Nilai RAB Jaringan
(Exclude Ppn)]]</f>
        <v>0.56072629784929373</v>
      </c>
      <c r="AK241" s="33">
        <f>Table1[[#This Row],[RAB Pengadaan]]/Table1[[#This Row],[Nilai RAB Jaringan
(Exclude Ppn)]]</f>
        <v>0.38123540628458258</v>
      </c>
      <c r="AL241" s="33">
        <f>Table1[[#This Row],[RAB Perizinan]]/Table1[[#This Row],[Nilai RAB Jaringan
(Exclude Ppn)]]</f>
        <v>1.9656660592001869E-3</v>
      </c>
      <c r="AM241" s="47"/>
      <c r="AN241" s="285">
        <v>2066</v>
      </c>
      <c r="AO241" s="285">
        <f>SUM(Table1[[#This Row],[Pipa 63 mm]:[Pipa 1,800 mm]])</f>
        <v>2066</v>
      </c>
      <c r="AP241" s="285"/>
      <c r="AQ241" s="285"/>
      <c r="AR241" s="285"/>
      <c r="AS241" s="285"/>
      <c r="AT241" s="285"/>
      <c r="AU241" s="285"/>
      <c r="AV241" s="285"/>
      <c r="AW241" s="285"/>
      <c r="AX241" s="285"/>
      <c r="AY241" s="285">
        <v>2066</v>
      </c>
      <c r="AZ241" s="285"/>
      <c r="BA241" s="285"/>
      <c r="BB241" s="285"/>
      <c r="BC241" s="285"/>
      <c r="BD241" s="285"/>
      <c r="BE241" s="285"/>
      <c r="BF241" s="285"/>
      <c r="BG241" s="285"/>
      <c r="BH241" s="285"/>
      <c r="BI241" s="285"/>
      <c r="BJ241" s="36">
        <f>SUM(Table1[[#This Row],[Pipa 63 mm2]:[Pipa 1,800 mm21]])</f>
        <v>2066</v>
      </c>
      <c r="BK241" s="32"/>
      <c r="BL241" s="32"/>
      <c r="BM241" s="32"/>
      <c r="BN241" s="32"/>
      <c r="BO241" s="32"/>
      <c r="BP241" s="32"/>
      <c r="BQ241" s="32"/>
      <c r="BR241" s="32"/>
      <c r="BS241" s="32"/>
      <c r="BT241" s="32">
        <v>2066</v>
      </c>
      <c r="BU241" s="32"/>
      <c r="BV241" s="32"/>
      <c r="BW241" s="32"/>
      <c r="BX241" s="32"/>
      <c r="BY241" s="32"/>
      <c r="BZ241" s="32"/>
      <c r="CA241" s="32"/>
      <c r="CB241" s="32"/>
      <c r="CC241" s="32"/>
      <c r="CD241" s="32"/>
      <c r="CE241" s="32">
        <v>0</v>
      </c>
      <c r="CF241" s="32"/>
      <c r="CG241" s="32"/>
      <c r="CH241" s="32"/>
      <c r="CI241" s="32">
        <f t="shared" si="12"/>
        <v>0</v>
      </c>
      <c r="CJ241" s="65">
        <f>IF((Table1[[#This Row],["Volume
BA MC-0"]]-Table1[[#This Row],[Total Panjang Pipa Aktual
(Sum-&gt;)3]]-Table1[[#This Row],[Total Volume
tidak dapat dipasang]])&gt;=0,Table1[[#This Row],["Volume
BA MC-0"]]-Table1[[#This Row],[Total Panjang Pipa Aktual
(Sum-&gt;)3]]-Table1[[#This Row],[Total Volume
tidak dapat dipasang]],0)</f>
        <v>0</v>
      </c>
      <c r="CK241" s="47"/>
      <c r="CL241" s="484" t="s">
        <v>1821</v>
      </c>
      <c r="CM241" s="34" t="s">
        <v>1821</v>
      </c>
      <c r="CN241" s="484" t="s">
        <v>1821</v>
      </c>
      <c r="CO241" s="484" t="s">
        <v>1821</v>
      </c>
      <c r="CP24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0.94810093755324509</v>
      </c>
      <c r="CQ241" s="66">
        <f>IFERROR(Table1[[#This Row],[Progres Keg. Umum
(%)]]*Table1[[#This Row],[Nilai RAB Jaringan
(file pa aji)]],0)</f>
        <v>0</v>
      </c>
      <c r="CR241" s="66">
        <f>IFERROR(Table1[[#This Row],[Progres MOS
(%)]]*Table1[[#This Row],[Nilai RAB Jaringan
(file pa aji)]],0)</f>
        <v>0</v>
      </c>
      <c r="CS241" s="66">
        <f>IFERROR(Table1[[#This Row],[Progres Pemasangan
(%)]]*Table1[[#This Row],[Nilai RAB Jaringan
(file pa aji)]],0)</f>
        <v>0</v>
      </c>
      <c r="CT241" s="66">
        <f>IFERROR(Table1[[#This Row],[Progres Perizinan
(%)]]*Table1[[#This Row],[Nilai RAB Jaringan
(file pa aji)]],0)</f>
        <v>0</v>
      </c>
      <c r="CU241" s="329">
        <v>28703571380.189644</v>
      </c>
      <c r="CV241" s="329">
        <v>28703571380.189644</v>
      </c>
      <c r="CW241" s="583">
        <v>0</v>
      </c>
      <c r="CX241" s="329">
        <v>0</v>
      </c>
      <c r="CY241" s="47"/>
      <c r="CZ241" s="330">
        <v>45803</v>
      </c>
      <c r="DA241" s="330">
        <v>45830</v>
      </c>
      <c r="DB241" s="331">
        <v>45875</v>
      </c>
      <c r="DC241" s="316" t="s">
        <v>1859</v>
      </c>
      <c r="DD241" s="67">
        <v>30331282196</v>
      </c>
      <c r="DE24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1" s="331">
        <v>45884</v>
      </c>
      <c r="DG241" s="316" t="s">
        <v>1860</v>
      </c>
      <c r="DH241" s="67">
        <v>30331282196</v>
      </c>
      <c r="DI24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1" s="330">
        <v>45831</v>
      </c>
      <c r="DK241" s="330">
        <v>45900</v>
      </c>
      <c r="DL241" s="331">
        <v>45910</v>
      </c>
      <c r="DM241" s="316" t="s">
        <v>1861</v>
      </c>
      <c r="DN24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1" s="331">
        <v>45944</v>
      </c>
      <c r="DP241" s="485" t="s">
        <v>1862</v>
      </c>
      <c r="DQ241" s="338" t="s">
        <v>1863</v>
      </c>
      <c r="DR24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1" s="330">
        <v>45831</v>
      </c>
      <c r="DT241" s="330" t="e">
        <v>#N/A</v>
      </c>
      <c r="DU241" s="330">
        <v>45872</v>
      </c>
      <c r="DV241" s="330" t="e">
        <v>#N/A</v>
      </c>
      <c r="DW241" s="331">
        <v>45910</v>
      </c>
      <c r="DX241" s="316" t="s">
        <v>1864</v>
      </c>
      <c r="DY241" s="334">
        <v>109</v>
      </c>
      <c r="DZ241" s="334">
        <v>109</v>
      </c>
      <c r="EA24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1" s="331"/>
      <c r="EC241" s="332">
        <v>99</v>
      </c>
      <c r="ED241" s="332">
        <v>99</v>
      </c>
      <c r="EE241" s="330"/>
      <c r="EF241" s="35">
        <v>0.90825688073394495</v>
      </c>
      <c r="EG241" s="35">
        <f>Table1[[#This Row],[Line PO (kolom  bantu)2]]/Table1[[#This Row],[Line PR]]</f>
        <v>0.90825688073394495</v>
      </c>
      <c r="EH241" s="316" t="str">
        <f>IF(Table1[[#This Row],[PO Material Aktual 
(%)]]&gt;=100%,"Selesai PO = 100%",IF(Table1[[#This Row],[PO Material Aktual 
(%)]]&gt;=50%,"Proses PO &gt; 100%",IF(Table1[[#This Row],[PO Material Aktual 
(%)]]&gt;0%,"Proses PO &gt; 50%",IF(Table1[[#This Row],[PO Material Aktual 
(%)]]=0,"Belum PO = 0%"))))</f>
        <v>Proses PO &gt; 100%</v>
      </c>
      <c r="EI24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41" s="330">
        <v>45873</v>
      </c>
      <c r="EK241" s="330" t="e">
        <v>#N/A</v>
      </c>
      <c r="EL241" s="330">
        <v>46019</v>
      </c>
      <c r="EM241" s="330" t="e">
        <v>#N/A</v>
      </c>
      <c r="EN241" s="331"/>
      <c r="EO241" s="316">
        <v>97</v>
      </c>
      <c r="EP241" s="316">
        <v>97</v>
      </c>
      <c r="EQ241" s="35">
        <v>0.88990825688073394</v>
      </c>
      <c r="ER241" s="35">
        <f>Table1[[#This Row],[Line MOS]]/Table1[[#This Row],[Line PR]]</f>
        <v>0.88990825688073394</v>
      </c>
      <c r="ES241" s="316" t="str">
        <f>IF(Table1[[#This Row],[Progres MOS]]&gt;=100%,"Selesai MOS = 100%",IF(Table1[[#This Row],[Progres MOS]]&gt;=50%,"Proses MOS &gt; 100%",IF(Table1[[#This Row],[Progres MOS]]&gt;0%,"Proses MOS &gt; 50%",IF(Table1[[#This Row],[Progres MOS]]=0,"Belum MOS = 0%"))))</f>
        <v>Proses MOS &gt; 100%</v>
      </c>
      <c r="ET24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1" s="47"/>
      <c r="EV241" s="330">
        <v>45831</v>
      </c>
      <c r="EW241" s="330" t="e">
        <v>#N/A</v>
      </c>
      <c r="EX241" s="330">
        <v>45928</v>
      </c>
      <c r="EY241" s="330" t="e">
        <v>#N/A</v>
      </c>
      <c r="EZ241" s="352" t="s">
        <v>259</v>
      </c>
      <c r="FA241" s="336" t="s">
        <v>259</v>
      </c>
      <c r="FB241" s="330" t="s">
        <v>260</v>
      </c>
      <c r="FC241" s="330">
        <v>45873</v>
      </c>
      <c r="FD241" s="330" t="s">
        <v>260</v>
      </c>
      <c r="FE241" s="330">
        <v>45895</v>
      </c>
      <c r="FF241" s="330">
        <v>45919</v>
      </c>
      <c r="FG241" s="330" t="s">
        <v>260</v>
      </c>
      <c r="FH241" s="330" t="s">
        <v>260</v>
      </c>
      <c r="FI241" s="330">
        <v>45993</v>
      </c>
      <c r="FJ241" s="330" t="s">
        <v>260</v>
      </c>
      <c r="FK241" s="330">
        <v>46062</v>
      </c>
      <c r="FL241" s="336" t="s">
        <v>259</v>
      </c>
      <c r="FM241" s="352">
        <v>45873</v>
      </c>
      <c r="FN241" s="338">
        <f>IF(Table1[[#This Row],[Tanggal Pengajuan Dokumen]]="","",Table1[[#This Row],[PLAN PERMIT
start]]-Table1[[#This Row],[Tanggal Pengajuan Dokumen]])</f>
        <v>-42</v>
      </c>
      <c r="FO241" s="437">
        <v>46064</v>
      </c>
      <c r="FP241" s="316"/>
      <c r="FQ241" s="338"/>
      <c r="FR241" s="338"/>
      <c r="FS241" s="338" t="str">
        <f t="shared" si="11"/>
        <v>Sudah Terbit</v>
      </c>
      <c r="FT24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1" s="344">
        <f ca="1">IF(Table1[[#This Row],[Status Izin]]="Selesai",Table1[[#This Row],[PLAN PERMIT
finish]]-Table1[[#This Row],[Tanggal Terbit/ Target Izin Terbit]],ROUNDUP(Table1[[#This Row],[PLAN PERMIT
finish]]-NOW(),0))</f>
        <v>-136</v>
      </c>
      <c r="FV24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1" s="344"/>
      <c r="FX241" s="47"/>
      <c r="FY241" s="340"/>
      <c r="FZ241" s="341">
        <v>45903</v>
      </c>
      <c r="GA24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1" s="330">
        <v>45902</v>
      </c>
      <c r="GC241" s="352">
        <v>45917</v>
      </c>
      <c r="GD24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1" s="330">
        <v>45909</v>
      </c>
      <c r="GF241" s="352">
        <v>45912</v>
      </c>
      <c r="GG24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1" s="330">
        <v>45915</v>
      </c>
      <c r="GI241" s="330">
        <v>45921</v>
      </c>
      <c r="GJ241" s="352">
        <v>45922</v>
      </c>
      <c r="GK24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1" s="330">
        <v>45929</v>
      </c>
      <c r="GM241" s="330" t="e">
        <v>#N/A</v>
      </c>
      <c r="GN241" s="330">
        <v>46096</v>
      </c>
      <c r="GO241" s="330" t="e">
        <v>#N/A</v>
      </c>
      <c r="GP241" s="316"/>
      <c r="GQ24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1" s="330" t="s">
        <v>261</v>
      </c>
      <c r="GS241" s="330" t="s">
        <v>261</v>
      </c>
      <c r="GT241" s="330">
        <v>46141</v>
      </c>
      <c r="GU241" s="344" t="str">
        <f>IF(Table1[[#This Row],[Hydro Tes Actual
(tanggal)]]&lt;&gt;"","Sudah","Belum")</f>
        <v>Sudah</v>
      </c>
      <c r="GV241" s="330" t="s">
        <v>261</v>
      </c>
      <c r="GW241" s="330" t="s">
        <v>261</v>
      </c>
      <c r="GX241" s="330" t="s">
        <v>1865</v>
      </c>
      <c r="GY241" s="344" t="str">
        <f>IF(Table1[[#This Row],[Interkoneksi Actual
(tanggal)]]&lt;&gt;"","Sudah","Belum")</f>
        <v>Sudah</v>
      </c>
      <c r="GZ241" s="330" t="s">
        <v>261</v>
      </c>
      <c r="HA241" s="330" t="s">
        <v>261</v>
      </c>
      <c r="HB241" s="330">
        <v>46155</v>
      </c>
      <c r="HC241" s="344" t="str">
        <f>IF(Table1[[#This Row],[Flushing Actual
(tanggal)]]&lt;&gt;"","Sudah","Belum")</f>
        <v>Sudah</v>
      </c>
      <c r="HD241" s="330">
        <v>46069</v>
      </c>
      <c r="HE241" s="330" t="e">
        <v>#N/A</v>
      </c>
      <c r="HF241" s="330">
        <v>46082</v>
      </c>
      <c r="HG241" s="352">
        <v>46178</v>
      </c>
      <c r="HH24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41" s="330" t="s">
        <v>261</v>
      </c>
      <c r="HJ241" s="330" t="s">
        <v>261</v>
      </c>
      <c r="HK241" s="331"/>
      <c r="HL241" s="316"/>
      <c r="HM241" s="330">
        <v>46101</v>
      </c>
      <c r="HN241" s="330">
        <v>46101</v>
      </c>
      <c r="HO241" s="330" t="e">
        <v>#N/A</v>
      </c>
      <c r="HP241" s="331"/>
      <c r="HQ241"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41" s="330">
        <v>46108</v>
      </c>
      <c r="HS241" s="330"/>
      <c r="HT241" s="330">
        <v>46108</v>
      </c>
      <c r="HU241" s="330"/>
      <c r="HV241" s="331"/>
      <c r="HW24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41" s="47"/>
      <c r="HY241" s="352"/>
      <c r="HZ241" s="352"/>
      <c r="IB241" s="618">
        <f>IFERROR(ROUND((Table1[[#This Row],[PLAN TC
finish]]-Table1[[#This Row],[PLAN MC-0
start]])/30,2),"")</f>
        <v>5.57</v>
      </c>
      <c r="IC241">
        <f>DATEDIF(Table1[[#This Row],[PLAN MC-0
start]],Table1[[#This Row],[PLAN TC
finish]],"m")</f>
        <v>5</v>
      </c>
    </row>
    <row r="242" spans="2:237" s="4" customFormat="1" ht="15" hidden="1" customHeight="1" x14ac:dyDescent="0.2">
      <c r="B242" s="311">
        <f>SUBTOTAL(3,$D$5:D242)</f>
        <v>84</v>
      </c>
      <c r="C242" s="316">
        <v>238</v>
      </c>
      <c r="D242" s="338" t="s">
        <v>629</v>
      </c>
      <c r="E242" s="338" t="s">
        <v>1866</v>
      </c>
      <c r="F242" s="338" t="s">
        <v>1867</v>
      </c>
      <c r="G242" s="349">
        <v>46117</v>
      </c>
      <c r="H242" s="314" t="s">
        <v>247</v>
      </c>
      <c r="I242" s="338" t="s">
        <v>278</v>
      </c>
      <c r="J242" s="480" t="s">
        <v>1818</v>
      </c>
      <c r="K242" s="338" t="s">
        <v>915</v>
      </c>
      <c r="L242" s="316" t="s">
        <v>250</v>
      </c>
      <c r="M242" s="355" t="s">
        <v>269</v>
      </c>
      <c r="N242" s="107">
        <v>8172</v>
      </c>
      <c r="O242" s="131" t="s">
        <v>252</v>
      </c>
      <c r="P24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2" s="35">
        <v>0.86374237535202636</v>
      </c>
      <c r="S242" s="34">
        <v>1</v>
      </c>
      <c r="T242" s="34">
        <f>Table1[[#This Row],[Progres Total Aktual
(%)]]</f>
        <v>0.42552050001018388</v>
      </c>
      <c r="U242" s="98">
        <f>Table1[[#This Row],[Progres Aktual
(%)]]-Table1[[#This Row],[Target Progres
(%)]]</f>
        <v>-0.57447949998981618</v>
      </c>
      <c r="V242" s="80">
        <f>Table1[[#This Row],["Volume
BA MC-0"]]</f>
        <v>7889.7</v>
      </c>
      <c r="W242" s="46">
        <f>Table1[[#This Row],[Total Panjang Pipa Aktual
(Sum-&gt;)3]]</f>
        <v>4871.5</v>
      </c>
      <c r="X242" s="47"/>
      <c r="Y242" s="67" t="s">
        <v>1868</v>
      </c>
      <c r="Z242" s="67">
        <v>22691364069</v>
      </c>
      <c r="AA242" s="67">
        <f>ROUND((Table1[[#This Row],[Nilai RAB Jaringan
(Exclude Ppn)]]-Table1[[#This Row],[RAB Perizinan]])*1.11+Table1[[#This Row],[RAB Perizinan]],0)</f>
        <v>22691364069</v>
      </c>
      <c r="AB242" s="436">
        <f>SUM(Table1[[#This Row],[RAB Kegiatan Umum]:[RAB Perizinan]])</f>
        <v>20452156098</v>
      </c>
      <c r="AC242" s="436">
        <v>1340625169</v>
      </c>
      <c r="AD242" s="436">
        <v>13406251682</v>
      </c>
      <c r="AE242" s="436">
        <v>5609559247</v>
      </c>
      <c r="AF242" s="436">
        <v>95720000</v>
      </c>
      <c r="AG242" s="483">
        <v>9178325088</v>
      </c>
      <c r="AH242" s="33">
        <f>SUM(Table1[[#This Row],[Bobot Keg Umum]:[Bobot Perizinan]])</f>
        <v>1</v>
      </c>
      <c r="AI242" s="33">
        <f>Table1[[#This Row],[RAB Kegiatan Umum]]/Table1[[#This Row],[Nilai RAB Jaringan
(Exclude Ppn)]]</f>
        <v>6.5549331942127059E-2</v>
      </c>
      <c r="AJ242" s="33">
        <f>Table1[[#This Row],[RAB Pemasangan]]/Table1[[#This Row],[Nilai RAB Jaringan
(Exclude Ppn)]]</f>
        <v>0.65549331903011376</v>
      </c>
      <c r="AK242" s="33">
        <f>Table1[[#This Row],[RAB Pengadaan]]/Table1[[#This Row],[Nilai RAB Jaringan
(Exclude Ppn)]]</f>
        <v>0.27427715787620821</v>
      </c>
      <c r="AL242" s="33">
        <f>Table1[[#This Row],[RAB Perizinan]]/Table1[[#This Row],[Nilai RAB Jaringan
(Exclude Ppn)]]</f>
        <v>4.680191151551028E-3</v>
      </c>
      <c r="AM242" s="47"/>
      <c r="AN242" s="285">
        <v>7889.7</v>
      </c>
      <c r="AO242" s="285">
        <f>SUM(Table1[[#This Row],[Pipa 63 mm]:[Pipa 1,800 mm]])</f>
        <v>7889.5</v>
      </c>
      <c r="AP242" s="285">
        <v>2293</v>
      </c>
      <c r="AQ242" s="285">
        <v>1493</v>
      </c>
      <c r="AR242" s="285">
        <v>1224</v>
      </c>
      <c r="AS242" s="285">
        <v>877.5</v>
      </c>
      <c r="AT242" s="285">
        <v>6</v>
      </c>
      <c r="AU242" s="285">
        <v>1835</v>
      </c>
      <c r="AV242" s="285">
        <v>161</v>
      </c>
      <c r="AW242" s="285"/>
      <c r="AX242" s="285"/>
      <c r="AY242" s="285"/>
      <c r="AZ242" s="285"/>
      <c r="BA242" s="285"/>
      <c r="BB242" s="285"/>
      <c r="BC242" s="285"/>
      <c r="BD242" s="285"/>
      <c r="BE242" s="285"/>
      <c r="BF242" s="285"/>
      <c r="BG242" s="285"/>
      <c r="BH242" s="285"/>
      <c r="BI242" s="285"/>
      <c r="BJ242" s="36">
        <f>SUM(Table1[[#This Row],[Pipa 63 mm2]:[Pipa 1,800 mm21]])</f>
        <v>4871.5</v>
      </c>
      <c r="BK242" s="32">
        <v>1618</v>
      </c>
      <c r="BL242" s="32">
        <v>1029</v>
      </c>
      <c r="BM242" s="32">
        <v>713</v>
      </c>
      <c r="BN242" s="32">
        <v>878</v>
      </c>
      <c r="BO242" s="32"/>
      <c r="BP242" s="32">
        <v>633.5</v>
      </c>
      <c r="BQ242" s="32"/>
      <c r="BR242" s="32"/>
      <c r="BS242" s="32"/>
      <c r="BT242" s="32"/>
      <c r="BU242" s="32"/>
      <c r="BV242" s="32"/>
      <c r="BW242" s="32"/>
      <c r="BX242" s="32"/>
      <c r="BY242" s="32"/>
      <c r="BZ242" s="32"/>
      <c r="CA242" s="32"/>
      <c r="CB242" s="32"/>
      <c r="CC242" s="32"/>
      <c r="CD242" s="32"/>
      <c r="CE242" s="32">
        <v>0</v>
      </c>
      <c r="CF242" s="32"/>
      <c r="CG242" s="32"/>
      <c r="CH242" s="32"/>
      <c r="CI242" s="32">
        <f t="shared" si="12"/>
        <v>0</v>
      </c>
      <c r="CJ242" s="65">
        <f>IF((Table1[[#This Row],["Volume
BA MC-0"]]-Table1[[#This Row],[Total Panjang Pipa Aktual
(Sum-&gt;)3]]-Table1[[#This Row],[Total Volume
tidak dapat dipasang]])&gt;=0,Table1[[#This Row],["Volume
BA MC-0"]]-Table1[[#This Row],[Total Panjang Pipa Aktual
(Sum-&gt;)3]]-Table1[[#This Row],[Total Volume
tidak dapat dipasang]],0)</f>
        <v>3018.2</v>
      </c>
      <c r="CK242" s="47"/>
      <c r="CL242" s="484" t="s">
        <v>1821</v>
      </c>
      <c r="CM242" s="34" t="s">
        <v>1821</v>
      </c>
      <c r="CN242" s="484" t="s">
        <v>1821</v>
      </c>
      <c r="CO242" s="484" t="s">
        <v>1821</v>
      </c>
      <c r="CP24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0.42552050001018388</v>
      </c>
      <c r="CQ242" s="66">
        <f>IFERROR(Table1[[#This Row],[Progres Keg. Umum
(%)]]*Table1[[#This Row],[Nilai RAB Jaringan
(file pa aji)]],0)</f>
        <v>0</v>
      </c>
      <c r="CR242" s="66">
        <f>IFERROR(Table1[[#This Row],[Progres MOS
(%)]]*Table1[[#This Row],[Nilai RAB Jaringan
(file pa aji)]],0)</f>
        <v>0</v>
      </c>
      <c r="CS242" s="66">
        <f>IFERROR(Table1[[#This Row],[Progres Pemasangan
(%)]]*Table1[[#This Row],[Nilai RAB Jaringan
(file pa aji)]],0)</f>
        <v>0</v>
      </c>
      <c r="CT242" s="66">
        <f>IFERROR(Table1[[#This Row],[Progres Perizinan
(%)]]*Table1[[#This Row],[Nilai RAB Jaringan
(file pa aji)]],0)</f>
        <v>0</v>
      </c>
      <c r="CU242" s="329">
        <v>9655640584.5540009</v>
      </c>
      <c r="CV242" s="329">
        <v>9655640584.5540009</v>
      </c>
      <c r="CW242" s="583">
        <v>0</v>
      </c>
      <c r="CX242" s="329">
        <v>0</v>
      </c>
      <c r="CY242" s="47"/>
      <c r="CZ242" s="330">
        <v>45838</v>
      </c>
      <c r="DA242" s="330">
        <v>45865</v>
      </c>
      <c r="DB242" s="331">
        <v>45811</v>
      </c>
      <c r="DC242" s="316" t="s">
        <v>1869</v>
      </c>
      <c r="DD242" s="67">
        <v>26619887846</v>
      </c>
      <c r="DE24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42" s="331">
        <v>45820</v>
      </c>
      <c r="DG242" s="316" t="s">
        <v>1870</v>
      </c>
      <c r="DH242" s="67">
        <v>26619887846</v>
      </c>
      <c r="DI24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42" s="330">
        <v>45866</v>
      </c>
      <c r="DK242" s="330">
        <v>45935</v>
      </c>
      <c r="DL242" s="331">
        <v>45922</v>
      </c>
      <c r="DM242" s="316" t="s">
        <v>1871</v>
      </c>
      <c r="DN24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2" s="331">
        <v>45957.291666666664</v>
      </c>
      <c r="DP242" s="316" t="s">
        <v>1872</v>
      </c>
      <c r="DQ242" s="338" t="s">
        <v>1873</v>
      </c>
      <c r="DR24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2" s="330">
        <v>45866</v>
      </c>
      <c r="DT242" s="330" t="e">
        <v>#N/A</v>
      </c>
      <c r="DU242" s="330">
        <v>45907</v>
      </c>
      <c r="DV242" s="330" t="e">
        <v>#N/A</v>
      </c>
      <c r="DW242" s="331">
        <v>45911</v>
      </c>
      <c r="DX242" s="316" t="s">
        <v>1874</v>
      </c>
      <c r="DY242" s="334">
        <v>277</v>
      </c>
      <c r="DZ242" s="334">
        <v>277</v>
      </c>
      <c r="EA24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2" s="331">
        <v>46127</v>
      </c>
      <c r="EC242" s="332">
        <v>245</v>
      </c>
      <c r="ED242" s="332">
        <v>245</v>
      </c>
      <c r="EE242" s="330"/>
      <c r="EF242" s="35">
        <v>0.8844765342960289</v>
      </c>
      <c r="EG242" s="35">
        <f>Table1[[#This Row],[Line PO (kolom  bantu)2]]/Table1[[#This Row],[Line PR]]</f>
        <v>0.8844765342960289</v>
      </c>
      <c r="EH242" s="316" t="str">
        <f>IF(Table1[[#This Row],[PO Material Aktual 
(%)]]&gt;=100%,"Selesai PO = 100%",IF(Table1[[#This Row],[PO Material Aktual 
(%)]]&gt;=50%,"Proses PO &gt; 100%",IF(Table1[[#This Row],[PO Material Aktual 
(%)]]&gt;0%,"Proses PO &gt; 50%",IF(Table1[[#This Row],[PO Material Aktual 
(%)]]=0,"Belum PO = 0%"))))</f>
        <v>Proses PO &gt; 100%</v>
      </c>
      <c r="EI24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2" s="330">
        <v>45908</v>
      </c>
      <c r="EK242" s="330" t="e">
        <v>#N/A</v>
      </c>
      <c r="EL242" s="330">
        <v>46019</v>
      </c>
      <c r="EM242" s="330" t="e">
        <v>#N/A</v>
      </c>
      <c r="EN242" s="331"/>
      <c r="EO242" s="332">
        <v>195</v>
      </c>
      <c r="EP242" s="316">
        <v>195</v>
      </c>
      <c r="EQ242" s="35">
        <v>0.70397111913357402</v>
      </c>
      <c r="ER242" s="35">
        <f>Table1[[#This Row],[Line MOS]]/Table1[[#This Row],[Line PR]]</f>
        <v>0.70397111913357402</v>
      </c>
      <c r="ES242" s="316" t="str">
        <f>IF(Table1[[#This Row],[Progres MOS]]&gt;=100%,"Selesai MOS = 100%",IF(Table1[[#This Row],[Progres MOS]]&gt;=50%,"Proses MOS &gt; 100%",IF(Table1[[#This Row],[Progres MOS]]&gt;0%,"Proses MOS &gt; 50%",IF(Table1[[#This Row],[Progres MOS]]=0,"Belum MOS = 0%"))))</f>
        <v>Proses MOS &gt; 100%</v>
      </c>
      <c r="ET24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2" s="47"/>
      <c r="EV242" s="330">
        <v>45866</v>
      </c>
      <c r="EW242" s="330" t="e">
        <v>#N/A</v>
      </c>
      <c r="EX242" s="330">
        <v>45963</v>
      </c>
      <c r="EY242" s="330" t="e">
        <v>#N/A</v>
      </c>
      <c r="EZ242" s="352" t="s">
        <v>298</v>
      </c>
      <c r="FA242" s="336" t="s">
        <v>298</v>
      </c>
      <c r="FB242" s="330" t="s">
        <v>260</v>
      </c>
      <c r="FC242" s="330">
        <v>45891</v>
      </c>
      <c r="FD242" s="330" t="s">
        <v>260</v>
      </c>
      <c r="FE242" s="330">
        <v>45919</v>
      </c>
      <c r="FF242" s="330">
        <v>45937</v>
      </c>
      <c r="FG242" s="330" t="s">
        <v>260</v>
      </c>
      <c r="FH242" s="330" t="s">
        <v>260</v>
      </c>
      <c r="FI242" s="330">
        <v>46010</v>
      </c>
      <c r="FJ242" s="330" t="s">
        <v>260</v>
      </c>
      <c r="FK242" s="330"/>
      <c r="FL242" s="336" t="s">
        <v>298</v>
      </c>
      <c r="FM242" s="352">
        <v>45891</v>
      </c>
      <c r="FN242" s="338">
        <f>IF(Table1[[#This Row],[Tanggal Pengajuan Dokumen]]="","",Table1[[#This Row],[PLAN PERMIT
start]]-Table1[[#This Row],[Tanggal Pengajuan Dokumen]])</f>
        <v>-25</v>
      </c>
      <c r="FO242" s="437">
        <v>46086</v>
      </c>
      <c r="FP242" s="316"/>
      <c r="FQ242" s="338"/>
      <c r="FR242" s="338"/>
      <c r="FS242" s="338" t="str">
        <f t="shared" si="11"/>
        <v>On Going</v>
      </c>
      <c r="FT24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2" s="344">
        <f ca="1">IF(Table1[[#This Row],[Status Izin]]="Selesai",Table1[[#This Row],[PLAN PERMIT
finish]]-Table1[[#This Row],[Tanggal Terbit/ Target Izin Terbit]],ROUNDUP(Table1[[#This Row],[PLAN PERMIT
finish]]-NOW(),0))</f>
        <v>-228</v>
      </c>
      <c r="FV24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2" s="344"/>
      <c r="FX242" s="47"/>
      <c r="FY242" s="340"/>
      <c r="FZ242" s="341">
        <v>45903</v>
      </c>
      <c r="GA24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2" s="330">
        <v>45937</v>
      </c>
      <c r="GC242" s="352">
        <v>45917</v>
      </c>
      <c r="GD24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2" s="330">
        <v>45944</v>
      </c>
      <c r="GF242" s="352">
        <v>45912</v>
      </c>
      <c r="GG24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42" s="330">
        <v>45950</v>
      </c>
      <c r="GI242" s="330">
        <v>45956</v>
      </c>
      <c r="GJ242" s="352">
        <v>45945</v>
      </c>
      <c r="GK24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2" s="330">
        <v>45964</v>
      </c>
      <c r="GM242" s="330" t="e">
        <v>#N/A</v>
      </c>
      <c r="GN242" s="330">
        <v>46096</v>
      </c>
      <c r="GO242" s="330" t="e">
        <v>#N/A</v>
      </c>
      <c r="GP242" s="316"/>
      <c r="GQ24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2" s="330" t="s">
        <v>261</v>
      </c>
      <c r="GS242" s="330" t="s">
        <v>261</v>
      </c>
      <c r="GT242" s="354">
        <v>46171</v>
      </c>
      <c r="GU242" s="344" t="str">
        <f>IF(Table1[[#This Row],[Hydro Tes Actual
(tanggal)]]&lt;&gt;"","Sudah","Belum")</f>
        <v>Sudah</v>
      </c>
      <c r="GV242" s="330" t="s">
        <v>261</v>
      </c>
      <c r="GW242" s="330" t="s">
        <v>261</v>
      </c>
      <c r="GX242" s="331"/>
      <c r="GY242" s="344" t="str">
        <f>IF(Table1[[#This Row],[Interkoneksi Actual
(tanggal)]]&lt;&gt;"","Sudah","Belum")</f>
        <v>Belum</v>
      </c>
      <c r="GZ242" s="330" t="s">
        <v>261</v>
      </c>
      <c r="HA242" s="330" t="s">
        <v>261</v>
      </c>
      <c r="HB242" s="331"/>
      <c r="HC242" s="344" t="str">
        <f>IF(Table1[[#This Row],[Flushing Actual
(tanggal)]]&lt;&gt;"","Sudah","Belum")</f>
        <v>Belum</v>
      </c>
      <c r="HD242" s="330">
        <v>46069</v>
      </c>
      <c r="HE242" s="330" t="e">
        <v>#N/A</v>
      </c>
      <c r="HF242" s="330">
        <v>46082</v>
      </c>
      <c r="HG242" s="352"/>
      <c r="HH24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2" s="330" t="s">
        <v>261</v>
      </c>
      <c r="HJ242" s="330" t="s">
        <v>261</v>
      </c>
      <c r="HK242" s="331"/>
      <c r="HL242" s="316"/>
      <c r="HM242" s="330">
        <v>46101</v>
      </c>
      <c r="HN242" s="330">
        <v>46101</v>
      </c>
      <c r="HO242" s="330" t="e">
        <v>#N/A</v>
      </c>
      <c r="HP242" s="331"/>
      <c r="HQ242"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42" s="330">
        <v>46108</v>
      </c>
      <c r="HS242" s="330"/>
      <c r="HT242" s="330">
        <v>46108</v>
      </c>
      <c r="HU242" s="330"/>
      <c r="HV242" s="331"/>
      <c r="HW24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42" s="47"/>
      <c r="HY242" s="352"/>
      <c r="HZ242" s="352"/>
      <c r="IB242" s="618">
        <f>IFERROR(ROUND((Table1[[#This Row],[PLAN TC
finish]]-Table1[[#This Row],[PLAN MC-0
start]])/30,2),"")</f>
        <v>4.4000000000000004</v>
      </c>
      <c r="IC242">
        <f>DATEDIF(Table1[[#This Row],[PLAN MC-0
start]],Table1[[#This Row],[PLAN TC
finish]],"m")</f>
        <v>4</v>
      </c>
    </row>
    <row r="243" spans="2:237" s="4" customFormat="1" ht="15" hidden="1" customHeight="1" x14ac:dyDescent="0.2">
      <c r="B243" s="311">
        <f>SUBTOTAL(3,$D$5:D243)</f>
        <v>84</v>
      </c>
      <c r="C243" s="316">
        <v>239</v>
      </c>
      <c r="D243" s="338" t="s">
        <v>629</v>
      </c>
      <c r="E243" s="338" t="s">
        <v>1875</v>
      </c>
      <c r="F243" s="338" t="s">
        <v>1876</v>
      </c>
      <c r="G243" s="349">
        <v>46117</v>
      </c>
      <c r="H243" s="314" t="s">
        <v>247</v>
      </c>
      <c r="I243" s="338" t="s">
        <v>278</v>
      </c>
      <c r="J243" s="480" t="s">
        <v>1818</v>
      </c>
      <c r="K243" s="338" t="s">
        <v>915</v>
      </c>
      <c r="L243" s="316" t="s">
        <v>250</v>
      </c>
      <c r="M243" s="355" t="s">
        <v>269</v>
      </c>
      <c r="N243" s="107">
        <v>611</v>
      </c>
      <c r="O243" s="131" t="s">
        <v>252</v>
      </c>
      <c r="P24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3" s="35">
        <v>0.83046136432281525</v>
      </c>
      <c r="S243" s="34">
        <v>1</v>
      </c>
      <c r="T243" s="34">
        <f>Table1[[#This Row],[Progres Total Aktual
(%)]]</f>
        <v>0.34466664900087324</v>
      </c>
      <c r="U243" s="98">
        <f>Table1[[#This Row],[Progres Aktual
(%)]]-Table1[[#This Row],[Target Progres
(%)]]</f>
        <v>-0.65533335099912682</v>
      </c>
      <c r="V243" s="80">
        <f>Table1[[#This Row],["Volume
BA MC-0"]]</f>
        <v>1177</v>
      </c>
      <c r="W243" s="46">
        <f>Table1[[#This Row],[Total Panjang Pipa Aktual
(Sum-&gt;)3]]</f>
        <v>548</v>
      </c>
      <c r="X243" s="47"/>
      <c r="Y243" s="67" t="s">
        <v>1877</v>
      </c>
      <c r="Z243" s="67">
        <v>2211882788</v>
      </c>
      <c r="AA243" s="67">
        <f>ROUND((Table1[[#This Row],[Nilai RAB Jaringan
(Exclude Ppn)]]-Table1[[#This Row],[RAB Perizinan]])*1.11+Table1[[#This Row],[RAB Perizinan]],0)</f>
        <v>2211882788</v>
      </c>
      <c r="AB243" s="486">
        <f>SUM(Table1[[#This Row],[RAB Kegiatan Umum]:[RAB Perizinan]])</f>
        <v>1993913052</v>
      </c>
      <c r="AC243" s="436">
        <v>132306355</v>
      </c>
      <c r="AD243" s="436">
        <v>1323063548</v>
      </c>
      <c r="AE243" s="436">
        <v>526173149</v>
      </c>
      <c r="AF243" s="436">
        <v>12370000</v>
      </c>
      <c r="AG243" s="483">
        <v>3566388042</v>
      </c>
      <c r="AH243" s="33">
        <f>SUM(Table1[[#This Row],[Bobot Keg Umum]:[Bobot Perizinan]])</f>
        <v>1</v>
      </c>
      <c r="AI243" s="33">
        <f>Table1[[#This Row],[RAB Kegiatan Umum]]/Table1[[#This Row],[Nilai RAB Jaringan
(Exclude Ppn)]]</f>
        <v>6.6355127605634431E-2</v>
      </c>
      <c r="AJ243" s="33">
        <f>Table1[[#This Row],[RAB Pemasangan]]/Table1[[#This Row],[Nilai RAB Jaringan
(Exclude Ppn)]]</f>
        <v>0.66355127505329159</v>
      </c>
      <c r="AK243" s="33">
        <f>Table1[[#This Row],[RAB Pengadaan]]/Table1[[#This Row],[Nilai RAB Jaringan
(Exclude Ppn)]]</f>
        <v>0.26388971598948135</v>
      </c>
      <c r="AL243" s="33">
        <f>Table1[[#This Row],[RAB Perizinan]]/Table1[[#This Row],[Nilai RAB Jaringan
(Exclude Ppn)]]</f>
        <v>6.2038813515926574E-3</v>
      </c>
      <c r="AM243" s="47"/>
      <c r="AN243" s="285">
        <v>1177</v>
      </c>
      <c r="AO243" s="285">
        <f>SUM(Table1[[#This Row],[Pipa 63 mm]:[Pipa 1,800 mm]])</f>
        <v>1177</v>
      </c>
      <c r="AP243" s="285">
        <v>757</v>
      </c>
      <c r="AQ243" s="285">
        <v>161</v>
      </c>
      <c r="AR243" s="285"/>
      <c r="AS243" s="285">
        <v>259</v>
      </c>
      <c r="AT243" s="285"/>
      <c r="AU243" s="285"/>
      <c r="AV243" s="285"/>
      <c r="AW243" s="285"/>
      <c r="AX243" s="285"/>
      <c r="AY243" s="285"/>
      <c r="AZ243" s="285"/>
      <c r="BA243" s="285"/>
      <c r="BB243" s="285"/>
      <c r="BC243" s="285"/>
      <c r="BD243" s="285"/>
      <c r="BE243" s="285"/>
      <c r="BF243" s="285"/>
      <c r="BG243" s="285"/>
      <c r="BH243" s="285"/>
      <c r="BI243" s="285"/>
      <c r="BJ243" s="36">
        <f>SUM(Table1[[#This Row],[Pipa 63 mm2]:[Pipa 1,800 mm21]])</f>
        <v>548</v>
      </c>
      <c r="BK243" s="32">
        <v>398</v>
      </c>
      <c r="BL243" s="32">
        <v>150</v>
      </c>
      <c r="BM243" s="32"/>
      <c r="BN243" s="32"/>
      <c r="BO243" s="32"/>
      <c r="BP243" s="32"/>
      <c r="BQ243" s="32"/>
      <c r="BR243" s="32"/>
      <c r="BS243" s="32"/>
      <c r="BT243" s="32"/>
      <c r="BU243" s="32"/>
      <c r="BV243" s="32"/>
      <c r="BW243" s="32"/>
      <c r="BX243" s="32"/>
      <c r="BY243" s="32"/>
      <c r="BZ243" s="32"/>
      <c r="CA243" s="32"/>
      <c r="CB243" s="32"/>
      <c r="CC243" s="32"/>
      <c r="CD243" s="32"/>
      <c r="CE243" s="32">
        <v>0</v>
      </c>
      <c r="CF243" s="32"/>
      <c r="CG243" s="32"/>
      <c r="CH243" s="32"/>
      <c r="CI243" s="32">
        <f t="shared" si="12"/>
        <v>0</v>
      </c>
      <c r="CJ243" s="65">
        <f>IF((Table1[[#This Row],["Volume
BA MC-0"]]-Table1[[#This Row],[Total Panjang Pipa Aktual
(Sum-&gt;)3]]-Table1[[#This Row],[Total Volume
tidak dapat dipasang]])&gt;=0,Table1[[#This Row],["Volume
BA MC-0"]]-Table1[[#This Row],[Total Panjang Pipa Aktual
(Sum-&gt;)3]]-Table1[[#This Row],[Total Volume
tidak dapat dipasang]],0)</f>
        <v>629</v>
      </c>
      <c r="CK243" s="47"/>
      <c r="CL243" s="484" t="s">
        <v>1821</v>
      </c>
      <c r="CM243" s="34" t="s">
        <v>1821</v>
      </c>
      <c r="CN243" s="484" t="s">
        <v>1821</v>
      </c>
      <c r="CO243" s="484" t="s">
        <v>1821</v>
      </c>
      <c r="CP24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0.34466664900087324</v>
      </c>
      <c r="CQ243" s="66">
        <f>IFERROR(Table1[[#This Row],[Progres Keg. Umum
(%)]]*Table1[[#This Row],[Nilai RAB Jaringan
(file pa aji)]],0)</f>
        <v>0</v>
      </c>
      <c r="CR243" s="66">
        <f>IFERROR(Table1[[#This Row],[Progres MOS
(%)]]*Table1[[#This Row],[Nilai RAB Jaringan
(file pa aji)]],0)</f>
        <v>0</v>
      </c>
      <c r="CS243" s="66">
        <f>IFERROR(Table1[[#This Row],[Progres Pemasangan
(%)]]*Table1[[#This Row],[Nilai RAB Jaringan
(file pa aji)]],0)</f>
        <v>0</v>
      </c>
      <c r="CT243" s="66">
        <f>IFERROR(Table1[[#This Row],[Progres Perizinan
(%)]]*Table1[[#This Row],[Nilai RAB Jaringan
(file pa aji)]],0)</f>
        <v>0</v>
      </c>
      <c r="CU243" s="329">
        <v>762362228.52266896</v>
      </c>
      <c r="CV243" s="329">
        <v>762362228.52266896</v>
      </c>
      <c r="CW243" s="583">
        <v>0</v>
      </c>
      <c r="CX243" s="329">
        <v>0</v>
      </c>
      <c r="CY243" s="47"/>
      <c r="CZ243" s="330">
        <v>45866</v>
      </c>
      <c r="DA243" s="330">
        <v>45893</v>
      </c>
      <c r="DB243" s="331">
        <v>45881</v>
      </c>
      <c r="DC243" s="316" t="s">
        <v>1878</v>
      </c>
      <c r="DD243" s="67">
        <v>2211882787</v>
      </c>
      <c r="DE24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43" s="331">
        <v>45890</v>
      </c>
      <c r="DG243" s="316" t="s">
        <v>1879</v>
      </c>
      <c r="DH243" s="67">
        <v>2211882787</v>
      </c>
      <c r="DI24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43" s="330">
        <v>45894</v>
      </c>
      <c r="DK243" s="330">
        <v>45963</v>
      </c>
      <c r="DL243" s="331">
        <v>45922</v>
      </c>
      <c r="DM243" s="316" t="s">
        <v>1880</v>
      </c>
      <c r="DN24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3" s="331">
        <v>45940</v>
      </c>
      <c r="DP243" s="338" t="s">
        <v>1881</v>
      </c>
      <c r="DQ243" s="338" t="s">
        <v>312</v>
      </c>
      <c r="DR24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43" s="330">
        <v>45894</v>
      </c>
      <c r="DT243" s="330" t="e">
        <v>#N/A</v>
      </c>
      <c r="DU243" s="330">
        <v>45935</v>
      </c>
      <c r="DV243" s="330" t="e">
        <v>#N/A</v>
      </c>
      <c r="DW243" s="331">
        <v>45916</v>
      </c>
      <c r="DX243" s="316" t="s">
        <v>1882</v>
      </c>
      <c r="DY243" s="334">
        <v>63</v>
      </c>
      <c r="DZ243" s="334">
        <v>63</v>
      </c>
      <c r="EA24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43" s="331">
        <v>46006</v>
      </c>
      <c r="EC243" s="332">
        <v>63</v>
      </c>
      <c r="ED243" s="332">
        <v>63</v>
      </c>
      <c r="EE243" s="330" t="s">
        <v>1883</v>
      </c>
      <c r="EF243" s="35">
        <v>1</v>
      </c>
      <c r="EG243" s="35">
        <f>Table1[[#This Row],[Line PO (kolom  bantu)2]]/Table1[[#This Row],[Line PR]]</f>
        <v>1</v>
      </c>
      <c r="EH243" s="316" t="str">
        <f>IF(Table1[[#This Row],[PO Material Aktual 
(%)]]&gt;=100%,"Selesai PO = 100%",IF(Table1[[#This Row],[PO Material Aktual 
(%)]]&gt;=50%,"Proses PO &gt; 100%",IF(Table1[[#This Row],[PO Material Aktual 
(%)]]&gt;0%,"Proses PO &gt; 50%",IF(Table1[[#This Row],[PO Material Aktual 
(%)]]=0,"Belum PO = 0%"))))</f>
        <v>Selesai PO = 100%</v>
      </c>
      <c r="EI24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3" s="330">
        <v>45936</v>
      </c>
      <c r="EK243" s="330" t="e">
        <v>#N/A</v>
      </c>
      <c r="EL243" s="330">
        <v>46047</v>
      </c>
      <c r="EM243" s="330" t="e">
        <v>#N/A</v>
      </c>
      <c r="EN243" s="331"/>
      <c r="EO243" s="332">
        <v>63</v>
      </c>
      <c r="EP243" s="316">
        <v>63</v>
      </c>
      <c r="EQ243" s="35">
        <v>1</v>
      </c>
      <c r="ER243" s="35">
        <f>Table1[[#This Row],[Line MOS]]/Table1[[#This Row],[Line PR]]</f>
        <v>1</v>
      </c>
      <c r="ES243" s="316" t="str">
        <f>IF(Table1[[#This Row],[Progres MOS]]&gt;=100%,"Selesai MOS = 100%",IF(Table1[[#This Row],[Progres MOS]]&gt;=50%,"Proses MOS &gt; 100%",IF(Table1[[#This Row],[Progres MOS]]&gt;0%,"Proses MOS &gt; 50%",IF(Table1[[#This Row],[Progres MOS]]=0,"Belum MOS = 0%"))))</f>
        <v>Selesai MOS = 100%</v>
      </c>
      <c r="ET24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3" s="47"/>
      <c r="EV243" s="330">
        <v>45894</v>
      </c>
      <c r="EW243" s="330" t="e">
        <v>#N/A</v>
      </c>
      <c r="EX243" s="330">
        <v>45991</v>
      </c>
      <c r="EY243" s="330" t="e">
        <v>#N/A</v>
      </c>
      <c r="EZ243" s="352" t="s">
        <v>298</v>
      </c>
      <c r="FA243" s="336" t="s">
        <v>298</v>
      </c>
      <c r="FB243" s="330" t="s">
        <v>260</v>
      </c>
      <c r="FC243" s="330">
        <v>45891</v>
      </c>
      <c r="FD243" s="330" t="s">
        <v>260</v>
      </c>
      <c r="FE243" s="330">
        <v>45919</v>
      </c>
      <c r="FF243" s="330">
        <v>45937</v>
      </c>
      <c r="FG243" s="330" t="s">
        <v>260</v>
      </c>
      <c r="FH243" s="330" t="s">
        <v>260</v>
      </c>
      <c r="FI243" s="330">
        <v>46010</v>
      </c>
      <c r="FJ243" s="330" t="s">
        <v>260</v>
      </c>
      <c r="FK243" s="330"/>
      <c r="FL243" s="336" t="s">
        <v>298</v>
      </c>
      <c r="FM243" s="352">
        <v>45891</v>
      </c>
      <c r="FN243" s="338">
        <f>IF(Table1[[#This Row],[Tanggal Pengajuan Dokumen]]="","",Table1[[#This Row],[PLAN PERMIT
start]]-Table1[[#This Row],[Tanggal Pengajuan Dokumen]])</f>
        <v>3</v>
      </c>
      <c r="FO243" s="437">
        <v>46086</v>
      </c>
      <c r="FP243" s="316"/>
      <c r="FQ243" s="338"/>
      <c r="FR243" s="338"/>
      <c r="FS243" s="338" t="str">
        <f t="shared" si="11"/>
        <v>On Going</v>
      </c>
      <c r="FT24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3" s="344">
        <f ca="1">IF(Table1[[#This Row],[Status Izin]]="Selesai",Table1[[#This Row],[PLAN PERMIT
finish]]-Table1[[#This Row],[Tanggal Terbit/ Target Izin Terbit]],ROUNDUP(Table1[[#This Row],[PLAN PERMIT
finish]]-NOW(),0))</f>
        <v>-200</v>
      </c>
      <c r="FV24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3" s="344"/>
      <c r="FX243" s="47"/>
      <c r="FY243" s="340"/>
      <c r="FZ243" s="341">
        <v>45911</v>
      </c>
      <c r="GA24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3" s="330">
        <v>45965</v>
      </c>
      <c r="GC243" s="352">
        <v>45917</v>
      </c>
      <c r="GD24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3" s="330">
        <v>45972</v>
      </c>
      <c r="GF243" s="352">
        <v>45912</v>
      </c>
      <c r="GG24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43" s="330">
        <v>45978</v>
      </c>
      <c r="GI243" s="330">
        <v>45984</v>
      </c>
      <c r="GJ243" s="352">
        <v>45944</v>
      </c>
      <c r="GK24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3" s="330">
        <v>45992</v>
      </c>
      <c r="GM243" s="330" t="e">
        <v>#N/A</v>
      </c>
      <c r="GN243" s="330">
        <v>46096</v>
      </c>
      <c r="GO243" s="330" t="e">
        <v>#N/A</v>
      </c>
      <c r="GP243" s="316"/>
      <c r="GQ24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3" s="330" t="s">
        <v>261</v>
      </c>
      <c r="GS243" s="330" t="s">
        <v>261</v>
      </c>
      <c r="GT243" s="354">
        <v>46167</v>
      </c>
      <c r="GU243" s="344" t="str">
        <f>IF(Table1[[#This Row],[Hydro Tes Actual
(tanggal)]]&lt;&gt;"","Sudah","Belum")</f>
        <v>Sudah</v>
      </c>
      <c r="GV243" s="330" t="s">
        <v>261</v>
      </c>
      <c r="GW243" s="330" t="s">
        <v>261</v>
      </c>
      <c r="GX243" s="331"/>
      <c r="GY243" s="344" t="str">
        <f>IF(Table1[[#This Row],[Interkoneksi Actual
(tanggal)]]&lt;&gt;"","Sudah","Belum")</f>
        <v>Belum</v>
      </c>
      <c r="GZ243" s="330" t="s">
        <v>261</v>
      </c>
      <c r="HA243" s="330" t="s">
        <v>261</v>
      </c>
      <c r="HB243" s="331"/>
      <c r="HC243" s="344" t="str">
        <f>IF(Table1[[#This Row],[Flushing Actual
(tanggal)]]&lt;&gt;"","Sudah","Belum")</f>
        <v>Belum</v>
      </c>
      <c r="HD243" s="330">
        <v>46069</v>
      </c>
      <c r="HE243" s="330" t="e">
        <v>#N/A</v>
      </c>
      <c r="HF243" s="330">
        <v>46082</v>
      </c>
      <c r="HG243" s="352"/>
      <c r="HH24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3" s="330" t="s">
        <v>261</v>
      </c>
      <c r="HJ243" s="330" t="s">
        <v>261</v>
      </c>
      <c r="HK243" s="331"/>
      <c r="HL243" s="316"/>
      <c r="HM243" s="330">
        <v>46101</v>
      </c>
      <c r="HN243" s="330">
        <v>46101</v>
      </c>
      <c r="HO243" s="330" t="e">
        <v>#N/A</v>
      </c>
      <c r="HP243" s="331"/>
      <c r="HQ24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43" s="330">
        <v>46108</v>
      </c>
      <c r="HS243" s="330"/>
      <c r="HT243" s="330">
        <v>46108</v>
      </c>
      <c r="HU243" s="330"/>
      <c r="HV243" s="331"/>
      <c r="HW24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43" s="47"/>
      <c r="HY243" s="352"/>
      <c r="HZ243" s="352"/>
      <c r="IB243" s="618">
        <f>IFERROR(ROUND((Table1[[#This Row],[PLAN TC
finish]]-Table1[[#This Row],[PLAN MC-0
start]])/30,2),"")</f>
        <v>3.47</v>
      </c>
      <c r="IC243">
        <f>DATEDIF(Table1[[#This Row],[PLAN MC-0
start]],Table1[[#This Row],[PLAN TC
finish]],"m")</f>
        <v>3</v>
      </c>
    </row>
    <row r="244" spans="2:237" s="4" customFormat="1" ht="15" hidden="1" customHeight="1" x14ac:dyDescent="0.2">
      <c r="B244" s="311">
        <f>SUBTOTAL(3,$D$5:D244)</f>
        <v>84</v>
      </c>
      <c r="C244" s="316">
        <v>240</v>
      </c>
      <c r="D244" s="338" t="s">
        <v>629</v>
      </c>
      <c r="E244" s="338" t="s">
        <v>1884</v>
      </c>
      <c r="F244" s="338" t="s">
        <v>1885</v>
      </c>
      <c r="G244" s="349">
        <v>46117</v>
      </c>
      <c r="H244" s="314" t="s">
        <v>247</v>
      </c>
      <c r="I244" s="338" t="s">
        <v>278</v>
      </c>
      <c r="J244" s="480" t="s">
        <v>1818</v>
      </c>
      <c r="K244" s="338" t="s">
        <v>915</v>
      </c>
      <c r="L244" s="316" t="s">
        <v>250</v>
      </c>
      <c r="M244" s="355" t="s">
        <v>269</v>
      </c>
      <c r="N244" s="107">
        <v>5094</v>
      </c>
      <c r="O244" s="131" t="s">
        <v>252</v>
      </c>
      <c r="P24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4" s="320" t="s">
        <v>1886</v>
      </c>
      <c r="R244" s="35">
        <v>0.9011402020647451</v>
      </c>
      <c r="S244" s="34">
        <v>1</v>
      </c>
      <c r="T244" s="34">
        <f>Table1[[#This Row],[Progres Total Aktual
(%)]]</f>
        <v>0.47552623821939266</v>
      </c>
      <c r="U244" s="98">
        <f>Table1[[#This Row],[Progres Aktual
(%)]]-Table1[[#This Row],[Target Progres
(%)]]</f>
        <v>-0.52447376178060734</v>
      </c>
      <c r="V244" s="80">
        <f>Table1[[#This Row],["Volume
BA MC-0"]]</f>
        <v>4323.3</v>
      </c>
      <c r="W244" s="46">
        <f>Table1[[#This Row],[Total Panjang Pipa Aktual
(Sum-&gt;)3]]</f>
        <v>1841.4</v>
      </c>
      <c r="X244" s="47"/>
      <c r="Y244" s="67" t="s">
        <v>1887</v>
      </c>
      <c r="Z244" s="67">
        <v>8381493043</v>
      </c>
      <c r="AA244" s="67">
        <f>ROUND((Table1[[#This Row],[Nilai RAB Jaringan
(Exclude Ppn)]]-Table1[[#This Row],[RAB Perizinan]])*1.11+Table1[[#This Row],[RAB Perizinan]],0)</f>
        <v>8381493043</v>
      </c>
      <c r="AB244" s="486">
        <f>SUM(Table1[[#This Row],[RAB Kegiatan Umum]:[RAB Perizinan]])</f>
        <v>7555942741</v>
      </c>
      <c r="AC244" s="436">
        <v>524322488</v>
      </c>
      <c r="AD244" s="436">
        <v>5243224873</v>
      </c>
      <c r="AE244" s="436">
        <v>1737455380</v>
      </c>
      <c r="AF244" s="436">
        <v>50940000</v>
      </c>
      <c r="AG244" s="483">
        <v>2085968244</v>
      </c>
      <c r="AH244" s="33">
        <f>SUM(Table1[[#This Row],[Bobot Keg Umum]:[Bobot Perizinan]])</f>
        <v>1</v>
      </c>
      <c r="AI244" s="33">
        <f>Table1[[#This Row],[RAB Kegiatan Umum]]/Table1[[#This Row],[Nilai RAB Jaringan
(Exclude Ppn)]]</f>
        <v>6.9392067406086236E-2</v>
      </c>
      <c r="AJ244" s="33">
        <f>Table1[[#This Row],[RAB Pemasangan]]/Table1[[#This Row],[Nilai RAB Jaringan
(Exclude Ppn)]]</f>
        <v>0.69392067313443928</v>
      </c>
      <c r="AK244" s="33">
        <f>Table1[[#This Row],[RAB Pengadaan]]/Table1[[#This Row],[Nilai RAB Jaringan
(Exclude Ppn)]]</f>
        <v>0.22994554611593768</v>
      </c>
      <c r="AL244" s="33">
        <f>Table1[[#This Row],[RAB Perizinan]]/Table1[[#This Row],[Nilai RAB Jaringan
(Exclude Ppn)]]</f>
        <v>6.7417133435368369E-3</v>
      </c>
      <c r="AM244" s="47"/>
      <c r="AN244" s="285">
        <v>4323.3</v>
      </c>
      <c r="AO244" s="285">
        <f>SUM(Table1[[#This Row],[Pipa 63 mm]:[Pipa 1,800 mm]])</f>
        <v>4323.3999999999996</v>
      </c>
      <c r="AP244" s="285">
        <v>2426.1</v>
      </c>
      <c r="AQ244" s="285">
        <v>843</v>
      </c>
      <c r="AR244" s="285">
        <v>223</v>
      </c>
      <c r="AS244" s="285">
        <v>391.3</v>
      </c>
      <c r="AT244" s="285">
        <v>440</v>
      </c>
      <c r="AU244" s="285"/>
      <c r="AV244" s="285"/>
      <c r="AW244" s="285"/>
      <c r="AX244" s="285"/>
      <c r="AY244" s="285"/>
      <c r="AZ244" s="285"/>
      <c r="BA244" s="285"/>
      <c r="BB244" s="285"/>
      <c r="BC244" s="285"/>
      <c r="BD244" s="285"/>
      <c r="BE244" s="285"/>
      <c r="BF244" s="285"/>
      <c r="BG244" s="285"/>
      <c r="BH244" s="285"/>
      <c r="BI244" s="285"/>
      <c r="BJ244" s="36">
        <f>SUM(Table1[[#This Row],[Pipa 63 mm2]:[Pipa 1,800 mm21]])</f>
        <v>1841.4</v>
      </c>
      <c r="BK244" s="32">
        <v>341.9</v>
      </c>
      <c r="BL244" s="32">
        <v>652.5</v>
      </c>
      <c r="BM244" s="32">
        <v>50</v>
      </c>
      <c r="BN244" s="32">
        <v>324</v>
      </c>
      <c r="BO244" s="32">
        <v>473</v>
      </c>
      <c r="BP244" s="32"/>
      <c r="BQ244" s="32"/>
      <c r="BR244" s="32"/>
      <c r="BS244" s="32"/>
      <c r="BT244" s="32"/>
      <c r="BU244" s="32"/>
      <c r="BV244" s="32"/>
      <c r="BW244" s="32"/>
      <c r="BX244" s="32"/>
      <c r="BY244" s="32"/>
      <c r="BZ244" s="32"/>
      <c r="CA244" s="32"/>
      <c r="CB244" s="32"/>
      <c r="CC244" s="32"/>
      <c r="CD244" s="32"/>
      <c r="CE244" s="32">
        <v>0</v>
      </c>
      <c r="CF244" s="32"/>
      <c r="CG244" s="32"/>
      <c r="CH244" s="32"/>
      <c r="CI244" s="32">
        <f t="shared" si="12"/>
        <v>0</v>
      </c>
      <c r="CJ244" s="65">
        <f>IF((Table1[[#This Row],["Volume
BA MC-0"]]-Table1[[#This Row],[Total Panjang Pipa Aktual
(Sum-&gt;)3]]-Table1[[#This Row],[Total Volume
tidak dapat dipasang]])&gt;=0,Table1[[#This Row],["Volume
BA MC-0"]]-Table1[[#This Row],[Total Panjang Pipa Aktual
(Sum-&gt;)3]]-Table1[[#This Row],[Total Volume
tidak dapat dipasang]],0)</f>
        <v>2481.9</v>
      </c>
      <c r="CK244" s="47"/>
      <c r="CL244" s="484" t="s">
        <v>1821</v>
      </c>
      <c r="CM244" s="34" t="s">
        <v>1821</v>
      </c>
      <c r="CN244" s="484" t="s">
        <v>1821</v>
      </c>
      <c r="CO244" s="484" t="s">
        <v>1821</v>
      </c>
      <c r="CP24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0.47552623821939266</v>
      </c>
      <c r="CQ244" s="66">
        <f>IFERROR(Table1[[#This Row],[Progres Keg. Umum
(%)]]*Table1[[#This Row],[Nilai RAB Jaringan
(file pa aji)]],0)</f>
        <v>0</v>
      </c>
      <c r="CR244" s="66">
        <f>IFERROR(Table1[[#This Row],[Progres MOS
(%)]]*Table1[[#This Row],[Nilai RAB Jaringan
(file pa aji)]],0)</f>
        <v>0</v>
      </c>
      <c r="CS244" s="66">
        <f>IFERROR(Table1[[#This Row],[Progres Pemasangan
(%)]]*Table1[[#This Row],[Nilai RAB Jaringan
(file pa aji)]],0)</f>
        <v>0</v>
      </c>
      <c r="CT244" s="66">
        <f>IFERROR(Table1[[#This Row],[Progres Perizinan
(%)]]*Table1[[#This Row],[Nilai RAB Jaringan
(file pa aji)]],0)</f>
        <v>0</v>
      </c>
      <c r="CU244" s="329">
        <v>3985619857.3998003</v>
      </c>
      <c r="CV244" s="329">
        <v>3985619857.3998003</v>
      </c>
      <c r="CW244" s="583">
        <v>0</v>
      </c>
      <c r="CX244" s="329">
        <v>0</v>
      </c>
      <c r="CY244" s="47"/>
      <c r="CZ244" s="330">
        <v>45775</v>
      </c>
      <c r="DA244" s="330">
        <v>45802</v>
      </c>
      <c r="DB244" s="331">
        <v>45812</v>
      </c>
      <c r="DC244" s="316" t="s">
        <v>1888</v>
      </c>
      <c r="DD244" s="67">
        <v>8907307436</v>
      </c>
      <c r="DE24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4" s="331">
        <v>45820</v>
      </c>
      <c r="DG244" s="316" t="s">
        <v>1889</v>
      </c>
      <c r="DH244" s="67">
        <v>8907307436</v>
      </c>
      <c r="DI24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4" s="330">
        <v>45803</v>
      </c>
      <c r="DK244" s="330">
        <v>45872</v>
      </c>
      <c r="DL244" s="331">
        <v>45910</v>
      </c>
      <c r="DM244" s="316" t="s">
        <v>1890</v>
      </c>
      <c r="DN24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4" s="331">
        <v>45940</v>
      </c>
      <c r="DP244" s="338" t="s">
        <v>1891</v>
      </c>
      <c r="DQ244" s="338" t="s">
        <v>1892</v>
      </c>
      <c r="DR24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4" s="330">
        <v>45803</v>
      </c>
      <c r="DT244" s="330" t="e">
        <v>#N/A</v>
      </c>
      <c r="DU244" s="330">
        <v>45844</v>
      </c>
      <c r="DV244" s="330" t="e">
        <v>#N/A</v>
      </c>
      <c r="DW244" s="331">
        <v>45910</v>
      </c>
      <c r="DX244" s="316" t="s">
        <v>1893</v>
      </c>
      <c r="DY244" s="334">
        <v>99</v>
      </c>
      <c r="DZ244" s="334">
        <v>99</v>
      </c>
      <c r="EA24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4" s="331">
        <v>46006</v>
      </c>
      <c r="EC244" s="332">
        <v>91</v>
      </c>
      <c r="ED244" s="332">
        <v>91</v>
      </c>
      <c r="EE244" s="330" t="s">
        <v>1894</v>
      </c>
      <c r="EF244" s="35">
        <v>0.91919191919191923</v>
      </c>
      <c r="EG244" s="35">
        <f>Table1[[#This Row],[Line PO (kolom  bantu)2]]/Table1[[#This Row],[Line PR]]</f>
        <v>0.91919191919191923</v>
      </c>
      <c r="EH244" s="316" t="str">
        <f>IF(Table1[[#This Row],[PO Material Aktual 
(%)]]&gt;=100%,"Selesai PO = 100%",IF(Table1[[#This Row],[PO Material Aktual 
(%)]]&gt;=50%,"Proses PO &gt; 100%",IF(Table1[[#This Row],[PO Material Aktual 
(%)]]&gt;0%,"Proses PO &gt; 50%",IF(Table1[[#This Row],[PO Material Aktual 
(%)]]=0,"Belum PO = 0%"))))</f>
        <v>Proses PO &gt; 100%</v>
      </c>
      <c r="EI24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4" s="330">
        <v>45845</v>
      </c>
      <c r="EK244" s="330" t="e">
        <v>#N/A</v>
      </c>
      <c r="EL244" s="330">
        <v>46019</v>
      </c>
      <c r="EM244" s="330" t="e">
        <v>#N/A</v>
      </c>
      <c r="EN244" s="331"/>
      <c r="EO244" s="332">
        <v>89</v>
      </c>
      <c r="EP244" s="316">
        <v>89</v>
      </c>
      <c r="EQ244" s="35">
        <v>0.89898989898989901</v>
      </c>
      <c r="ER244" s="35">
        <f>Table1[[#This Row],[Line MOS]]/Table1[[#This Row],[Line PR]]</f>
        <v>0.89898989898989901</v>
      </c>
      <c r="ES244" s="316" t="str">
        <f>IF(Table1[[#This Row],[Progres MOS]]&gt;=100%,"Selesai MOS = 100%",IF(Table1[[#This Row],[Progres MOS]]&gt;=50%,"Proses MOS &gt; 100%",IF(Table1[[#This Row],[Progres MOS]]&gt;0%,"Proses MOS &gt; 50%",IF(Table1[[#This Row],[Progres MOS]]=0,"Belum MOS = 0%"))))</f>
        <v>Proses MOS &gt; 100%</v>
      </c>
      <c r="ET24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4" s="47"/>
      <c r="EV244" s="330">
        <v>45803</v>
      </c>
      <c r="EW244" s="330" t="e">
        <v>#N/A</v>
      </c>
      <c r="EX244" s="330">
        <v>45900</v>
      </c>
      <c r="EY244" s="330" t="e">
        <v>#N/A</v>
      </c>
      <c r="EZ244" s="352" t="s">
        <v>298</v>
      </c>
      <c r="FA244" s="336" t="s">
        <v>259</v>
      </c>
      <c r="FB244" s="330" t="s">
        <v>260</v>
      </c>
      <c r="FC244" s="330">
        <v>45883</v>
      </c>
      <c r="FD244" s="330" t="s">
        <v>260</v>
      </c>
      <c r="FE244" s="330">
        <v>45931</v>
      </c>
      <c r="FF244" s="330">
        <v>45937</v>
      </c>
      <c r="FG244" s="330" t="s">
        <v>260</v>
      </c>
      <c r="FH244" s="330" t="s">
        <v>260</v>
      </c>
      <c r="FI244" s="330">
        <v>46003</v>
      </c>
      <c r="FJ244" s="330" t="s">
        <v>260</v>
      </c>
      <c r="FK244" s="330">
        <v>46098</v>
      </c>
      <c r="FL244" s="336" t="s">
        <v>298</v>
      </c>
      <c r="FM244" s="352">
        <v>45883</v>
      </c>
      <c r="FN244" s="338">
        <f>IF(Table1[[#This Row],[Tanggal Pengajuan Dokumen]]="","",Table1[[#This Row],[PLAN PERMIT
start]]-Table1[[#This Row],[Tanggal Pengajuan Dokumen]])</f>
        <v>-80</v>
      </c>
      <c r="FO244" s="437">
        <v>46086</v>
      </c>
      <c r="FP244" s="316"/>
      <c r="FQ244" s="338"/>
      <c r="FR244" s="338"/>
      <c r="FS244" s="338" t="str">
        <f t="shared" si="11"/>
        <v>Sudah Terbit</v>
      </c>
      <c r="FT24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4" s="344">
        <f ca="1">IF(Table1[[#This Row],[Status Izin]]="Selesai",Table1[[#This Row],[PLAN PERMIT
finish]]-Table1[[#This Row],[Tanggal Terbit/ Target Izin Terbit]],ROUNDUP(Table1[[#This Row],[PLAN PERMIT
finish]]-NOW(),0))</f>
        <v>-186</v>
      </c>
      <c r="FV24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4" s="344"/>
      <c r="FX244" s="47"/>
      <c r="FY244" s="340"/>
      <c r="FZ244" s="341">
        <v>45903</v>
      </c>
      <c r="GA24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4" s="330">
        <v>45874</v>
      </c>
      <c r="GC244" s="352">
        <v>45917</v>
      </c>
      <c r="GD24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4" s="330">
        <v>45881</v>
      </c>
      <c r="GF244" s="352">
        <v>45912</v>
      </c>
      <c r="GG24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4" s="330">
        <v>45887</v>
      </c>
      <c r="GI244" s="330">
        <v>45893</v>
      </c>
      <c r="GJ244" s="352">
        <v>45940</v>
      </c>
      <c r="GK24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4" s="330">
        <v>45901</v>
      </c>
      <c r="GM244" s="330" t="e">
        <v>#N/A</v>
      </c>
      <c r="GN244" s="330">
        <v>46096</v>
      </c>
      <c r="GO244" s="330" t="e">
        <v>#N/A</v>
      </c>
      <c r="GP244" s="330"/>
      <c r="GQ24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4" s="330" t="s">
        <v>261</v>
      </c>
      <c r="GS244" s="330" t="s">
        <v>261</v>
      </c>
      <c r="GT244" s="354">
        <v>46160</v>
      </c>
      <c r="GU244" s="344" t="str">
        <f>IF(Table1[[#This Row],[Hydro Tes Actual
(tanggal)]]&lt;&gt;"","Sudah","Belum")</f>
        <v>Sudah</v>
      </c>
      <c r="GV244" s="330" t="s">
        <v>261</v>
      </c>
      <c r="GW244" s="330" t="s">
        <v>261</v>
      </c>
      <c r="GX244" s="331">
        <v>46129</v>
      </c>
      <c r="GY244" s="344" t="str">
        <f>IF(Table1[[#This Row],[Interkoneksi Actual
(tanggal)]]&lt;&gt;"","Sudah","Belum")</f>
        <v>Sudah</v>
      </c>
      <c r="GZ244" s="330" t="s">
        <v>261</v>
      </c>
      <c r="HA244" s="330" t="s">
        <v>261</v>
      </c>
      <c r="HB244" s="331">
        <v>46120</v>
      </c>
      <c r="HC244" s="344" t="str">
        <f>IF(Table1[[#This Row],[Flushing Actual
(tanggal)]]&lt;&gt;"","Sudah","Belum")</f>
        <v>Sudah</v>
      </c>
      <c r="HD244" s="330">
        <v>46069</v>
      </c>
      <c r="HE244" s="330" t="e">
        <v>#N/A</v>
      </c>
      <c r="HF244" s="330">
        <v>46082</v>
      </c>
      <c r="HG244" s="331">
        <v>46136</v>
      </c>
      <c r="HH24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44" s="330" t="s">
        <v>261</v>
      </c>
      <c r="HJ244" s="330" t="s">
        <v>261</v>
      </c>
      <c r="HK244" s="331"/>
      <c r="HL244" s="316"/>
      <c r="HM244" s="330">
        <v>46101</v>
      </c>
      <c r="HN244" s="330">
        <v>46101</v>
      </c>
      <c r="HO244" s="330" t="e">
        <v>#N/A</v>
      </c>
      <c r="HP244" s="331"/>
      <c r="HQ244"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44" s="330">
        <v>46108</v>
      </c>
      <c r="HS244" s="330"/>
      <c r="HT244" s="330">
        <v>46108</v>
      </c>
      <c r="HU244" s="330"/>
      <c r="HV244" s="331"/>
      <c r="HW24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44" s="47"/>
      <c r="HY244" s="352"/>
      <c r="HZ244" s="352"/>
      <c r="IB244" s="618">
        <f>IFERROR(ROUND((Table1[[#This Row],[PLAN TC
finish]]-Table1[[#This Row],[PLAN MC-0
start]])/30,2),"")</f>
        <v>6.5</v>
      </c>
      <c r="IC244">
        <f>DATEDIF(Table1[[#This Row],[PLAN MC-0
start]],Table1[[#This Row],[PLAN TC
finish]],"m")</f>
        <v>6</v>
      </c>
    </row>
    <row r="245" spans="2:237" s="4" customFormat="1" ht="15" hidden="1" customHeight="1" x14ac:dyDescent="0.2">
      <c r="B245" s="311">
        <f>SUBTOTAL(3,$D$5:D245)</f>
        <v>84</v>
      </c>
      <c r="C245" s="316">
        <v>241</v>
      </c>
      <c r="D245" s="338" t="s">
        <v>629</v>
      </c>
      <c r="E245" s="338" t="s">
        <v>1895</v>
      </c>
      <c r="F245" s="338" t="s">
        <v>1896</v>
      </c>
      <c r="G245" s="349">
        <v>46117</v>
      </c>
      <c r="H245" s="314" t="s">
        <v>247</v>
      </c>
      <c r="I245" s="338" t="s">
        <v>278</v>
      </c>
      <c r="J245" s="480" t="s">
        <v>1818</v>
      </c>
      <c r="K245" s="338" t="s">
        <v>915</v>
      </c>
      <c r="L245" s="316" t="s">
        <v>250</v>
      </c>
      <c r="M245" s="355" t="s">
        <v>269</v>
      </c>
      <c r="N245" s="107">
        <v>17923</v>
      </c>
      <c r="O245" s="131" t="s">
        <v>252</v>
      </c>
      <c r="P24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5" s="35">
        <v>0.90093289049896852</v>
      </c>
      <c r="S245" s="34">
        <v>1</v>
      </c>
      <c r="T245" s="34">
        <f>Table1[[#This Row],[Progres Total Aktual
(%)]]</f>
        <v>0.63662408471719356</v>
      </c>
      <c r="U245" s="98">
        <f>Table1[[#This Row],[Progres Aktual
(%)]]-Table1[[#This Row],[Target Progres
(%)]]</f>
        <v>-0.36337591528280644</v>
      </c>
      <c r="V245" s="80">
        <f>Table1[[#This Row],["Volume
BA MC-0"]]</f>
        <v>15186</v>
      </c>
      <c r="W245" s="46">
        <f>Table1[[#This Row],[Total Panjang Pipa Aktual
(Sum-&gt;)3]]</f>
        <v>11269</v>
      </c>
      <c r="X245" s="47"/>
      <c r="Y245" s="67" t="s">
        <v>1897</v>
      </c>
      <c r="Z245" s="67">
        <v>29028372403</v>
      </c>
      <c r="AA245" s="67">
        <f>ROUND((Table1[[#This Row],[Nilai RAB Jaringan
(Exclude Ppn)]]-Table1[[#This Row],[RAB Perizinan]])*1.11+Table1[[#This Row],[RAB Perizinan]],0)</f>
        <v>29028372403</v>
      </c>
      <c r="AB245" s="486">
        <f>SUM(Table1[[#This Row],[RAB Kegiatan Umum]:[RAB Perizinan]])</f>
        <v>26169448381</v>
      </c>
      <c r="AC245" s="436">
        <v>1827624859</v>
      </c>
      <c r="AD245" s="436">
        <v>18276248583</v>
      </c>
      <c r="AE245" s="436">
        <v>5886344939</v>
      </c>
      <c r="AF245" s="436">
        <v>179230000</v>
      </c>
      <c r="AG245" s="483">
        <v>6080913487</v>
      </c>
      <c r="AH245" s="33">
        <f>SUM(Table1[[#This Row],[Bobot Keg Umum]:[Bobot Perizinan]])</f>
        <v>0.99999999999999989</v>
      </c>
      <c r="AI245" s="33">
        <f>Table1[[#This Row],[RAB Kegiatan Umum]]/Table1[[#This Row],[Nilai RAB Jaringan
(Exclude Ppn)]]</f>
        <v>6.9838111693898905E-2</v>
      </c>
      <c r="AJ245" s="33">
        <f>Table1[[#This Row],[RAB Pemasangan]]/Table1[[#This Row],[Nilai RAB Jaringan
(Exclude Ppn)]]</f>
        <v>0.6983811166715016</v>
      </c>
      <c r="AK245" s="33">
        <f>Table1[[#This Row],[RAB Pengadaan]]/Table1[[#This Row],[Nilai RAB Jaringan
(Exclude Ppn)]]</f>
        <v>0.22493194557641907</v>
      </c>
      <c r="AL245" s="33">
        <f>Table1[[#This Row],[RAB Perizinan]]/Table1[[#This Row],[Nilai RAB Jaringan
(Exclude Ppn)]]</f>
        <v>6.8488260581804124E-3</v>
      </c>
      <c r="AM245" s="47"/>
      <c r="AN245" s="487">
        <v>15186</v>
      </c>
      <c r="AO245" s="487">
        <f>SUM(Table1[[#This Row],[Pipa 63 mm]:[Pipa 1,800 mm]])</f>
        <v>15186</v>
      </c>
      <c r="AP245" s="487">
        <v>7768</v>
      </c>
      <c r="AQ245" s="487">
        <v>3837</v>
      </c>
      <c r="AR245" s="487">
        <v>2080</v>
      </c>
      <c r="AS245" s="487">
        <v>750</v>
      </c>
      <c r="AT245" s="487">
        <v>585</v>
      </c>
      <c r="AU245" s="487">
        <v>166</v>
      </c>
      <c r="AV245" s="487"/>
      <c r="AW245" s="487"/>
      <c r="AX245" s="487"/>
      <c r="AY245" s="487"/>
      <c r="AZ245" s="487"/>
      <c r="BA245" s="487"/>
      <c r="BB245" s="487"/>
      <c r="BC245" s="487"/>
      <c r="BD245" s="487"/>
      <c r="BE245" s="487"/>
      <c r="BF245" s="487"/>
      <c r="BG245" s="487"/>
      <c r="BH245" s="487"/>
      <c r="BI245" s="487"/>
      <c r="BJ245" s="36">
        <f>SUM(Table1[[#This Row],[Pipa 63 mm2]:[Pipa 1,800 mm21]])</f>
        <v>11269</v>
      </c>
      <c r="BK245" s="32">
        <v>4914</v>
      </c>
      <c r="BL245" s="32">
        <v>3226</v>
      </c>
      <c r="BM245" s="32">
        <v>1844</v>
      </c>
      <c r="BN245" s="32">
        <v>651</v>
      </c>
      <c r="BO245" s="32">
        <v>465</v>
      </c>
      <c r="BP245" s="32">
        <v>169</v>
      </c>
      <c r="BQ245" s="32"/>
      <c r="BR245" s="32"/>
      <c r="BS245" s="32"/>
      <c r="BT245" s="32"/>
      <c r="BU245" s="32"/>
      <c r="BV245" s="32"/>
      <c r="BW245" s="32"/>
      <c r="BX245" s="32"/>
      <c r="BY245" s="32"/>
      <c r="BZ245" s="32"/>
      <c r="CA245" s="32"/>
      <c r="CB245" s="32"/>
      <c r="CC245" s="32"/>
      <c r="CD245" s="32"/>
      <c r="CE245" s="32">
        <v>0</v>
      </c>
      <c r="CF245" s="32"/>
      <c r="CG245" s="32"/>
      <c r="CH245" s="32"/>
      <c r="CI245" s="32">
        <f t="shared" si="12"/>
        <v>0</v>
      </c>
      <c r="CJ245" s="65">
        <f>IF((Table1[[#This Row],["Volume
BA MC-0"]]-Table1[[#This Row],[Total Panjang Pipa Aktual
(Sum-&gt;)3]]-Table1[[#This Row],[Total Volume
tidak dapat dipasang]])&gt;=0,Table1[[#This Row],["Volume
BA MC-0"]]-Table1[[#This Row],[Total Panjang Pipa Aktual
(Sum-&gt;)3]]-Table1[[#This Row],[Total Volume
tidak dapat dipasang]],0)</f>
        <v>3917</v>
      </c>
      <c r="CK245" s="47"/>
      <c r="CL245" s="484" t="s">
        <v>1821</v>
      </c>
      <c r="CM245" s="34" t="s">
        <v>1821</v>
      </c>
      <c r="CN245" s="484" t="s">
        <v>1821</v>
      </c>
      <c r="CO245" s="484" t="s">
        <v>1821</v>
      </c>
      <c r="CP24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0.63662408471719356</v>
      </c>
      <c r="CQ245" s="66">
        <f>IFERROR(Table1[[#This Row],[Progres Keg. Umum
(%)]]*Table1[[#This Row],[Nilai RAB Jaringan
(file pa aji)]],0)</f>
        <v>0</v>
      </c>
      <c r="CR245" s="66">
        <f>IFERROR(Table1[[#This Row],[Progres MOS
(%)]]*Table1[[#This Row],[Nilai RAB Jaringan
(file pa aji)]],0)</f>
        <v>0</v>
      </c>
      <c r="CS245" s="66">
        <f>IFERROR(Table1[[#This Row],[Progres Pemasangan
(%)]]*Table1[[#This Row],[Nilai RAB Jaringan
(file pa aji)]],0)</f>
        <v>0</v>
      </c>
      <c r="CT245" s="66">
        <f>IFERROR(Table1[[#This Row],[Progres Perizinan
(%)]]*Table1[[#This Row],[Nilai RAB Jaringan
(file pa aji)]],0)</f>
        <v>0</v>
      </c>
      <c r="CU245" s="329">
        <v>18480161011.889717</v>
      </c>
      <c r="CV245" s="329">
        <v>18480161011.889717</v>
      </c>
      <c r="CW245" s="583">
        <v>0</v>
      </c>
      <c r="CX245" s="329">
        <v>0</v>
      </c>
      <c r="CY245" s="47"/>
      <c r="CZ245" s="330">
        <v>45775</v>
      </c>
      <c r="DA245" s="330">
        <v>45802</v>
      </c>
      <c r="DB245" s="331">
        <v>45870</v>
      </c>
      <c r="DC245" s="316" t="s">
        <v>1898</v>
      </c>
      <c r="DD245" s="67">
        <v>28849142402.91</v>
      </c>
      <c r="DE24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5" s="331">
        <v>45895</v>
      </c>
      <c r="DG245" s="316" t="s">
        <v>1899</v>
      </c>
      <c r="DH245" s="67">
        <v>28849142402.91</v>
      </c>
      <c r="DI24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5" s="330">
        <v>45803</v>
      </c>
      <c r="DK245" s="330">
        <v>45872</v>
      </c>
      <c r="DL245" s="331">
        <v>45910</v>
      </c>
      <c r="DM245" s="316" t="s">
        <v>1900</v>
      </c>
      <c r="DN24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5" s="331">
        <v>45978</v>
      </c>
      <c r="DP245" s="316" t="s">
        <v>1901</v>
      </c>
      <c r="DQ245" s="338" t="s">
        <v>365</v>
      </c>
      <c r="DR24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5" s="330">
        <v>45803</v>
      </c>
      <c r="DT245" s="330" t="e">
        <v>#N/A</v>
      </c>
      <c r="DU245" s="330">
        <v>45844</v>
      </c>
      <c r="DV245" s="330" t="e">
        <v>#N/A</v>
      </c>
      <c r="DW245" s="331">
        <v>45910</v>
      </c>
      <c r="DX245" s="316" t="s">
        <v>1902</v>
      </c>
      <c r="DY245" s="334">
        <v>141</v>
      </c>
      <c r="DZ245" s="334">
        <v>141</v>
      </c>
      <c r="EA24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5" s="331">
        <v>46079</v>
      </c>
      <c r="EC245" s="332">
        <f>114+27</f>
        <v>141</v>
      </c>
      <c r="ED245" s="332">
        <f>114+27</f>
        <v>141</v>
      </c>
      <c r="EE245" s="330"/>
      <c r="EF245" s="35">
        <v>1</v>
      </c>
      <c r="EG245" s="35">
        <f>Table1[[#This Row],[Line PO (kolom  bantu)2]]/Table1[[#This Row],[Line PR]]</f>
        <v>1</v>
      </c>
      <c r="EH245" s="316" t="str">
        <f>IF(Table1[[#This Row],[PO Material Aktual 
(%)]]&gt;=100%,"Selesai PO = 100%",IF(Table1[[#This Row],[PO Material Aktual 
(%)]]&gt;=50%,"Proses PO &gt; 100%",IF(Table1[[#This Row],[PO Material Aktual 
(%)]]&gt;0%,"Proses PO &gt; 50%",IF(Table1[[#This Row],[PO Material Aktual 
(%)]]=0,"Belum PO = 0%"))))</f>
        <v>Selesai PO = 100%</v>
      </c>
      <c r="EI24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5" s="330">
        <v>45845</v>
      </c>
      <c r="EK245" s="330" t="e">
        <v>#N/A</v>
      </c>
      <c r="EL245" s="330">
        <v>46019</v>
      </c>
      <c r="EM245" s="330" t="e">
        <v>#N/A</v>
      </c>
      <c r="EN245" s="331">
        <v>46119</v>
      </c>
      <c r="EO245" s="332">
        <f>114+25</f>
        <v>139</v>
      </c>
      <c r="EP245" s="316">
        <v>139</v>
      </c>
      <c r="EQ245" s="35">
        <v>0.98581560283687941</v>
      </c>
      <c r="ER245" s="35">
        <f>Table1[[#This Row],[Line MOS]]/Table1[[#This Row],[Line PR]]</f>
        <v>0.98581560283687941</v>
      </c>
      <c r="ES245" s="316" t="str">
        <f>IF(Table1[[#This Row],[Progres MOS]]&gt;=100%,"Selesai MOS = 100%",IF(Table1[[#This Row],[Progres MOS]]&gt;=50%,"Proses MOS &gt; 100%",IF(Table1[[#This Row],[Progres MOS]]&gt;0%,"Proses MOS &gt; 50%",IF(Table1[[#This Row],[Progres MOS]]=0,"Belum MOS = 0%"))))</f>
        <v>Proses MOS &gt; 100%</v>
      </c>
      <c r="ET24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5" s="47"/>
      <c r="EV245" s="330">
        <v>45803</v>
      </c>
      <c r="EW245" s="330" t="e">
        <v>#N/A</v>
      </c>
      <c r="EX245" s="330">
        <v>45900</v>
      </c>
      <c r="EY245" s="330" t="e">
        <v>#N/A</v>
      </c>
      <c r="EZ245" s="352" t="s">
        <v>298</v>
      </c>
      <c r="FA245" s="336" t="s">
        <v>298</v>
      </c>
      <c r="FB245" s="330" t="s">
        <v>260</v>
      </c>
      <c r="FC245" s="330">
        <v>45883</v>
      </c>
      <c r="FD245" s="330" t="s">
        <v>260</v>
      </c>
      <c r="FE245" s="330">
        <v>45931</v>
      </c>
      <c r="FF245" s="330">
        <v>45937</v>
      </c>
      <c r="FG245" s="330" t="s">
        <v>260</v>
      </c>
      <c r="FH245" s="330" t="s">
        <v>260</v>
      </c>
      <c r="FI245" s="330">
        <v>46010</v>
      </c>
      <c r="FJ245" s="330" t="s">
        <v>260</v>
      </c>
      <c r="FK245" s="330"/>
      <c r="FL245" s="336" t="s">
        <v>298</v>
      </c>
      <c r="FM245" s="352">
        <v>45883</v>
      </c>
      <c r="FN245" s="338">
        <f>IF(Table1[[#This Row],[Tanggal Pengajuan Dokumen]]="","",Table1[[#This Row],[PLAN PERMIT
start]]-Table1[[#This Row],[Tanggal Pengajuan Dokumen]])</f>
        <v>-80</v>
      </c>
      <c r="FO245" s="437">
        <v>46086</v>
      </c>
      <c r="FP245" s="316"/>
      <c r="FQ245" s="338"/>
      <c r="FR245" s="338"/>
      <c r="FS245" s="338" t="str">
        <f t="shared" si="11"/>
        <v>On Going</v>
      </c>
      <c r="FT24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5" s="344">
        <f ca="1">IF(Table1[[#This Row],[Status Izin]]="Selesai",Table1[[#This Row],[PLAN PERMIT
finish]]-Table1[[#This Row],[Tanggal Terbit/ Target Izin Terbit]],ROUNDUP(Table1[[#This Row],[PLAN PERMIT
finish]]-NOW(),0))</f>
        <v>-291</v>
      </c>
      <c r="FV24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5" s="344"/>
      <c r="FX245" s="47"/>
      <c r="FY245" s="340"/>
      <c r="FZ245" s="341">
        <v>45903</v>
      </c>
      <c r="GA24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5" s="330">
        <v>45874</v>
      </c>
      <c r="GC245" s="352">
        <v>45917</v>
      </c>
      <c r="GD24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5" s="330">
        <v>45881</v>
      </c>
      <c r="GF245" s="352">
        <v>45912</v>
      </c>
      <c r="GG24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5" s="330">
        <v>45887</v>
      </c>
      <c r="GI245" s="330">
        <v>45893</v>
      </c>
      <c r="GJ245" s="352">
        <v>45923</v>
      </c>
      <c r="GK24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5" s="330">
        <v>45901</v>
      </c>
      <c r="GM245" s="330" t="e">
        <v>#N/A</v>
      </c>
      <c r="GN245" s="330">
        <v>46096</v>
      </c>
      <c r="GO245" s="330" t="e">
        <v>#N/A</v>
      </c>
      <c r="GP245" s="330"/>
      <c r="GQ24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5" s="330" t="s">
        <v>261</v>
      </c>
      <c r="GS245" s="330" t="s">
        <v>261</v>
      </c>
      <c r="GT245" s="354">
        <v>46160</v>
      </c>
      <c r="GU245" s="344" t="str">
        <f>IF(Table1[[#This Row],[Hydro Tes Actual
(tanggal)]]&lt;&gt;"","Sudah","Belum")</f>
        <v>Sudah</v>
      </c>
      <c r="GV245" s="330" t="s">
        <v>261</v>
      </c>
      <c r="GW245" s="330" t="s">
        <v>261</v>
      </c>
      <c r="GX245" s="331"/>
      <c r="GY245" s="344" t="str">
        <f>IF(Table1[[#This Row],[Interkoneksi Actual
(tanggal)]]&lt;&gt;"","Sudah","Belum")</f>
        <v>Belum</v>
      </c>
      <c r="GZ245" s="330" t="s">
        <v>261</v>
      </c>
      <c r="HA245" s="330" t="s">
        <v>261</v>
      </c>
      <c r="HB245" s="331"/>
      <c r="HC245" s="344" t="str">
        <f>IF(Table1[[#This Row],[Flushing Actual
(tanggal)]]&lt;&gt;"","Sudah","Belum")</f>
        <v>Belum</v>
      </c>
      <c r="HD245" s="330">
        <v>46069</v>
      </c>
      <c r="HE245" s="330" t="e">
        <v>#N/A</v>
      </c>
      <c r="HF245" s="330">
        <v>46082</v>
      </c>
      <c r="HG245" s="352"/>
      <c r="HH24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5" s="330" t="s">
        <v>261</v>
      </c>
      <c r="HJ245" s="330" t="s">
        <v>261</v>
      </c>
      <c r="HK245" s="331"/>
      <c r="HL245" s="316"/>
      <c r="HM245" s="330">
        <v>46101</v>
      </c>
      <c r="HN245" s="330">
        <v>46101</v>
      </c>
      <c r="HO245" s="330" t="e">
        <v>#N/A</v>
      </c>
      <c r="HP245" s="331"/>
      <c r="HQ245"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45" s="330">
        <v>46108</v>
      </c>
      <c r="HS245" s="330"/>
      <c r="HT245" s="330">
        <v>46108</v>
      </c>
      <c r="HU245" s="330"/>
      <c r="HV245" s="331"/>
      <c r="HW24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45" s="47"/>
      <c r="HY245" s="352"/>
      <c r="HZ245" s="352"/>
      <c r="IB245" s="618">
        <f>IFERROR(ROUND((Table1[[#This Row],[PLAN TC
finish]]-Table1[[#This Row],[PLAN MC-0
start]])/30,2),"")</f>
        <v>6.5</v>
      </c>
      <c r="IC245">
        <f>DATEDIF(Table1[[#This Row],[PLAN MC-0
start]],Table1[[#This Row],[PLAN TC
finish]],"m")</f>
        <v>6</v>
      </c>
    </row>
    <row r="246" spans="2:237" s="4" customFormat="1" ht="15" hidden="1" customHeight="1" x14ac:dyDescent="0.2">
      <c r="B246" s="311">
        <f>SUBTOTAL(3,$D$5:D246)</f>
        <v>84</v>
      </c>
      <c r="C246" s="316">
        <v>242</v>
      </c>
      <c r="D246" s="338" t="s">
        <v>629</v>
      </c>
      <c r="E246" s="338" t="s">
        <v>1903</v>
      </c>
      <c r="F246" s="338" t="s">
        <v>1904</v>
      </c>
      <c r="G246" s="349">
        <v>46117</v>
      </c>
      <c r="H246" s="314" t="s">
        <v>247</v>
      </c>
      <c r="I246" s="338" t="s">
        <v>278</v>
      </c>
      <c r="J246" s="480" t="s">
        <v>1818</v>
      </c>
      <c r="K246" s="338" t="s">
        <v>915</v>
      </c>
      <c r="L246" s="316" t="s">
        <v>250</v>
      </c>
      <c r="M246" s="355" t="s">
        <v>269</v>
      </c>
      <c r="N246" s="107">
        <v>27532</v>
      </c>
      <c r="O246" s="131" t="s">
        <v>252</v>
      </c>
      <c r="P24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6" s="35">
        <v>0.90021040923001772</v>
      </c>
      <c r="S246" s="34">
        <v>1</v>
      </c>
      <c r="T246" s="34">
        <f>Table1[[#This Row],[Progres Total Aktual
(%)]]</f>
        <v>0.52547958139014028</v>
      </c>
      <c r="U246" s="98">
        <f>Table1[[#This Row],[Progres Aktual
(%)]]-Table1[[#This Row],[Target Progres
(%)]]</f>
        <v>-0.47452041860985972</v>
      </c>
      <c r="V246" s="80">
        <f>Table1[[#This Row],["Volume
BA MC-0"]]</f>
        <v>23511.5</v>
      </c>
      <c r="W246" s="46">
        <f>Table1[[#This Row],[Total Panjang Pipa Aktual
(Sum-&gt;)3]]</f>
        <v>14204</v>
      </c>
      <c r="X246" s="47"/>
      <c r="Y246" s="67" t="s">
        <v>1905</v>
      </c>
      <c r="Z246" s="67">
        <v>40637322375</v>
      </c>
      <c r="AA246" s="67">
        <f>ROUND((Table1[[#This Row],[Nilai RAB Jaringan
(Exclude Ppn)]]-Table1[[#This Row],[RAB Perizinan]])*1.11+Table1[[#This Row],[RAB Perizinan]],0)</f>
        <v>40637322375</v>
      </c>
      <c r="AB246" s="486">
        <f>SUM(Table1[[#This Row],[RAB Kegiatan Umum]:[RAB Perizinan]])</f>
        <v>36639565383</v>
      </c>
      <c r="AC246" s="436">
        <v>2156301559</v>
      </c>
      <c r="AD246" s="436">
        <v>26953769488</v>
      </c>
      <c r="AE246" s="436">
        <v>7233174336</v>
      </c>
      <c r="AF246" s="436">
        <v>296320000</v>
      </c>
      <c r="AG246" s="483">
        <v>9016018298</v>
      </c>
      <c r="AH246" s="33">
        <f>SUM(Table1[[#This Row],[Bobot Keg Umum]:[Bobot Perizinan]])</f>
        <v>0.99999999999999989</v>
      </c>
      <c r="AI246" s="33">
        <f>Table1[[#This Row],[RAB Kegiatan Umum]]/Table1[[#This Row],[Nilai RAB Jaringan
(Exclude Ppn)]]</f>
        <v>5.8851723170288459E-2</v>
      </c>
      <c r="AJ246" s="33">
        <f>Table1[[#This Row],[RAB Pemasangan]]/Table1[[#This Row],[Nilai RAB Jaringan
(Exclude Ppn)]]</f>
        <v>0.73564653964225213</v>
      </c>
      <c r="AK246" s="33">
        <f>Table1[[#This Row],[RAB Pengadaan]]/Table1[[#This Row],[Nilai RAB Jaringan
(Exclude Ppn)]]</f>
        <v>0.19741430501127186</v>
      </c>
      <c r="AL246" s="33">
        <f>Table1[[#This Row],[RAB Perizinan]]/Table1[[#This Row],[Nilai RAB Jaringan
(Exclude Ppn)]]</f>
        <v>8.0874321761875024E-3</v>
      </c>
      <c r="AM246" s="47"/>
      <c r="AN246" s="285">
        <v>23511.5</v>
      </c>
      <c r="AO246" s="285">
        <f>SUM(Table1[[#This Row],[Pipa 63 mm]:[Pipa 1,800 mm]])</f>
        <v>23511.5</v>
      </c>
      <c r="AP246" s="285">
        <v>10775.6</v>
      </c>
      <c r="AQ246" s="285">
        <v>7938.6</v>
      </c>
      <c r="AR246" s="285">
        <v>2354.6</v>
      </c>
      <c r="AS246" s="285">
        <v>1573.5</v>
      </c>
      <c r="AT246" s="285">
        <v>431.2</v>
      </c>
      <c r="AU246" s="285">
        <v>438</v>
      </c>
      <c r="AV246" s="285"/>
      <c r="AW246" s="285"/>
      <c r="AX246" s="285"/>
      <c r="AY246" s="285"/>
      <c r="AZ246" s="285"/>
      <c r="BA246" s="285"/>
      <c r="BB246" s="285"/>
      <c r="BC246" s="285"/>
      <c r="BD246" s="285"/>
      <c r="BE246" s="285"/>
      <c r="BF246" s="285"/>
      <c r="BG246" s="285"/>
      <c r="BH246" s="285"/>
      <c r="BI246" s="285"/>
      <c r="BJ246" s="36">
        <f>SUM(Table1[[#This Row],[Pipa 63 mm2]:[Pipa 1,800 mm21]])</f>
        <v>14204</v>
      </c>
      <c r="BK246" s="32">
        <v>3098</v>
      </c>
      <c r="BL246" s="32">
        <v>6183</v>
      </c>
      <c r="BM246" s="32">
        <v>2274</v>
      </c>
      <c r="BN246" s="32">
        <v>1775</v>
      </c>
      <c r="BO246" s="32">
        <v>414</v>
      </c>
      <c r="BP246" s="32">
        <v>460</v>
      </c>
      <c r="BQ246" s="32"/>
      <c r="BR246" s="32"/>
      <c r="BS246" s="32"/>
      <c r="BT246" s="32"/>
      <c r="BU246" s="32"/>
      <c r="BV246" s="32"/>
      <c r="BW246" s="32"/>
      <c r="BX246" s="32"/>
      <c r="BY246" s="32"/>
      <c r="BZ246" s="32"/>
      <c r="CA246" s="32"/>
      <c r="CB246" s="32"/>
      <c r="CC246" s="32"/>
      <c r="CD246" s="32"/>
      <c r="CE246" s="32">
        <v>0</v>
      </c>
      <c r="CF246" s="32"/>
      <c r="CG246" s="32"/>
      <c r="CH246" s="32"/>
      <c r="CI246" s="32">
        <f t="shared" si="12"/>
        <v>0</v>
      </c>
      <c r="CJ246" s="65">
        <f>IF((Table1[[#This Row],["Volume
BA MC-0"]]-Table1[[#This Row],[Total Panjang Pipa Aktual
(Sum-&gt;)3]]-Table1[[#This Row],[Total Volume
tidak dapat dipasang]])&gt;=0,Table1[[#This Row],["Volume
BA MC-0"]]-Table1[[#This Row],[Total Panjang Pipa Aktual
(Sum-&gt;)3]]-Table1[[#This Row],[Total Volume
tidak dapat dipasang]],0)</f>
        <v>9307.5</v>
      </c>
      <c r="CK246" s="47"/>
      <c r="CL246" s="484" t="s">
        <v>1821</v>
      </c>
      <c r="CM246" s="34" t="s">
        <v>1821</v>
      </c>
      <c r="CN246" s="484" t="s">
        <v>1821</v>
      </c>
      <c r="CO246" s="484" t="s">
        <v>1821</v>
      </c>
      <c r="CP24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0.52547958139014028</v>
      </c>
      <c r="CQ246" s="66">
        <f>IFERROR(Table1[[#This Row],[Progres Keg. Umum
(%)]]*Table1[[#This Row],[Nilai RAB Jaringan
(file pa aji)]],0)</f>
        <v>0</v>
      </c>
      <c r="CR246" s="66">
        <f>IFERROR(Table1[[#This Row],[Progres MOS
(%)]]*Table1[[#This Row],[Nilai RAB Jaringan
(file pa aji)]],0)</f>
        <v>0</v>
      </c>
      <c r="CS246" s="66">
        <f>IFERROR(Table1[[#This Row],[Progres Pemasangan
(%)]]*Table1[[#This Row],[Nilai RAB Jaringan
(file pa aji)]],0)</f>
        <v>0</v>
      </c>
      <c r="CT246" s="66">
        <f>IFERROR(Table1[[#This Row],[Progres Perizinan
(%)]]*Table1[[#This Row],[Nilai RAB Jaringan
(file pa aji)]],0)</f>
        <v>0</v>
      </c>
      <c r="CU246" s="329">
        <v>21354083150.431179</v>
      </c>
      <c r="CV246" s="329">
        <v>21354083150.431179</v>
      </c>
      <c r="CW246" s="583">
        <v>0</v>
      </c>
      <c r="CX246" s="329">
        <v>0</v>
      </c>
      <c r="CY246" s="47"/>
      <c r="CZ246" s="330">
        <v>45775</v>
      </c>
      <c r="DA246" s="330">
        <v>45802</v>
      </c>
      <c r="DB246" s="331">
        <v>45825</v>
      </c>
      <c r="DC246" s="316" t="s">
        <v>1906</v>
      </c>
      <c r="DD246" s="67">
        <v>45174997846</v>
      </c>
      <c r="DE24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6" s="331">
        <v>45838</v>
      </c>
      <c r="DG246" s="316" t="s">
        <v>1907</v>
      </c>
      <c r="DH246" s="67">
        <v>45174997846</v>
      </c>
      <c r="DI24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6" s="330">
        <v>45803</v>
      </c>
      <c r="DK246" s="330">
        <v>45872</v>
      </c>
      <c r="DL246" s="331">
        <v>45922</v>
      </c>
      <c r="DM246" s="316" t="s">
        <v>1908</v>
      </c>
      <c r="DN24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6" s="331">
        <v>45929</v>
      </c>
      <c r="DP246" s="316" t="s">
        <v>1909</v>
      </c>
      <c r="DQ246" s="338" t="s">
        <v>1910</v>
      </c>
      <c r="DR24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6" s="330">
        <v>45803</v>
      </c>
      <c r="DT246" s="330" t="e">
        <v>#N/A</v>
      </c>
      <c r="DU246" s="330">
        <v>45844</v>
      </c>
      <c r="DV246" s="330" t="e">
        <v>#N/A</v>
      </c>
      <c r="DW246" s="331">
        <v>45918</v>
      </c>
      <c r="DX246" s="316" t="s">
        <v>1911</v>
      </c>
      <c r="DY246" s="334">
        <v>141</v>
      </c>
      <c r="DZ246" s="334">
        <v>141</v>
      </c>
      <c r="EA24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6" s="331">
        <v>46114</v>
      </c>
      <c r="EC246" s="332">
        <v>140</v>
      </c>
      <c r="ED246" s="332">
        <v>140</v>
      </c>
      <c r="EE246" s="330"/>
      <c r="EF246" s="35">
        <v>0.99290780141843971</v>
      </c>
      <c r="EG246" s="35">
        <f>Table1[[#This Row],[Line PO (kolom  bantu)2]]/Table1[[#This Row],[Line PR]]</f>
        <v>0.99290780141843971</v>
      </c>
      <c r="EH246" s="316" t="str">
        <f>IF(Table1[[#This Row],[PO Material Aktual 
(%)]]&gt;=100%,"Selesai PO = 100%",IF(Table1[[#This Row],[PO Material Aktual 
(%)]]&gt;=50%,"Proses PO &gt; 100%",IF(Table1[[#This Row],[PO Material Aktual 
(%)]]&gt;0%,"Proses PO &gt; 50%",IF(Table1[[#This Row],[PO Material Aktual 
(%)]]=0,"Belum PO = 0%"))))</f>
        <v>Proses PO &gt; 100%</v>
      </c>
      <c r="EI24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6" s="330">
        <v>45845</v>
      </c>
      <c r="EK246" s="330" t="e">
        <v>#N/A</v>
      </c>
      <c r="EL246" s="330">
        <v>46019</v>
      </c>
      <c r="EM246" s="330" t="e">
        <v>#N/A</v>
      </c>
      <c r="EN246" s="331">
        <v>46091</v>
      </c>
      <c r="EO246" s="332">
        <v>140</v>
      </c>
      <c r="EP246" s="316">
        <v>140</v>
      </c>
      <c r="EQ246" s="35">
        <v>0.99290780141843971</v>
      </c>
      <c r="ER246" s="35">
        <f>Table1[[#This Row],[Line MOS]]/Table1[[#This Row],[Line PR]]</f>
        <v>0.99290780141843971</v>
      </c>
      <c r="ES246" s="316" t="str">
        <f>IF(Table1[[#This Row],[Progres MOS]]&gt;=100%,"Selesai MOS = 100%",IF(Table1[[#This Row],[Progres MOS]]&gt;=50%,"Proses MOS &gt; 100%",IF(Table1[[#This Row],[Progres MOS]]&gt;0%,"Proses MOS &gt; 50%",IF(Table1[[#This Row],[Progres MOS]]=0,"Belum MOS = 0%"))))</f>
        <v>Proses MOS &gt; 100%</v>
      </c>
      <c r="ET24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6" s="47"/>
      <c r="EV246" s="330">
        <v>45803</v>
      </c>
      <c r="EW246" s="330" t="e">
        <v>#N/A</v>
      </c>
      <c r="EX246" s="330">
        <v>45900</v>
      </c>
      <c r="EY246" s="330" t="e">
        <v>#N/A</v>
      </c>
      <c r="EZ246" s="352" t="s">
        <v>298</v>
      </c>
      <c r="FA246" s="336" t="s">
        <v>298</v>
      </c>
      <c r="FB246" s="330" t="s">
        <v>260</v>
      </c>
      <c r="FC246" s="330">
        <v>45909</v>
      </c>
      <c r="FD246" s="330" t="s">
        <v>260</v>
      </c>
      <c r="FE246" s="330">
        <v>45939</v>
      </c>
      <c r="FF246" s="330">
        <v>45935</v>
      </c>
      <c r="FG246" s="330" t="s">
        <v>260</v>
      </c>
      <c r="FH246" s="330" t="s">
        <v>260</v>
      </c>
      <c r="FI246" s="330">
        <v>46010</v>
      </c>
      <c r="FJ246" s="330" t="s">
        <v>260</v>
      </c>
      <c r="FK246" s="330"/>
      <c r="FL246" s="336" t="s">
        <v>298</v>
      </c>
      <c r="FM246" s="352">
        <v>45909</v>
      </c>
      <c r="FN246" s="338">
        <f>IF(Table1[[#This Row],[Tanggal Pengajuan Dokumen]]="","",Table1[[#This Row],[PLAN PERMIT
start]]-Table1[[#This Row],[Tanggal Pengajuan Dokumen]])</f>
        <v>-106</v>
      </c>
      <c r="FO246" s="437">
        <v>46086</v>
      </c>
      <c r="FP246" s="316"/>
      <c r="FQ246" s="338"/>
      <c r="FR246" s="338"/>
      <c r="FS246" s="338" t="str">
        <f t="shared" si="11"/>
        <v>On Going</v>
      </c>
      <c r="FT24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6" s="344">
        <f ca="1">IF(Table1[[#This Row],[Status Izin]]="Selesai",Table1[[#This Row],[PLAN PERMIT
finish]]-Table1[[#This Row],[Tanggal Terbit/ Target Izin Terbit]],ROUNDUP(Table1[[#This Row],[PLAN PERMIT
finish]]-NOW(),0))</f>
        <v>-291</v>
      </c>
      <c r="FV24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6" s="344"/>
      <c r="FX246" s="47"/>
      <c r="FY246" s="340"/>
      <c r="FZ246" s="341">
        <v>45903</v>
      </c>
      <c r="GA24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6" s="330">
        <v>45874</v>
      </c>
      <c r="GC246" s="352">
        <v>45917</v>
      </c>
      <c r="GD24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6" s="330">
        <v>45881</v>
      </c>
      <c r="GF246" s="352">
        <v>45912</v>
      </c>
      <c r="GG24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6" s="330">
        <v>45887</v>
      </c>
      <c r="GI246" s="330">
        <v>45893</v>
      </c>
      <c r="GJ246" s="352">
        <v>45973</v>
      </c>
      <c r="GK24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6" s="330">
        <v>45901</v>
      </c>
      <c r="GM246" s="330" t="e">
        <v>#N/A</v>
      </c>
      <c r="GN246" s="330">
        <v>46096</v>
      </c>
      <c r="GO246" s="330" t="e">
        <v>#N/A</v>
      </c>
      <c r="GP246" s="330"/>
      <c r="GQ24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6" s="330" t="s">
        <v>261</v>
      </c>
      <c r="GS246" s="330" t="s">
        <v>261</v>
      </c>
      <c r="GT246" s="354">
        <v>46155</v>
      </c>
      <c r="GU246" s="344" t="str">
        <f>IF(Table1[[#This Row],[Hydro Tes Actual
(tanggal)]]&lt;&gt;"","Sudah","Belum")</f>
        <v>Sudah</v>
      </c>
      <c r="GV246" s="330" t="s">
        <v>261</v>
      </c>
      <c r="GW246" s="330" t="s">
        <v>261</v>
      </c>
      <c r="GX246" s="331">
        <v>46167</v>
      </c>
      <c r="GY246" s="344" t="str">
        <f>IF(Table1[[#This Row],[Interkoneksi Actual
(tanggal)]]&lt;&gt;"","Sudah","Belum")</f>
        <v>Sudah</v>
      </c>
      <c r="GZ246" s="330" t="s">
        <v>261</v>
      </c>
      <c r="HA246" s="330" t="s">
        <v>261</v>
      </c>
      <c r="HB246" s="331"/>
      <c r="HC246" s="344" t="str">
        <f>IF(Table1[[#This Row],[Flushing Actual
(tanggal)]]&lt;&gt;"","Sudah","Belum")</f>
        <v>Belum</v>
      </c>
      <c r="HD246" s="330">
        <v>46069</v>
      </c>
      <c r="HE246" s="330" t="e">
        <v>#N/A</v>
      </c>
      <c r="HF246" s="330">
        <v>46082</v>
      </c>
      <c r="HG246" s="352"/>
      <c r="HH24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6" s="330" t="s">
        <v>261</v>
      </c>
      <c r="HJ246" s="330" t="s">
        <v>261</v>
      </c>
      <c r="HK246" s="331"/>
      <c r="HL246" s="316"/>
      <c r="HM246" s="330">
        <v>46101</v>
      </c>
      <c r="HN246" s="330">
        <v>46101</v>
      </c>
      <c r="HO246" s="330" t="e">
        <v>#N/A</v>
      </c>
      <c r="HP246" s="331"/>
      <c r="HQ246"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46" s="330">
        <v>46108</v>
      </c>
      <c r="HS246" s="330"/>
      <c r="HT246" s="330">
        <v>46108</v>
      </c>
      <c r="HU246" s="330"/>
      <c r="HV246" s="331"/>
      <c r="HW24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46" s="47"/>
      <c r="HY246" s="352"/>
      <c r="HZ246" s="352"/>
      <c r="IB246" s="618">
        <f>IFERROR(ROUND((Table1[[#This Row],[PLAN TC
finish]]-Table1[[#This Row],[PLAN MC-0
start]])/30,2),"")</f>
        <v>6.5</v>
      </c>
      <c r="IC246">
        <f>DATEDIF(Table1[[#This Row],[PLAN MC-0
start]],Table1[[#This Row],[PLAN TC
finish]],"m")</f>
        <v>6</v>
      </c>
    </row>
    <row r="247" spans="2:237" s="4" customFormat="1" ht="15" hidden="1" customHeight="1" x14ac:dyDescent="0.2">
      <c r="B247" s="311">
        <f>SUBTOTAL(3,$D$5:D247)</f>
        <v>84</v>
      </c>
      <c r="C247" s="316">
        <v>243</v>
      </c>
      <c r="D247" s="338" t="s">
        <v>629</v>
      </c>
      <c r="E247" s="338" t="s">
        <v>1912</v>
      </c>
      <c r="F247" s="338" t="s">
        <v>1913</v>
      </c>
      <c r="G247" s="349">
        <v>46117</v>
      </c>
      <c r="H247" s="314" t="s">
        <v>247</v>
      </c>
      <c r="I247" s="338" t="s">
        <v>278</v>
      </c>
      <c r="J247" s="480" t="s">
        <v>1818</v>
      </c>
      <c r="K247" s="338" t="s">
        <v>915</v>
      </c>
      <c r="L247" s="316" t="s">
        <v>250</v>
      </c>
      <c r="M247" s="355" t="s">
        <v>269</v>
      </c>
      <c r="N247" s="107">
        <v>24088</v>
      </c>
      <c r="O247" s="131" t="s">
        <v>252</v>
      </c>
      <c r="P24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7" s="35">
        <v>0.90067551070952523</v>
      </c>
      <c r="S247" s="34">
        <v>1</v>
      </c>
      <c r="T247" s="34">
        <f>Table1[[#This Row],[Progres Total Aktual
(%)]]</f>
        <v>0.72433318776060585</v>
      </c>
      <c r="U247" s="98">
        <f>Table1[[#This Row],[Progres Aktual
(%)]]-Table1[[#This Row],[Target Progres
(%)]]</f>
        <v>-0.27566681223939415</v>
      </c>
      <c r="V247" s="80">
        <f>Table1[[#This Row],["Volume
BA MC-0"]]</f>
        <v>24336.3</v>
      </c>
      <c r="W247" s="46">
        <f>Table1[[#This Row],[Total Panjang Pipa Aktual
(Sum-&gt;)3]]</f>
        <v>19167</v>
      </c>
      <c r="X247" s="47"/>
      <c r="Y247" s="67" t="s">
        <v>1914</v>
      </c>
      <c r="Z247" s="67">
        <v>37542785600</v>
      </c>
      <c r="AA247" s="67">
        <f>ROUND((Table1[[#This Row],[Nilai RAB Jaringan
(Exclude Ppn)]]-Table1[[#This Row],[RAB Perizinan]])*1.11+Table1[[#This Row],[RAB Perizinan]],0)</f>
        <v>37542682765</v>
      </c>
      <c r="AB247" s="486">
        <f>SUM(Table1[[#This Row],[RAB Kegiatan Umum]:[RAB Perizinan]])</f>
        <v>33848188797</v>
      </c>
      <c r="AC247" s="436">
        <v>1963784785</v>
      </c>
      <c r="AD247" s="436">
        <v>24547309811</v>
      </c>
      <c r="AE247" s="436">
        <v>7075214201</v>
      </c>
      <c r="AF247" s="436">
        <v>261880000</v>
      </c>
      <c r="AG247" s="483">
        <v>8558790916</v>
      </c>
      <c r="AH247" s="33">
        <f>SUM(Table1[[#This Row],[Bobot Keg Umum]:[Bobot Perizinan]])</f>
        <v>1</v>
      </c>
      <c r="AI247" s="33">
        <f>Table1[[#This Row],[RAB Kegiatan Umum]]/Table1[[#This Row],[Nilai RAB Jaringan
(Exclude Ppn)]]</f>
        <v>5.8017425888798289E-2</v>
      </c>
      <c r="AJ247" s="33">
        <f>Table1[[#This Row],[RAB Pemasangan]]/Table1[[#This Row],[Nilai RAB Jaringan
(Exclude Ppn)]]</f>
        <v>0.72521782356566311</v>
      </c>
      <c r="AK247" s="33">
        <f>Table1[[#This Row],[RAB Pengadaan]]/Table1[[#This Row],[Nilai RAB Jaringan
(Exclude Ppn)]]</f>
        <v>0.20902785207895921</v>
      </c>
      <c r="AL247" s="33">
        <f>Table1[[#This Row],[RAB Perizinan]]/Table1[[#This Row],[Nilai RAB Jaringan
(Exclude Ppn)]]</f>
        <v>7.7368984665794199E-3</v>
      </c>
      <c r="AM247" s="47"/>
      <c r="AN247" s="285">
        <v>24336.3</v>
      </c>
      <c r="AO247" s="285">
        <f>SUM(Table1[[#This Row],[Pipa 63 mm]:[Pipa 1,800 mm]])</f>
        <v>24336.3</v>
      </c>
      <c r="AP247" s="285">
        <f>6139.5+7192.6</f>
        <v>13332.1</v>
      </c>
      <c r="AQ247" s="285">
        <f>2683+3339.3</f>
        <v>6022.3</v>
      </c>
      <c r="AR247" s="285">
        <f>1881.5+860.1</f>
        <v>2741.6</v>
      </c>
      <c r="AS247" s="285">
        <f>529+1240.3</f>
        <v>1769.3</v>
      </c>
      <c r="AT247" s="285">
        <f>112+38</f>
        <v>150</v>
      </c>
      <c r="AU247" s="285">
        <f>301+13</f>
        <v>314</v>
      </c>
      <c r="AV247" s="285">
        <f>7</f>
        <v>7</v>
      </c>
      <c r="AW247" s="285"/>
      <c r="AX247" s="285"/>
      <c r="AY247" s="285"/>
      <c r="AZ247" s="285"/>
      <c r="BA247" s="285"/>
      <c r="BB247" s="285"/>
      <c r="BC247" s="285"/>
      <c r="BD247" s="285"/>
      <c r="BE247" s="285"/>
      <c r="BF247" s="285"/>
      <c r="BG247" s="285"/>
      <c r="BH247" s="285"/>
      <c r="BI247" s="285"/>
      <c r="BJ247" s="36">
        <f>SUM(Table1[[#This Row],[Pipa 63 mm2]:[Pipa 1,800 mm21]])</f>
        <v>19167</v>
      </c>
      <c r="BK247" s="32">
        <v>8074</v>
      </c>
      <c r="BL247" s="32">
        <v>6303</v>
      </c>
      <c r="BM247" s="32">
        <v>2619</v>
      </c>
      <c r="BN247" s="32">
        <v>1701</v>
      </c>
      <c r="BO247" s="32">
        <v>154</v>
      </c>
      <c r="BP247" s="32">
        <v>316</v>
      </c>
      <c r="BQ247" s="32"/>
      <c r="BR247" s="32"/>
      <c r="BS247" s="32"/>
      <c r="BT247" s="32"/>
      <c r="BU247" s="32"/>
      <c r="BV247" s="32"/>
      <c r="BW247" s="32"/>
      <c r="BX247" s="32"/>
      <c r="BY247" s="32"/>
      <c r="BZ247" s="32"/>
      <c r="CA247" s="32"/>
      <c r="CB247" s="32"/>
      <c r="CC247" s="32"/>
      <c r="CD247" s="32"/>
      <c r="CE247" s="32">
        <v>0</v>
      </c>
      <c r="CF247" s="32"/>
      <c r="CG247" s="32"/>
      <c r="CH247" s="32"/>
      <c r="CI247" s="32">
        <f t="shared" si="12"/>
        <v>0</v>
      </c>
      <c r="CJ247" s="65">
        <f>IF((Table1[[#This Row],["Volume
BA MC-0"]]-Table1[[#This Row],[Total Panjang Pipa Aktual
(Sum-&gt;)3]]-Table1[[#This Row],[Total Volume
tidak dapat dipasang]])&gt;=0,Table1[[#This Row],["Volume
BA MC-0"]]-Table1[[#This Row],[Total Panjang Pipa Aktual
(Sum-&gt;)3]]-Table1[[#This Row],[Total Volume
tidak dapat dipasang]],0)</f>
        <v>5169.2999999999993</v>
      </c>
      <c r="CK247" s="47"/>
      <c r="CL247" s="484" t="s">
        <v>1821</v>
      </c>
      <c r="CM247" s="34" t="s">
        <v>1821</v>
      </c>
      <c r="CN247" s="484" t="s">
        <v>1821</v>
      </c>
      <c r="CO247" s="484" t="s">
        <v>1821</v>
      </c>
      <c r="CP24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0.72433318776060585</v>
      </c>
      <c r="CQ247" s="66">
        <f>IFERROR(Table1[[#This Row],[Progres Keg. Umum
(%)]]*Table1[[#This Row],[Nilai RAB Jaringan
(file pa aji)]],0)</f>
        <v>0</v>
      </c>
      <c r="CR247" s="66">
        <f>IFERROR(Table1[[#This Row],[Progres MOS
(%)]]*Table1[[#This Row],[Nilai RAB Jaringan
(file pa aji)]],0)</f>
        <v>0</v>
      </c>
      <c r="CS247" s="66">
        <f>IFERROR(Table1[[#This Row],[Progres Pemasangan
(%)]]*Table1[[#This Row],[Nilai RAB Jaringan
(file pa aji)]],0)</f>
        <v>0</v>
      </c>
      <c r="CT247" s="66">
        <f>IFERROR(Table1[[#This Row],[Progres Perizinan
(%)]]*Table1[[#This Row],[Nilai RAB Jaringan
(file pa aji)]],0)</f>
        <v>0</v>
      </c>
      <c r="CU247" s="329">
        <v>27193411084.257607</v>
      </c>
      <c r="CV247" s="329">
        <v>27193411084.257607</v>
      </c>
      <c r="CW247" s="583">
        <v>0</v>
      </c>
      <c r="CX247" s="329">
        <v>0</v>
      </c>
      <c r="CY247" s="47"/>
      <c r="CZ247" s="330">
        <v>45775</v>
      </c>
      <c r="DA247" s="330">
        <v>45802</v>
      </c>
      <c r="DB247" s="331">
        <v>45873</v>
      </c>
      <c r="DC247" s="316" t="s">
        <v>1915</v>
      </c>
      <c r="DD247" s="67">
        <v>37542785600</v>
      </c>
      <c r="DE24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7" s="331">
        <v>45884</v>
      </c>
      <c r="DG247" s="316" t="s">
        <v>1916</v>
      </c>
      <c r="DH247" s="67">
        <v>37542785600</v>
      </c>
      <c r="DI24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7" s="330">
        <v>45803</v>
      </c>
      <c r="DK247" s="330">
        <v>45872</v>
      </c>
      <c r="DL247" s="331">
        <v>45927</v>
      </c>
      <c r="DM247" s="316" t="s">
        <v>1917</v>
      </c>
      <c r="DN24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7" s="331">
        <v>45931</v>
      </c>
      <c r="DP247" s="316" t="s">
        <v>1918</v>
      </c>
      <c r="DQ247" s="338" t="s">
        <v>1919</v>
      </c>
      <c r="DR24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7" s="330">
        <v>45803</v>
      </c>
      <c r="DT247" s="330" t="e">
        <v>#N/A</v>
      </c>
      <c r="DU247" s="330">
        <v>45844</v>
      </c>
      <c r="DV247" s="330" t="e">
        <v>#N/A</v>
      </c>
      <c r="DW247" s="331">
        <v>45929</v>
      </c>
      <c r="DX247" s="484" t="s">
        <v>1920</v>
      </c>
      <c r="DY247" s="334">
        <v>167</v>
      </c>
      <c r="DZ247" s="334">
        <v>167</v>
      </c>
      <c r="EA24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7" s="331">
        <v>46120</v>
      </c>
      <c r="EC247" s="332">
        <v>161</v>
      </c>
      <c r="ED247" s="332">
        <v>161</v>
      </c>
      <c r="EE247" s="330"/>
      <c r="EF247" s="35">
        <v>0.9640718562874252</v>
      </c>
      <c r="EG247" s="35">
        <f>Table1[[#This Row],[Line PO (kolom  bantu)2]]/Table1[[#This Row],[Line PR]]</f>
        <v>0.9640718562874252</v>
      </c>
      <c r="EH247" s="316" t="str">
        <f>IF(Table1[[#This Row],[PO Material Aktual 
(%)]]&gt;=100%,"Selesai PO = 100%",IF(Table1[[#This Row],[PO Material Aktual 
(%)]]&gt;=50%,"Proses PO &gt; 100%",IF(Table1[[#This Row],[PO Material Aktual 
(%)]]&gt;0%,"Proses PO &gt; 50%",IF(Table1[[#This Row],[PO Material Aktual 
(%)]]=0,"Belum PO = 0%"))))</f>
        <v>Proses PO &gt; 100%</v>
      </c>
      <c r="EI24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7" s="330">
        <v>45845</v>
      </c>
      <c r="EK247" s="330" t="e">
        <v>#N/A</v>
      </c>
      <c r="EL247" s="330">
        <v>46019</v>
      </c>
      <c r="EM247" s="330" t="e">
        <v>#N/A</v>
      </c>
      <c r="EN247" s="331">
        <v>46120</v>
      </c>
      <c r="EO247" s="332">
        <v>157</v>
      </c>
      <c r="EP247" s="316">
        <v>157</v>
      </c>
      <c r="EQ247" s="35">
        <v>0.94011976047904189</v>
      </c>
      <c r="ER247" s="35">
        <f>Table1[[#This Row],[Line MOS]]/Table1[[#This Row],[Line PR]]</f>
        <v>0.94011976047904189</v>
      </c>
      <c r="ES247" s="316" t="str">
        <f>IF(Table1[[#This Row],[Progres MOS]]&gt;=100%,"Selesai MOS = 100%",IF(Table1[[#This Row],[Progres MOS]]&gt;=50%,"Proses MOS &gt; 100%",IF(Table1[[#This Row],[Progres MOS]]&gt;0%,"Proses MOS &gt; 50%",IF(Table1[[#This Row],[Progres MOS]]=0,"Belum MOS = 0%"))))</f>
        <v>Proses MOS &gt; 100%</v>
      </c>
      <c r="ET24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7" s="47"/>
      <c r="EV247" s="330">
        <v>45803</v>
      </c>
      <c r="EW247" s="330" t="e">
        <v>#N/A</v>
      </c>
      <c r="EX247" s="330">
        <v>45900</v>
      </c>
      <c r="EY247" s="330" t="e">
        <v>#N/A</v>
      </c>
      <c r="EZ247" s="352" t="s">
        <v>298</v>
      </c>
      <c r="FA247" s="336" t="s">
        <v>259</v>
      </c>
      <c r="FB247" s="330" t="s">
        <v>260</v>
      </c>
      <c r="FC247" s="330">
        <v>45918</v>
      </c>
      <c r="FD247" s="330" t="s">
        <v>260</v>
      </c>
      <c r="FE247" s="330">
        <v>45939</v>
      </c>
      <c r="FF247" s="330">
        <v>45935</v>
      </c>
      <c r="FG247" s="330" t="s">
        <v>260</v>
      </c>
      <c r="FH247" s="330" t="s">
        <v>260</v>
      </c>
      <c r="FI247" s="330">
        <v>46010</v>
      </c>
      <c r="FJ247" s="330" t="s">
        <v>260</v>
      </c>
      <c r="FK247" s="330">
        <v>46119</v>
      </c>
      <c r="FL247" s="336" t="s">
        <v>298</v>
      </c>
      <c r="FM247" s="352">
        <v>45918</v>
      </c>
      <c r="FN247" s="338">
        <f>IF(Table1[[#This Row],[Tanggal Pengajuan Dokumen]]="","",Table1[[#This Row],[PLAN PERMIT
start]]-Table1[[#This Row],[Tanggal Pengajuan Dokumen]])</f>
        <v>-115</v>
      </c>
      <c r="FO247" s="437">
        <v>46086</v>
      </c>
      <c r="FP247" s="316"/>
      <c r="FQ247" s="338"/>
      <c r="FR247" s="338"/>
      <c r="FS247" s="338" t="str">
        <f t="shared" si="11"/>
        <v>Sudah Terbit</v>
      </c>
      <c r="FT24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7" s="344">
        <f ca="1">IF(Table1[[#This Row],[Status Izin]]="Selesai",Table1[[#This Row],[PLAN PERMIT
finish]]-Table1[[#This Row],[Tanggal Terbit/ Target Izin Terbit]],ROUNDUP(Table1[[#This Row],[PLAN PERMIT
finish]]-NOW(),0))</f>
        <v>-186</v>
      </c>
      <c r="FV24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7" s="344"/>
      <c r="FX247" s="47"/>
      <c r="FY247" s="340"/>
      <c r="FZ247" s="341">
        <v>45903</v>
      </c>
      <c r="GA24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7" s="330">
        <v>45874</v>
      </c>
      <c r="GC247" s="352">
        <v>45917</v>
      </c>
      <c r="GD24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7" s="330">
        <v>45881</v>
      </c>
      <c r="GF247" s="352">
        <v>45912</v>
      </c>
      <c r="GG24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7" s="330">
        <v>45887</v>
      </c>
      <c r="GI247" s="330">
        <v>45893</v>
      </c>
      <c r="GJ247" s="352">
        <v>45951</v>
      </c>
      <c r="GK24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7" s="330">
        <v>45901</v>
      </c>
      <c r="GM247" s="330" t="e">
        <v>#N/A</v>
      </c>
      <c r="GN247" s="330">
        <v>46096</v>
      </c>
      <c r="GO247" s="330" t="e">
        <v>#N/A</v>
      </c>
      <c r="GP247" s="330"/>
      <c r="GQ24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7" s="330" t="s">
        <v>261</v>
      </c>
      <c r="GS247" s="330" t="s">
        <v>261</v>
      </c>
      <c r="GT247" s="354"/>
      <c r="GU247" s="344" t="str">
        <f>IF(Table1[[#This Row],[Hydro Tes Actual
(tanggal)]]&lt;&gt;"","Sudah","Belum")</f>
        <v>Belum</v>
      </c>
      <c r="GV247" s="330" t="s">
        <v>261</v>
      </c>
      <c r="GW247" s="330" t="s">
        <v>261</v>
      </c>
      <c r="GX247" s="331"/>
      <c r="GY247" s="344" t="str">
        <f>IF(Table1[[#This Row],[Interkoneksi Actual
(tanggal)]]&lt;&gt;"","Sudah","Belum")</f>
        <v>Belum</v>
      </c>
      <c r="GZ247" s="330" t="s">
        <v>261</v>
      </c>
      <c r="HA247" s="330" t="s">
        <v>261</v>
      </c>
      <c r="HB247" s="331"/>
      <c r="HC247" s="344" t="str">
        <f>IF(Table1[[#This Row],[Flushing Actual
(tanggal)]]&lt;&gt;"","Sudah","Belum")</f>
        <v>Belum</v>
      </c>
      <c r="HD247" s="330">
        <v>46069</v>
      </c>
      <c r="HE247" s="330" t="e">
        <v>#N/A</v>
      </c>
      <c r="HF247" s="330">
        <v>46082</v>
      </c>
      <c r="HG247" s="352"/>
      <c r="HH24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7" s="330" t="s">
        <v>261</v>
      </c>
      <c r="HJ247" s="330" t="s">
        <v>261</v>
      </c>
      <c r="HK247" s="331"/>
      <c r="HL247" s="316"/>
      <c r="HM247" s="330">
        <v>46101</v>
      </c>
      <c r="HN247" s="330">
        <v>46101</v>
      </c>
      <c r="HO247" s="330" t="e">
        <v>#N/A</v>
      </c>
      <c r="HP247" s="331"/>
      <c r="HQ247"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47" s="330">
        <v>46108</v>
      </c>
      <c r="HS247" s="330"/>
      <c r="HT247" s="330">
        <v>46108</v>
      </c>
      <c r="HU247" s="330"/>
      <c r="HV247" s="331"/>
      <c r="HW24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47" s="47"/>
      <c r="HY247" s="352"/>
      <c r="HZ247" s="352"/>
      <c r="IB247" s="618">
        <f>IFERROR(ROUND((Table1[[#This Row],[PLAN TC
finish]]-Table1[[#This Row],[PLAN MC-0
start]])/30,2),"")</f>
        <v>6.5</v>
      </c>
      <c r="IC247">
        <f>DATEDIF(Table1[[#This Row],[PLAN MC-0
start]],Table1[[#This Row],[PLAN TC
finish]],"m")</f>
        <v>6</v>
      </c>
    </row>
    <row r="248" spans="2:237" s="4" customFormat="1" ht="15" hidden="1" customHeight="1" x14ac:dyDescent="0.2">
      <c r="B248" s="311">
        <f>SUBTOTAL(3,$D$5:D248)</f>
        <v>84</v>
      </c>
      <c r="C248" s="316">
        <v>244</v>
      </c>
      <c r="D248" s="338" t="s">
        <v>629</v>
      </c>
      <c r="E248" s="338" t="s">
        <v>1921</v>
      </c>
      <c r="F248" s="338" t="s">
        <v>1922</v>
      </c>
      <c r="G248" s="349">
        <v>46117</v>
      </c>
      <c r="H248" s="314" t="s">
        <v>247</v>
      </c>
      <c r="I248" s="338" t="s">
        <v>278</v>
      </c>
      <c r="J248" s="480" t="s">
        <v>1818</v>
      </c>
      <c r="K248" s="338" t="s">
        <v>915</v>
      </c>
      <c r="L248" s="316" t="s">
        <v>250</v>
      </c>
      <c r="M248" s="355" t="s">
        <v>269</v>
      </c>
      <c r="N248" s="107">
        <v>23680</v>
      </c>
      <c r="O248" s="131" t="s">
        <v>252</v>
      </c>
      <c r="P24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8" s="35">
        <v>0.9001010911310986</v>
      </c>
      <c r="S248" s="34">
        <v>1</v>
      </c>
      <c r="T248" s="34">
        <f>Table1[[#This Row],[Progres Total Aktual
(%)]]</f>
        <v>0.70405316543050367</v>
      </c>
      <c r="U248" s="98">
        <f>Table1[[#This Row],[Progres Aktual
(%)]]-Table1[[#This Row],[Target Progres
(%)]]</f>
        <v>-0.29594683456949633</v>
      </c>
      <c r="V248" s="80">
        <f>Table1[[#This Row],["Volume
BA MC-0"]]</f>
        <v>22700.06</v>
      </c>
      <c r="W248" s="46">
        <f>Table1[[#This Row],[Total Panjang Pipa Aktual
(Sum-&gt;)3]]</f>
        <v>19069</v>
      </c>
      <c r="X248" s="47"/>
      <c r="Y248" s="67" t="s">
        <v>1923</v>
      </c>
      <c r="Z248" s="67">
        <v>35732085802</v>
      </c>
      <c r="AA248" s="67">
        <f>ROUND((Table1[[#This Row],[Nilai RAB Jaringan
(Exclude Ppn)]]-Table1[[#This Row],[RAB Perizinan]])*1.11+Table1[[#This Row],[RAB Perizinan]],0)</f>
        <v>35732085802</v>
      </c>
      <c r="AB248" s="486">
        <f>SUM(Table1[[#This Row],[RAB Kegiatan Umum]:[RAB Perizinan]])</f>
        <v>32215922344</v>
      </c>
      <c r="AC248" s="436">
        <v>1901080250</v>
      </c>
      <c r="AD248" s="436">
        <v>23763503121</v>
      </c>
      <c r="AE248" s="436">
        <v>6300538973</v>
      </c>
      <c r="AF248" s="436">
        <v>250800000</v>
      </c>
      <c r="AG248" s="483">
        <v>6498107135</v>
      </c>
      <c r="AH248" s="33">
        <f>SUM(Table1[[#This Row],[Bobot Keg Umum]:[Bobot Perizinan]])</f>
        <v>1</v>
      </c>
      <c r="AI248" s="33">
        <f>Table1[[#This Row],[RAB Kegiatan Umum]]/Table1[[#This Row],[Nilai RAB Jaringan
(Exclude Ppn)]]</f>
        <v>5.9010579604096405E-2</v>
      </c>
      <c r="AJ248" s="33">
        <f>Table1[[#This Row],[RAB Pemasangan]]/Table1[[#This Row],[Nilai RAB Jaringan
(Exclude Ppn)]]</f>
        <v>0.73763224492704282</v>
      </c>
      <c r="AK248" s="33">
        <f>Table1[[#This Row],[RAB Pengadaan]]/Table1[[#This Row],[Nilai RAB Jaringan
(Exclude Ppn)]]</f>
        <v>0.19557220512649495</v>
      </c>
      <c r="AL248" s="33">
        <f>Table1[[#This Row],[RAB Perizinan]]/Table1[[#This Row],[Nilai RAB Jaringan
(Exclude Ppn)]]</f>
        <v>7.7849703423658089E-3</v>
      </c>
      <c r="AM248" s="47"/>
      <c r="AN248" s="285">
        <v>22700.06</v>
      </c>
      <c r="AO248" s="285">
        <f>SUM(Table1[[#This Row],[Pipa 63 mm]:[Pipa 1,800 mm]])</f>
        <v>22700.06</v>
      </c>
      <c r="AP248" s="285">
        <f>6023.3+8252.26</f>
        <v>14275.560000000001</v>
      </c>
      <c r="AQ248" s="285">
        <f>2582.7+2225</f>
        <v>4807.7</v>
      </c>
      <c r="AR248" s="285">
        <f>1178.3+891</f>
        <v>2069.3000000000002</v>
      </c>
      <c r="AS248" s="285">
        <f>636.5+650</f>
        <v>1286.5</v>
      </c>
      <c r="AT248" s="285">
        <f>235</f>
        <v>235</v>
      </c>
      <c r="AU248" s="285">
        <f>14+12</f>
        <v>26</v>
      </c>
      <c r="AV248" s="285"/>
      <c r="AW248" s="285"/>
      <c r="AX248" s="285"/>
      <c r="AY248" s="285"/>
      <c r="AZ248" s="285"/>
      <c r="BA248" s="285"/>
      <c r="BB248" s="285"/>
      <c r="BC248" s="285"/>
      <c r="BD248" s="285"/>
      <c r="BE248" s="285"/>
      <c r="BF248" s="285"/>
      <c r="BG248" s="285"/>
      <c r="BH248" s="285"/>
      <c r="BI248" s="285"/>
      <c r="BJ248" s="36">
        <f>SUM(Table1[[#This Row],[Pipa 63 mm2]:[Pipa 1,800 mm21]])</f>
        <v>19069</v>
      </c>
      <c r="BK248" s="32">
        <v>10662</v>
      </c>
      <c r="BL248" s="32">
        <v>4928</v>
      </c>
      <c r="BM248" s="32">
        <v>1964</v>
      </c>
      <c r="BN248" s="32">
        <v>1278</v>
      </c>
      <c r="BO248" s="32">
        <v>237</v>
      </c>
      <c r="BP248" s="32"/>
      <c r="BQ248" s="32"/>
      <c r="BR248" s="32"/>
      <c r="BS248" s="32"/>
      <c r="BT248" s="32"/>
      <c r="BU248" s="32"/>
      <c r="BV248" s="32"/>
      <c r="BW248" s="32"/>
      <c r="BX248" s="32"/>
      <c r="BY248" s="32"/>
      <c r="BZ248" s="32"/>
      <c r="CA248" s="32"/>
      <c r="CB248" s="32"/>
      <c r="CC248" s="32"/>
      <c r="CD248" s="32"/>
      <c r="CE248" s="32">
        <v>0</v>
      </c>
      <c r="CF248" s="32"/>
      <c r="CG248" s="32"/>
      <c r="CH248" s="32"/>
      <c r="CI248" s="32">
        <f t="shared" si="12"/>
        <v>0</v>
      </c>
      <c r="CJ248" s="65">
        <f>IF((Table1[[#This Row],["Volume
BA MC-0"]]-Table1[[#This Row],[Total Panjang Pipa Aktual
(Sum-&gt;)3]]-Table1[[#This Row],[Total Volume
tidak dapat dipasang]])&gt;=0,Table1[[#This Row],["Volume
BA MC-0"]]-Table1[[#This Row],[Total Panjang Pipa Aktual
(Sum-&gt;)3]]-Table1[[#This Row],[Total Volume
tidak dapat dipasang]],0)</f>
        <v>3631.0600000000013</v>
      </c>
      <c r="CK248" s="47"/>
      <c r="CL248" s="484" t="s">
        <v>1821</v>
      </c>
      <c r="CM248" s="34" t="s">
        <v>1821</v>
      </c>
      <c r="CN248" s="484" t="s">
        <v>1821</v>
      </c>
      <c r="CO248" s="484" t="s">
        <v>1821</v>
      </c>
      <c r="CP24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0.70405316543050367</v>
      </c>
      <c r="CQ248" s="66">
        <f>IFERROR(Table1[[#This Row],[Progres Keg. Umum
(%)]]*Table1[[#This Row],[Nilai RAB Jaringan
(file pa aji)]],0)</f>
        <v>0</v>
      </c>
      <c r="CR248" s="66">
        <f>IFERROR(Table1[[#This Row],[Progres MOS
(%)]]*Table1[[#This Row],[Nilai RAB Jaringan
(file pa aji)]],0)</f>
        <v>0</v>
      </c>
      <c r="CS248" s="66">
        <f>IFERROR(Table1[[#This Row],[Progres Pemasangan
(%)]]*Table1[[#This Row],[Nilai RAB Jaringan
(file pa aji)]],0)</f>
        <v>0</v>
      </c>
      <c r="CT248" s="66">
        <f>IFERROR(Table1[[#This Row],[Progres Perizinan
(%)]]*Table1[[#This Row],[Nilai RAB Jaringan
(file pa aji)]],0)</f>
        <v>0</v>
      </c>
      <c r="CU248" s="329">
        <v>25157288116.332458</v>
      </c>
      <c r="CV248" s="329">
        <v>25157288116.332458</v>
      </c>
      <c r="CW248" s="583">
        <v>0</v>
      </c>
      <c r="CX248" s="329">
        <v>0</v>
      </c>
      <c r="CY248" s="47"/>
      <c r="CZ248" s="330">
        <v>45775</v>
      </c>
      <c r="DA248" s="330">
        <v>45802</v>
      </c>
      <c r="DB248" s="331">
        <v>45855</v>
      </c>
      <c r="DC248" s="316" t="s">
        <v>1924</v>
      </c>
      <c r="DD248" s="67">
        <v>35732085802</v>
      </c>
      <c r="DE24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8" s="331">
        <v>45862</v>
      </c>
      <c r="DG248" s="316" t="s">
        <v>1925</v>
      </c>
      <c r="DH248" s="67">
        <v>35732085802</v>
      </c>
      <c r="DI24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8" s="330">
        <v>45803</v>
      </c>
      <c r="DK248" s="330">
        <v>45872</v>
      </c>
      <c r="DL248" s="331">
        <v>45924</v>
      </c>
      <c r="DM248" s="316" t="s">
        <v>1926</v>
      </c>
      <c r="DN24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8" s="331">
        <v>45957</v>
      </c>
      <c r="DP248" s="316" t="s">
        <v>1927</v>
      </c>
      <c r="DQ248" s="338" t="s">
        <v>275</v>
      </c>
      <c r="DR24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8" s="330">
        <v>45803</v>
      </c>
      <c r="DT248" s="330" t="e">
        <v>#N/A</v>
      </c>
      <c r="DU248" s="330">
        <v>45844</v>
      </c>
      <c r="DV248" s="330" t="e">
        <v>#N/A</v>
      </c>
      <c r="DW248" s="331">
        <v>45915</v>
      </c>
      <c r="DX248" s="316" t="s">
        <v>1928</v>
      </c>
      <c r="DY248" s="334">
        <v>171</v>
      </c>
      <c r="DZ248" s="334">
        <v>171</v>
      </c>
      <c r="EA24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8" s="331">
        <v>46085</v>
      </c>
      <c r="EC248" s="332">
        <v>169</v>
      </c>
      <c r="ED248" s="332">
        <v>169</v>
      </c>
      <c r="EE248" s="330" t="s">
        <v>1929</v>
      </c>
      <c r="EF248" s="35">
        <v>0.98830409356725146</v>
      </c>
      <c r="EG248" s="35">
        <f>Table1[[#This Row],[Line PO (kolom  bantu)2]]/Table1[[#This Row],[Line PR]]</f>
        <v>0.98830409356725146</v>
      </c>
      <c r="EH248" s="316" t="str">
        <f>IF(Table1[[#This Row],[PO Material Aktual 
(%)]]&gt;=100%,"Selesai PO = 100%",IF(Table1[[#This Row],[PO Material Aktual 
(%)]]&gt;=50%,"Proses PO &gt; 100%",IF(Table1[[#This Row],[PO Material Aktual 
(%)]]&gt;0%,"Proses PO &gt; 50%",IF(Table1[[#This Row],[PO Material Aktual 
(%)]]=0,"Belum PO = 0%"))))</f>
        <v>Proses PO &gt; 100%</v>
      </c>
      <c r="EI24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8" s="330">
        <v>45845</v>
      </c>
      <c r="EK248" s="330" t="e">
        <v>#N/A</v>
      </c>
      <c r="EL248" s="330">
        <v>46019</v>
      </c>
      <c r="EM248" s="330" t="e">
        <v>#N/A</v>
      </c>
      <c r="EN248" s="331">
        <v>46095</v>
      </c>
      <c r="EO248" s="332">
        <v>167</v>
      </c>
      <c r="EP248" s="316">
        <v>167</v>
      </c>
      <c r="EQ248" s="35">
        <v>0.97660818713450293</v>
      </c>
      <c r="ER248" s="35">
        <f>Table1[[#This Row],[Line MOS]]/Table1[[#This Row],[Line PR]]</f>
        <v>0.97660818713450293</v>
      </c>
      <c r="ES248" s="316" t="str">
        <f>IF(Table1[[#This Row],[Progres MOS]]&gt;=100%,"Selesai MOS = 100%",IF(Table1[[#This Row],[Progres MOS]]&gt;=50%,"Proses MOS &gt; 100%",IF(Table1[[#This Row],[Progres MOS]]&gt;0%,"Proses MOS &gt; 50%",IF(Table1[[#This Row],[Progres MOS]]=0,"Belum MOS = 0%"))))</f>
        <v>Proses MOS &gt; 100%</v>
      </c>
      <c r="ET24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8" s="47"/>
      <c r="EV248" s="330">
        <v>45803</v>
      </c>
      <c r="EW248" s="330" t="e">
        <v>#N/A</v>
      </c>
      <c r="EX248" s="330">
        <v>45900</v>
      </c>
      <c r="EY248" s="330" t="e">
        <v>#N/A</v>
      </c>
      <c r="EZ248" s="352" t="s">
        <v>298</v>
      </c>
      <c r="FA248" s="336" t="s">
        <v>298</v>
      </c>
      <c r="FB248" s="330" t="s">
        <v>260</v>
      </c>
      <c r="FC248" s="330">
        <v>45918</v>
      </c>
      <c r="FD248" s="330" t="s">
        <v>260</v>
      </c>
      <c r="FE248" s="330">
        <v>45939</v>
      </c>
      <c r="FF248" s="330">
        <v>45935</v>
      </c>
      <c r="FG248" s="330" t="s">
        <v>260</v>
      </c>
      <c r="FH248" s="330" t="s">
        <v>260</v>
      </c>
      <c r="FI248" s="330">
        <v>46010</v>
      </c>
      <c r="FJ248" s="330" t="s">
        <v>260</v>
      </c>
      <c r="FK248" s="330"/>
      <c r="FL248" s="336" t="s">
        <v>298</v>
      </c>
      <c r="FM248" s="352">
        <v>45918</v>
      </c>
      <c r="FN248" s="338">
        <f>IF(Table1[[#This Row],[Tanggal Pengajuan Dokumen]]="","",Table1[[#This Row],[PLAN PERMIT
start]]-Table1[[#This Row],[Tanggal Pengajuan Dokumen]])</f>
        <v>-115</v>
      </c>
      <c r="FO248" s="437">
        <v>46086</v>
      </c>
      <c r="FP248" s="316"/>
      <c r="FQ248" s="338"/>
      <c r="FR248" s="338"/>
      <c r="FS248" s="338" t="str">
        <f t="shared" si="11"/>
        <v>On Going</v>
      </c>
      <c r="FT24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8" s="344">
        <f ca="1">IF(Table1[[#This Row],[Status Izin]]="Selesai",Table1[[#This Row],[PLAN PERMIT
finish]]-Table1[[#This Row],[Tanggal Terbit/ Target Izin Terbit]],ROUNDUP(Table1[[#This Row],[PLAN PERMIT
finish]]-NOW(),0))</f>
        <v>-291</v>
      </c>
      <c r="FV24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8" s="344"/>
      <c r="FX248" s="47"/>
      <c r="FY248" s="340"/>
      <c r="FZ248" s="341">
        <v>45903</v>
      </c>
      <c r="GA24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8" s="330">
        <v>45874</v>
      </c>
      <c r="GC248" s="352">
        <v>45917</v>
      </c>
      <c r="GD24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8" s="330">
        <v>45881</v>
      </c>
      <c r="GF248" s="352">
        <v>45912</v>
      </c>
      <c r="GG24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8" s="330">
        <v>45887</v>
      </c>
      <c r="GI248" s="330">
        <v>45893</v>
      </c>
      <c r="GJ248" s="352">
        <v>45958</v>
      </c>
      <c r="GK24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8" s="330">
        <v>45901</v>
      </c>
      <c r="GM248" s="330" t="e">
        <v>#N/A</v>
      </c>
      <c r="GN248" s="330">
        <v>46096</v>
      </c>
      <c r="GO248" s="330" t="e">
        <v>#N/A</v>
      </c>
      <c r="GP248" s="330"/>
      <c r="GQ24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8" s="330" t="s">
        <v>261</v>
      </c>
      <c r="GS248" s="330" t="s">
        <v>261</v>
      </c>
      <c r="GT248" s="354"/>
      <c r="GU248" s="344" t="str">
        <f>IF(Table1[[#This Row],[Hydro Tes Actual
(tanggal)]]&lt;&gt;"","Sudah","Belum")</f>
        <v>Belum</v>
      </c>
      <c r="GV248" s="330" t="s">
        <v>261</v>
      </c>
      <c r="GW248" s="330" t="s">
        <v>261</v>
      </c>
      <c r="GX248" s="331"/>
      <c r="GY248" s="344" t="str">
        <f>IF(Table1[[#This Row],[Interkoneksi Actual
(tanggal)]]&lt;&gt;"","Sudah","Belum")</f>
        <v>Belum</v>
      </c>
      <c r="GZ248" s="330" t="s">
        <v>261</v>
      </c>
      <c r="HA248" s="330" t="s">
        <v>261</v>
      </c>
      <c r="HB248" s="331"/>
      <c r="HC248" s="344" t="str">
        <f>IF(Table1[[#This Row],[Flushing Actual
(tanggal)]]&lt;&gt;"","Sudah","Belum")</f>
        <v>Belum</v>
      </c>
      <c r="HD248" s="330">
        <v>46069</v>
      </c>
      <c r="HE248" s="330" t="e">
        <v>#N/A</v>
      </c>
      <c r="HF248" s="330">
        <v>46082</v>
      </c>
      <c r="HG248" s="352"/>
      <c r="HH24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8" s="330" t="s">
        <v>261</v>
      </c>
      <c r="HJ248" s="330" t="s">
        <v>261</v>
      </c>
      <c r="HK248" s="331"/>
      <c r="HL248" s="316"/>
      <c r="HM248" s="330">
        <v>46101</v>
      </c>
      <c r="HN248" s="330">
        <v>46101</v>
      </c>
      <c r="HO248" s="330" t="e">
        <v>#N/A</v>
      </c>
      <c r="HP248" s="331"/>
      <c r="HQ248"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48" s="330">
        <v>46108</v>
      </c>
      <c r="HS248" s="330"/>
      <c r="HT248" s="330">
        <v>46108</v>
      </c>
      <c r="HU248" s="330"/>
      <c r="HV248" s="331"/>
      <c r="HW24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48" s="47"/>
      <c r="HY248" s="352"/>
      <c r="HZ248" s="352"/>
      <c r="IB248" s="618">
        <f>IFERROR(ROUND((Table1[[#This Row],[PLAN TC
finish]]-Table1[[#This Row],[PLAN MC-0
start]])/30,2),"")</f>
        <v>6.5</v>
      </c>
      <c r="IC248">
        <f>DATEDIF(Table1[[#This Row],[PLAN MC-0
start]],Table1[[#This Row],[PLAN TC
finish]],"m")</f>
        <v>6</v>
      </c>
    </row>
    <row r="249" spans="2:237" s="4" customFormat="1" ht="15" hidden="1" customHeight="1" x14ac:dyDescent="0.2">
      <c r="B249" s="311">
        <f>SUBTOTAL(3,$D$5:D249)</f>
        <v>84</v>
      </c>
      <c r="C249" s="316">
        <v>245</v>
      </c>
      <c r="D249" s="338" t="s">
        <v>629</v>
      </c>
      <c r="E249" s="338" t="s">
        <v>1930</v>
      </c>
      <c r="F249" s="338" t="s">
        <v>1931</v>
      </c>
      <c r="G249" s="349">
        <v>46117</v>
      </c>
      <c r="H249" s="314" t="s">
        <v>247</v>
      </c>
      <c r="I249" s="338" t="s">
        <v>278</v>
      </c>
      <c r="J249" s="480" t="s">
        <v>1818</v>
      </c>
      <c r="K249" s="338" t="s">
        <v>915</v>
      </c>
      <c r="L249" s="316" t="s">
        <v>250</v>
      </c>
      <c r="M249" s="355" t="s">
        <v>269</v>
      </c>
      <c r="N249" s="107">
        <v>13581</v>
      </c>
      <c r="O249" s="131" t="s">
        <v>252</v>
      </c>
      <c r="P24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9" s="35">
        <v>0.90164611892758784</v>
      </c>
      <c r="S249" s="34">
        <v>1</v>
      </c>
      <c r="T249" s="34">
        <f>Table1[[#This Row],[Progres Total Aktual
(%)]]</f>
        <v>0.41699246878259938</v>
      </c>
      <c r="U249" s="98">
        <f>Table1[[#This Row],[Progres Aktual
(%)]]-Table1[[#This Row],[Target Progres
(%)]]</f>
        <v>-0.58300753121740057</v>
      </c>
      <c r="V249" s="80">
        <f>Table1[[#This Row],["Volume
BA MC-0"]]</f>
        <v>10300</v>
      </c>
      <c r="W249" s="46">
        <f>Table1[[#This Row],[Total Panjang Pipa Aktual
(Sum-&gt;)3]]</f>
        <v>6819</v>
      </c>
      <c r="X249" s="47"/>
      <c r="Y249" s="67" t="s">
        <v>1932</v>
      </c>
      <c r="Z249" s="67">
        <v>23629084417</v>
      </c>
      <c r="AA249" s="67">
        <f>ROUND((Table1[[#This Row],[Nilai RAB Jaringan
(Exclude Ppn)]]-Table1[[#This Row],[RAB Perizinan]])*1.11+Table1[[#This Row],[RAB Perizinan]],0)</f>
        <v>23629084416</v>
      </c>
      <c r="AB249" s="486">
        <f>SUM(Table1[[#This Row],[RAB Kegiatan Umum]:[RAB Perizinan]])</f>
        <v>21301742627</v>
      </c>
      <c r="AC249" s="436">
        <v>1455696595</v>
      </c>
      <c r="AD249" s="436">
        <v>14556965951</v>
      </c>
      <c r="AE249" s="436">
        <v>5144990081</v>
      </c>
      <c r="AF249" s="436">
        <v>144090000</v>
      </c>
      <c r="AG249" s="483">
        <v>4650234257</v>
      </c>
      <c r="AH249" s="33">
        <f>SUM(Table1[[#This Row],[Bobot Keg Umum]:[Bobot Perizinan]])</f>
        <v>1</v>
      </c>
      <c r="AI249" s="33">
        <f>Table1[[#This Row],[RAB Kegiatan Umum]]/Table1[[#This Row],[Nilai RAB Jaringan
(Exclude Ppn)]]</f>
        <v>6.8336972260424442E-2</v>
      </c>
      <c r="AJ249" s="33">
        <f>Table1[[#This Row],[RAB Pemasangan]]/Table1[[#This Row],[Nilai RAB Jaringan
(Exclude Ppn)]]</f>
        <v>0.683369722651189</v>
      </c>
      <c r="AK249" s="33">
        <f>Table1[[#This Row],[RAB Pengadaan]]/Table1[[#This Row],[Nilai RAB Jaringan
(Exclude Ppn)]]</f>
        <v>0.24152906976158445</v>
      </c>
      <c r="AL249" s="33">
        <f>Table1[[#This Row],[RAB Perizinan]]/Table1[[#This Row],[Nilai RAB Jaringan
(Exclude Ppn)]]</f>
        <v>6.7642353268021205E-3</v>
      </c>
      <c r="AM249" s="47"/>
      <c r="AN249" s="487">
        <v>10300</v>
      </c>
      <c r="AO249" s="487">
        <f>SUM(Table1[[#This Row],[Pipa 63 mm]:[Pipa 1,800 mm]])</f>
        <v>10300</v>
      </c>
      <c r="AP249" s="487">
        <v>6299</v>
      </c>
      <c r="AQ249" s="487">
        <v>1459</v>
      </c>
      <c r="AR249" s="487">
        <v>1151</v>
      </c>
      <c r="AS249" s="487">
        <v>333</v>
      </c>
      <c r="AT249" s="487">
        <v>652</v>
      </c>
      <c r="AU249" s="487">
        <v>3</v>
      </c>
      <c r="AV249" s="487">
        <v>403</v>
      </c>
      <c r="AW249" s="487"/>
      <c r="AX249" s="487"/>
      <c r="AY249" s="487"/>
      <c r="AZ249" s="487"/>
      <c r="BA249" s="487"/>
      <c r="BB249" s="487"/>
      <c r="BC249" s="487"/>
      <c r="BD249" s="487"/>
      <c r="BE249" s="487"/>
      <c r="BF249" s="487"/>
      <c r="BG249" s="487"/>
      <c r="BH249" s="487"/>
      <c r="BI249" s="487"/>
      <c r="BJ249" s="36">
        <f>SUM(Table1[[#This Row],[Pipa 63 mm2]:[Pipa 1,800 mm21]])</f>
        <v>6819</v>
      </c>
      <c r="BK249" s="32">
        <v>3588</v>
      </c>
      <c r="BL249" s="32">
        <v>1129</v>
      </c>
      <c r="BM249" s="32">
        <v>1025</v>
      </c>
      <c r="BN249" s="32">
        <v>348</v>
      </c>
      <c r="BO249" s="32">
        <v>677</v>
      </c>
      <c r="BP249" s="32"/>
      <c r="BQ249" s="32"/>
      <c r="BR249" s="32">
        <v>52</v>
      </c>
      <c r="BS249" s="32"/>
      <c r="BT249" s="32"/>
      <c r="BU249" s="32"/>
      <c r="BV249" s="32"/>
      <c r="BW249" s="32"/>
      <c r="BX249" s="32"/>
      <c r="BY249" s="32"/>
      <c r="BZ249" s="32"/>
      <c r="CA249" s="32"/>
      <c r="CB249" s="32"/>
      <c r="CC249" s="32"/>
      <c r="CD249" s="32"/>
      <c r="CE249" s="32">
        <v>0</v>
      </c>
      <c r="CF249" s="32"/>
      <c r="CG249" s="32"/>
      <c r="CH249" s="32"/>
      <c r="CI249" s="32">
        <f t="shared" si="12"/>
        <v>0</v>
      </c>
      <c r="CJ249" s="65">
        <f>IF((Table1[[#This Row],["Volume
BA MC-0"]]-Table1[[#This Row],[Total Panjang Pipa Aktual
(Sum-&gt;)3]]-Table1[[#This Row],[Total Volume
tidak dapat dipasang]])&gt;=0,Table1[[#This Row],["Volume
BA MC-0"]]-Table1[[#This Row],[Total Panjang Pipa Aktual
(Sum-&gt;)3]]-Table1[[#This Row],[Total Volume
tidak dapat dipasang]],0)</f>
        <v>3481</v>
      </c>
      <c r="CK249" s="47"/>
      <c r="CL249" s="484" t="s">
        <v>1821</v>
      </c>
      <c r="CM249" s="34" t="s">
        <v>1821</v>
      </c>
      <c r="CN249" s="484" t="s">
        <v>1821</v>
      </c>
      <c r="CO249" s="484" t="s">
        <v>1821</v>
      </c>
      <c r="CP24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0.41699246878259938</v>
      </c>
      <c r="CQ249" s="66">
        <f>IFERROR(Table1[[#This Row],[Progres Keg. Umum
(%)]]*Table1[[#This Row],[Nilai RAB Jaringan
(file pa aji)]],0)</f>
        <v>0</v>
      </c>
      <c r="CR249" s="66">
        <f>IFERROR(Table1[[#This Row],[Progres MOS
(%)]]*Table1[[#This Row],[Nilai RAB Jaringan
(file pa aji)]],0)</f>
        <v>0</v>
      </c>
      <c r="CS249" s="66">
        <f>IFERROR(Table1[[#This Row],[Progres Pemasangan
(%)]]*Table1[[#This Row],[Nilai RAB Jaringan
(file pa aji)]],0)</f>
        <v>0</v>
      </c>
      <c r="CT249" s="66">
        <f>IFERROR(Table1[[#This Row],[Progres Perizinan
(%)]]*Table1[[#This Row],[Nilai RAB Jaringan
(file pa aji)]],0)</f>
        <v>0</v>
      </c>
      <c r="CU249" s="329">
        <v>9853150245.700285</v>
      </c>
      <c r="CV249" s="329">
        <v>9853150245.700285</v>
      </c>
      <c r="CW249" s="583">
        <v>0</v>
      </c>
      <c r="CX249" s="329">
        <v>0</v>
      </c>
      <c r="CY249" s="47"/>
      <c r="CZ249" s="330">
        <v>45775</v>
      </c>
      <c r="DA249" s="330">
        <v>45802</v>
      </c>
      <c r="DB249" s="331">
        <v>45873</v>
      </c>
      <c r="DC249" s="316" t="s">
        <v>1933</v>
      </c>
      <c r="DD249" s="67">
        <v>26163678274</v>
      </c>
      <c r="DE24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9" s="331">
        <v>45884</v>
      </c>
      <c r="DG249" s="316" t="s">
        <v>1934</v>
      </c>
      <c r="DH249" s="67">
        <v>26163678274</v>
      </c>
      <c r="DI24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9" s="330">
        <v>45803</v>
      </c>
      <c r="DK249" s="330">
        <v>45872</v>
      </c>
      <c r="DL249" s="331">
        <v>45922</v>
      </c>
      <c r="DM249" s="316" t="s">
        <v>1935</v>
      </c>
      <c r="DN24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9" s="331">
        <v>45923</v>
      </c>
      <c r="DP249" s="316" t="s">
        <v>1936</v>
      </c>
      <c r="DQ249" s="338" t="s">
        <v>1937</v>
      </c>
      <c r="DR24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9" s="330">
        <v>45803</v>
      </c>
      <c r="DT249" s="330" t="e">
        <v>#N/A</v>
      </c>
      <c r="DU249" s="330">
        <v>45844</v>
      </c>
      <c r="DV249" s="330" t="e">
        <v>#N/A</v>
      </c>
      <c r="DW249" s="331">
        <v>45917</v>
      </c>
      <c r="DX249" s="316" t="s">
        <v>1938</v>
      </c>
      <c r="DY249" s="334">
        <v>111</v>
      </c>
      <c r="DZ249" s="334">
        <v>111</v>
      </c>
      <c r="EA24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9" s="331">
        <v>46114</v>
      </c>
      <c r="EC249" s="332">
        <v>111</v>
      </c>
      <c r="ED249" s="332">
        <v>111</v>
      </c>
      <c r="EE249" s="330"/>
      <c r="EF249" s="35">
        <v>1</v>
      </c>
      <c r="EG249" s="35">
        <f>Table1[[#This Row],[Line PO (kolom  bantu)2]]/Table1[[#This Row],[Line PR]]</f>
        <v>1</v>
      </c>
      <c r="EH249" s="316" t="str">
        <f>IF(Table1[[#This Row],[PO Material Aktual 
(%)]]&gt;=100%,"Selesai PO = 100%",IF(Table1[[#This Row],[PO Material Aktual 
(%)]]&gt;=50%,"Proses PO &gt; 100%",IF(Table1[[#This Row],[PO Material Aktual 
(%)]]&gt;0%,"Proses PO &gt; 50%",IF(Table1[[#This Row],[PO Material Aktual 
(%)]]=0,"Belum PO = 0%"))))</f>
        <v>Selesai PO = 100%</v>
      </c>
      <c r="EI24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9" s="330">
        <v>45845</v>
      </c>
      <c r="EK249" s="330" t="e">
        <v>#N/A</v>
      </c>
      <c r="EL249" s="330">
        <v>46019</v>
      </c>
      <c r="EM249" s="330" t="e">
        <v>#N/A</v>
      </c>
      <c r="EN249" s="331">
        <v>46091</v>
      </c>
      <c r="EO249" s="332">
        <v>111</v>
      </c>
      <c r="EP249" s="316">
        <v>111</v>
      </c>
      <c r="EQ249" s="35">
        <v>1</v>
      </c>
      <c r="ER249" s="35">
        <f>Table1[[#This Row],[Line MOS]]/Table1[[#This Row],[Line PR]]</f>
        <v>1</v>
      </c>
      <c r="ES249" s="316" t="str">
        <f>IF(Table1[[#This Row],[Progres MOS]]&gt;=100%,"Selesai MOS = 100%",IF(Table1[[#This Row],[Progres MOS]]&gt;=50%,"Proses MOS &gt; 100%",IF(Table1[[#This Row],[Progres MOS]]&gt;0%,"Proses MOS &gt; 50%",IF(Table1[[#This Row],[Progres MOS]]=0,"Belum MOS = 0%"))))</f>
        <v>Selesai MOS = 100%</v>
      </c>
      <c r="ET24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9" s="47"/>
      <c r="EV249" s="330">
        <v>45803</v>
      </c>
      <c r="EW249" s="330" t="e">
        <v>#N/A</v>
      </c>
      <c r="EX249" s="330">
        <v>45900</v>
      </c>
      <c r="EY249" s="330" t="e">
        <v>#N/A</v>
      </c>
      <c r="EZ249" s="352" t="s">
        <v>298</v>
      </c>
      <c r="FA249" s="336" t="s">
        <v>298</v>
      </c>
      <c r="FB249" s="330" t="s">
        <v>260</v>
      </c>
      <c r="FC249" s="330">
        <v>45918</v>
      </c>
      <c r="FD249" s="330" t="s">
        <v>260</v>
      </c>
      <c r="FE249" s="330">
        <v>45939</v>
      </c>
      <c r="FF249" s="330">
        <v>45935</v>
      </c>
      <c r="FG249" s="330" t="s">
        <v>260</v>
      </c>
      <c r="FH249" s="330" t="s">
        <v>260</v>
      </c>
      <c r="FI249" s="330">
        <v>46010</v>
      </c>
      <c r="FJ249" s="330" t="s">
        <v>260</v>
      </c>
      <c r="FK249" s="330"/>
      <c r="FL249" s="336" t="s">
        <v>298</v>
      </c>
      <c r="FM249" s="352">
        <v>45918</v>
      </c>
      <c r="FN249" s="338">
        <f>IF(Table1[[#This Row],[Tanggal Pengajuan Dokumen]]="","",Table1[[#This Row],[PLAN PERMIT
start]]-Table1[[#This Row],[Tanggal Pengajuan Dokumen]])</f>
        <v>-115</v>
      </c>
      <c r="FO249" s="437">
        <v>46086</v>
      </c>
      <c r="FP249" s="316"/>
      <c r="FQ249" s="338"/>
      <c r="FR249" s="338"/>
      <c r="FS249" s="338" t="str">
        <f t="shared" si="11"/>
        <v>On Going</v>
      </c>
      <c r="FT24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9" s="344">
        <f ca="1">IF(Table1[[#This Row],[Status Izin]]="Selesai",Table1[[#This Row],[PLAN PERMIT
finish]]-Table1[[#This Row],[Tanggal Terbit/ Target Izin Terbit]],ROUNDUP(Table1[[#This Row],[PLAN PERMIT
finish]]-NOW(),0))</f>
        <v>-291</v>
      </c>
      <c r="FV24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9" s="344"/>
      <c r="FX249" s="47"/>
      <c r="FY249" s="340"/>
      <c r="FZ249" s="341">
        <v>45903</v>
      </c>
      <c r="GA24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9" s="330">
        <v>45874</v>
      </c>
      <c r="GC249" s="352">
        <v>45917</v>
      </c>
      <c r="GD24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9" s="330">
        <v>45881</v>
      </c>
      <c r="GF249" s="352">
        <v>45912</v>
      </c>
      <c r="GG24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9" s="330">
        <v>45887</v>
      </c>
      <c r="GI249" s="330">
        <v>45893</v>
      </c>
      <c r="GJ249" s="352">
        <v>45966</v>
      </c>
      <c r="GK24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9" s="330">
        <v>45901</v>
      </c>
      <c r="GM249" s="330" t="e">
        <v>#N/A</v>
      </c>
      <c r="GN249" s="330">
        <v>46096</v>
      </c>
      <c r="GO249" s="330" t="e">
        <v>#N/A</v>
      </c>
      <c r="GP249" s="330"/>
      <c r="GQ24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9" s="330" t="s">
        <v>261</v>
      </c>
      <c r="GS249" s="330" t="s">
        <v>261</v>
      </c>
      <c r="GT249" s="354"/>
      <c r="GU249" s="344" t="str">
        <f>IF(Table1[[#This Row],[Hydro Tes Actual
(tanggal)]]&lt;&gt;"","Sudah","Belum")</f>
        <v>Belum</v>
      </c>
      <c r="GV249" s="330" t="s">
        <v>261</v>
      </c>
      <c r="GW249" s="330" t="s">
        <v>261</v>
      </c>
      <c r="GX249" s="331"/>
      <c r="GY249" s="344" t="str">
        <f>IF(Table1[[#This Row],[Interkoneksi Actual
(tanggal)]]&lt;&gt;"","Sudah","Belum")</f>
        <v>Belum</v>
      </c>
      <c r="GZ249" s="330" t="s">
        <v>261</v>
      </c>
      <c r="HA249" s="330" t="s">
        <v>261</v>
      </c>
      <c r="HB249" s="331"/>
      <c r="HC249" s="344" t="str">
        <f>IF(Table1[[#This Row],[Flushing Actual
(tanggal)]]&lt;&gt;"","Sudah","Belum")</f>
        <v>Belum</v>
      </c>
      <c r="HD249" s="330">
        <v>46069</v>
      </c>
      <c r="HE249" s="330" t="e">
        <v>#N/A</v>
      </c>
      <c r="HF249" s="330">
        <v>46082</v>
      </c>
      <c r="HG249" s="352"/>
      <c r="HH24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9" s="330" t="s">
        <v>261</v>
      </c>
      <c r="HJ249" s="330" t="s">
        <v>261</v>
      </c>
      <c r="HK249" s="331"/>
      <c r="HL249" s="316"/>
      <c r="HM249" s="330">
        <v>46101</v>
      </c>
      <c r="HN249" s="330">
        <v>46101</v>
      </c>
      <c r="HO249" s="330" t="e">
        <v>#N/A</v>
      </c>
      <c r="HP249" s="331"/>
      <c r="HQ249"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49" s="330">
        <v>46108</v>
      </c>
      <c r="HS249" s="330"/>
      <c r="HT249" s="330">
        <v>46108</v>
      </c>
      <c r="HU249" s="330"/>
      <c r="HV249" s="331"/>
      <c r="HW24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49" s="47"/>
      <c r="HY249" s="352"/>
      <c r="HZ249" s="352"/>
      <c r="IB249" s="618">
        <f>IFERROR(ROUND((Table1[[#This Row],[PLAN TC
finish]]-Table1[[#This Row],[PLAN MC-0
start]])/30,2),"")</f>
        <v>6.5</v>
      </c>
      <c r="IC249">
        <f>DATEDIF(Table1[[#This Row],[PLAN MC-0
start]],Table1[[#This Row],[PLAN TC
finish]],"m")</f>
        <v>6</v>
      </c>
    </row>
    <row r="250" spans="2:237" s="4" customFormat="1" ht="15" hidden="1" customHeight="1" x14ac:dyDescent="0.2">
      <c r="B250" s="311">
        <f>SUBTOTAL(3,$D$5:D250)</f>
        <v>84</v>
      </c>
      <c r="C250" s="316">
        <v>246</v>
      </c>
      <c r="D250" s="338" t="s">
        <v>629</v>
      </c>
      <c r="E250" s="338" t="s">
        <v>1939</v>
      </c>
      <c r="F250" s="338" t="s">
        <v>1940</v>
      </c>
      <c r="G250" s="349">
        <v>46117</v>
      </c>
      <c r="H250" s="314" t="s">
        <v>247</v>
      </c>
      <c r="I250" s="338" t="s">
        <v>278</v>
      </c>
      <c r="J250" s="480" t="s">
        <v>1818</v>
      </c>
      <c r="K250" s="338" t="s">
        <v>915</v>
      </c>
      <c r="L250" s="316" t="s">
        <v>250</v>
      </c>
      <c r="M250" s="355" t="s">
        <v>269</v>
      </c>
      <c r="N250" s="107">
        <v>22917</v>
      </c>
      <c r="O250" s="131" t="s">
        <v>252</v>
      </c>
      <c r="P25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0" s="35">
        <v>0.90113691169782673</v>
      </c>
      <c r="S250" s="34">
        <v>1</v>
      </c>
      <c r="T250" s="34">
        <f>Table1[[#This Row],[Progres Total Aktual
(%)]]</f>
        <v>0.66511025778987187</v>
      </c>
      <c r="U250" s="98">
        <f>Table1[[#This Row],[Progres Aktual
(%)]]-Table1[[#This Row],[Target Progres
(%)]]</f>
        <v>-0.33488974221012813</v>
      </c>
      <c r="V250" s="80">
        <f>Table1[[#This Row],["Volume
BA MC-0"]]</f>
        <v>18935.2</v>
      </c>
      <c r="W250" s="46">
        <f>Table1[[#This Row],[Total Panjang Pipa Aktual
(Sum-&gt;)3]]</f>
        <v>16945</v>
      </c>
      <c r="X250" s="47"/>
      <c r="Y250" s="67" t="s">
        <v>1941</v>
      </c>
      <c r="Z250" s="67">
        <v>35968629075</v>
      </c>
      <c r="AA250" s="67">
        <f>ROUND((Table1[[#This Row],[Nilai RAB Jaringan
(Exclude Ppn)]]-Table1[[#This Row],[RAB Perizinan]])*1.11+Table1[[#This Row],[RAB Perizinan]],0)</f>
        <v>35968629075</v>
      </c>
      <c r="AB250" s="486">
        <f>SUM(Table1[[#This Row],[RAB Kegiatan Umum]:[RAB Perizinan]])</f>
        <v>32426880878</v>
      </c>
      <c r="AC250" s="436">
        <v>1853472441</v>
      </c>
      <c r="AD250" s="436">
        <v>23168405514</v>
      </c>
      <c r="AE250" s="436">
        <v>7175832923</v>
      </c>
      <c r="AF250" s="436">
        <v>229170000</v>
      </c>
      <c r="AG250" s="483">
        <v>6281082157</v>
      </c>
      <c r="AH250" s="33">
        <f>SUM(Table1[[#This Row],[Bobot Keg Umum]:[Bobot Perizinan]])</f>
        <v>1</v>
      </c>
      <c r="AI250" s="33">
        <f>Table1[[#This Row],[RAB Kegiatan Umum]]/Table1[[#This Row],[Nilai RAB Jaringan
(Exclude Ppn)]]</f>
        <v>5.715851758833479E-2</v>
      </c>
      <c r="AJ250" s="33">
        <f>Table1[[#This Row],[RAB Pemasangan]]/Table1[[#This Row],[Nilai RAB Jaringan
(Exclude Ppn)]]</f>
        <v>0.71448146990044281</v>
      </c>
      <c r="AK250" s="33">
        <f>Table1[[#This Row],[RAB Pengadaan]]/Table1[[#This Row],[Nilai RAB Jaringan
(Exclude Ppn)]]</f>
        <v>0.22129272778340023</v>
      </c>
      <c r="AL250" s="33">
        <f>Table1[[#This Row],[RAB Perizinan]]/Table1[[#This Row],[Nilai RAB Jaringan
(Exclude Ppn)]]</f>
        <v>7.067284727822227E-3</v>
      </c>
      <c r="AM250" s="47"/>
      <c r="AN250" s="487">
        <v>18935.2</v>
      </c>
      <c r="AO250" s="487">
        <f>SUM(Table1[[#This Row],[Pipa 63 mm]:[Pipa 1,800 mm]])</f>
        <v>18935.2</v>
      </c>
      <c r="AP250" s="487">
        <v>9212</v>
      </c>
      <c r="AQ250" s="487">
        <v>5166.6000000000004</v>
      </c>
      <c r="AR250" s="487">
        <v>2267.1</v>
      </c>
      <c r="AS250" s="487">
        <v>1452</v>
      </c>
      <c r="AT250" s="487">
        <v>821.5</v>
      </c>
      <c r="AU250" s="487">
        <v>16</v>
      </c>
      <c r="AV250" s="487"/>
      <c r="AW250" s="487"/>
      <c r="AX250" s="487"/>
      <c r="AY250" s="487"/>
      <c r="AZ250" s="487"/>
      <c r="BA250" s="487"/>
      <c r="BB250" s="487"/>
      <c r="BC250" s="487"/>
      <c r="BD250" s="487"/>
      <c r="BE250" s="487"/>
      <c r="BF250" s="487"/>
      <c r="BG250" s="487"/>
      <c r="BH250" s="487"/>
      <c r="BI250" s="487"/>
      <c r="BJ250" s="36">
        <f>SUM(Table1[[#This Row],[Pipa 63 mm2]:[Pipa 1,800 mm21]])</f>
        <v>16945</v>
      </c>
      <c r="BK250" s="32">
        <v>4536</v>
      </c>
      <c r="BL250" s="32">
        <v>7122</v>
      </c>
      <c r="BM250" s="32">
        <v>2860</v>
      </c>
      <c r="BN250" s="32">
        <v>1670</v>
      </c>
      <c r="BO250" s="32">
        <v>757</v>
      </c>
      <c r="BP250" s="32"/>
      <c r="BQ250" s="32"/>
      <c r="BR250" s="32"/>
      <c r="BS250" s="32"/>
      <c r="BT250" s="32"/>
      <c r="BU250" s="32"/>
      <c r="BV250" s="32"/>
      <c r="BW250" s="32"/>
      <c r="BX250" s="32"/>
      <c r="BY250" s="32"/>
      <c r="BZ250" s="32"/>
      <c r="CA250" s="32"/>
      <c r="CB250" s="32"/>
      <c r="CC250" s="32"/>
      <c r="CD250" s="32"/>
      <c r="CE250" s="32">
        <v>0</v>
      </c>
      <c r="CF250" s="32"/>
      <c r="CG250" s="32"/>
      <c r="CH250" s="32"/>
      <c r="CI250" s="32">
        <f t="shared" si="12"/>
        <v>0</v>
      </c>
      <c r="CJ250" s="65">
        <f>IF((Table1[[#This Row],["Volume
BA MC-0"]]-Table1[[#This Row],[Total Panjang Pipa Aktual
(Sum-&gt;)3]]-Table1[[#This Row],[Total Volume
tidak dapat dipasang]])&gt;=0,Table1[[#This Row],["Volume
BA MC-0"]]-Table1[[#This Row],[Total Panjang Pipa Aktual
(Sum-&gt;)3]]-Table1[[#This Row],[Total Volume
tidak dapat dipasang]],0)</f>
        <v>1990.2000000000007</v>
      </c>
      <c r="CK250" s="47"/>
      <c r="CL250" s="484" t="s">
        <v>1821</v>
      </c>
      <c r="CM250" s="34" t="s">
        <v>1821</v>
      </c>
      <c r="CN250" s="484" t="s">
        <v>1821</v>
      </c>
      <c r="CO250" s="484" t="s">
        <v>1821</v>
      </c>
      <c r="CP25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0.66511025778987187</v>
      </c>
      <c r="CQ250" s="66">
        <f>IFERROR(Table1[[#This Row],[Progres Keg. Umum
(%)]]*Table1[[#This Row],[Nilai RAB Jaringan
(file pa aji)]],0)</f>
        <v>0</v>
      </c>
      <c r="CR250" s="66">
        <f>IFERROR(Table1[[#This Row],[Progres MOS
(%)]]*Table1[[#This Row],[Nilai RAB Jaringan
(file pa aji)]],0)</f>
        <v>0</v>
      </c>
      <c r="CS250" s="66">
        <f>IFERROR(Table1[[#This Row],[Progres Pemasangan
(%)]]*Table1[[#This Row],[Nilai RAB Jaringan
(file pa aji)]],0)</f>
        <v>0</v>
      </c>
      <c r="CT250" s="66">
        <f>IFERROR(Table1[[#This Row],[Progres Perizinan
(%)]]*Table1[[#This Row],[Nilai RAB Jaringan
(file pa aji)]],0)</f>
        <v>0</v>
      </c>
      <c r="CU250" s="329">
        <v>23923104156.421532</v>
      </c>
      <c r="CV250" s="329">
        <v>23923104156.421532</v>
      </c>
      <c r="CW250" s="583">
        <v>0</v>
      </c>
      <c r="CX250" s="329">
        <v>0</v>
      </c>
      <c r="CY250" s="47"/>
      <c r="CZ250" s="330">
        <v>45775</v>
      </c>
      <c r="DA250" s="330">
        <v>45802</v>
      </c>
      <c r="DB250" s="331">
        <v>45825</v>
      </c>
      <c r="DC250" s="316" t="s">
        <v>1942</v>
      </c>
      <c r="DD250" s="67">
        <v>39965885717</v>
      </c>
      <c r="DE25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0" s="331">
        <v>45838</v>
      </c>
      <c r="DG250" s="316" t="s">
        <v>1943</v>
      </c>
      <c r="DH250" s="67">
        <v>39965885717</v>
      </c>
      <c r="DI25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0" s="330">
        <v>45803</v>
      </c>
      <c r="DK250" s="330">
        <v>45872</v>
      </c>
      <c r="DL250" s="331">
        <v>45909</v>
      </c>
      <c r="DM250" s="316" t="s">
        <v>1944</v>
      </c>
      <c r="DN25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0" s="331">
        <v>45929</v>
      </c>
      <c r="DP250" s="316" t="s">
        <v>1945</v>
      </c>
      <c r="DQ250" s="338" t="s">
        <v>1910</v>
      </c>
      <c r="DR25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0" s="330">
        <v>45803</v>
      </c>
      <c r="DT250" s="330" t="e">
        <v>#N/A</v>
      </c>
      <c r="DU250" s="330">
        <v>45844</v>
      </c>
      <c r="DV250" s="330" t="e">
        <v>#N/A</v>
      </c>
      <c r="DW250" s="331">
        <v>45910</v>
      </c>
      <c r="DX250" s="316" t="s">
        <v>1946</v>
      </c>
      <c r="DY250" s="334">
        <v>131</v>
      </c>
      <c r="DZ250" s="334">
        <v>131</v>
      </c>
      <c r="EA25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0" s="331">
        <v>46127</v>
      </c>
      <c r="EC250" s="332">
        <v>126</v>
      </c>
      <c r="ED250" s="332">
        <v>126</v>
      </c>
      <c r="EE250" s="330"/>
      <c r="EF250" s="35">
        <v>0.96183206106870234</v>
      </c>
      <c r="EG250" s="35">
        <f>Table1[[#This Row],[Line PO (kolom  bantu)2]]/Table1[[#This Row],[Line PR]]</f>
        <v>0.96183206106870234</v>
      </c>
      <c r="EH250" s="316" t="str">
        <f>IF(Table1[[#This Row],[PO Material Aktual 
(%)]]&gt;=100%,"Selesai PO = 100%",IF(Table1[[#This Row],[PO Material Aktual 
(%)]]&gt;=50%,"Proses PO &gt; 100%",IF(Table1[[#This Row],[PO Material Aktual 
(%)]]&gt;0%,"Proses PO &gt; 50%",IF(Table1[[#This Row],[PO Material Aktual 
(%)]]=0,"Belum PO = 0%"))))</f>
        <v>Proses PO &gt; 100%</v>
      </c>
      <c r="EI25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0" s="330">
        <v>45845</v>
      </c>
      <c r="EK250" s="330" t="e">
        <v>#N/A</v>
      </c>
      <c r="EL250" s="330">
        <v>46019</v>
      </c>
      <c r="EM250" s="330" t="e">
        <v>#N/A</v>
      </c>
      <c r="EN250" s="331">
        <v>46121</v>
      </c>
      <c r="EO250" s="332">
        <v>126</v>
      </c>
      <c r="EP250" s="316">
        <v>126</v>
      </c>
      <c r="EQ250" s="35">
        <v>0.96183206106870234</v>
      </c>
      <c r="ER250" s="35">
        <f>Table1[[#This Row],[Line MOS]]/Table1[[#This Row],[Line PR]]</f>
        <v>0.96183206106870234</v>
      </c>
      <c r="ES250" s="316" t="str">
        <f>IF(Table1[[#This Row],[Progres MOS]]&gt;=100%,"Selesai MOS = 100%",IF(Table1[[#This Row],[Progres MOS]]&gt;=50%,"Proses MOS &gt; 100%",IF(Table1[[#This Row],[Progres MOS]]&gt;0%,"Proses MOS &gt; 50%",IF(Table1[[#This Row],[Progres MOS]]=0,"Belum MOS = 0%"))))</f>
        <v>Proses MOS &gt; 100%</v>
      </c>
      <c r="ET25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0" s="47"/>
      <c r="EV250" s="330">
        <v>45803</v>
      </c>
      <c r="EW250" s="330" t="e">
        <v>#N/A</v>
      </c>
      <c r="EX250" s="330">
        <v>45900</v>
      </c>
      <c r="EY250" s="330" t="e">
        <v>#N/A</v>
      </c>
      <c r="EZ250" s="352" t="s">
        <v>298</v>
      </c>
      <c r="FA250" s="336" t="s">
        <v>298</v>
      </c>
      <c r="FB250" s="330" t="s">
        <v>260</v>
      </c>
      <c r="FC250" s="330">
        <v>45909</v>
      </c>
      <c r="FD250" s="330" t="s">
        <v>260</v>
      </c>
      <c r="FE250" s="330">
        <v>45939</v>
      </c>
      <c r="FF250" s="330">
        <v>45935</v>
      </c>
      <c r="FG250" s="330" t="s">
        <v>260</v>
      </c>
      <c r="FH250" s="330" t="s">
        <v>260</v>
      </c>
      <c r="FI250" s="330">
        <v>46006</v>
      </c>
      <c r="FJ250" s="330" t="s">
        <v>260</v>
      </c>
      <c r="FK250" s="330"/>
      <c r="FL250" s="336" t="s">
        <v>298</v>
      </c>
      <c r="FM250" s="352">
        <v>45909</v>
      </c>
      <c r="FN250" s="338">
        <f>IF(Table1[[#This Row],[Tanggal Pengajuan Dokumen]]="","",Table1[[#This Row],[PLAN PERMIT
start]]-Table1[[#This Row],[Tanggal Pengajuan Dokumen]])</f>
        <v>-106</v>
      </c>
      <c r="FO250" s="437">
        <v>46086</v>
      </c>
      <c r="FP250" s="316"/>
      <c r="FQ250" s="338"/>
      <c r="FR250" s="338"/>
      <c r="FS250" s="338" t="str">
        <f t="shared" si="11"/>
        <v>On Going</v>
      </c>
      <c r="FT25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50" s="344">
        <f ca="1">IF(Table1[[#This Row],[Status Izin]]="Selesai",Table1[[#This Row],[PLAN PERMIT
finish]]-Table1[[#This Row],[Tanggal Terbit/ Target Izin Terbit]],ROUNDUP(Table1[[#This Row],[PLAN PERMIT
finish]]-NOW(),0))</f>
        <v>-291</v>
      </c>
      <c r="FV25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0" s="344"/>
      <c r="FX250" s="47"/>
      <c r="FY250" s="340"/>
      <c r="FZ250" s="341">
        <v>45903</v>
      </c>
      <c r="GA25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0" s="330">
        <v>45874</v>
      </c>
      <c r="GC250" s="352">
        <v>45917</v>
      </c>
      <c r="GD25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0" s="330">
        <v>45881</v>
      </c>
      <c r="GF250" s="352">
        <v>45912</v>
      </c>
      <c r="GG25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0" s="330">
        <v>45887</v>
      </c>
      <c r="GI250" s="330">
        <v>45893</v>
      </c>
      <c r="GJ250" s="352">
        <v>45978</v>
      </c>
      <c r="GK25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0" s="330">
        <v>45901</v>
      </c>
      <c r="GM250" s="330" t="e">
        <v>#N/A</v>
      </c>
      <c r="GN250" s="330">
        <v>46096</v>
      </c>
      <c r="GO250" s="330" t="e">
        <v>#N/A</v>
      </c>
      <c r="GP250" s="330"/>
      <c r="GQ25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0" s="330" t="s">
        <v>261</v>
      </c>
      <c r="GS250" s="330" t="s">
        <v>261</v>
      </c>
      <c r="GT250" s="354"/>
      <c r="GU250" s="344" t="str">
        <f>IF(Table1[[#This Row],[Hydro Tes Actual
(tanggal)]]&lt;&gt;"","Sudah","Belum")</f>
        <v>Belum</v>
      </c>
      <c r="GV250" s="330" t="s">
        <v>261</v>
      </c>
      <c r="GW250" s="330" t="s">
        <v>261</v>
      </c>
      <c r="GX250" s="331"/>
      <c r="GY250" s="344" t="str">
        <f>IF(Table1[[#This Row],[Interkoneksi Actual
(tanggal)]]&lt;&gt;"","Sudah","Belum")</f>
        <v>Belum</v>
      </c>
      <c r="GZ250" s="330" t="s">
        <v>261</v>
      </c>
      <c r="HA250" s="330" t="s">
        <v>261</v>
      </c>
      <c r="HB250" s="331"/>
      <c r="HC250" s="344" t="str">
        <f>IF(Table1[[#This Row],[Flushing Actual
(tanggal)]]&lt;&gt;"","Sudah","Belum")</f>
        <v>Belum</v>
      </c>
      <c r="HD250" s="330">
        <v>46069</v>
      </c>
      <c r="HE250" s="330" t="e">
        <v>#N/A</v>
      </c>
      <c r="HF250" s="330">
        <v>46082</v>
      </c>
      <c r="HG250" s="352"/>
      <c r="HH25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0" s="330" t="s">
        <v>261</v>
      </c>
      <c r="HJ250" s="330" t="s">
        <v>261</v>
      </c>
      <c r="HK250" s="331"/>
      <c r="HL250" s="316"/>
      <c r="HM250" s="330">
        <v>46101</v>
      </c>
      <c r="HN250" s="330">
        <v>46101</v>
      </c>
      <c r="HO250" s="330" t="e">
        <v>#N/A</v>
      </c>
      <c r="HP250" s="331"/>
      <c r="HQ250"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50" s="330">
        <v>46108</v>
      </c>
      <c r="HS250" s="330"/>
      <c r="HT250" s="330">
        <v>46108</v>
      </c>
      <c r="HU250" s="330"/>
      <c r="HV250" s="331"/>
      <c r="HW25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50" s="47"/>
      <c r="HY250" s="352"/>
      <c r="HZ250" s="352"/>
      <c r="IB250" s="618">
        <f>IFERROR(ROUND((Table1[[#This Row],[PLAN TC
finish]]-Table1[[#This Row],[PLAN MC-0
start]])/30,2),"")</f>
        <v>6.5</v>
      </c>
      <c r="IC250">
        <f>DATEDIF(Table1[[#This Row],[PLAN MC-0
start]],Table1[[#This Row],[PLAN TC
finish]],"m")</f>
        <v>6</v>
      </c>
    </row>
    <row r="251" spans="2:237" s="4" customFormat="1" ht="15" hidden="1" customHeight="1" x14ac:dyDescent="0.2">
      <c r="B251" s="311">
        <f>SUBTOTAL(3,$D$5:D251)</f>
        <v>84</v>
      </c>
      <c r="C251" s="316">
        <v>247</v>
      </c>
      <c r="D251" s="338" t="s">
        <v>629</v>
      </c>
      <c r="E251" s="338" t="s">
        <v>1947</v>
      </c>
      <c r="F251" s="338" t="s">
        <v>1948</v>
      </c>
      <c r="G251" s="349">
        <v>46117</v>
      </c>
      <c r="H251" s="314" t="s">
        <v>247</v>
      </c>
      <c r="I251" s="338" t="s">
        <v>278</v>
      </c>
      <c r="J251" s="480" t="s">
        <v>1818</v>
      </c>
      <c r="K251" s="338" t="s">
        <v>915</v>
      </c>
      <c r="L251" s="316" t="s">
        <v>250</v>
      </c>
      <c r="M251" s="355" t="s">
        <v>269</v>
      </c>
      <c r="N251" s="107">
        <v>12786</v>
      </c>
      <c r="O251" s="131" t="s">
        <v>252</v>
      </c>
      <c r="P25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1" s="35">
        <v>0.90055553743615979</v>
      </c>
      <c r="S251" s="34">
        <v>1</v>
      </c>
      <c r="T251" s="34">
        <f>Table1[[#This Row],[Progres Total Aktual
(%)]]</f>
        <v>0.45620846679265092</v>
      </c>
      <c r="U251" s="98">
        <f>Table1[[#This Row],[Progres Aktual
(%)]]-Table1[[#This Row],[Target Progres
(%)]]</f>
        <v>-0.54379153320734908</v>
      </c>
      <c r="V251" s="80">
        <f>Table1[[#This Row],["Volume
BA MC-0"]]</f>
        <v>8957.9</v>
      </c>
      <c r="W251" s="46">
        <f>Table1[[#This Row],[Total Panjang Pipa Aktual
(Sum-&gt;)3]]</f>
        <v>5835</v>
      </c>
      <c r="X251" s="47"/>
      <c r="Y251" s="67" t="s">
        <v>1949</v>
      </c>
      <c r="Z251" s="67">
        <v>19140073715</v>
      </c>
      <c r="AA251" s="67">
        <f>ROUND((Table1[[#This Row],[Nilai RAB Jaringan
(Exclude Ppn)]]-Table1[[#This Row],[RAB Perizinan]])*1.11+Table1[[#This Row],[RAB Perizinan]],0)</f>
        <v>19140073715</v>
      </c>
      <c r="AB251" s="486">
        <f>SUM(Table1[[#This Row],[RAB Kegiatan Umum]:[RAB Perizinan]])</f>
        <v>17256674158</v>
      </c>
      <c r="AC251" s="436">
        <v>1220748966</v>
      </c>
      <c r="AD251" s="436">
        <v>12207489657</v>
      </c>
      <c r="AE251" s="436">
        <v>3693575535</v>
      </c>
      <c r="AF251" s="436">
        <v>134860000</v>
      </c>
      <c r="AG251" s="483">
        <v>3925412968</v>
      </c>
      <c r="AH251" s="33">
        <f>SUM(Table1[[#This Row],[Bobot Keg Umum]:[Bobot Perizinan]])</f>
        <v>1</v>
      </c>
      <c r="AI251" s="33">
        <f>Table1[[#This Row],[RAB Kegiatan Umum]]/Table1[[#This Row],[Nilai RAB Jaringan
(Exclude Ppn)]]</f>
        <v>7.0740685883210849E-2</v>
      </c>
      <c r="AJ251" s="33">
        <f>Table1[[#This Row],[RAB Pemasangan]]/Table1[[#This Row],[Nilai RAB Jaringan
(Exclude Ppn)]]</f>
        <v>0.70740685865826269</v>
      </c>
      <c r="AK251" s="33">
        <f>Table1[[#This Row],[RAB Pengadaan]]/Table1[[#This Row],[Nilai RAB Jaringan
(Exclude Ppn)]]</f>
        <v>0.21403750810741826</v>
      </c>
      <c r="AL251" s="33">
        <f>Table1[[#This Row],[RAB Perizinan]]/Table1[[#This Row],[Nilai RAB Jaringan
(Exclude Ppn)]]</f>
        <v>7.8149473511082337E-3</v>
      </c>
      <c r="AM251" s="47"/>
      <c r="AN251" s="285">
        <v>8957.9</v>
      </c>
      <c r="AO251" s="285">
        <f>SUM(Table1[[#This Row],[Pipa 63 mm]:[Pipa 1,800 mm]])</f>
        <v>8957.9</v>
      </c>
      <c r="AP251" s="285">
        <v>5991.4</v>
      </c>
      <c r="AQ251" s="285">
        <v>2544.5</v>
      </c>
      <c r="AR251" s="285">
        <v>183</v>
      </c>
      <c r="AS251" s="285">
        <v>221</v>
      </c>
      <c r="AT251" s="285"/>
      <c r="AU251" s="285">
        <v>18</v>
      </c>
      <c r="AV251" s="285"/>
      <c r="AW251" s="285"/>
      <c r="AX251" s="285"/>
      <c r="AY251" s="285"/>
      <c r="AZ251" s="285"/>
      <c r="BA251" s="285"/>
      <c r="BB251" s="285"/>
      <c r="BC251" s="285"/>
      <c r="BD251" s="285"/>
      <c r="BE251" s="285"/>
      <c r="BF251" s="285"/>
      <c r="BG251" s="285"/>
      <c r="BH251" s="285"/>
      <c r="BI251" s="285"/>
      <c r="BJ251" s="36">
        <f>SUM(Table1[[#This Row],[Pipa 63 mm2]:[Pipa 1,800 mm21]])</f>
        <v>5835</v>
      </c>
      <c r="BK251" s="32">
        <v>3786</v>
      </c>
      <c r="BL251" s="32">
        <v>1615</v>
      </c>
      <c r="BM251" s="32">
        <v>192</v>
      </c>
      <c r="BN251" s="32">
        <v>242</v>
      </c>
      <c r="BO251" s="32"/>
      <c r="BP251" s="32"/>
      <c r="BQ251" s="32"/>
      <c r="BR251" s="32"/>
      <c r="BS251" s="32"/>
      <c r="BT251" s="32"/>
      <c r="BU251" s="32"/>
      <c r="BV251" s="32"/>
      <c r="BW251" s="32"/>
      <c r="BX251" s="32"/>
      <c r="BY251" s="32"/>
      <c r="BZ251" s="32"/>
      <c r="CA251" s="32"/>
      <c r="CB251" s="32"/>
      <c r="CC251" s="32"/>
      <c r="CD251" s="32"/>
      <c r="CE251" s="32">
        <v>0</v>
      </c>
      <c r="CF251" s="32"/>
      <c r="CG251" s="32"/>
      <c r="CH251" s="32"/>
      <c r="CI251" s="32">
        <f t="shared" si="12"/>
        <v>0</v>
      </c>
      <c r="CJ251" s="65">
        <f>IF((Table1[[#This Row],["Volume
BA MC-0"]]-Table1[[#This Row],[Total Panjang Pipa Aktual
(Sum-&gt;)3]]-Table1[[#This Row],[Total Volume
tidak dapat dipasang]])&gt;=0,Table1[[#This Row],["Volume
BA MC-0"]]-Table1[[#This Row],[Total Panjang Pipa Aktual
(Sum-&gt;)3]]-Table1[[#This Row],[Total Volume
tidak dapat dipasang]],0)</f>
        <v>3122.8999999999996</v>
      </c>
      <c r="CK251" s="47"/>
      <c r="CL251" s="484" t="s">
        <v>1821</v>
      </c>
      <c r="CM251" s="34" t="s">
        <v>1821</v>
      </c>
      <c r="CN251" s="484" t="s">
        <v>1821</v>
      </c>
      <c r="CO251" s="484" t="s">
        <v>1821</v>
      </c>
      <c r="CP25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0.45620846679265092</v>
      </c>
      <c r="CQ251" s="66">
        <f>IFERROR(Table1[[#This Row],[Progres Keg. Umum
(%)]]*Table1[[#This Row],[Nilai RAB Jaringan
(file pa aji)]],0)</f>
        <v>0</v>
      </c>
      <c r="CR251" s="66">
        <f>IFERROR(Table1[[#This Row],[Progres MOS
(%)]]*Table1[[#This Row],[Nilai RAB Jaringan
(file pa aji)]],0)</f>
        <v>0</v>
      </c>
      <c r="CS251" s="66">
        <f>IFERROR(Table1[[#This Row],[Progres Pemasangan
(%)]]*Table1[[#This Row],[Nilai RAB Jaringan
(file pa aji)]],0)</f>
        <v>0</v>
      </c>
      <c r="CT251" s="66">
        <f>IFERROR(Table1[[#This Row],[Progres Perizinan
(%)]]*Table1[[#This Row],[Nilai RAB Jaringan
(file pa aji)]],0)</f>
        <v>0</v>
      </c>
      <c r="CU251" s="329">
        <v>8731863683.8184681</v>
      </c>
      <c r="CV251" s="329">
        <v>8731863683.8184681</v>
      </c>
      <c r="CW251" s="583">
        <v>0</v>
      </c>
      <c r="CX251" s="329">
        <v>0</v>
      </c>
      <c r="CY251" s="47"/>
      <c r="CZ251" s="330">
        <v>45775</v>
      </c>
      <c r="DA251" s="330">
        <v>45802</v>
      </c>
      <c r="DB251" s="331">
        <v>45820</v>
      </c>
      <c r="DC251" s="316" t="s">
        <v>1950</v>
      </c>
      <c r="DD251" s="67">
        <v>20859354660</v>
      </c>
      <c r="DE25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1" s="331">
        <v>45831</v>
      </c>
      <c r="DG251" s="316" t="s">
        <v>1951</v>
      </c>
      <c r="DH251" s="67">
        <v>20859354660</v>
      </c>
      <c r="DI25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1" s="330">
        <v>45803</v>
      </c>
      <c r="DK251" s="330">
        <v>45872</v>
      </c>
      <c r="DL251" s="331">
        <v>45922</v>
      </c>
      <c r="DM251" s="316" t="s">
        <v>1952</v>
      </c>
      <c r="DN25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1" s="331">
        <v>45936</v>
      </c>
      <c r="DP251" s="316" t="s">
        <v>1953</v>
      </c>
      <c r="DQ251" s="338" t="s">
        <v>1954</v>
      </c>
      <c r="DR25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1" s="330">
        <v>45803</v>
      </c>
      <c r="DT251" s="330" t="e">
        <v>#N/A</v>
      </c>
      <c r="DU251" s="330">
        <v>45844</v>
      </c>
      <c r="DV251" s="330" t="e">
        <v>#N/A</v>
      </c>
      <c r="DW251" s="331">
        <v>45917</v>
      </c>
      <c r="DX251" s="316" t="s">
        <v>1955</v>
      </c>
      <c r="DY251" s="334">
        <v>81</v>
      </c>
      <c r="DZ251" s="334">
        <v>81</v>
      </c>
      <c r="EA25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1" s="331">
        <v>46127</v>
      </c>
      <c r="EC251" s="332">
        <v>80</v>
      </c>
      <c r="ED251" s="332">
        <v>80</v>
      </c>
      <c r="EE251" s="330"/>
      <c r="EF251" s="35">
        <v>0.98765432098765427</v>
      </c>
      <c r="EG251" s="35">
        <f>Table1[[#This Row],[Line PO (kolom  bantu)2]]/Table1[[#This Row],[Line PR]]</f>
        <v>0.98765432098765427</v>
      </c>
      <c r="EH251" s="316" t="str">
        <f>IF(Table1[[#This Row],[PO Material Aktual 
(%)]]&gt;=100%,"Selesai PO = 100%",IF(Table1[[#This Row],[PO Material Aktual 
(%)]]&gt;=50%,"Proses PO &gt; 100%",IF(Table1[[#This Row],[PO Material Aktual 
(%)]]&gt;0%,"Proses PO &gt; 50%",IF(Table1[[#This Row],[PO Material Aktual 
(%)]]=0,"Belum PO = 0%"))))</f>
        <v>Proses PO &gt; 100%</v>
      </c>
      <c r="EI25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1" s="330">
        <v>45845</v>
      </c>
      <c r="EK251" s="330" t="e">
        <v>#N/A</v>
      </c>
      <c r="EL251" s="330">
        <v>46019</v>
      </c>
      <c r="EM251" s="330" t="e">
        <v>#N/A</v>
      </c>
      <c r="EN251" s="331">
        <v>46119</v>
      </c>
      <c r="EO251" s="332">
        <v>78</v>
      </c>
      <c r="EP251" s="316">
        <v>78</v>
      </c>
      <c r="EQ251" s="35">
        <v>0.96296296296296291</v>
      </c>
      <c r="ER251" s="35">
        <f>Table1[[#This Row],[Line MOS]]/Table1[[#This Row],[Line PR]]</f>
        <v>0.96296296296296291</v>
      </c>
      <c r="ES251" s="316" t="str">
        <f>IF(Table1[[#This Row],[Progres MOS]]&gt;=100%,"Selesai MOS = 100%",IF(Table1[[#This Row],[Progres MOS]]&gt;=50%,"Proses MOS &gt; 100%",IF(Table1[[#This Row],[Progres MOS]]&gt;0%,"Proses MOS &gt; 50%",IF(Table1[[#This Row],[Progres MOS]]=0,"Belum MOS = 0%"))))</f>
        <v>Proses MOS &gt; 100%</v>
      </c>
      <c r="ET25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1" s="47"/>
      <c r="EV251" s="330">
        <v>45803</v>
      </c>
      <c r="EW251" s="330" t="e">
        <v>#N/A</v>
      </c>
      <c r="EX251" s="330">
        <v>45900</v>
      </c>
      <c r="EY251" s="330" t="e">
        <v>#N/A</v>
      </c>
      <c r="EZ251" s="352" t="s">
        <v>298</v>
      </c>
      <c r="FA251" s="336" t="s">
        <v>259</v>
      </c>
      <c r="FB251" s="330" t="s">
        <v>260</v>
      </c>
      <c r="FC251" s="330">
        <v>45877</v>
      </c>
      <c r="FD251" s="330" t="s">
        <v>260</v>
      </c>
      <c r="FE251" s="330">
        <v>45939</v>
      </c>
      <c r="FF251" s="330">
        <v>45935</v>
      </c>
      <c r="FG251" s="330" t="s">
        <v>260</v>
      </c>
      <c r="FH251" s="330" t="s">
        <v>260</v>
      </c>
      <c r="FI251" s="330">
        <v>46008</v>
      </c>
      <c r="FJ251" s="330" t="s">
        <v>260</v>
      </c>
      <c r="FK251" s="330">
        <v>46107</v>
      </c>
      <c r="FL251" s="336" t="s">
        <v>298</v>
      </c>
      <c r="FM251" s="352">
        <v>45877</v>
      </c>
      <c r="FN251" s="338">
        <f>IF(Table1[[#This Row],[Tanggal Pengajuan Dokumen]]="","",Table1[[#This Row],[PLAN PERMIT
start]]-Table1[[#This Row],[Tanggal Pengajuan Dokumen]])</f>
        <v>-74</v>
      </c>
      <c r="FO251" s="437">
        <v>46086</v>
      </c>
      <c r="FP251" s="316"/>
      <c r="FQ251" s="338"/>
      <c r="FR251" s="338"/>
      <c r="FS251" s="338" t="str">
        <f t="shared" si="11"/>
        <v>Sudah Terbit</v>
      </c>
      <c r="FT25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1" s="344">
        <f ca="1">IF(Table1[[#This Row],[Status Izin]]="Selesai",Table1[[#This Row],[PLAN PERMIT
finish]]-Table1[[#This Row],[Tanggal Terbit/ Target Izin Terbit]],ROUNDUP(Table1[[#This Row],[PLAN PERMIT
finish]]-NOW(),0))</f>
        <v>-186</v>
      </c>
      <c r="FV25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1" s="344"/>
      <c r="FX251" s="47"/>
      <c r="FY251" s="340"/>
      <c r="FZ251" s="341">
        <v>45903</v>
      </c>
      <c r="GA25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1" s="330">
        <v>45874</v>
      </c>
      <c r="GC251" s="352">
        <v>45917</v>
      </c>
      <c r="GD25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1" s="330">
        <v>45881</v>
      </c>
      <c r="GF251" s="352">
        <v>45912</v>
      </c>
      <c r="GG25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1" s="330">
        <v>45887</v>
      </c>
      <c r="GI251" s="330">
        <v>45893</v>
      </c>
      <c r="GJ251" s="352">
        <v>45979</v>
      </c>
      <c r="GK25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1" s="330">
        <v>45901</v>
      </c>
      <c r="GM251" s="330" t="e">
        <v>#N/A</v>
      </c>
      <c r="GN251" s="330">
        <v>46096</v>
      </c>
      <c r="GO251" s="330" t="e">
        <v>#N/A</v>
      </c>
      <c r="GP251" s="330"/>
      <c r="GQ25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1" s="330" t="s">
        <v>261</v>
      </c>
      <c r="GS251" s="330" t="s">
        <v>261</v>
      </c>
      <c r="GT251" s="354"/>
      <c r="GU251" s="344" t="str">
        <f>IF(Table1[[#This Row],[Hydro Tes Actual
(tanggal)]]&lt;&gt;"","Sudah","Belum")</f>
        <v>Belum</v>
      </c>
      <c r="GV251" s="330" t="s">
        <v>261</v>
      </c>
      <c r="GW251" s="330" t="s">
        <v>261</v>
      </c>
      <c r="GX251" s="331"/>
      <c r="GY251" s="344" t="str">
        <f>IF(Table1[[#This Row],[Interkoneksi Actual
(tanggal)]]&lt;&gt;"","Sudah","Belum")</f>
        <v>Belum</v>
      </c>
      <c r="GZ251" s="330" t="s">
        <v>261</v>
      </c>
      <c r="HA251" s="330" t="s">
        <v>261</v>
      </c>
      <c r="HB251" s="331"/>
      <c r="HC251" s="344" t="str">
        <f>IF(Table1[[#This Row],[Flushing Actual
(tanggal)]]&lt;&gt;"","Sudah","Belum")</f>
        <v>Belum</v>
      </c>
      <c r="HD251" s="330">
        <v>46069</v>
      </c>
      <c r="HE251" s="330" t="e">
        <v>#N/A</v>
      </c>
      <c r="HF251" s="330">
        <v>46082</v>
      </c>
      <c r="HG251" s="352"/>
      <c r="HH25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1" s="330" t="s">
        <v>261</v>
      </c>
      <c r="HJ251" s="330" t="s">
        <v>261</v>
      </c>
      <c r="HK251" s="331"/>
      <c r="HL251" s="316"/>
      <c r="HM251" s="330">
        <v>46101</v>
      </c>
      <c r="HN251" s="330">
        <v>46101</v>
      </c>
      <c r="HO251" s="330" t="e">
        <v>#N/A</v>
      </c>
      <c r="HP251" s="331"/>
      <c r="HQ251"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51" s="330">
        <v>46108</v>
      </c>
      <c r="HS251" s="330"/>
      <c r="HT251" s="330">
        <v>46108</v>
      </c>
      <c r="HU251" s="330"/>
      <c r="HV251" s="331"/>
      <c r="HW25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51" s="47"/>
      <c r="HY251" s="352"/>
      <c r="HZ251" s="352"/>
      <c r="IB251" s="618">
        <f>IFERROR(ROUND((Table1[[#This Row],[PLAN TC
finish]]-Table1[[#This Row],[PLAN MC-0
start]])/30,2),"")</f>
        <v>6.5</v>
      </c>
      <c r="IC251">
        <f>DATEDIF(Table1[[#This Row],[PLAN MC-0
start]],Table1[[#This Row],[PLAN TC
finish]],"m")</f>
        <v>6</v>
      </c>
    </row>
    <row r="252" spans="2:237" s="4" customFormat="1" ht="15" hidden="1" customHeight="1" x14ac:dyDescent="0.2">
      <c r="B252" s="311">
        <f>SUBTOTAL(3,$D$5:D252)</f>
        <v>84</v>
      </c>
      <c r="C252" s="316">
        <v>248</v>
      </c>
      <c r="D252" s="338" t="s">
        <v>629</v>
      </c>
      <c r="E252" s="338" t="s">
        <v>1956</v>
      </c>
      <c r="F252" s="338" t="s">
        <v>1957</v>
      </c>
      <c r="G252" s="349">
        <v>46117</v>
      </c>
      <c r="H252" s="314" t="s">
        <v>247</v>
      </c>
      <c r="I252" s="338" t="s">
        <v>278</v>
      </c>
      <c r="J252" s="480" t="s">
        <v>1818</v>
      </c>
      <c r="K252" s="338" t="s">
        <v>915</v>
      </c>
      <c r="L252" s="316" t="s">
        <v>250</v>
      </c>
      <c r="M252" s="355" t="s">
        <v>269</v>
      </c>
      <c r="N252" s="107">
        <v>18889</v>
      </c>
      <c r="O252" s="131" t="s">
        <v>252</v>
      </c>
      <c r="P25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2" s="35">
        <v>0.90047308679264693</v>
      </c>
      <c r="S252" s="34">
        <v>1</v>
      </c>
      <c r="T252" s="34">
        <f>Table1[[#This Row],[Progres Total Aktual
(%)]]</f>
        <v>0.59757721901616456</v>
      </c>
      <c r="U252" s="98">
        <f>Table1[[#This Row],[Progres Aktual
(%)]]-Table1[[#This Row],[Target Progres
(%)]]</f>
        <v>-0.40242278098383544</v>
      </c>
      <c r="V252" s="80">
        <f>Table1[[#This Row],["Volume
BA MC-0"]]</f>
        <v>14464.3</v>
      </c>
      <c r="W252" s="46">
        <f>Table1[[#This Row],[Total Panjang Pipa Aktual
(Sum-&gt;)3]]</f>
        <v>10600</v>
      </c>
      <c r="X252" s="47"/>
      <c r="Y252" s="67" t="s">
        <v>1958</v>
      </c>
      <c r="Z252" s="67">
        <v>30185151719</v>
      </c>
      <c r="AA252" s="67">
        <f>ROUND((Table1[[#This Row],[Nilai RAB Jaringan
(Exclude Ppn)]]-Table1[[#This Row],[RAB Perizinan]])*1.11+Table1[[#This Row],[RAB Perizinan]],0)</f>
        <v>30185151719</v>
      </c>
      <c r="AB252" s="486">
        <f>SUM(Table1[[#This Row],[RAB Kegiatan Umum]:[RAB Perizinan]])</f>
        <v>27212549206</v>
      </c>
      <c r="AC252" s="436">
        <v>1926929092</v>
      </c>
      <c r="AD252" s="436">
        <v>19269290921</v>
      </c>
      <c r="AE252" s="436">
        <v>5827439193</v>
      </c>
      <c r="AF252" s="436">
        <v>188890000</v>
      </c>
      <c r="AG252" s="483">
        <v>5604722756</v>
      </c>
      <c r="AH252" s="33">
        <f>SUM(Table1[[#This Row],[Bobot Keg Umum]:[Bobot Perizinan]])</f>
        <v>1</v>
      </c>
      <c r="AI252" s="33">
        <f>Table1[[#This Row],[RAB Kegiatan Umum]]/Table1[[#This Row],[Nilai RAB Jaringan
(Exclude Ppn)]]</f>
        <v>7.0810311721003272E-2</v>
      </c>
      <c r="AJ252" s="33">
        <f>Table1[[#This Row],[RAB Pemasangan]]/Table1[[#This Row],[Nilai RAB Jaringan
(Exclude Ppn)]]</f>
        <v>0.70810311724678043</v>
      </c>
      <c r="AK252" s="33">
        <f>Table1[[#This Row],[RAB Pengadaan]]/Table1[[#This Row],[Nilai RAB Jaringan
(Exclude Ppn)]]</f>
        <v>0.21414528822294709</v>
      </c>
      <c r="AL252" s="33">
        <f>Table1[[#This Row],[RAB Perizinan]]/Table1[[#This Row],[Nilai RAB Jaringan
(Exclude Ppn)]]</f>
        <v>6.9412828092691994E-3</v>
      </c>
      <c r="AM252" s="47"/>
      <c r="AN252" s="285">
        <v>14464.3</v>
      </c>
      <c r="AO252" s="285">
        <f>SUM(Table1[[#This Row],[Pipa 63 mm]:[Pipa 1,800 mm]])</f>
        <v>14464.3</v>
      </c>
      <c r="AP252" s="285">
        <f>4273.3+1897+1186.2</f>
        <v>7356.5</v>
      </c>
      <c r="AQ252" s="285">
        <f>2521.8+584.5</f>
        <v>3106.3</v>
      </c>
      <c r="AR252" s="285">
        <f>722+520.2+213</f>
        <v>1455.2</v>
      </c>
      <c r="AS252" s="285">
        <f>661.2+1468.2</f>
        <v>2129.4</v>
      </c>
      <c r="AT252" s="285">
        <v>101.3</v>
      </c>
      <c r="AU252" s="285">
        <v>315.60000000000002</v>
      </c>
      <c r="AV252" s="285"/>
      <c r="AW252" s="285"/>
      <c r="AX252" s="285"/>
      <c r="AY252" s="285"/>
      <c r="AZ252" s="285"/>
      <c r="BA252" s="285"/>
      <c r="BB252" s="285"/>
      <c r="BC252" s="285"/>
      <c r="BD252" s="285"/>
      <c r="BE252" s="285"/>
      <c r="BF252" s="285"/>
      <c r="BG252" s="285"/>
      <c r="BH252" s="285"/>
      <c r="BI252" s="285"/>
      <c r="BJ252" s="36">
        <f>SUM(Table1[[#This Row],[Pipa 63 mm2]:[Pipa 1,800 mm21]])</f>
        <v>10600</v>
      </c>
      <c r="BK252" s="32">
        <v>4789.5</v>
      </c>
      <c r="BL252" s="32">
        <v>2175.1999999999998</v>
      </c>
      <c r="BM252" s="32">
        <v>1336.2</v>
      </c>
      <c r="BN252" s="32">
        <v>1885.2</v>
      </c>
      <c r="BO252" s="32">
        <v>101.1</v>
      </c>
      <c r="BP252" s="32">
        <v>312.8</v>
      </c>
      <c r="BQ252" s="32"/>
      <c r="BR252" s="32"/>
      <c r="BS252" s="32"/>
      <c r="BT252" s="32"/>
      <c r="BU252" s="32"/>
      <c r="BV252" s="32"/>
      <c r="BW252" s="32"/>
      <c r="BX252" s="32"/>
      <c r="BY252" s="32"/>
      <c r="BZ252" s="32"/>
      <c r="CA252" s="32"/>
      <c r="CB252" s="32"/>
      <c r="CC252" s="32"/>
      <c r="CD252" s="32"/>
      <c r="CE252" s="32">
        <v>0</v>
      </c>
      <c r="CF252" s="32"/>
      <c r="CG252" s="32"/>
      <c r="CH252" s="32"/>
      <c r="CI252" s="32">
        <f t="shared" si="12"/>
        <v>0</v>
      </c>
      <c r="CJ252" s="65">
        <f>IF((Table1[[#This Row],["Volume
BA MC-0"]]-Table1[[#This Row],[Total Panjang Pipa Aktual
(Sum-&gt;)3]]-Table1[[#This Row],[Total Volume
tidak dapat dipasang]])&gt;=0,Table1[[#This Row],["Volume
BA MC-0"]]-Table1[[#This Row],[Total Panjang Pipa Aktual
(Sum-&gt;)3]]-Table1[[#This Row],[Total Volume
tidak dapat dipasang]],0)</f>
        <v>3864.2999999999993</v>
      </c>
      <c r="CK252" s="47"/>
      <c r="CL252" s="484" t="s">
        <v>1821</v>
      </c>
      <c r="CM252" s="34" t="s">
        <v>1821</v>
      </c>
      <c r="CN252" s="484" t="s">
        <v>1821</v>
      </c>
      <c r="CO252" s="484" t="s">
        <v>1821</v>
      </c>
      <c r="CP25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0.59757721901616456</v>
      </c>
      <c r="CQ252" s="66">
        <f>IFERROR(Table1[[#This Row],[Progres Keg. Umum
(%)]]*Table1[[#This Row],[Nilai RAB Jaringan
(file pa aji)]],0)</f>
        <v>0</v>
      </c>
      <c r="CR252" s="66">
        <f>IFERROR(Table1[[#This Row],[Progres MOS
(%)]]*Table1[[#This Row],[Nilai RAB Jaringan
(file pa aji)]],0)</f>
        <v>0</v>
      </c>
      <c r="CS252" s="66">
        <f>IFERROR(Table1[[#This Row],[Progres Pemasangan
(%)]]*Table1[[#This Row],[Nilai RAB Jaringan
(file pa aji)]],0)</f>
        <v>0</v>
      </c>
      <c r="CT252" s="66">
        <f>IFERROR(Table1[[#This Row],[Progres Perizinan
(%)]]*Table1[[#This Row],[Nilai RAB Jaringan
(file pa aji)]],0)</f>
        <v>0</v>
      </c>
      <c r="CU252" s="329">
        <v>18037959019.821018</v>
      </c>
      <c r="CV252" s="329">
        <v>18037959019.821018</v>
      </c>
      <c r="CW252" s="583">
        <v>0</v>
      </c>
      <c r="CX252" s="329">
        <v>0</v>
      </c>
      <c r="CY252" s="47"/>
      <c r="CZ252" s="330">
        <v>45775</v>
      </c>
      <c r="DA252" s="330">
        <v>45802</v>
      </c>
      <c r="DB252" s="331">
        <v>45873</v>
      </c>
      <c r="DC252" s="316" t="s">
        <v>1959</v>
      </c>
      <c r="DD252" s="67">
        <v>32722678567</v>
      </c>
      <c r="DE25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2" s="331">
        <v>45884</v>
      </c>
      <c r="DG252" s="316" t="s">
        <v>1960</v>
      </c>
      <c r="DH252" s="67">
        <v>32722678567</v>
      </c>
      <c r="DI25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2" s="330">
        <v>45803</v>
      </c>
      <c r="DK252" s="330">
        <v>45872</v>
      </c>
      <c r="DL252" s="331">
        <v>45909</v>
      </c>
      <c r="DM252" s="316" t="s">
        <v>1961</v>
      </c>
      <c r="DN25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2" s="331">
        <v>45923</v>
      </c>
      <c r="DP252" s="316" t="s">
        <v>1962</v>
      </c>
      <c r="DQ252" s="338" t="s">
        <v>371</v>
      </c>
      <c r="DR25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2" s="330">
        <v>45803</v>
      </c>
      <c r="DT252" s="330" t="e">
        <v>#N/A</v>
      </c>
      <c r="DU252" s="330">
        <v>45844</v>
      </c>
      <c r="DV252" s="330" t="e">
        <v>#N/A</v>
      </c>
      <c r="DW252" s="331">
        <v>45951</v>
      </c>
      <c r="DX252" s="484" t="s">
        <v>1963</v>
      </c>
      <c r="DY252" s="334">
        <v>132</v>
      </c>
      <c r="DZ252" s="334">
        <v>132</v>
      </c>
      <c r="EA25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2" s="331">
        <v>46127</v>
      </c>
      <c r="EC252" s="332">
        <v>132</v>
      </c>
      <c r="ED252" s="332">
        <v>132</v>
      </c>
      <c r="EE252" s="330"/>
      <c r="EF252" s="35">
        <v>1</v>
      </c>
      <c r="EG252" s="35">
        <f>Table1[[#This Row],[Line PO (kolom  bantu)2]]/Table1[[#This Row],[Line PR]]</f>
        <v>1</v>
      </c>
      <c r="EH252" s="316" t="str">
        <f>IF(Table1[[#This Row],[PO Material Aktual 
(%)]]&gt;=100%,"Selesai PO = 100%",IF(Table1[[#This Row],[PO Material Aktual 
(%)]]&gt;=50%,"Proses PO &gt; 100%",IF(Table1[[#This Row],[PO Material Aktual 
(%)]]&gt;0%,"Proses PO &gt; 50%",IF(Table1[[#This Row],[PO Material Aktual 
(%)]]=0,"Belum PO = 0%"))))</f>
        <v>Selesai PO = 100%</v>
      </c>
      <c r="EI25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2" s="330">
        <v>45845</v>
      </c>
      <c r="EK252" s="330" t="e">
        <v>#N/A</v>
      </c>
      <c r="EL252" s="330">
        <v>46019</v>
      </c>
      <c r="EM252" s="330" t="e">
        <v>#N/A</v>
      </c>
      <c r="EN252" s="331">
        <v>46121</v>
      </c>
      <c r="EO252" s="332">
        <v>131</v>
      </c>
      <c r="EP252" s="316">
        <v>131</v>
      </c>
      <c r="EQ252" s="35">
        <v>0.99242424242424243</v>
      </c>
      <c r="ER252" s="35">
        <f>Table1[[#This Row],[Line MOS]]/Table1[[#This Row],[Line PR]]</f>
        <v>0.99242424242424243</v>
      </c>
      <c r="ES252" s="316" t="str">
        <f>IF(Table1[[#This Row],[Progres MOS]]&gt;=100%,"Selesai MOS = 100%",IF(Table1[[#This Row],[Progres MOS]]&gt;=50%,"Proses MOS &gt; 100%",IF(Table1[[#This Row],[Progres MOS]]&gt;0%,"Proses MOS &gt; 50%",IF(Table1[[#This Row],[Progres MOS]]=0,"Belum MOS = 0%"))))</f>
        <v>Proses MOS &gt; 100%</v>
      </c>
      <c r="ET25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2" s="47"/>
      <c r="EV252" s="330">
        <v>45803</v>
      </c>
      <c r="EW252" s="330" t="e">
        <v>#N/A</v>
      </c>
      <c r="EX252" s="330">
        <v>45900</v>
      </c>
      <c r="EY252" s="330" t="e">
        <v>#N/A</v>
      </c>
      <c r="EZ252" s="352" t="s">
        <v>298</v>
      </c>
      <c r="FA252" s="336" t="s">
        <v>298</v>
      </c>
      <c r="FB252" s="330" t="s">
        <v>260</v>
      </c>
      <c r="FC252" s="330">
        <v>45918</v>
      </c>
      <c r="FD252" s="330" t="s">
        <v>260</v>
      </c>
      <c r="FE252" s="330">
        <v>45931</v>
      </c>
      <c r="FF252" s="330">
        <v>45937</v>
      </c>
      <c r="FG252" s="330" t="s">
        <v>260</v>
      </c>
      <c r="FH252" s="330" t="s">
        <v>260</v>
      </c>
      <c r="FI252" s="330">
        <v>46000</v>
      </c>
      <c r="FJ252" s="330" t="s">
        <v>260</v>
      </c>
      <c r="FK252" s="330"/>
      <c r="FL252" s="336" t="s">
        <v>298</v>
      </c>
      <c r="FM252" s="352">
        <v>45918</v>
      </c>
      <c r="FN252" s="338">
        <f>IF(Table1[[#This Row],[Tanggal Pengajuan Dokumen]]="","",Table1[[#This Row],[PLAN PERMIT
start]]-Table1[[#This Row],[Tanggal Pengajuan Dokumen]])</f>
        <v>-115</v>
      </c>
      <c r="FO252" s="437">
        <v>46086</v>
      </c>
      <c r="FP252" s="316"/>
      <c r="FQ252" s="338"/>
      <c r="FR252" s="338"/>
      <c r="FS252" s="338" t="str">
        <f t="shared" si="11"/>
        <v>On Going</v>
      </c>
      <c r="FT25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52" s="344">
        <f ca="1">IF(Table1[[#This Row],[Status Izin]]="Selesai",Table1[[#This Row],[PLAN PERMIT
finish]]-Table1[[#This Row],[Tanggal Terbit/ Target Izin Terbit]],ROUNDUP(Table1[[#This Row],[PLAN PERMIT
finish]]-NOW(),0))</f>
        <v>-291</v>
      </c>
      <c r="FV25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2" s="344"/>
      <c r="FX252" s="47"/>
      <c r="FY252" s="340"/>
      <c r="FZ252" s="341">
        <v>45903</v>
      </c>
      <c r="GA25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2" s="330">
        <v>45874</v>
      </c>
      <c r="GC252" s="352">
        <v>45917</v>
      </c>
      <c r="GD25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2" s="330">
        <v>45881</v>
      </c>
      <c r="GF252" s="352">
        <v>45912</v>
      </c>
      <c r="GG25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2" s="330">
        <v>45887</v>
      </c>
      <c r="GI252" s="330">
        <v>45893</v>
      </c>
      <c r="GJ252" s="352">
        <v>45987</v>
      </c>
      <c r="GK25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2" s="330">
        <v>45901</v>
      </c>
      <c r="GM252" s="330" t="e">
        <v>#N/A</v>
      </c>
      <c r="GN252" s="330">
        <v>46096</v>
      </c>
      <c r="GO252" s="330" t="e">
        <v>#N/A</v>
      </c>
      <c r="GP252" s="330"/>
      <c r="GQ25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2" s="330" t="s">
        <v>261</v>
      </c>
      <c r="GS252" s="330" t="s">
        <v>261</v>
      </c>
      <c r="GT252" s="354"/>
      <c r="GU252" s="344" t="str">
        <f>IF(Table1[[#This Row],[Hydro Tes Actual
(tanggal)]]&lt;&gt;"","Sudah","Belum")</f>
        <v>Belum</v>
      </c>
      <c r="GV252" s="330" t="s">
        <v>261</v>
      </c>
      <c r="GW252" s="330" t="s">
        <v>261</v>
      </c>
      <c r="GX252" s="331"/>
      <c r="GY252" s="344" t="str">
        <f>IF(Table1[[#This Row],[Interkoneksi Actual
(tanggal)]]&lt;&gt;"","Sudah","Belum")</f>
        <v>Belum</v>
      </c>
      <c r="GZ252" s="330" t="s">
        <v>261</v>
      </c>
      <c r="HA252" s="330" t="s">
        <v>261</v>
      </c>
      <c r="HB252" s="331"/>
      <c r="HC252" s="344" t="str">
        <f>IF(Table1[[#This Row],[Flushing Actual
(tanggal)]]&lt;&gt;"","Sudah","Belum")</f>
        <v>Belum</v>
      </c>
      <c r="HD252" s="330">
        <v>46069</v>
      </c>
      <c r="HE252" s="330" t="e">
        <v>#N/A</v>
      </c>
      <c r="HF252" s="330">
        <v>46082</v>
      </c>
      <c r="HG252" s="352"/>
      <c r="HH25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2" s="330" t="s">
        <v>261</v>
      </c>
      <c r="HJ252" s="330" t="s">
        <v>261</v>
      </c>
      <c r="HK252" s="331"/>
      <c r="HL252" s="316"/>
      <c r="HM252" s="330">
        <v>46101</v>
      </c>
      <c r="HN252" s="330">
        <v>46101</v>
      </c>
      <c r="HO252" s="330" t="e">
        <v>#N/A</v>
      </c>
      <c r="HP252" s="331"/>
      <c r="HQ252"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52" s="330">
        <v>46108</v>
      </c>
      <c r="HS252" s="330"/>
      <c r="HT252" s="330">
        <v>46108</v>
      </c>
      <c r="HU252" s="330"/>
      <c r="HV252" s="331"/>
      <c r="HW25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52" s="47"/>
      <c r="HY252" s="352"/>
      <c r="HZ252" s="352"/>
      <c r="IB252" s="618">
        <f>IFERROR(ROUND((Table1[[#This Row],[PLAN TC
finish]]-Table1[[#This Row],[PLAN MC-0
start]])/30,2),"")</f>
        <v>6.5</v>
      </c>
      <c r="IC252">
        <f>DATEDIF(Table1[[#This Row],[PLAN MC-0
start]],Table1[[#This Row],[PLAN TC
finish]],"m")</f>
        <v>6</v>
      </c>
    </row>
    <row r="253" spans="2:237" s="4" customFormat="1" ht="15" hidden="1" customHeight="1" x14ac:dyDescent="0.2">
      <c r="B253" s="311">
        <f>SUBTOTAL(3,$D$5:D253)</f>
        <v>84</v>
      </c>
      <c r="C253" s="316">
        <v>249</v>
      </c>
      <c r="D253" s="338" t="s">
        <v>629</v>
      </c>
      <c r="E253" s="338" t="s">
        <v>1964</v>
      </c>
      <c r="F253" s="338" t="s">
        <v>1965</v>
      </c>
      <c r="G253" s="349">
        <v>46117</v>
      </c>
      <c r="H253" s="314" t="s">
        <v>247</v>
      </c>
      <c r="I253" s="338" t="s">
        <v>278</v>
      </c>
      <c r="J253" s="480" t="s">
        <v>1818</v>
      </c>
      <c r="K253" s="338" t="s">
        <v>915</v>
      </c>
      <c r="L253" s="316" t="s">
        <v>250</v>
      </c>
      <c r="M253" s="355" t="s">
        <v>269</v>
      </c>
      <c r="N253" s="107">
        <v>8837</v>
      </c>
      <c r="O253" s="131" t="s">
        <v>252</v>
      </c>
      <c r="P25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3" s="35">
        <v>0.91045427269889967</v>
      </c>
      <c r="S253" s="34">
        <v>1</v>
      </c>
      <c r="T253" s="34">
        <f>Table1[[#This Row],[Progres Total Aktual
(%)]]</f>
        <v>0.35417403931521141</v>
      </c>
      <c r="U253" s="98">
        <f>Table1[[#This Row],[Progres Aktual
(%)]]-Table1[[#This Row],[Target Progres
(%)]]</f>
        <v>-0.64582596068478859</v>
      </c>
      <c r="V253" s="80">
        <f>Table1[[#This Row],["Volume
BA MC-0"]]</f>
        <v>8749</v>
      </c>
      <c r="W253" s="46">
        <f>Table1[[#This Row],[Total Panjang Pipa Aktual
(Sum-&gt;)3]]</f>
        <v>4653</v>
      </c>
      <c r="X253" s="47"/>
      <c r="Y253" s="67" t="s">
        <v>1966</v>
      </c>
      <c r="Z253" s="67">
        <v>110942814797</v>
      </c>
      <c r="AA253" s="67">
        <f>ROUND((Table1[[#This Row],[Nilai RAB Jaringan
(Exclude Ppn)]]-Table1[[#This Row],[RAB Perizinan]])*1.11+Table1[[#This Row],[RAB Perizinan]],0)</f>
        <v>110942814796</v>
      </c>
      <c r="AB253" s="486">
        <f>SUM(Table1[[#This Row],[RAB Kegiatan Umum]:[RAB Perizinan]])</f>
        <v>99972935611</v>
      </c>
      <c r="AC253" s="436">
        <v>3140401103</v>
      </c>
      <c r="AD253" s="436">
        <v>52340018374</v>
      </c>
      <c r="AE253" s="436">
        <v>44245754934</v>
      </c>
      <c r="AF253" s="436">
        <v>246761200</v>
      </c>
      <c r="AG253" s="483">
        <v>0</v>
      </c>
      <c r="AH253" s="33">
        <f>SUM(Table1[[#This Row],[Bobot Keg Umum]:[Bobot Perizinan]])</f>
        <v>0.99999999999999989</v>
      </c>
      <c r="AI253" s="33">
        <f>Table1[[#This Row],[RAB Kegiatan Umum]]/Table1[[#This Row],[Nilai RAB Jaringan
(Exclude Ppn)]]</f>
        <v>3.1412512634614108E-2</v>
      </c>
      <c r="AJ253" s="33">
        <f>Table1[[#This Row],[RAB Pemasangan]]/Table1[[#This Row],[Nilai RAB Jaringan
(Exclude Ppn)]]</f>
        <v>0.52354187715020983</v>
      </c>
      <c r="AK253" s="33">
        <f>Table1[[#This Row],[RAB Pengadaan]]/Table1[[#This Row],[Nilai RAB Jaringan
(Exclude Ppn)]]</f>
        <v>0.44257733019026851</v>
      </c>
      <c r="AL253" s="33">
        <f>Table1[[#This Row],[RAB Perizinan]]/Table1[[#This Row],[Nilai RAB Jaringan
(Exclude Ppn)]]</f>
        <v>2.4682800249075502E-3</v>
      </c>
      <c r="AM253" s="47"/>
      <c r="AN253" s="285">
        <v>8749</v>
      </c>
      <c r="AO253" s="285">
        <f>SUM(Table1[[#This Row],[Pipa 63 mm]:[Pipa 1,800 mm]])</f>
        <v>8749</v>
      </c>
      <c r="AP253" s="285"/>
      <c r="AQ253" s="285"/>
      <c r="AR253" s="285"/>
      <c r="AS253" s="285"/>
      <c r="AT253" s="285"/>
      <c r="AU253" s="285"/>
      <c r="AV253" s="285"/>
      <c r="AW253" s="285"/>
      <c r="AX253" s="285">
        <f>2754+110</f>
        <v>2864</v>
      </c>
      <c r="AY253" s="285">
        <f>5803+29</f>
        <v>5832</v>
      </c>
      <c r="AZ253" s="285">
        <v>53</v>
      </c>
      <c r="BA253" s="285"/>
      <c r="BB253" s="285"/>
      <c r="BC253" s="285"/>
      <c r="BD253" s="285"/>
      <c r="BE253" s="285"/>
      <c r="BF253" s="285"/>
      <c r="BG253" s="285"/>
      <c r="BH253" s="285"/>
      <c r="BI253" s="285"/>
      <c r="BJ253" s="36">
        <f>SUM(Table1[[#This Row],[Pipa 63 mm2]:[Pipa 1,800 mm21]])</f>
        <v>4653</v>
      </c>
      <c r="BK253" s="32"/>
      <c r="BL253" s="32"/>
      <c r="BM253" s="32"/>
      <c r="BN253" s="32"/>
      <c r="BO253" s="32"/>
      <c r="BP253" s="32"/>
      <c r="BQ253" s="32"/>
      <c r="BR253" s="32"/>
      <c r="BS253" s="32">
        <v>2593</v>
      </c>
      <c r="BT253" s="32">
        <v>2060</v>
      </c>
      <c r="BU253" s="32"/>
      <c r="BV253" s="32"/>
      <c r="BW253" s="32"/>
      <c r="BX253" s="32"/>
      <c r="BY253" s="32"/>
      <c r="BZ253" s="32"/>
      <c r="CA253" s="32"/>
      <c r="CB253" s="32"/>
      <c r="CC253" s="32"/>
      <c r="CD253" s="32"/>
      <c r="CE253" s="32">
        <v>0</v>
      </c>
      <c r="CF253" s="32"/>
      <c r="CG253" s="32"/>
      <c r="CH253" s="32"/>
      <c r="CI253" s="32">
        <f t="shared" si="12"/>
        <v>0</v>
      </c>
      <c r="CJ253" s="65">
        <f>IF((Table1[[#This Row],["Volume
BA MC-0"]]-Table1[[#This Row],[Total Panjang Pipa Aktual
(Sum-&gt;)3]]-Table1[[#This Row],[Total Volume
tidak dapat dipasang]])&gt;=0,Table1[[#This Row],["Volume
BA MC-0"]]-Table1[[#This Row],[Total Panjang Pipa Aktual
(Sum-&gt;)3]]-Table1[[#This Row],[Total Volume
tidak dapat dipasang]],0)</f>
        <v>4096</v>
      </c>
      <c r="CK253" s="47"/>
      <c r="CL253" s="484" t="s">
        <v>1821</v>
      </c>
      <c r="CM253" s="34" t="s">
        <v>1821</v>
      </c>
      <c r="CN253" s="484" t="s">
        <v>1821</v>
      </c>
      <c r="CO253" s="484" t="s">
        <v>1821</v>
      </c>
      <c r="CP25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0.35417403931521141</v>
      </c>
      <c r="CQ253" s="66">
        <f>IFERROR(Table1[[#This Row],[Progres Keg. Umum
(%)]]*Table1[[#This Row],[Nilai RAB Jaringan
(file pa aji)]],0)</f>
        <v>0</v>
      </c>
      <c r="CR253" s="66">
        <f>IFERROR(Table1[[#This Row],[Progres MOS
(%)]]*Table1[[#This Row],[Nilai RAB Jaringan
(file pa aji)]],0)</f>
        <v>0</v>
      </c>
      <c r="CS253" s="66">
        <f>IFERROR(Table1[[#This Row],[Progres Pemasangan
(%)]]*Table1[[#This Row],[Nilai RAB Jaringan
(file pa aji)]],0)</f>
        <v>0</v>
      </c>
      <c r="CT253" s="66">
        <f>IFERROR(Table1[[#This Row],[Progres Perizinan
(%)]]*Table1[[#This Row],[Nilai RAB Jaringan
(file pa aji)]],0)</f>
        <v>0</v>
      </c>
      <c r="CU253" s="329">
        <v>39293064849.298721</v>
      </c>
      <c r="CV253" s="329">
        <v>39293064849.298721</v>
      </c>
      <c r="CW253" s="583">
        <v>0</v>
      </c>
      <c r="CX253" s="329">
        <v>0</v>
      </c>
      <c r="CY253" s="47"/>
      <c r="CZ253" s="330">
        <v>45775</v>
      </c>
      <c r="DA253" s="330">
        <v>45802</v>
      </c>
      <c r="DB253" s="331">
        <v>45891</v>
      </c>
      <c r="DC253" s="316" t="s">
        <v>1967</v>
      </c>
      <c r="DD253" s="67">
        <v>110942814797</v>
      </c>
      <c r="DE25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3" s="331">
        <v>45698</v>
      </c>
      <c r="DG253" s="316" t="s">
        <v>1968</v>
      </c>
      <c r="DH253" s="67">
        <v>110942814797</v>
      </c>
      <c r="DI25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3" s="330">
        <v>45803</v>
      </c>
      <c r="DK253" s="330">
        <v>45872</v>
      </c>
      <c r="DL253" s="331">
        <v>45945</v>
      </c>
      <c r="DM253" s="316" t="s">
        <v>1969</v>
      </c>
      <c r="DN25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3" s="331">
        <v>45960</v>
      </c>
      <c r="DP253" s="316" t="s">
        <v>1970</v>
      </c>
      <c r="DQ253" s="338" t="s">
        <v>1826</v>
      </c>
      <c r="DR25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3" s="330">
        <v>45803</v>
      </c>
      <c r="DT253" s="330" t="e">
        <v>#N/A</v>
      </c>
      <c r="DU253" s="330">
        <v>45844</v>
      </c>
      <c r="DV253" s="330" t="e">
        <v>#N/A</v>
      </c>
      <c r="DW253" s="331">
        <v>45934</v>
      </c>
      <c r="DX253" s="316" t="s">
        <v>1971</v>
      </c>
      <c r="DY253" s="334">
        <v>212</v>
      </c>
      <c r="DZ253" s="334">
        <v>212</v>
      </c>
      <c r="EA25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3" s="331">
        <v>46125</v>
      </c>
      <c r="EC253" s="332">
        <v>190</v>
      </c>
      <c r="ED253" s="332">
        <v>190</v>
      </c>
      <c r="EE253" s="330"/>
      <c r="EF253" s="35">
        <v>0.89622641509433965</v>
      </c>
      <c r="EG253" s="35">
        <f>Table1[[#This Row],[Line PO (kolom  bantu)2]]/Table1[[#This Row],[Line PR]]</f>
        <v>0.89622641509433965</v>
      </c>
      <c r="EH253" s="316" t="str">
        <f>IF(Table1[[#This Row],[PO Material Aktual 
(%)]]&gt;=100%,"Selesai PO = 100%",IF(Table1[[#This Row],[PO Material Aktual 
(%)]]&gt;=50%,"Proses PO &gt; 100%",IF(Table1[[#This Row],[PO Material Aktual 
(%)]]&gt;0%,"Proses PO &gt; 50%",IF(Table1[[#This Row],[PO Material Aktual 
(%)]]=0,"Belum PO = 0%"))))</f>
        <v>Proses PO &gt; 100%</v>
      </c>
      <c r="EI25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3" s="330">
        <v>45845</v>
      </c>
      <c r="EK253" s="330" t="e">
        <v>#N/A</v>
      </c>
      <c r="EL253" s="330">
        <v>46019</v>
      </c>
      <c r="EM253" s="330" t="e">
        <v>#N/A</v>
      </c>
      <c r="EN253" s="331">
        <v>46121</v>
      </c>
      <c r="EO253" s="332">
        <v>168</v>
      </c>
      <c r="EP253" s="316">
        <v>168</v>
      </c>
      <c r="EQ253" s="35">
        <v>0.79245283018867929</v>
      </c>
      <c r="ER253" s="35">
        <f>Table1[[#This Row],[Line MOS]]/Table1[[#This Row],[Line PR]]</f>
        <v>0.79245283018867929</v>
      </c>
      <c r="ES253" s="316" t="str">
        <f>IF(Table1[[#This Row],[Progres MOS]]&gt;=100%,"Selesai MOS = 100%",IF(Table1[[#This Row],[Progres MOS]]&gt;=50%,"Proses MOS &gt; 100%",IF(Table1[[#This Row],[Progres MOS]]&gt;0%,"Proses MOS &gt; 50%",IF(Table1[[#This Row],[Progres MOS]]=0,"Belum MOS = 0%"))))</f>
        <v>Proses MOS &gt; 100%</v>
      </c>
      <c r="ET25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3" s="47"/>
      <c r="EV253" s="330">
        <v>45803</v>
      </c>
      <c r="EW253" s="330" t="e">
        <v>#N/A</v>
      </c>
      <c r="EX253" s="330">
        <v>45900</v>
      </c>
      <c r="EY253" s="330" t="e">
        <v>#N/A</v>
      </c>
      <c r="EZ253" s="352" t="s">
        <v>259</v>
      </c>
      <c r="FA253" s="336" t="s">
        <v>259</v>
      </c>
      <c r="FB253" s="330" t="s">
        <v>260</v>
      </c>
      <c r="FC253" s="330">
        <v>45918</v>
      </c>
      <c r="FD253" s="330" t="s">
        <v>260</v>
      </c>
      <c r="FE253" s="330">
        <v>45931</v>
      </c>
      <c r="FF253" s="330">
        <v>45937</v>
      </c>
      <c r="FG253" s="330" t="s">
        <v>260</v>
      </c>
      <c r="FH253" s="330" t="s">
        <v>260</v>
      </c>
      <c r="FI253" s="330">
        <v>46006</v>
      </c>
      <c r="FJ253" s="330" t="s">
        <v>260</v>
      </c>
      <c r="FK253" s="330">
        <v>46066</v>
      </c>
      <c r="FL253" s="336" t="s">
        <v>259</v>
      </c>
      <c r="FM253" s="352">
        <v>45918</v>
      </c>
      <c r="FN253" s="338">
        <f>IF(Table1[[#This Row],[Tanggal Pengajuan Dokumen]]="","",Table1[[#This Row],[PLAN PERMIT
start]]-Table1[[#This Row],[Tanggal Pengajuan Dokumen]])</f>
        <v>-115</v>
      </c>
      <c r="FO253" s="437">
        <v>46086</v>
      </c>
      <c r="FP253" s="316"/>
      <c r="FQ253" s="338"/>
      <c r="FR253" s="338"/>
      <c r="FS253" s="338" t="str">
        <f t="shared" si="11"/>
        <v>Sudah Terbit</v>
      </c>
      <c r="FT25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3" s="344">
        <f ca="1">IF(Table1[[#This Row],[Status Izin]]="Selesai",Table1[[#This Row],[PLAN PERMIT
finish]]-Table1[[#This Row],[Tanggal Terbit/ Target Izin Terbit]],ROUNDUP(Table1[[#This Row],[PLAN PERMIT
finish]]-NOW(),0))</f>
        <v>-186</v>
      </c>
      <c r="FV25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3" s="344"/>
      <c r="FX253" s="47"/>
      <c r="FY253" s="340"/>
      <c r="FZ253" s="341">
        <v>45903</v>
      </c>
      <c r="GA25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3" s="330">
        <v>45874</v>
      </c>
      <c r="GC253" s="352">
        <v>45917</v>
      </c>
      <c r="GD25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3" s="330">
        <v>45881</v>
      </c>
      <c r="GF253" s="352">
        <v>45912</v>
      </c>
      <c r="GG25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3" s="330">
        <v>45887</v>
      </c>
      <c r="GI253" s="330">
        <v>45893</v>
      </c>
      <c r="GJ253" s="352">
        <v>45943</v>
      </c>
      <c r="GK25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3" s="330">
        <v>45901</v>
      </c>
      <c r="GM253" s="330" t="e">
        <v>#N/A</v>
      </c>
      <c r="GN253" s="330">
        <v>46096</v>
      </c>
      <c r="GO253" s="330" t="e">
        <v>#N/A</v>
      </c>
      <c r="GP253" s="330"/>
      <c r="GQ25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3" s="330" t="s">
        <v>261</v>
      </c>
      <c r="GS253" s="330" t="s">
        <v>261</v>
      </c>
      <c r="GT253" s="354"/>
      <c r="GU253" s="344" t="str">
        <f>IF(Table1[[#This Row],[Hydro Tes Actual
(tanggal)]]&lt;&gt;"","Sudah","Belum")</f>
        <v>Belum</v>
      </c>
      <c r="GV253" s="330" t="s">
        <v>261</v>
      </c>
      <c r="GW253" s="330" t="s">
        <v>261</v>
      </c>
      <c r="GX253" s="331"/>
      <c r="GY253" s="344" t="str">
        <f>IF(Table1[[#This Row],[Interkoneksi Actual
(tanggal)]]&lt;&gt;"","Sudah","Belum")</f>
        <v>Belum</v>
      </c>
      <c r="GZ253" s="330" t="s">
        <v>261</v>
      </c>
      <c r="HA253" s="330" t="s">
        <v>261</v>
      </c>
      <c r="HB253" s="331"/>
      <c r="HC253" s="344" t="str">
        <f>IF(Table1[[#This Row],[Flushing Actual
(tanggal)]]&lt;&gt;"","Sudah","Belum")</f>
        <v>Belum</v>
      </c>
      <c r="HD253" s="330">
        <v>46069</v>
      </c>
      <c r="HE253" s="330" t="e">
        <v>#N/A</v>
      </c>
      <c r="HF253" s="330">
        <v>46082</v>
      </c>
      <c r="HG253" s="352"/>
      <c r="HH25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3" s="330" t="s">
        <v>261</v>
      </c>
      <c r="HJ253" s="330" t="s">
        <v>261</v>
      </c>
      <c r="HK253" s="331"/>
      <c r="HL253" s="316"/>
      <c r="HM253" s="330">
        <v>46101</v>
      </c>
      <c r="HN253" s="330">
        <v>46101</v>
      </c>
      <c r="HO253" s="330" t="e">
        <v>#N/A</v>
      </c>
      <c r="HP253" s="331"/>
      <c r="HQ25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53" s="330">
        <v>46108</v>
      </c>
      <c r="HS253" s="330"/>
      <c r="HT253" s="330">
        <v>46108</v>
      </c>
      <c r="HU253" s="330"/>
      <c r="HV253" s="331"/>
      <c r="HW25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53" s="47"/>
      <c r="HY253" s="352"/>
      <c r="HZ253" s="352"/>
      <c r="IB253" s="618">
        <f>IFERROR(ROUND((Table1[[#This Row],[PLAN TC
finish]]-Table1[[#This Row],[PLAN MC-0
start]])/30,2),"")</f>
        <v>6.5</v>
      </c>
      <c r="IC253">
        <f>DATEDIF(Table1[[#This Row],[PLAN MC-0
start]],Table1[[#This Row],[PLAN TC
finish]],"m")</f>
        <v>6</v>
      </c>
    </row>
    <row r="254" spans="2:237" s="4" customFormat="1" ht="15" hidden="1" customHeight="1" x14ac:dyDescent="0.2">
      <c r="B254" s="311">
        <f>SUBTOTAL(3,$D$5:D254)</f>
        <v>84</v>
      </c>
      <c r="C254" s="316">
        <v>250</v>
      </c>
      <c r="D254" s="338" t="s">
        <v>629</v>
      </c>
      <c r="E254" s="338" t="s">
        <v>1972</v>
      </c>
      <c r="F254" s="338" t="s">
        <v>1973</v>
      </c>
      <c r="G254" s="349">
        <v>46117</v>
      </c>
      <c r="H254" s="338" t="s">
        <v>681</v>
      </c>
      <c r="I254" s="338" t="s">
        <v>278</v>
      </c>
      <c r="J254" s="480" t="s">
        <v>1830</v>
      </c>
      <c r="K254" s="338"/>
      <c r="L254" s="316" t="s">
        <v>250</v>
      </c>
      <c r="M254" s="355" t="s">
        <v>269</v>
      </c>
      <c r="N254" s="107">
        <v>591</v>
      </c>
      <c r="O254" s="131" t="s">
        <v>252</v>
      </c>
      <c r="P25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4" s="35">
        <v>1</v>
      </c>
      <c r="S254" s="34">
        <v>1</v>
      </c>
      <c r="T254" s="34">
        <f>Table1[[#This Row],[Progres Total Aktual
(%)]]</f>
        <v>1</v>
      </c>
      <c r="U254" s="98">
        <f>Table1[[#This Row],[Progres Aktual
(%)]]-Table1[[#This Row],[Target Progres
(%)]]</f>
        <v>0</v>
      </c>
      <c r="V254" s="80">
        <f>Table1[[#This Row],["Volume
BA MC-0"]]</f>
        <v>640</v>
      </c>
      <c r="W254" s="46">
        <f>Table1[[#This Row],[Total Panjang Pipa Aktual
(Sum-&gt;)3]]</f>
        <v>634.5</v>
      </c>
      <c r="X254" s="47"/>
      <c r="Y254" s="67" t="s">
        <v>1974</v>
      </c>
      <c r="Z254" s="67">
        <v>781549297</v>
      </c>
      <c r="AA254" s="67">
        <f>ROUND((Table1[[#This Row],[Nilai RAB Jaringan
(Exclude Ppn)]]-Table1[[#This Row],[RAB Perizinan]])*1.11+Table1[[#This Row],[RAB Perizinan]],0)</f>
        <v>781549297</v>
      </c>
      <c r="AB254" s="486">
        <f>SUM(Table1[[#This Row],[RAB Kegiatan Umum]:[RAB Perizinan]])</f>
        <v>704684141</v>
      </c>
      <c r="AC254" s="436">
        <v>50214239</v>
      </c>
      <c r="AD254" s="436">
        <v>502142387</v>
      </c>
      <c r="AE254" s="436">
        <v>146417515</v>
      </c>
      <c r="AF254" s="436">
        <v>5910000</v>
      </c>
      <c r="AG254" s="483"/>
      <c r="AH254" s="33">
        <f>SUM(Table1[[#This Row],[Bobot Keg Umum]:[Bobot Perizinan]])</f>
        <v>0.99999999999999989</v>
      </c>
      <c r="AI254" s="33">
        <f>Table1[[#This Row],[RAB Kegiatan Umum]]/Table1[[#This Row],[Nilai RAB Jaringan
(Exclude Ppn)]]</f>
        <v>7.1257796335166851E-2</v>
      </c>
      <c r="AJ254" s="33">
        <f>Table1[[#This Row],[RAB Pemasangan]]/Table1[[#This Row],[Nilai RAB Jaringan
(Exclude Ppn)]]</f>
        <v>0.71257795909444199</v>
      </c>
      <c r="AK254" s="33">
        <f>Table1[[#This Row],[RAB Pengadaan]]/Table1[[#This Row],[Nilai RAB Jaringan
(Exclude Ppn)]]</f>
        <v>0.20777750836314052</v>
      </c>
      <c r="AL254" s="33">
        <f>Table1[[#This Row],[RAB Perizinan]]/Table1[[#This Row],[Nilai RAB Jaringan
(Exclude Ppn)]]</f>
        <v>8.3867362072506182E-3</v>
      </c>
      <c r="AM254" s="47"/>
      <c r="AN254" s="285">
        <v>640</v>
      </c>
      <c r="AO254" s="285">
        <f>SUM(Table1[[#This Row],[Pipa 63 mm]:[Pipa 1,800 mm]])</f>
        <v>595</v>
      </c>
      <c r="AP254" s="285">
        <f>562+33</f>
        <v>595</v>
      </c>
      <c r="AQ254" s="285"/>
      <c r="AR254" s="285"/>
      <c r="AS254" s="285"/>
      <c r="AT254" s="285"/>
      <c r="AU254" s="285"/>
      <c r="AV254" s="285"/>
      <c r="AW254" s="285"/>
      <c r="AX254" s="285"/>
      <c r="AY254" s="285"/>
      <c r="AZ254" s="285"/>
      <c r="BA254" s="285"/>
      <c r="BB254" s="285"/>
      <c r="BC254" s="285"/>
      <c r="BD254" s="285"/>
      <c r="BE254" s="285"/>
      <c r="BF254" s="285"/>
      <c r="BG254" s="285"/>
      <c r="BH254" s="285"/>
      <c r="BI254" s="285"/>
      <c r="BJ254" s="36">
        <f>SUM(Table1[[#This Row],[Pipa 63 mm2]:[Pipa 1,800 mm21]])</f>
        <v>634.5</v>
      </c>
      <c r="BK254" s="32">
        <v>634.5</v>
      </c>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65">
        <f>IF((Table1[[#This Row],["Volume
BA MC-0"]]-Table1[[#This Row],[Total Panjang Pipa Aktual
(Sum-&gt;)3]]-Table1[[#This Row],[Total Volume
tidak dapat dipasang]])&gt;=0,Table1[[#This Row],["Volume
BA MC-0"]]-Table1[[#This Row],[Total Panjang Pipa Aktual
(Sum-&gt;)3]]-Table1[[#This Row],[Total Volume
tidak dapat dipasang]],0)</f>
        <v>5.5</v>
      </c>
      <c r="CK254" s="47"/>
      <c r="CL254" s="484" t="s">
        <v>1821</v>
      </c>
      <c r="CM254" s="34" t="s">
        <v>1821</v>
      </c>
      <c r="CN254" s="484" t="s">
        <v>1821</v>
      </c>
      <c r="CO254" s="484" t="s">
        <v>1821</v>
      </c>
      <c r="CP25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4" s="66">
        <f>IFERROR(Table1[[#This Row],[Progres Keg. Umum
(%)]]*Table1[[#This Row],[Nilai RAB Jaringan
(file pa aji)]],0)</f>
        <v>0</v>
      </c>
      <c r="CR254" s="66">
        <f>IFERROR(Table1[[#This Row],[Progres MOS
(%)]]*Table1[[#This Row],[Nilai RAB Jaringan
(file pa aji)]],0)</f>
        <v>0</v>
      </c>
      <c r="CS254" s="66">
        <f>IFERROR(Table1[[#This Row],[Progres Pemasangan
(%)]]*Table1[[#This Row],[Nilai RAB Jaringan
(file pa aji)]],0)</f>
        <v>0</v>
      </c>
      <c r="CT254" s="66">
        <f>IFERROR(Table1[[#This Row],[Progres Perizinan
(%)]]*Table1[[#This Row],[Nilai RAB Jaringan
(file pa aji)]],0)</f>
        <v>0</v>
      </c>
      <c r="CU254" s="329">
        <v>735246552</v>
      </c>
      <c r="CV254" s="329">
        <v>735246552</v>
      </c>
      <c r="CW254" s="583">
        <v>735246552</v>
      </c>
      <c r="CX254" s="329">
        <v>735246552</v>
      </c>
      <c r="CY254" s="47"/>
      <c r="CZ254" s="330">
        <v>45901</v>
      </c>
      <c r="DA254" s="330">
        <v>45928</v>
      </c>
      <c r="DB254" s="331">
        <v>45902</v>
      </c>
      <c r="DC254" s="316" t="s">
        <v>1975</v>
      </c>
      <c r="DD254" s="67">
        <v>781549296.50999999</v>
      </c>
      <c r="DE25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4" s="331">
        <v>45915</v>
      </c>
      <c r="DG254" s="316" t="s">
        <v>1976</v>
      </c>
      <c r="DH254" s="67">
        <v>781549296.50999999</v>
      </c>
      <c r="DI25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4" s="330">
        <v>45929</v>
      </c>
      <c r="DK254" s="330">
        <v>45991</v>
      </c>
      <c r="DL254" s="331">
        <v>45918</v>
      </c>
      <c r="DM254" s="316" t="s">
        <v>1977</v>
      </c>
      <c r="DN25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4" s="331">
        <v>45923</v>
      </c>
      <c r="DP254" s="316" t="s">
        <v>1978</v>
      </c>
      <c r="DQ254" s="338" t="s">
        <v>1979</v>
      </c>
      <c r="DR25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54" s="330">
        <v>45929</v>
      </c>
      <c r="DT254" s="330" t="e">
        <v>#N/A</v>
      </c>
      <c r="DU254" s="330">
        <v>45970</v>
      </c>
      <c r="DV254" s="330" t="e">
        <v>#N/A</v>
      </c>
      <c r="DW254" s="331">
        <v>45918</v>
      </c>
      <c r="DX254" s="316" t="s">
        <v>1980</v>
      </c>
      <c r="DY254" s="332">
        <v>24</v>
      </c>
      <c r="DZ254" s="334">
        <v>24</v>
      </c>
      <c r="EA25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54" s="331">
        <v>46002</v>
      </c>
      <c r="EC254" s="332">
        <v>22</v>
      </c>
      <c r="ED254" s="332">
        <v>22</v>
      </c>
      <c r="EE254" s="425" t="s">
        <v>1981</v>
      </c>
      <c r="EF254" s="35">
        <v>1</v>
      </c>
      <c r="EG254" s="337">
        <v>1</v>
      </c>
      <c r="EH254" s="316" t="str">
        <f>IF(Table1[[#This Row],[PO Material Aktual 
(%)]]&gt;=100%,"Selesai PO = 100%",IF(Table1[[#This Row],[PO Material Aktual 
(%)]]&gt;=50%,"Proses PO &gt; 100%",IF(Table1[[#This Row],[PO Material Aktual 
(%)]]&gt;0%,"Proses PO &gt; 50%",IF(Table1[[#This Row],[PO Material Aktual 
(%)]]=0,"Belum PO = 0%"))))</f>
        <v>Selesai PO = 100%</v>
      </c>
      <c r="EI25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4" s="330">
        <v>45971</v>
      </c>
      <c r="EK254" s="330" t="e">
        <v>#N/A</v>
      </c>
      <c r="EL254" s="330">
        <v>46026</v>
      </c>
      <c r="EM254" s="330" t="e">
        <v>#N/A</v>
      </c>
      <c r="EN254" s="331">
        <v>46091</v>
      </c>
      <c r="EO254" s="332">
        <v>21</v>
      </c>
      <c r="EP254" s="316">
        <v>21</v>
      </c>
      <c r="EQ254" s="35">
        <v>0.875</v>
      </c>
      <c r="ER254" s="35">
        <f>Table1[[#This Row],[Line MOS]]/Table1[[#This Row],[Line PR]]</f>
        <v>0.875</v>
      </c>
      <c r="ES254" s="316" t="str">
        <f>IF(Table1[[#This Row],[Progres MOS]]&gt;=100%,"Selesai MOS = 100%",IF(Table1[[#This Row],[Progres MOS]]&gt;=50%,"Proses MOS &gt; 100%",IF(Table1[[#This Row],[Progres MOS]]&gt;0%,"Proses MOS &gt; 50%",IF(Table1[[#This Row],[Progres MOS]]=0,"Belum MOS = 0%"))))</f>
        <v>Proses MOS &gt; 100%</v>
      </c>
      <c r="ET25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4" s="47"/>
      <c r="EV254" s="330">
        <v>45929</v>
      </c>
      <c r="EW254" s="330" t="e">
        <v>#N/A</v>
      </c>
      <c r="EX254" s="330">
        <v>46019</v>
      </c>
      <c r="EY254" s="330" t="e">
        <v>#N/A</v>
      </c>
      <c r="EZ254" s="352" t="s">
        <v>298</v>
      </c>
      <c r="FA254" s="336" t="s">
        <v>259</v>
      </c>
      <c r="FB254" s="330" t="s">
        <v>260</v>
      </c>
      <c r="FC254" s="330">
        <v>45936</v>
      </c>
      <c r="FD254" s="330" t="s">
        <v>260</v>
      </c>
      <c r="FE254" s="330">
        <v>45936</v>
      </c>
      <c r="FF254" s="330">
        <v>45966</v>
      </c>
      <c r="FG254" s="330" t="s">
        <v>260</v>
      </c>
      <c r="FH254" s="330" t="s">
        <v>260</v>
      </c>
      <c r="FI254" s="330">
        <v>46013</v>
      </c>
      <c r="FJ254" s="330" t="s">
        <v>260</v>
      </c>
      <c r="FK254" s="330">
        <v>46142</v>
      </c>
      <c r="FL254" s="336" t="s">
        <v>298</v>
      </c>
      <c r="FM254" s="352">
        <v>45936</v>
      </c>
      <c r="FN254" s="338">
        <f>IF(Table1[[#This Row],[Tanggal Pengajuan Dokumen]]="","",Table1[[#This Row],[PLAN PERMIT
start]]-Table1[[#This Row],[Tanggal Pengajuan Dokumen]])</f>
        <v>-7</v>
      </c>
      <c r="FO254" s="437">
        <v>46097</v>
      </c>
      <c r="FP254" s="316"/>
      <c r="FQ254" s="338"/>
      <c r="FR254" s="338"/>
      <c r="FS254" s="338" t="str">
        <f t="shared" si="11"/>
        <v>Sudah Terbit</v>
      </c>
      <c r="FT25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4" s="344">
        <f ca="1">IF(Table1[[#This Row],[Status Izin]]="Selesai",Table1[[#This Row],[PLAN PERMIT
finish]]-Table1[[#This Row],[Tanggal Terbit/ Target Izin Terbit]],ROUNDUP(Table1[[#This Row],[PLAN PERMIT
finish]]-NOW(),0))</f>
        <v>-78</v>
      </c>
      <c r="FV25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4" s="344"/>
      <c r="FX254" s="47"/>
      <c r="FY254" s="340"/>
      <c r="FZ254" s="341">
        <v>45911</v>
      </c>
      <c r="GA25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4" s="330">
        <v>45993</v>
      </c>
      <c r="GC254" s="352">
        <v>45917</v>
      </c>
      <c r="GD25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4" s="330">
        <v>46000</v>
      </c>
      <c r="GF254" s="352">
        <v>45912</v>
      </c>
      <c r="GG25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4" s="330">
        <v>46006</v>
      </c>
      <c r="GI254" s="330">
        <v>46012</v>
      </c>
      <c r="GJ254" s="352">
        <v>45915</v>
      </c>
      <c r="GK25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4" s="330">
        <v>46020</v>
      </c>
      <c r="GM254" s="330" t="e">
        <v>#N/A</v>
      </c>
      <c r="GN254" s="330">
        <v>46061</v>
      </c>
      <c r="GO254" s="330" t="e">
        <v>#N/A</v>
      </c>
      <c r="GP254" s="330">
        <v>45951</v>
      </c>
      <c r="GQ25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254" s="330" t="s">
        <v>261</v>
      </c>
      <c r="GS254" s="330" t="s">
        <v>261</v>
      </c>
      <c r="GT254" s="354">
        <v>45945</v>
      </c>
      <c r="GU254" s="344" t="str">
        <f>IF(Table1[[#This Row],[Hydro Tes Actual
(tanggal)]]&lt;&gt;"","Sudah","Belum")</f>
        <v>Sudah</v>
      </c>
      <c r="GV254" s="330" t="s">
        <v>261</v>
      </c>
      <c r="GW254" s="330" t="s">
        <v>261</v>
      </c>
      <c r="GX254" s="331">
        <v>45945</v>
      </c>
      <c r="GY254" s="344" t="str">
        <f>IF(Table1[[#This Row],[Interkoneksi Actual
(tanggal)]]&lt;&gt;"","Sudah","Belum")</f>
        <v>Sudah</v>
      </c>
      <c r="GZ254" s="330" t="s">
        <v>261</v>
      </c>
      <c r="HA254" s="330" t="s">
        <v>261</v>
      </c>
      <c r="HB254" s="331">
        <v>45947</v>
      </c>
      <c r="HC254" s="344" t="str">
        <f>IF(Table1[[#This Row],[Flushing Actual
(tanggal)]]&lt;&gt;"","Sudah","Belum")</f>
        <v>Sudah</v>
      </c>
      <c r="HD254" s="330">
        <v>46041</v>
      </c>
      <c r="HE254" s="330" t="e">
        <v>#N/A</v>
      </c>
      <c r="HF254" s="330">
        <v>46054</v>
      </c>
      <c r="HG254" s="438">
        <v>45951</v>
      </c>
      <c r="HH25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54" s="330" t="s">
        <v>261</v>
      </c>
      <c r="HJ254" s="330" t="s">
        <v>261</v>
      </c>
      <c r="HK254" s="331"/>
      <c r="HL254" s="316"/>
      <c r="HM254" s="330">
        <v>46066</v>
      </c>
      <c r="HN254" s="330">
        <v>46066</v>
      </c>
      <c r="HO254" s="330" t="e">
        <v>#N/A</v>
      </c>
      <c r="HP254" s="331">
        <v>45954</v>
      </c>
      <c r="HQ254"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254" s="330">
        <v>46073</v>
      </c>
      <c r="HS254" s="330"/>
      <c r="HT254" s="330">
        <v>46073</v>
      </c>
      <c r="HU254" s="330"/>
      <c r="HV254" s="331">
        <v>46056</v>
      </c>
      <c r="HW25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254" s="47"/>
      <c r="HY254" s="352" t="s">
        <v>1982</v>
      </c>
      <c r="HZ254" s="352"/>
      <c r="IB254" s="618">
        <f>IFERROR(ROUND((Table1[[#This Row],[PLAN TC
finish]]-Table1[[#This Row],[PLAN MC-0
start]])/30,2),"")</f>
        <v>1.6</v>
      </c>
      <c r="IC254">
        <f>DATEDIF(Table1[[#This Row],[PLAN MC-0
start]],Table1[[#This Row],[PLAN TC
finish]],"m")</f>
        <v>1</v>
      </c>
    </row>
    <row r="255" spans="2:237" s="4" customFormat="1" ht="15" hidden="1" customHeight="1" x14ac:dyDescent="0.2">
      <c r="B255" s="311">
        <f>SUBTOTAL(3,$D$5:D255)</f>
        <v>84</v>
      </c>
      <c r="C255" s="316">
        <v>251</v>
      </c>
      <c r="D255" s="338" t="s">
        <v>629</v>
      </c>
      <c r="E255" s="338" t="s">
        <v>1983</v>
      </c>
      <c r="F255" s="338" t="s">
        <v>1984</v>
      </c>
      <c r="G255" s="349">
        <v>46117</v>
      </c>
      <c r="H255" s="338" t="s">
        <v>681</v>
      </c>
      <c r="I255" s="338" t="s">
        <v>278</v>
      </c>
      <c r="J255" s="480" t="s">
        <v>1830</v>
      </c>
      <c r="K255" s="338" t="s">
        <v>915</v>
      </c>
      <c r="L255" s="316" t="s">
        <v>250</v>
      </c>
      <c r="M255" s="355" t="s">
        <v>269</v>
      </c>
      <c r="N255" s="107">
        <v>533</v>
      </c>
      <c r="O255" s="31" t="s">
        <v>252</v>
      </c>
      <c r="P25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5" s="35">
        <v>1</v>
      </c>
      <c r="S255" s="34">
        <v>1</v>
      </c>
      <c r="T255" s="34">
        <f>Table1[[#This Row],[Progres Total Aktual
(%)]]</f>
        <v>1</v>
      </c>
      <c r="U255" s="98">
        <f>Table1[[#This Row],[Progres Aktual
(%)]]-Table1[[#This Row],[Target Progres
(%)]]</f>
        <v>0</v>
      </c>
      <c r="V255" s="80">
        <f>Table1[[#This Row],["Volume
BA MC-0"]]</f>
        <v>533</v>
      </c>
      <c r="W255" s="46">
        <f>Table1[[#This Row],[Total Panjang Pipa Aktual
(Sum-&gt;)3]]</f>
        <v>546</v>
      </c>
      <c r="X255" s="47"/>
      <c r="Y255" s="67" t="s">
        <v>1985</v>
      </c>
      <c r="Z255" s="67">
        <v>815088047</v>
      </c>
      <c r="AA255" s="67">
        <f>ROUND((Table1[[#This Row],[Nilai RAB Jaringan
(Exclude Ppn)]]-Table1[[#This Row],[RAB Perizinan]])*1.11+Table1[[#This Row],[RAB Perizinan]],0)</f>
        <v>815088047</v>
      </c>
      <c r="AB255" s="486">
        <f>SUM(Table1[[#This Row],[RAB Kegiatan Umum]:[RAB Perizinan]])</f>
        <v>734841754</v>
      </c>
      <c r="AC255" s="436">
        <v>53897425</v>
      </c>
      <c r="AD255" s="436">
        <v>538974241</v>
      </c>
      <c r="AE255" s="436">
        <v>136640088</v>
      </c>
      <c r="AF255" s="436">
        <v>5330000</v>
      </c>
      <c r="AG255" s="483">
        <v>105351932</v>
      </c>
      <c r="AH255" s="33">
        <f>SUM(Table1[[#This Row],[Bobot Keg Umum]:[Bobot Perizinan]])</f>
        <v>1</v>
      </c>
      <c r="AI255" s="33">
        <f>Table1[[#This Row],[RAB Kegiatan Umum]]/Table1[[#This Row],[Nilai RAB Jaringan
(Exclude Ppn)]]</f>
        <v>7.3345621294132399E-2</v>
      </c>
      <c r="AJ255" s="33">
        <f>Table1[[#This Row],[RAB Pemasangan]]/Table1[[#This Row],[Nilai RAB Jaringan
(Exclude Ppn)]]</f>
        <v>0.73345620069378914</v>
      </c>
      <c r="AK255" s="33">
        <f>Table1[[#This Row],[RAB Pengadaan]]/Table1[[#This Row],[Nilai RAB Jaringan
(Exclude Ppn)]]</f>
        <v>0.18594491569949631</v>
      </c>
      <c r="AL255" s="33">
        <f>Table1[[#This Row],[RAB Perizinan]]/Table1[[#This Row],[Nilai RAB Jaringan
(Exclude Ppn)]]</f>
        <v>7.2532623125821996E-3</v>
      </c>
      <c r="AM255" s="47"/>
      <c r="AN255" s="285">
        <v>533</v>
      </c>
      <c r="AO255" s="285">
        <f>SUM(Table1[[#This Row],[Pipa 63 mm]:[Pipa 1,800 mm]])</f>
        <v>534</v>
      </c>
      <c r="AP255" s="285">
        <v>534</v>
      </c>
      <c r="AQ255" s="285"/>
      <c r="AR255" s="285"/>
      <c r="AS255" s="285"/>
      <c r="AT255" s="285"/>
      <c r="AU255" s="285"/>
      <c r="AV255" s="285"/>
      <c r="AW255" s="285"/>
      <c r="AX255" s="285"/>
      <c r="AY255" s="285"/>
      <c r="AZ255" s="285"/>
      <c r="BA255" s="285"/>
      <c r="BB255" s="285"/>
      <c r="BC255" s="285"/>
      <c r="BD255" s="285"/>
      <c r="BE255" s="285"/>
      <c r="BF255" s="285"/>
      <c r="BG255" s="285"/>
      <c r="BH255" s="285"/>
      <c r="BI255" s="285"/>
      <c r="BJ255" s="36">
        <f>SUM(Table1[[#This Row],[Pipa 63 mm2]:[Pipa 1,800 mm21]])</f>
        <v>546</v>
      </c>
      <c r="BK255" s="32">
        <v>546</v>
      </c>
      <c r="BL255" s="32"/>
      <c r="BM255" s="32"/>
      <c r="BN255" s="32"/>
      <c r="BO255" s="32"/>
      <c r="BP255" s="32"/>
      <c r="BQ255" s="32"/>
      <c r="BR255" s="32"/>
      <c r="BS255" s="32"/>
      <c r="BT255" s="32"/>
      <c r="BU255" s="32"/>
      <c r="BV255" s="32"/>
      <c r="BW255" s="32"/>
      <c r="BX255" s="32"/>
      <c r="BY255" s="32"/>
      <c r="BZ255" s="32"/>
      <c r="CA255" s="32"/>
      <c r="CB255" s="32"/>
      <c r="CC255" s="32"/>
      <c r="CD255" s="32"/>
      <c r="CE255" s="32">
        <v>0</v>
      </c>
      <c r="CF255" s="32"/>
      <c r="CG255" s="32"/>
      <c r="CH255" s="32"/>
      <c r="CI255" s="32">
        <f t="shared" ref="CI255:CI286" si="13">SUM(CE255:CH255)</f>
        <v>0</v>
      </c>
      <c r="CJ255" s="65">
        <f>IF((Table1[[#This Row],["Volume
BA MC-0"]]-Table1[[#This Row],[Total Panjang Pipa Aktual
(Sum-&gt;)3]]-Table1[[#This Row],[Total Volume
tidak dapat dipasang]])&gt;=0,Table1[[#This Row],["Volume
BA MC-0"]]-Table1[[#This Row],[Total Panjang Pipa Aktual
(Sum-&gt;)3]]-Table1[[#This Row],[Total Volume
tidak dapat dipasang]],0)</f>
        <v>0</v>
      </c>
      <c r="CK255" s="47"/>
      <c r="CL255" s="484" t="s">
        <v>1821</v>
      </c>
      <c r="CM255" s="34" t="s">
        <v>1821</v>
      </c>
      <c r="CN255" s="484" t="s">
        <v>1821</v>
      </c>
      <c r="CO255" s="484" t="s">
        <v>1821</v>
      </c>
      <c r="CP25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5" s="66">
        <f>IFERROR(Table1[[#This Row],[Progres Keg. Umum
(%)]]*Table1[[#This Row],[Nilai RAB Jaringan
(file pa aji)]],0)</f>
        <v>0</v>
      </c>
      <c r="CR255" s="66">
        <f>IFERROR(Table1[[#This Row],[Progres MOS
(%)]]*Table1[[#This Row],[Nilai RAB Jaringan
(file pa aji)]],0)</f>
        <v>0</v>
      </c>
      <c r="CS255" s="66">
        <f>IFERROR(Table1[[#This Row],[Progres Pemasangan
(%)]]*Table1[[#This Row],[Nilai RAB Jaringan
(file pa aji)]],0)</f>
        <v>0</v>
      </c>
      <c r="CT255" s="66">
        <f>IFERROR(Table1[[#This Row],[Progres Perizinan
(%)]]*Table1[[#This Row],[Nilai RAB Jaringan
(file pa aji)]],0)</f>
        <v>0</v>
      </c>
      <c r="CU255" s="329">
        <v>691644951</v>
      </c>
      <c r="CV255" s="329">
        <v>691644951</v>
      </c>
      <c r="CW255" s="583">
        <v>691644951</v>
      </c>
      <c r="CX255" s="329">
        <v>691644951</v>
      </c>
      <c r="CY255" s="47"/>
      <c r="CZ255" s="330">
        <v>45775</v>
      </c>
      <c r="DA255" s="330">
        <v>45802</v>
      </c>
      <c r="DB255" s="331">
        <v>45784</v>
      </c>
      <c r="DC255" s="316" t="s">
        <v>1986</v>
      </c>
      <c r="DD255" s="67">
        <v>815088048</v>
      </c>
      <c r="DE25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5" s="331">
        <v>45798</v>
      </c>
      <c r="DG255" s="316" t="s">
        <v>1987</v>
      </c>
      <c r="DH255" s="67">
        <v>815088048</v>
      </c>
      <c r="DI25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5" s="330">
        <v>45803</v>
      </c>
      <c r="DK255" s="330">
        <v>45872</v>
      </c>
      <c r="DL255" s="331">
        <v>45855</v>
      </c>
      <c r="DM255" s="316" t="s">
        <v>1988</v>
      </c>
      <c r="DN25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5" s="331">
        <v>45880</v>
      </c>
      <c r="DP255" s="316" t="s">
        <v>1989</v>
      </c>
      <c r="DQ255" s="338" t="s">
        <v>1937</v>
      </c>
      <c r="DR25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5" s="330">
        <v>45803</v>
      </c>
      <c r="DT255" s="330" t="e">
        <v>#N/A</v>
      </c>
      <c r="DU255" s="330">
        <v>45844</v>
      </c>
      <c r="DV255" s="330" t="e">
        <v>#N/A</v>
      </c>
      <c r="DW255" s="331">
        <v>45855</v>
      </c>
      <c r="DX255" s="316" t="s">
        <v>1990</v>
      </c>
      <c r="DY255" s="332">
        <v>26</v>
      </c>
      <c r="DZ255" s="334">
        <v>26</v>
      </c>
      <c r="EA25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5" s="331">
        <v>46006</v>
      </c>
      <c r="EC255" s="332">
        <v>24</v>
      </c>
      <c r="ED255" s="332">
        <v>24</v>
      </c>
      <c r="EE255" s="330" t="s">
        <v>1991</v>
      </c>
      <c r="EF255" s="35">
        <v>0.92307692307692313</v>
      </c>
      <c r="EG255" s="35">
        <f>Table1[[#This Row],[Line PO (kolom  bantu)2]]/Table1[[#This Row],[Line PR]]</f>
        <v>0.92307692307692313</v>
      </c>
      <c r="EH255" s="316" t="str">
        <f>IF(Table1[[#This Row],[PO Material Aktual 
(%)]]&gt;=100%,"Selesai PO = 100%",IF(Table1[[#This Row],[PO Material Aktual 
(%)]]&gt;=50%,"Proses PO &gt; 100%",IF(Table1[[#This Row],[PO Material Aktual 
(%)]]&gt;0%,"Proses PO &gt; 50%",IF(Table1[[#This Row],[PO Material Aktual 
(%)]]=0,"Belum PO = 0%"))))</f>
        <v>Proses PO &gt; 100%</v>
      </c>
      <c r="EI25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5" s="330">
        <v>45845</v>
      </c>
      <c r="EK255" s="330" t="e">
        <v>#N/A</v>
      </c>
      <c r="EL255" s="330">
        <v>45900</v>
      </c>
      <c r="EM255" s="330" t="e">
        <v>#N/A</v>
      </c>
      <c r="EN255" s="331">
        <v>46151</v>
      </c>
      <c r="EO255" s="332">
        <v>23</v>
      </c>
      <c r="EP255" s="316">
        <v>23</v>
      </c>
      <c r="EQ255" s="35">
        <v>0.88461538461538458</v>
      </c>
      <c r="ER255" s="35">
        <f>Table1[[#This Row],[Line MOS]]/Table1[[#This Row],[Line PR]]</f>
        <v>0.88461538461538458</v>
      </c>
      <c r="ES255" s="316" t="str">
        <f>IF(Table1[[#This Row],[Progres MOS]]&gt;=100%,"Selesai MOS = 100%",IF(Table1[[#This Row],[Progres MOS]]&gt;=50%,"Proses MOS &gt; 100%",IF(Table1[[#This Row],[Progres MOS]]&gt;0%,"Proses MOS &gt; 50%",IF(Table1[[#This Row],[Progres MOS]]=0,"Belum MOS = 0%"))))</f>
        <v>Proses MOS &gt; 100%</v>
      </c>
      <c r="ET25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5" s="47"/>
      <c r="EV255" s="330">
        <v>45803</v>
      </c>
      <c r="EW255" s="330" t="e">
        <v>#N/A</v>
      </c>
      <c r="EX255" s="330">
        <v>45900</v>
      </c>
      <c r="EY255" s="330" t="e">
        <v>#N/A</v>
      </c>
      <c r="EZ255" s="352" t="s">
        <v>298</v>
      </c>
      <c r="FA255" s="336" t="s">
        <v>259</v>
      </c>
      <c r="FB255" s="330" t="s">
        <v>260</v>
      </c>
      <c r="FC255" s="330">
        <v>45839</v>
      </c>
      <c r="FD255" s="330" t="s">
        <v>260</v>
      </c>
      <c r="FE255" s="330">
        <v>45922</v>
      </c>
      <c r="FF255" s="330">
        <v>45937</v>
      </c>
      <c r="FG255" s="330" t="s">
        <v>260</v>
      </c>
      <c r="FH255" s="330" t="s">
        <v>260</v>
      </c>
      <c r="FI255" s="330">
        <v>46003</v>
      </c>
      <c r="FJ255" s="330" t="s">
        <v>260</v>
      </c>
      <c r="FK255" s="330">
        <v>46098</v>
      </c>
      <c r="FL255" s="336" t="s">
        <v>298</v>
      </c>
      <c r="FM255" s="352">
        <v>45839</v>
      </c>
      <c r="FN255" s="338">
        <f>IF(Table1[[#This Row],[Tanggal Pengajuan Dokumen]]="","",Table1[[#This Row],[PLAN PERMIT
start]]-Table1[[#This Row],[Tanggal Pengajuan Dokumen]])</f>
        <v>-36</v>
      </c>
      <c r="FO255" s="437">
        <v>46086</v>
      </c>
      <c r="FP255" s="316"/>
      <c r="FQ255" s="338"/>
      <c r="FR255" s="338"/>
      <c r="FS255" s="338" t="str">
        <f t="shared" si="11"/>
        <v>Sudah Terbit</v>
      </c>
      <c r="FT25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5" s="344">
        <f ca="1">IF(Table1[[#This Row],[Status Izin]]="Selesai",Table1[[#This Row],[PLAN PERMIT
finish]]-Table1[[#This Row],[Tanggal Terbit/ Target Izin Terbit]],ROUNDUP(Table1[[#This Row],[PLAN PERMIT
finish]]-NOW(),0))</f>
        <v>-186</v>
      </c>
      <c r="FV25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5" s="344"/>
      <c r="FX255" s="47"/>
      <c r="FY255" s="340"/>
      <c r="FZ255" s="341">
        <v>45884</v>
      </c>
      <c r="GA25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5" s="330">
        <v>45874</v>
      </c>
      <c r="GC255" s="352">
        <v>45665</v>
      </c>
      <c r="GD25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5" s="330">
        <v>45881</v>
      </c>
      <c r="GF255" s="352">
        <v>45665</v>
      </c>
      <c r="GG25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5" s="330">
        <v>45887</v>
      </c>
      <c r="GI255" s="330">
        <v>45893</v>
      </c>
      <c r="GJ255" s="352">
        <v>45877</v>
      </c>
      <c r="GK25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5" s="330">
        <v>45901</v>
      </c>
      <c r="GM255" s="330" t="e">
        <v>#N/A</v>
      </c>
      <c r="GN255" s="330">
        <v>45942</v>
      </c>
      <c r="GO255" s="330" t="e">
        <v>#N/A</v>
      </c>
      <c r="GP255" s="330">
        <v>45959</v>
      </c>
      <c r="GQ25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Delay</v>
      </c>
      <c r="GR255" s="330" t="s">
        <v>261</v>
      </c>
      <c r="GS255" s="330" t="s">
        <v>261</v>
      </c>
      <c r="GT255" s="354">
        <v>45915</v>
      </c>
      <c r="GU255" s="344" t="str">
        <f>IF(Table1[[#This Row],[Hydro Tes Actual
(tanggal)]]&lt;&gt;"","Sudah","Belum")</f>
        <v>Sudah</v>
      </c>
      <c r="GV255" s="330" t="s">
        <v>261</v>
      </c>
      <c r="GW255" s="330" t="s">
        <v>261</v>
      </c>
      <c r="GX255" s="331">
        <v>45953</v>
      </c>
      <c r="GY255" s="344" t="str">
        <f>IF(Table1[[#This Row],[Interkoneksi Actual
(tanggal)]]&lt;&gt;"","Sudah","Belum")</f>
        <v>Sudah</v>
      </c>
      <c r="GZ255" s="330" t="s">
        <v>261</v>
      </c>
      <c r="HA255" s="330" t="s">
        <v>261</v>
      </c>
      <c r="HB255" s="331">
        <v>45938</v>
      </c>
      <c r="HC255" s="344" t="str">
        <f>IF(Table1[[#This Row],[Flushing Actual
(tanggal)]]&lt;&gt;"","Sudah","Belum")</f>
        <v>Sudah</v>
      </c>
      <c r="HD255" s="330">
        <v>45922</v>
      </c>
      <c r="HE255" s="330" t="e">
        <v>#N/A</v>
      </c>
      <c r="HF255" s="330">
        <v>45935</v>
      </c>
      <c r="HG255" s="352">
        <v>45959</v>
      </c>
      <c r="HH25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5" s="330" t="s">
        <v>261</v>
      </c>
      <c r="HJ255" s="330" t="s">
        <v>261</v>
      </c>
      <c r="HK255" s="331"/>
      <c r="HL255" s="316"/>
      <c r="HM255" s="330">
        <v>45947</v>
      </c>
      <c r="HN255" s="330">
        <v>45947</v>
      </c>
      <c r="HO255" s="330" t="e">
        <v>#N/A</v>
      </c>
      <c r="HP255" s="331">
        <v>45973</v>
      </c>
      <c r="HQ255"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55" s="330">
        <v>45954</v>
      </c>
      <c r="HS255" s="330"/>
      <c r="HT255" s="330">
        <v>45954</v>
      </c>
      <c r="HU255" s="330"/>
      <c r="HV255" s="331">
        <v>46056</v>
      </c>
      <c r="HW25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55" s="47"/>
      <c r="HY255" s="352"/>
      <c r="HZ255" s="352"/>
      <c r="IB255" s="618">
        <f>IFERROR(ROUND((Table1[[#This Row],[PLAN TC
finish]]-Table1[[#This Row],[PLAN MC-0
start]])/30,2),"")</f>
        <v>1.6</v>
      </c>
      <c r="IC255">
        <f>DATEDIF(Table1[[#This Row],[PLAN MC-0
start]],Table1[[#This Row],[PLAN TC
finish]],"m")</f>
        <v>1</v>
      </c>
    </row>
    <row r="256" spans="2:237" s="4" customFormat="1" ht="15" hidden="1" customHeight="1" x14ac:dyDescent="0.2">
      <c r="B256" s="311">
        <f>SUBTOTAL(3,$D$5:D256)</f>
        <v>84</v>
      </c>
      <c r="C256" s="316">
        <v>252</v>
      </c>
      <c r="D256" s="338" t="s">
        <v>629</v>
      </c>
      <c r="E256" s="338" t="s">
        <v>1992</v>
      </c>
      <c r="F256" s="338" t="s">
        <v>1993</v>
      </c>
      <c r="G256" s="349">
        <v>46117</v>
      </c>
      <c r="H256" s="338" t="s">
        <v>681</v>
      </c>
      <c r="I256" s="338" t="s">
        <v>278</v>
      </c>
      <c r="J256" s="480" t="s">
        <v>1830</v>
      </c>
      <c r="K256" s="338" t="s">
        <v>915</v>
      </c>
      <c r="L256" s="316" t="s">
        <v>250</v>
      </c>
      <c r="M256" s="355" t="s">
        <v>269</v>
      </c>
      <c r="N256" s="107">
        <v>1084</v>
      </c>
      <c r="O256" s="31" t="s">
        <v>252</v>
      </c>
      <c r="P25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6" s="35">
        <v>0.99999999999999978</v>
      </c>
      <c r="S256" s="34">
        <v>1</v>
      </c>
      <c r="T256" s="34">
        <f>Table1[[#This Row],[Progres Total Aktual
(%)]]</f>
        <v>1</v>
      </c>
      <c r="U256" s="98">
        <f>Table1[[#This Row],[Progres Aktual
(%)]]-Table1[[#This Row],[Target Progres
(%)]]</f>
        <v>0</v>
      </c>
      <c r="V256" s="80">
        <f>Table1[[#This Row],["Volume
BA MC-0"]]</f>
        <v>1084</v>
      </c>
      <c r="W256" s="46">
        <f>Table1[[#This Row],[Total Panjang Pipa Aktual
(Sum-&gt;)3]]</f>
        <v>978.9</v>
      </c>
      <c r="X256" s="47"/>
      <c r="Y256" s="67" t="s">
        <v>1994</v>
      </c>
      <c r="Z256" s="67">
        <v>1276087245</v>
      </c>
      <c r="AA256" s="67">
        <f>ROUND((Table1[[#This Row],[Nilai RAB Jaringan
(Exclude Ppn)]]-Table1[[#This Row],[RAB Perizinan]])*1.11+Table1[[#This Row],[RAB Perizinan]],0)</f>
        <v>1276087244</v>
      </c>
      <c r="AB256" s="486">
        <f>SUM(Table1[[#This Row],[RAB Kegiatan Umum]:[RAB Perizinan]])</f>
        <v>1150708328</v>
      </c>
      <c r="AC256" s="436">
        <v>86209779</v>
      </c>
      <c r="AD256" s="436">
        <v>862097789</v>
      </c>
      <c r="AE256" s="436">
        <v>191500760</v>
      </c>
      <c r="AF256" s="436">
        <v>10900000</v>
      </c>
      <c r="AG256" s="483">
        <v>105351932</v>
      </c>
      <c r="AH256" s="33">
        <f>SUM(Table1[[#This Row],[Bobot Keg Umum]:[Bobot Perizinan]])</f>
        <v>1</v>
      </c>
      <c r="AI256" s="33">
        <f>Table1[[#This Row],[RAB Kegiatan Umum]]/Table1[[#This Row],[Nilai RAB Jaringan
(Exclude Ppn)]]</f>
        <v>7.4918879877959824E-2</v>
      </c>
      <c r="AJ256" s="33">
        <f>Table1[[#This Row],[RAB Pemasangan]]/Table1[[#This Row],[Nilai RAB Jaringan
(Exclude Ppn)]]</f>
        <v>0.74918879791056836</v>
      </c>
      <c r="AK256" s="33">
        <f>Table1[[#This Row],[RAB Pengadaan]]/Table1[[#This Row],[Nilai RAB Jaringan
(Exclude Ppn)]]</f>
        <v>0.16641989576354227</v>
      </c>
      <c r="AL256" s="33">
        <f>Table1[[#This Row],[RAB Perizinan]]/Table1[[#This Row],[Nilai RAB Jaringan
(Exclude Ppn)]]</f>
        <v>9.4724264479295571E-3</v>
      </c>
      <c r="AM256" s="47"/>
      <c r="AN256" s="285">
        <v>1084</v>
      </c>
      <c r="AO256" s="285">
        <f>SUM(Table1[[#This Row],[Pipa 63 mm]:[Pipa 1,800 mm]])</f>
        <v>1095</v>
      </c>
      <c r="AP256" s="285">
        <v>494</v>
      </c>
      <c r="AQ256" s="285"/>
      <c r="AR256" s="285">
        <v>601</v>
      </c>
      <c r="AS256" s="285"/>
      <c r="AT256" s="285"/>
      <c r="AU256" s="285"/>
      <c r="AV256" s="285"/>
      <c r="AW256" s="285"/>
      <c r="AX256" s="285"/>
      <c r="AY256" s="285"/>
      <c r="AZ256" s="285"/>
      <c r="BA256" s="285"/>
      <c r="BB256" s="285"/>
      <c r="BC256" s="285"/>
      <c r="BD256" s="285"/>
      <c r="BE256" s="285"/>
      <c r="BF256" s="285"/>
      <c r="BG256" s="285"/>
      <c r="BH256" s="285"/>
      <c r="BI256" s="285"/>
      <c r="BJ256" s="36">
        <f>SUM(Table1[[#This Row],[Pipa 63 mm2]:[Pipa 1,800 mm21]])</f>
        <v>978.9</v>
      </c>
      <c r="BK256" s="32">
        <v>337.4</v>
      </c>
      <c r="BL256" s="32">
        <v>641.5</v>
      </c>
      <c r="BM256" s="32"/>
      <c r="BN256" s="32"/>
      <c r="BO256" s="32"/>
      <c r="BP256" s="32"/>
      <c r="BQ256" s="32"/>
      <c r="BR256" s="32"/>
      <c r="BS256" s="32"/>
      <c r="BT256" s="32"/>
      <c r="BU256" s="32"/>
      <c r="BV256" s="32"/>
      <c r="BW256" s="32"/>
      <c r="BX256" s="32"/>
      <c r="BY256" s="32"/>
      <c r="BZ256" s="32"/>
      <c r="CA256" s="32"/>
      <c r="CB256" s="32"/>
      <c r="CC256" s="32"/>
      <c r="CD256" s="32"/>
      <c r="CE256" s="32">
        <v>0</v>
      </c>
      <c r="CF256" s="32"/>
      <c r="CG256" s="32"/>
      <c r="CH256" s="32"/>
      <c r="CI256" s="32">
        <f t="shared" si="13"/>
        <v>0</v>
      </c>
      <c r="CJ256" s="65">
        <f>IF((Table1[[#This Row],["Volume
BA MC-0"]]-Table1[[#This Row],[Total Panjang Pipa Aktual
(Sum-&gt;)3]]-Table1[[#This Row],[Total Volume
tidak dapat dipasang]])&gt;=0,Table1[[#This Row],["Volume
BA MC-0"]]-Table1[[#This Row],[Total Panjang Pipa Aktual
(Sum-&gt;)3]]-Table1[[#This Row],[Total Volume
tidak dapat dipasang]],0)</f>
        <v>105.10000000000002</v>
      </c>
      <c r="CK256" s="47"/>
      <c r="CL256" s="484" t="s">
        <v>1821</v>
      </c>
      <c r="CM256" s="34" t="s">
        <v>1821</v>
      </c>
      <c r="CN256" s="484" t="s">
        <v>1821</v>
      </c>
      <c r="CO256" s="484" t="s">
        <v>1821</v>
      </c>
      <c r="CP25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6" s="66">
        <f>IFERROR(Table1[[#This Row],[Progres Keg. Umum
(%)]]*Table1[[#This Row],[Nilai RAB Jaringan
(file pa aji)]],0)</f>
        <v>0</v>
      </c>
      <c r="CR256" s="66">
        <f>IFERROR(Table1[[#This Row],[Progres MOS
(%)]]*Table1[[#This Row],[Nilai RAB Jaringan
(file pa aji)]],0)</f>
        <v>0</v>
      </c>
      <c r="CS256" s="66">
        <f>IFERROR(Table1[[#This Row],[Progres Pemasangan
(%)]]*Table1[[#This Row],[Nilai RAB Jaringan
(file pa aji)]],0)</f>
        <v>0</v>
      </c>
      <c r="CT256" s="66">
        <f>IFERROR(Table1[[#This Row],[Progres Perizinan
(%)]]*Table1[[#This Row],[Nilai RAB Jaringan
(file pa aji)]],0)</f>
        <v>0</v>
      </c>
      <c r="CU256" s="329">
        <v>1244656384</v>
      </c>
      <c r="CV256" s="329">
        <v>1244656384</v>
      </c>
      <c r="CW256" s="329">
        <v>1244656384</v>
      </c>
      <c r="CX256" s="329">
        <v>1244656384</v>
      </c>
      <c r="CY256" s="47"/>
      <c r="CZ256" s="330">
        <v>45775</v>
      </c>
      <c r="DA256" s="330">
        <v>45802</v>
      </c>
      <c r="DB256" s="331">
        <v>45923</v>
      </c>
      <c r="DC256" s="316" t="s">
        <v>1995</v>
      </c>
      <c r="DD256" s="67">
        <v>1265187245</v>
      </c>
      <c r="DE25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6" s="331">
        <v>45940</v>
      </c>
      <c r="DG256" s="316" t="s">
        <v>1996</v>
      </c>
      <c r="DH256" s="67">
        <v>1265187245</v>
      </c>
      <c r="DI25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6" s="330">
        <v>45803</v>
      </c>
      <c r="DK256" s="330">
        <v>45872</v>
      </c>
      <c r="DL256" s="331">
        <v>45866</v>
      </c>
      <c r="DM256" s="316" t="s">
        <v>1997</v>
      </c>
      <c r="DN25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6" s="331">
        <v>45880</v>
      </c>
      <c r="DP256" s="316" t="s">
        <v>1998</v>
      </c>
      <c r="DQ256" s="338" t="s">
        <v>1937</v>
      </c>
      <c r="DR25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6" s="330">
        <v>45803</v>
      </c>
      <c r="DT256" s="330" t="e">
        <v>#N/A</v>
      </c>
      <c r="DU256" s="330">
        <v>45844</v>
      </c>
      <c r="DV256" s="330" t="e">
        <v>#N/A</v>
      </c>
      <c r="DW256" s="331">
        <v>45867</v>
      </c>
      <c r="DX256" s="316" t="s">
        <v>1999</v>
      </c>
      <c r="DY256" s="332">
        <v>37</v>
      </c>
      <c r="DZ256" s="334">
        <v>37</v>
      </c>
      <c r="EA25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6" s="331">
        <v>46006</v>
      </c>
      <c r="EC256" s="332">
        <v>29</v>
      </c>
      <c r="ED256" s="332">
        <v>29</v>
      </c>
      <c r="EE256" s="141" t="s">
        <v>2000</v>
      </c>
      <c r="EF256" s="35">
        <v>1</v>
      </c>
      <c r="EG256" s="337">
        <v>1</v>
      </c>
      <c r="EH256" s="316" t="str">
        <f>IF(Table1[[#This Row],[PO Material Aktual 
(%)]]&gt;=100%,"Selesai PO = 100%",IF(Table1[[#This Row],[PO Material Aktual 
(%)]]&gt;=50%,"Proses PO &gt; 100%",IF(Table1[[#This Row],[PO Material Aktual 
(%)]]&gt;0%,"Proses PO &gt; 50%",IF(Table1[[#This Row],[PO Material Aktual 
(%)]]=0,"Belum PO = 0%"))))</f>
        <v>Selesai PO = 100%</v>
      </c>
      <c r="EI25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6" s="330">
        <v>45845</v>
      </c>
      <c r="EK256" s="330" t="e">
        <v>#N/A</v>
      </c>
      <c r="EL256" s="330">
        <v>45900</v>
      </c>
      <c r="EM256" s="330" t="e">
        <v>#N/A</v>
      </c>
      <c r="EN256" s="331">
        <v>46093</v>
      </c>
      <c r="EO256" s="332">
        <v>27</v>
      </c>
      <c r="EP256" s="316">
        <v>27</v>
      </c>
      <c r="EQ256" s="35">
        <v>0.72972972972972971</v>
      </c>
      <c r="ER256" s="35">
        <f>Table1[[#This Row],[Line MOS]]/Table1[[#This Row],[Line PR]]</f>
        <v>0.72972972972972971</v>
      </c>
      <c r="ES256" s="316" t="str">
        <f>IF(Table1[[#This Row],[Progres MOS]]&gt;=100%,"Selesai MOS = 100%",IF(Table1[[#This Row],[Progres MOS]]&gt;=50%,"Proses MOS &gt; 100%",IF(Table1[[#This Row],[Progres MOS]]&gt;0%,"Proses MOS &gt; 50%",IF(Table1[[#This Row],[Progres MOS]]=0,"Belum MOS = 0%"))))</f>
        <v>Proses MOS &gt; 100%</v>
      </c>
      <c r="ET25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6" s="47"/>
      <c r="EV256" s="330">
        <v>45803</v>
      </c>
      <c r="EW256" s="330" t="e">
        <v>#N/A</v>
      </c>
      <c r="EX256" s="330">
        <v>45900</v>
      </c>
      <c r="EY256" s="330" t="e">
        <v>#N/A</v>
      </c>
      <c r="EZ256" s="352" t="s">
        <v>298</v>
      </c>
      <c r="FA256" s="336" t="s">
        <v>259</v>
      </c>
      <c r="FB256" s="330" t="s">
        <v>260</v>
      </c>
      <c r="FC256" s="330">
        <v>45839</v>
      </c>
      <c r="FD256" s="330" t="s">
        <v>260</v>
      </c>
      <c r="FE256" s="330">
        <v>45922</v>
      </c>
      <c r="FF256" s="330">
        <v>45937</v>
      </c>
      <c r="FG256" s="330" t="s">
        <v>260</v>
      </c>
      <c r="FH256" s="330" t="s">
        <v>260</v>
      </c>
      <c r="FI256" s="330">
        <v>46022</v>
      </c>
      <c r="FJ256" s="330" t="s">
        <v>260</v>
      </c>
      <c r="FK256" s="330">
        <v>46098</v>
      </c>
      <c r="FL256" s="336" t="s">
        <v>298</v>
      </c>
      <c r="FM256" s="352">
        <v>45839</v>
      </c>
      <c r="FN256" s="338">
        <f>IF(Table1[[#This Row],[Tanggal Pengajuan Dokumen]]="","",Table1[[#This Row],[PLAN PERMIT
start]]-Table1[[#This Row],[Tanggal Pengajuan Dokumen]])</f>
        <v>-36</v>
      </c>
      <c r="FO256" s="437">
        <v>46086</v>
      </c>
      <c r="FP256" s="316"/>
      <c r="FQ256" s="338"/>
      <c r="FR256" s="338"/>
      <c r="FS256" s="338" t="str">
        <f t="shared" si="11"/>
        <v>Sudah Terbit</v>
      </c>
      <c r="FT25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6" s="344">
        <f ca="1">IF(Table1[[#This Row],[Status Izin]]="Selesai",Table1[[#This Row],[PLAN PERMIT
finish]]-Table1[[#This Row],[Tanggal Terbit/ Target Izin Terbit]],ROUNDUP(Table1[[#This Row],[PLAN PERMIT
finish]]-NOW(),0))</f>
        <v>-186</v>
      </c>
      <c r="FV25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6" s="344"/>
      <c r="FX256" s="47"/>
      <c r="FY256" s="340"/>
      <c r="FZ256" s="341">
        <v>45884</v>
      </c>
      <c r="GA25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6" s="330">
        <v>45874</v>
      </c>
      <c r="GC256" s="352">
        <v>45665</v>
      </c>
      <c r="GD25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6" s="330">
        <v>45881</v>
      </c>
      <c r="GF256" s="352">
        <v>45665</v>
      </c>
      <c r="GG25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6" s="330">
        <v>45887</v>
      </c>
      <c r="GI256" s="330">
        <v>45893</v>
      </c>
      <c r="GJ256" s="352">
        <v>45877</v>
      </c>
      <c r="GK25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6" s="330">
        <v>45901</v>
      </c>
      <c r="GM256" s="330" t="e">
        <v>#N/A</v>
      </c>
      <c r="GN256" s="330">
        <v>45942</v>
      </c>
      <c r="GO256" s="330" t="e">
        <v>#N/A</v>
      </c>
      <c r="GP256" s="330"/>
      <c r="GQ25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6" s="330" t="s">
        <v>261</v>
      </c>
      <c r="GS256" s="330" t="s">
        <v>261</v>
      </c>
      <c r="GT256" s="354">
        <v>45965</v>
      </c>
      <c r="GU256" s="344" t="str">
        <f>IF(Table1[[#This Row],[Hydro Tes Actual
(tanggal)]]&lt;&gt;"","Sudah","Belum")</f>
        <v>Sudah</v>
      </c>
      <c r="GV256" s="330" t="s">
        <v>261</v>
      </c>
      <c r="GW256" s="330" t="s">
        <v>261</v>
      </c>
      <c r="GX256" s="331">
        <v>45967</v>
      </c>
      <c r="GY256" s="344" t="str">
        <f>IF(Table1[[#This Row],[Interkoneksi Actual
(tanggal)]]&lt;&gt;"","Sudah","Belum")</f>
        <v>Sudah</v>
      </c>
      <c r="GZ256" s="330" t="s">
        <v>261</v>
      </c>
      <c r="HA256" s="330" t="s">
        <v>261</v>
      </c>
      <c r="HB256" s="331">
        <v>45971</v>
      </c>
      <c r="HC256" s="344" t="str">
        <f>IF(Table1[[#This Row],[Flushing Actual
(tanggal)]]&lt;&gt;"","Sudah","Belum")</f>
        <v>Sudah</v>
      </c>
      <c r="HD256" s="330">
        <v>45922</v>
      </c>
      <c r="HE256" s="330" t="e">
        <v>#N/A</v>
      </c>
      <c r="HF256" s="330">
        <v>45935</v>
      </c>
      <c r="HG256" s="352">
        <v>45985</v>
      </c>
      <c r="HH25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6" s="330" t="s">
        <v>261</v>
      </c>
      <c r="HJ256" s="330" t="s">
        <v>261</v>
      </c>
      <c r="HK256" s="331"/>
      <c r="HL256" s="316"/>
      <c r="HM256" s="330">
        <v>45947</v>
      </c>
      <c r="HN256" s="330">
        <v>45947</v>
      </c>
      <c r="HO256" s="330" t="e">
        <v>#N/A</v>
      </c>
      <c r="HP256" s="331">
        <v>46066</v>
      </c>
      <c r="HQ256"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56" s="330">
        <v>45954</v>
      </c>
      <c r="HS256" s="330"/>
      <c r="HT256" s="330">
        <v>45954</v>
      </c>
      <c r="HU256" s="330"/>
      <c r="HV256" s="331">
        <v>46078</v>
      </c>
      <c r="HW25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56" s="47"/>
      <c r="HY256" s="352"/>
      <c r="HZ256" s="352"/>
      <c r="IB256" s="618">
        <f>IFERROR(ROUND((Table1[[#This Row],[PLAN TC
finish]]-Table1[[#This Row],[PLAN MC-0
start]])/30,2),"")</f>
        <v>1.6</v>
      </c>
      <c r="IC256">
        <f>DATEDIF(Table1[[#This Row],[PLAN MC-0
start]],Table1[[#This Row],[PLAN TC
finish]],"m")</f>
        <v>1</v>
      </c>
    </row>
    <row r="257" spans="1:237" s="4" customFormat="1" ht="15" hidden="1" customHeight="1" x14ac:dyDescent="0.2">
      <c r="B257" s="311">
        <f>SUBTOTAL(3,$D$5:D257)</f>
        <v>84</v>
      </c>
      <c r="C257" s="316">
        <v>253</v>
      </c>
      <c r="D257" s="338" t="s">
        <v>629</v>
      </c>
      <c r="E257" s="338" t="s">
        <v>2001</v>
      </c>
      <c r="F257" s="338" t="s">
        <v>2002</v>
      </c>
      <c r="G257" s="349">
        <v>46117</v>
      </c>
      <c r="H257" s="338" t="s">
        <v>681</v>
      </c>
      <c r="I257" s="338" t="s">
        <v>278</v>
      </c>
      <c r="J257" s="480" t="s">
        <v>1830</v>
      </c>
      <c r="K257" s="338"/>
      <c r="L257" s="316" t="s">
        <v>250</v>
      </c>
      <c r="M257" s="355" t="s">
        <v>269</v>
      </c>
      <c r="N257" s="107">
        <v>575</v>
      </c>
      <c r="O257" s="31" t="s">
        <v>252</v>
      </c>
      <c r="P25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7" s="35">
        <v>1</v>
      </c>
      <c r="S257" s="34">
        <v>1</v>
      </c>
      <c r="T257" s="34">
        <f>Table1[[#This Row],[Progres Total Aktual
(%)]]</f>
        <v>1</v>
      </c>
      <c r="U257" s="98">
        <f>Table1[[#This Row],[Progres Aktual
(%)]]-Table1[[#This Row],[Target Progres
(%)]]</f>
        <v>0</v>
      </c>
      <c r="V257" s="80">
        <f>Table1[[#This Row],["Volume
BA MC-0"]]</f>
        <v>575</v>
      </c>
      <c r="W257" s="46">
        <f>Table1[[#This Row],[Total Panjang Pipa Aktual
(Sum-&gt;)3]]</f>
        <v>484.8</v>
      </c>
      <c r="X257" s="47"/>
      <c r="Y257" s="67" t="s">
        <v>2003</v>
      </c>
      <c r="Z257" s="67">
        <v>1118265561</v>
      </c>
      <c r="AA257" s="67">
        <f>ROUND((Table1[[#This Row],[Nilai RAB Jaringan
(Exclude Ppn)]]-Table1[[#This Row],[RAB Perizinan]])*1.11+Table1[[#This Row],[RAB Perizinan]],0)</f>
        <v>1105855560</v>
      </c>
      <c r="AB257" s="486">
        <f>SUM(Table1[[#This Row],[RAB Kegiatan Umum]:[RAB Perizinan]])</f>
        <v>996299963.70000005</v>
      </c>
      <c r="AC257" s="436">
        <v>74352274</v>
      </c>
      <c r="AD257" s="436">
        <v>743522737.70000005</v>
      </c>
      <c r="AE257" s="436">
        <v>178084952</v>
      </c>
      <c r="AF257" s="436">
        <v>340000</v>
      </c>
      <c r="AG257" s="483">
        <v>71639314</v>
      </c>
      <c r="AH257" s="33">
        <f>SUM(Table1[[#This Row],[Bobot Keg Umum]:[Bobot Perizinan]])</f>
        <v>0.99999999999999989</v>
      </c>
      <c r="AI257" s="33">
        <f>Table1[[#This Row],[RAB Kegiatan Umum]]/Table1[[#This Row],[Nilai RAB Jaringan
(Exclude Ppn)]]</f>
        <v>7.46284017956549E-2</v>
      </c>
      <c r="AJ257" s="33">
        <f>Table1[[#This Row],[RAB Pemasangan]]/Table1[[#This Row],[Nilai RAB Jaringan
(Exclude Ppn)]]</f>
        <v>0.74628401564800739</v>
      </c>
      <c r="AK257" s="33">
        <f>Table1[[#This Row],[RAB Pengadaan]]/Table1[[#This Row],[Nilai RAB Jaringan
(Exclude Ppn)]]</f>
        <v>0.17874631987201786</v>
      </c>
      <c r="AL257" s="33">
        <f>Table1[[#This Row],[RAB Perizinan]]/Table1[[#This Row],[Nilai RAB Jaringan
(Exclude Ppn)]]</f>
        <v>3.4126268431981875E-4</v>
      </c>
      <c r="AM257" s="47"/>
      <c r="AN257" s="285">
        <v>575</v>
      </c>
      <c r="AO257" s="285">
        <f>SUM(Table1[[#This Row],[Pipa 63 mm]:[Pipa 1,800 mm]])</f>
        <v>586</v>
      </c>
      <c r="AP257" s="285">
        <f>96+134</f>
        <v>230</v>
      </c>
      <c r="AQ257" s="285"/>
      <c r="AR257" s="285">
        <v>356</v>
      </c>
      <c r="AS257" s="285"/>
      <c r="AT257" s="285"/>
      <c r="AU257" s="285"/>
      <c r="AV257" s="285"/>
      <c r="AW257" s="285"/>
      <c r="AX257" s="285"/>
      <c r="AY257" s="285"/>
      <c r="AZ257" s="285"/>
      <c r="BA257" s="285"/>
      <c r="BB257" s="285"/>
      <c r="BC257" s="285"/>
      <c r="BD257" s="285"/>
      <c r="BE257" s="285"/>
      <c r="BF257" s="285"/>
      <c r="BG257" s="285"/>
      <c r="BH257" s="285"/>
      <c r="BI257" s="285"/>
      <c r="BJ257" s="36">
        <f>SUM(Table1[[#This Row],[Pipa 63 mm2]:[Pipa 1,800 mm21]])</f>
        <v>484.8</v>
      </c>
      <c r="BK257" s="32">
        <v>131</v>
      </c>
      <c r="BL257" s="32">
        <v>353.8</v>
      </c>
      <c r="BM257" s="32"/>
      <c r="BN257" s="32"/>
      <c r="BO257" s="32"/>
      <c r="BP257" s="32"/>
      <c r="BQ257" s="32"/>
      <c r="BR257" s="32"/>
      <c r="BS257" s="32"/>
      <c r="BT257" s="32"/>
      <c r="BU257" s="32"/>
      <c r="BV257" s="32"/>
      <c r="BW257" s="32"/>
      <c r="BX257" s="32"/>
      <c r="BY257" s="32"/>
      <c r="BZ257" s="32"/>
      <c r="CA257" s="32"/>
      <c r="CB257" s="32"/>
      <c r="CC257" s="32"/>
      <c r="CD257" s="32"/>
      <c r="CE257" s="32">
        <v>0</v>
      </c>
      <c r="CF257" s="32"/>
      <c r="CG257" s="32"/>
      <c r="CH257" s="32"/>
      <c r="CI257" s="32">
        <f t="shared" si="13"/>
        <v>0</v>
      </c>
      <c r="CJ257" s="65">
        <f>IF((Table1[[#This Row],["Volume
BA MC-0"]]-Table1[[#This Row],[Total Panjang Pipa Aktual
(Sum-&gt;)3]]-Table1[[#This Row],[Total Volume
tidak dapat dipasang]])&gt;=0,Table1[[#This Row],["Volume
BA MC-0"]]-Table1[[#This Row],[Total Panjang Pipa Aktual
(Sum-&gt;)3]]-Table1[[#This Row],[Total Volume
tidak dapat dipasang]],0)</f>
        <v>90.199999999999989</v>
      </c>
      <c r="CK257" s="47"/>
      <c r="CL257" s="484" t="s">
        <v>1821</v>
      </c>
      <c r="CM257" s="34" t="s">
        <v>1821</v>
      </c>
      <c r="CN257" s="484" t="s">
        <v>1821</v>
      </c>
      <c r="CO257" s="484" t="s">
        <v>1821</v>
      </c>
      <c r="CP25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7" s="66">
        <f>IFERROR(Table1[[#This Row],[Progres Keg. Umum
(%)]]*Table1[[#This Row],[Nilai RAB Jaringan
(file pa aji)]],0)</f>
        <v>0</v>
      </c>
      <c r="CR257" s="66">
        <f>IFERROR(Table1[[#This Row],[Progres MOS
(%)]]*Table1[[#This Row],[Nilai RAB Jaringan
(file pa aji)]],0)</f>
        <v>0</v>
      </c>
      <c r="CS257" s="66">
        <f>IFERROR(Table1[[#This Row],[Progres Pemasangan
(%)]]*Table1[[#This Row],[Nilai RAB Jaringan
(file pa aji)]],0)</f>
        <v>0</v>
      </c>
      <c r="CT257" s="66">
        <f>IFERROR(Table1[[#This Row],[Progres Perizinan
(%)]]*Table1[[#This Row],[Nilai RAB Jaringan
(file pa aji)]],0)</f>
        <v>0</v>
      </c>
      <c r="CU257" s="329">
        <v>772568145</v>
      </c>
      <c r="CV257" s="329">
        <v>772568145</v>
      </c>
      <c r="CW257" s="583">
        <v>772568145</v>
      </c>
      <c r="CX257" s="329">
        <v>772568145</v>
      </c>
      <c r="CY257" s="47"/>
      <c r="CZ257" s="330">
        <v>45775</v>
      </c>
      <c r="DA257" s="330">
        <v>45802</v>
      </c>
      <c r="DB257" s="331">
        <v>45784</v>
      </c>
      <c r="DC257" s="316" t="s">
        <v>2004</v>
      </c>
      <c r="DD257" s="67">
        <v>1118265561</v>
      </c>
      <c r="DE25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7" s="331">
        <v>45799</v>
      </c>
      <c r="DG257" s="316" t="s">
        <v>2005</v>
      </c>
      <c r="DH257" s="67">
        <v>1118265561</v>
      </c>
      <c r="DI25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7" s="330">
        <v>45803</v>
      </c>
      <c r="DK257" s="330">
        <v>45872</v>
      </c>
      <c r="DL257" s="331">
        <v>45866</v>
      </c>
      <c r="DM257" s="316" t="s">
        <v>2006</v>
      </c>
      <c r="DN25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7" s="331">
        <v>45880</v>
      </c>
      <c r="DP257" s="316" t="s">
        <v>2007</v>
      </c>
      <c r="DQ257" s="338" t="s">
        <v>1937</v>
      </c>
      <c r="DR25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7" s="330">
        <v>45803</v>
      </c>
      <c r="DT257" s="330" t="e">
        <v>#N/A</v>
      </c>
      <c r="DU257" s="330">
        <v>45844</v>
      </c>
      <c r="DV257" s="330" t="e">
        <v>#N/A</v>
      </c>
      <c r="DW257" s="331">
        <v>45862</v>
      </c>
      <c r="DX257" s="316" t="s">
        <v>2008</v>
      </c>
      <c r="DY257" s="332">
        <v>50</v>
      </c>
      <c r="DZ257" s="334">
        <v>50</v>
      </c>
      <c r="EA25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7" s="331">
        <v>46038</v>
      </c>
      <c r="EC257" s="332">
        <v>44</v>
      </c>
      <c r="ED257" s="332">
        <v>44</v>
      </c>
      <c r="EE257" s="425" t="s">
        <v>2009</v>
      </c>
      <c r="EF257" s="35">
        <v>1</v>
      </c>
      <c r="EG257" s="337">
        <v>1</v>
      </c>
      <c r="EH257" s="316" t="str">
        <f>IF(Table1[[#This Row],[PO Material Aktual 
(%)]]&gt;=100%,"Selesai PO = 100%",IF(Table1[[#This Row],[PO Material Aktual 
(%)]]&gt;=50%,"Proses PO &gt; 100%",IF(Table1[[#This Row],[PO Material Aktual 
(%)]]&gt;0%,"Proses PO &gt; 50%",IF(Table1[[#This Row],[PO Material Aktual 
(%)]]=0,"Belum PO = 0%"))))</f>
        <v>Selesai PO = 100%</v>
      </c>
      <c r="EI25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7" s="330">
        <v>45845</v>
      </c>
      <c r="EK257" s="330" t="e">
        <v>#N/A</v>
      </c>
      <c r="EL257" s="330">
        <v>45900</v>
      </c>
      <c r="EM257" s="330" t="e">
        <v>#N/A</v>
      </c>
      <c r="EN257" s="331">
        <v>46121</v>
      </c>
      <c r="EO257" s="332">
        <v>42</v>
      </c>
      <c r="EP257" s="316">
        <v>42</v>
      </c>
      <c r="EQ257" s="35">
        <v>0.84</v>
      </c>
      <c r="ER257" s="35">
        <f>Table1[[#This Row],[Line MOS]]/Table1[[#This Row],[Line PR]]</f>
        <v>0.84</v>
      </c>
      <c r="ES257" s="316" t="str">
        <f>IF(Table1[[#This Row],[Progres MOS]]&gt;=100%,"Selesai MOS = 100%",IF(Table1[[#This Row],[Progres MOS]]&gt;=50%,"Proses MOS &gt; 100%",IF(Table1[[#This Row],[Progres MOS]]&gt;0%,"Proses MOS &gt; 50%",IF(Table1[[#This Row],[Progres MOS]]=0,"Belum MOS = 0%"))))</f>
        <v>Proses MOS &gt; 100%</v>
      </c>
      <c r="ET25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7" s="47"/>
      <c r="EV257" s="330">
        <v>45803</v>
      </c>
      <c r="EW257" s="330" t="e">
        <v>#N/A</v>
      </c>
      <c r="EX257" s="330">
        <v>45900</v>
      </c>
      <c r="EY257" s="330" t="e">
        <v>#N/A</v>
      </c>
      <c r="EZ257" s="352" t="s">
        <v>298</v>
      </c>
      <c r="FA257" s="336" t="s">
        <v>259</v>
      </c>
      <c r="FB257" s="330" t="s">
        <v>260</v>
      </c>
      <c r="FC257" s="330">
        <v>45839</v>
      </c>
      <c r="FD257" s="330" t="s">
        <v>260</v>
      </c>
      <c r="FE257" s="330">
        <v>45922</v>
      </c>
      <c r="FF257" s="330">
        <v>45937</v>
      </c>
      <c r="FG257" s="330" t="s">
        <v>260</v>
      </c>
      <c r="FH257" s="330" t="s">
        <v>260</v>
      </c>
      <c r="FI257" s="330">
        <v>46022</v>
      </c>
      <c r="FJ257" s="330" t="s">
        <v>260</v>
      </c>
      <c r="FK257" s="330">
        <v>46098</v>
      </c>
      <c r="FL257" s="336" t="s">
        <v>298</v>
      </c>
      <c r="FM257" s="352">
        <v>45839</v>
      </c>
      <c r="FN257" s="338">
        <f>IF(Table1[[#This Row],[Tanggal Pengajuan Dokumen]]="","",Table1[[#This Row],[PLAN PERMIT
start]]-Table1[[#This Row],[Tanggal Pengajuan Dokumen]])</f>
        <v>-36</v>
      </c>
      <c r="FO257" s="437">
        <v>46086</v>
      </c>
      <c r="FP257" s="316"/>
      <c r="FQ257" s="338"/>
      <c r="FR257" s="338"/>
      <c r="FS257" s="338" t="str">
        <f t="shared" ref="FS257:FS320" si="14">IF(AND(COUNTIF(EZ257:FR257,"*terbit*")&gt;=1,COUNTBLANK(FP257:FR257)=3),"Sudah Terbit",IF(COUNTIF(EZ257:FR257,"*terbit*")=COUNTA(EZ257:FR257),"Sudah Terbit","On Going"))</f>
        <v>Sudah Terbit</v>
      </c>
      <c r="FT25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7" s="344">
        <f ca="1">IF(Table1[[#This Row],[Status Izin]]="Selesai",Table1[[#This Row],[PLAN PERMIT
finish]]-Table1[[#This Row],[Tanggal Terbit/ Target Izin Terbit]],ROUNDUP(Table1[[#This Row],[PLAN PERMIT
finish]]-NOW(),0))</f>
        <v>-186</v>
      </c>
      <c r="FV25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7" s="344"/>
      <c r="FX257" s="47"/>
      <c r="FY257" s="340"/>
      <c r="FZ257" s="341">
        <v>45884</v>
      </c>
      <c r="GA25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7" s="330">
        <v>45874</v>
      </c>
      <c r="GC257" s="352">
        <v>45665</v>
      </c>
      <c r="GD25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7" s="330">
        <v>45881</v>
      </c>
      <c r="GF257" s="352">
        <v>45665</v>
      </c>
      <c r="GG25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7" s="330">
        <v>45887</v>
      </c>
      <c r="GI257" s="330">
        <v>45893</v>
      </c>
      <c r="GJ257" s="352">
        <v>45875</v>
      </c>
      <c r="GK25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7" s="330">
        <v>45901</v>
      </c>
      <c r="GM257" s="330" t="e">
        <v>#N/A</v>
      </c>
      <c r="GN257" s="330">
        <v>45942</v>
      </c>
      <c r="GO257" s="330" t="e">
        <v>#N/A</v>
      </c>
      <c r="GP257" s="330">
        <v>45941</v>
      </c>
      <c r="GQ25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257" s="330" t="s">
        <v>261</v>
      </c>
      <c r="GS257" s="330" t="s">
        <v>261</v>
      </c>
      <c r="GT257" s="354">
        <v>45950</v>
      </c>
      <c r="GU257" s="344" t="str">
        <f>IF(Table1[[#This Row],[Hydro Tes Actual
(tanggal)]]&lt;&gt;"","Sudah","Belum")</f>
        <v>Sudah</v>
      </c>
      <c r="GV257" s="330" t="s">
        <v>261</v>
      </c>
      <c r="GW257" s="330" t="s">
        <v>261</v>
      </c>
      <c r="GX257" s="331">
        <v>45957</v>
      </c>
      <c r="GY257" s="344" t="str">
        <f>IF(Table1[[#This Row],[Interkoneksi Actual
(tanggal)]]&lt;&gt;"","Sudah","Belum")</f>
        <v>Sudah</v>
      </c>
      <c r="GZ257" s="330" t="s">
        <v>261</v>
      </c>
      <c r="HA257" s="330" t="s">
        <v>261</v>
      </c>
      <c r="HB257" s="331">
        <v>45959</v>
      </c>
      <c r="HC257" s="344" t="str">
        <f>IF(Table1[[#This Row],[Flushing Actual
(tanggal)]]&lt;&gt;"","Sudah","Belum")</f>
        <v>Sudah</v>
      </c>
      <c r="HD257" s="330">
        <v>45922</v>
      </c>
      <c r="HE257" s="330" t="e">
        <v>#N/A</v>
      </c>
      <c r="HF257" s="330">
        <v>45935</v>
      </c>
      <c r="HG257" s="352">
        <v>45971</v>
      </c>
      <c r="HH25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7" s="330" t="s">
        <v>261</v>
      </c>
      <c r="HJ257" s="330" t="s">
        <v>261</v>
      </c>
      <c r="HK257" s="331"/>
      <c r="HL257" s="316"/>
      <c r="HM257" s="330">
        <v>45947</v>
      </c>
      <c r="HN257" s="330">
        <v>45947</v>
      </c>
      <c r="HO257" s="330" t="e">
        <v>#N/A</v>
      </c>
      <c r="HP257" s="331">
        <v>45993</v>
      </c>
      <c r="HQ257"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57" s="330">
        <v>45954</v>
      </c>
      <c r="HS257" s="330"/>
      <c r="HT257" s="330">
        <v>45954</v>
      </c>
      <c r="HU257" s="330"/>
      <c r="HV257" s="331">
        <v>46056</v>
      </c>
      <c r="HW25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57" s="47"/>
      <c r="HY257" s="352">
        <v>45667</v>
      </c>
      <c r="HZ257" s="352"/>
      <c r="IB257" s="618">
        <f>IFERROR(ROUND((Table1[[#This Row],[PLAN TC
finish]]-Table1[[#This Row],[PLAN MC-0
start]])/30,2),"")</f>
        <v>1.6</v>
      </c>
      <c r="IC257">
        <f>DATEDIF(Table1[[#This Row],[PLAN MC-0
start]],Table1[[#This Row],[PLAN TC
finish]],"m")</f>
        <v>1</v>
      </c>
    </row>
    <row r="258" spans="1:237" s="4" customFormat="1" ht="15" hidden="1" customHeight="1" x14ac:dyDescent="0.2">
      <c r="B258" s="311">
        <f>SUBTOTAL(3,$D$5:D258)</f>
        <v>84</v>
      </c>
      <c r="C258" s="316">
        <v>254</v>
      </c>
      <c r="D258" s="338" t="s">
        <v>629</v>
      </c>
      <c r="E258" s="338" t="s">
        <v>2010</v>
      </c>
      <c r="F258" s="338" t="s">
        <v>2011</v>
      </c>
      <c r="G258" s="349">
        <v>46117</v>
      </c>
      <c r="H258" s="338" t="s">
        <v>681</v>
      </c>
      <c r="I258" s="338" t="s">
        <v>278</v>
      </c>
      <c r="J258" s="480" t="s">
        <v>1818</v>
      </c>
      <c r="K258" s="338" t="s">
        <v>915</v>
      </c>
      <c r="L258" s="316" t="s">
        <v>250</v>
      </c>
      <c r="M258" s="355" t="s">
        <v>269</v>
      </c>
      <c r="N258" s="107">
        <v>14692</v>
      </c>
      <c r="O258" s="31" t="s">
        <v>252</v>
      </c>
      <c r="P25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8" s="35">
        <v>1.0000000000000002</v>
      </c>
      <c r="S258" s="34">
        <v>1</v>
      </c>
      <c r="T258" s="34">
        <f>Table1[[#This Row],[Progres Total Aktual
(%)]]</f>
        <v>0.61657319094327101</v>
      </c>
      <c r="U258" s="98">
        <f>Table1[[#This Row],[Progres Aktual
(%)]]-Table1[[#This Row],[Target Progres
(%)]]</f>
        <v>-0.38342680905672899</v>
      </c>
      <c r="V258" s="80">
        <f>Table1[[#This Row],["Volume
BA MC-0"]]</f>
        <v>14682</v>
      </c>
      <c r="W258" s="46">
        <f>Table1[[#This Row],[Total Panjang Pipa Aktual
(Sum-&gt;)3]]</f>
        <v>9898</v>
      </c>
      <c r="X258" s="47"/>
      <c r="Y258" s="67" t="s">
        <v>2012</v>
      </c>
      <c r="Z258" s="67">
        <v>21199168948</v>
      </c>
      <c r="AA258" s="67">
        <f>ROUND((Table1[[#This Row],[Nilai RAB Jaringan
(Exclude Ppn)]]-Table1[[#This Row],[RAB Perizinan]])*1.11+Table1[[#This Row],[RAB Perizinan]],0)</f>
        <v>21045498947</v>
      </c>
      <c r="AB258" s="486">
        <f>SUM(Table1[[#This Row],[RAB Kegiatan Umum]:[RAB Perizinan]])</f>
        <v>18960627430</v>
      </c>
      <c r="AC258" s="436">
        <v>1465274153</v>
      </c>
      <c r="AD258" s="436">
        <v>14652741520</v>
      </c>
      <c r="AE258" s="436">
        <v>2835361757</v>
      </c>
      <c r="AF258" s="436">
        <v>7250000</v>
      </c>
      <c r="AG258" s="483">
        <v>1527603007</v>
      </c>
      <c r="AH258" s="33">
        <f>SUM(Table1[[#This Row],[Bobot Keg Umum]:[Bobot Perizinan]])</f>
        <v>1</v>
      </c>
      <c r="AI258" s="33">
        <f>Table1[[#This Row],[RAB Kegiatan Umum]]/Table1[[#This Row],[Nilai RAB Jaringan
(Exclude Ppn)]]</f>
        <v>7.7279834668424793E-2</v>
      </c>
      <c r="AJ258" s="33">
        <f>Table1[[#This Row],[RAB Pemasangan]]/Table1[[#This Row],[Nilai RAB Jaringan
(Exclude Ppn)]]</f>
        <v>0.77279834615683918</v>
      </c>
      <c r="AK258" s="33">
        <f>Table1[[#This Row],[RAB Pengadaan]]/Table1[[#This Row],[Nilai RAB Jaringan
(Exclude Ppn)]]</f>
        <v>0.14953944786203735</v>
      </c>
      <c r="AL258" s="33">
        <f>Table1[[#This Row],[RAB Perizinan]]/Table1[[#This Row],[Nilai RAB Jaringan
(Exclude Ppn)]]</f>
        <v>3.8237131269869588E-4</v>
      </c>
      <c r="AM258" s="47"/>
      <c r="AN258" s="285">
        <v>14682</v>
      </c>
      <c r="AO258" s="285">
        <f>SUM(Table1[[#This Row],[Pipa 63 mm]:[Pipa 1,800 mm]])</f>
        <v>14749</v>
      </c>
      <c r="AP258" s="285">
        <f>163+10024+238</f>
        <v>10425</v>
      </c>
      <c r="AQ258" s="285">
        <f>2450+102</f>
        <v>2552</v>
      </c>
      <c r="AR258" s="285">
        <v>1130</v>
      </c>
      <c r="AS258" s="285">
        <v>634</v>
      </c>
      <c r="AT258" s="285">
        <v>8</v>
      </c>
      <c r="AU258" s="285"/>
      <c r="AV258" s="285"/>
      <c r="AW258" s="285"/>
      <c r="AX258" s="285"/>
      <c r="AY258" s="285"/>
      <c r="AZ258" s="285"/>
      <c r="BA258" s="285"/>
      <c r="BB258" s="285"/>
      <c r="BC258" s="285"/>
      <c r="BD258" s="285"/>
      <c r="BE258" s="285"/>
      <c r="BF258" s="285"/>
      <c r="BG258" s="285"/>
      <c r="BH258" s="285"/>
      <c r="BI258" s="285"/>
      <c r="BJ258" s="36">
        <f>SUM(Table1[[#This Row],[Pipa 63 mm2]:[Pipa 1,800 mm21]])</f>
        <v>9898</v>
      </c>
      <c r="BK258" s="32">
        <v>7273</v>
      </c>
      <c r="BL258" s="32">
        <v>1899</v>
      </c>
      <c r="BM258" s="32">
        <v>726</v>
      </c>
      <c r="BN258" s="32"/>
      <c r="BO258" s="32"/>
      <c r="BP258" s="32"/>
      <c r="BQ258" s="32"/>
      <c r="BR258" s="32"/>
      <c r="BS258" s="32"/>
      <c r="BT258" s="32"/>
      <c r="BU258" s="32"/>
      <c r="BV258" s="32"/>
      <c r="BW258" s="32"/>
      <c r="BX258" s="32"/>
      <c r="BY258" s="32"/>
      <c r="BZ258" s="32"/>
      <c r="CA258" s="32"/>
      <c r="CB258" s="32"/>
      <c r="CC258" s="32"/>
      <c r="CD258" s="32"/>
      <c r="CE258" s="32">
        <v>0</v>
      </c>
      <c r="CF258" s="32"/>
      <c r="CG258" s="32"/>
      <c r="CH258" s="32"/>
      <c r="CI258" s="32">
        <f t="shared" si="13"/>
        <v>0</v>
      </c>
      <c r="CJ258" s="65">
        <f>IF((Table1[[#This Row],["Volume
BA MC-0"]]-Table1[[#This Row],[Total Panjang Pipa Aktual
(Sum-&gt;)3]]-Table1[[#This Row],[Total Volume
tidak dapat dipasang]])&gt;=0,Table1[[#This Row],["Volume
BA MC-0"]]-Table1[[#This Row],[Total Panjang Pipa Aktual
(Sum-&gt;)3]]-Table1[[#This Row],[Total Volume
tidak dapat dipasang]],0)</f>
        <v>4784</v>
      </c>
      <c r="CK258" s="47"/>
      <c r="CL258" s="484" t="s">
        <v>1821</v>
      </c>
      <c r="CM258" s="34" t="s">
        <v>1821</v>
      </c>
      <c r="CN258" s="484" t="s">
        <v>1821</v>
      </c>
      <c r="CO258" s="484" t="s">
        <v>1821</v>
      </c>
      <c r="CP25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0.61657319094327101</v>
      </c>
      <c r="CQ258" s="66">
        <f>IFERROR(Table1[[#This Row],[Progres Keg. Umum
(%)]]*Table1[[#This Row],[Nilai RAB Jaringan
(file pa aji)]],0)</f>
        <v>0</v>
      </c>
      <c r="CR258" s="66">
        <f>IFERROR(Table1[[#This Row],[Progres MOS
(%)]]*Table1[[#This Row],[Nilai RAB Jaringan
(file pa aji)]],0)</f>
        <v>0</v>
      </c>
      <c r="CS258" s="66">
        <f>IFERROR(Table1[[#This Row],[Progres Pemasangan
(%)]]*Table1[[#This Row],[Nilai RAB Jaringan
(file pa aji)]],0)</f>
        <v>0</v>
      </c>
      <c r="CT258" s="66">
        <f>IFERROR(Table1[[#This Row],[Progres Perizinan
(%)]]*Table1[[#This Row],[Nilai RAB Jaringan
(file pa aji)]],0)</f>
        <v>0</v>
      </c>
      <c r="CU258" s="329">
        <v>12976090440.745041</v>
      </c>
      <c r="CV258" s="329">
        <v>12976090440.745041</v>
      </c>
      <c r="CW258" s="583">
        <v>0</v>
      </c>
      <c r="CX258" s="329">
        <v>0</v>
      </c>
      <c r="CY258" s="47"/>
      <c r="CZ258" s="330">
        <v>45775</v>
      </c>
      <c r="DA258" s="330">
        <v>45802</v>
      </c>
      <c r="DB258" s="331">
        <v>45784</v>
      </c>
      <c r="DC258" s="316" t="s">
        <v>2013</v>
      </c>
      <c r="DD258" s="67">
        <v>21158030446</v>
      </c>
      <c r="DE25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8" s="331">
        <v>45798</v>
      </c>
      <c r="DG258" s="316" t="s">
        <v>2014</v>
      </c>
      <c r="DH258" s="67">
        <v>21158030446</v>
      </c>
      <c r="DI25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8" s="330">
        <v>45803</v>
      </c>
      <c r="DK258" s="330">
        <v>45872</v>
      </c>
      <c r="DL258" s="331">
        <v>45860</v>
      </c>
      <c r="DM258" s="316" t="s">
        <v>2015</v>
      </c>
      <c r="DN25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8" s="331">
        <v>45880</v>
      </c>
      <c r="DP258" s="316" t="s">
        <v>2016</v>
      </c>
      <c r="DQ258" s="338" t="s">
        <v>1937</v>
      </c>
      <c r="DR25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8" s="330">
        <v>45803</v>
      </c>
      <c r="DT258" s="330" t="e">
        <v>#N/A</v>
      </c>
      <c r="DU258" s="330">
        <v>45844</v>
      </c>
      <c r="DV258" s="330" t="e">
        <v>#N/A</v>
      </c>
      <c r="DW258" s="331">
        <v>45859</v>
      </c>
      <c r="DX258" s="316" t="s">
        <v>2017</v>
      </c>
      <c r="DY258" s="334">
        <v>127</v>
      </c>
      <c r="DZ258" s="334">
        <v>127</v>
      </c>
      <c r="EA25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8" s="331">
        <v>46127</v>
      </c>
      <c r="EC258" s="332">
        <v>108</v>
      </c>
      <c r="ED258" s="332">
        <v>108</v>
      </c>
      <c r="EE258" s="330"/>
      <c r="EF258" s="35">
        <v>0.85039370078740162</v>
      </c>
      <c r="EG258" s="35">
        <f>Table1[[#This Row],[Line PO (kolom  bantu)2]]/Table1[[#This Row],[Line PR]]</f>
        <v>0.85039370078740162</v>
      </c>
      <c r="EH258" s="316" t="str">
        <f>IF(Table1[[#This Row],[PO Material Aktual 
(%)]]&gt;=100%,"Selesai PO = 100%",IF(Table1[[#This Row],[PO Material Aktual 
(%)]]&gt;=50%,"Proses PO &gt; 100%",IF(Table1[[#This Row],[PO Material Aktual 
(%)]]&gt;0%,"Proses PO &gt; 50%",IF(Table1[[#This Row],[PO Material Aktual 
(%)]]=0,"Belum PO = 0%"))))</f>
        <v>Proses PO &gt; 100%</v>
      </c>
      <c r="EI25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8" s="330">
        <v>45845</v>
      </c>
      <c r="EK258" s="330" t="e">
        <v>#N/A</v>
      </c>
      <c r="EL258" s="330">
        <v>45970</v>
      </c>
      <c r="EM258" s="330" t="e">
        <v>#N/A</v>
      </c>
      <c r="EN258" s="331">
        <v>46120</v>
      </c>
      <c r="EO258" s="332">
        <v>107</v>
      </c>
      <c r="EP258" s="316">
        <v>107</v>
      </c>
      <c r="EQ258" s="35">
        <v>0.84251968503937003</v>
      </c>
      <c r="ER258" s="35">
        <f>Table1[[#This Row],[Line MOS]]/Table1[[#This Row],[Line PR]]</f>
        <v>0.84251968503937003</v>
      </c>
      <c r="ES258" s="316" t="str">
        <f>IF(Table1[[#This Row],[Progres MOS]]&gt;=100%,"Selesai MOS = 100%",IF(Table1[[#This Row],[Progres MOS]]&gt;=50%,"Proses MOS &gt; 100%",IF(Table1[[#This Row],[Progres MOS]]&gt;0%,"Proses MOS &gt; 50%",IF(Table1[[#This Row],[Progres MOS]]=0,"Belum MOS = 0%"))))</f>
        <v>Proses MOS &gt; 100%</v>
      </c>
      <c r="ET25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8" s="47"/>
      <c r="EV258" s="330">
        <v>45803</v>
      </c>
      <c r="EW258" s="330" t="e">
        <v>#N/A</v>
      </c>
      <c r="EX258" s="330">
        <v>45900</v>
      </c>
      <c r="EY258" s="330" t="e">
        <v>#N/A</v>
      </c>
      <c r="EZ258" s="352" t="s">
        <v>298</v>
      </c>
      <c r="FA258" s="336" t="s">
        <v>298</v>
      </c>
      <c r="FB258" s="330" t="s">
        <v>260</v>
      </c>
      <c r="FC258" s="330">
        <v>45839</v>
      </c>
      <c r="FD258" s="330" t="s">
        <v>260</v>
      </c>
      <c r="FE258" s="330">
        <v>45922</v>
      </c>
      <c r="FF258" s="330">
        <v>45937</v>
      </c>
      <c r="FG258" s="330" t="s">
        <v>260</v>
      </c>
      <c r="FH258" s="330" t="s">
        <v>260</v>
      </c>
      <c r="FI258" s="330">
        <v>46006</v>
      </c>
      <c r="FJ258" s="330" t="s">
        <v>260</v>
      </c>
      <c r="FK258" s="330"/>
      <c r="FL258" s="336" t="s">
        <v>298</v>
      </c>
      <c r="FM258" s="352">
        <v>45839</v>
      </c>
      <c r="FN258" s="338">
        <f>IF(Table1[[#This Row],[Tanggal Pengajuan Dokumen]]="","",Table1[[#This Row],[PLAN PERMIT
start]]-Table1[[#This Row],[Tanggal Pengajuan Dokumen]])</f>
        <v>-36</v>
      </c>
      <c r="FO258" s="437">
        <v>46086</v>
      </c>
      <c r="FP258" s="316"/>
      <c r="FQ258" s="338"/>
      <c r="FR258" s="338"/>
      <c r="FS258" s="338" t="str">
        <f t="shared" si="14"/>
        <v>On Going</v>
      </c>
      <c r="FT25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58" s="344">
        <f ca="1">IF(Table1[[#This Row],[Status Izin]]="Selesai",Table1[[#This Row],[PLAN PERMIT
finish]]-Table1[[#This Row],[Tanggal Terbit/ Target Izin Terbit]],ROUNDUP(Table1[[#This Row],[PLAN PERMIT
finish]]-NOW(),0))</f>
        <v>-291</v>
      </c>
      <c r="FV25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8" s="344"/>
      <c r="FX258" s="47"/>
      <c r="FY258" s="340"/>
      <c r="FZ258" s="341">
        <v>45903</v>
      </c>
      <c r="GA25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8" s="330">
        <v>45874</v>
      </c>
      <c r="GC258" s="352">
        <v>45665</v>
      </c>
      <c r="GD25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8" s="330">
        <v>45881</v>
      </c>
      <c r="GF258" s="352">
        <v>45665</v>
      </c>
      <c r="GG25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8" s="330">
        <v>45887</v>
      </c>
      <c r="GI258" s="330">
        <v>45893</v>
      </c>
      <c r="GJ258" s="352">
        <v>45884</v>
      </c>
      <c r="GK25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8" s="330">
        <v>45901</v>
      </c>
      <c r="GM258" s="330" t="e">
        <v>#N/A</v>
      </c>
      <c r="GN258" s="330">
        <v>46061</v>
      </c>
      <c r="GO258" s="330" t="e">
        <v>#N/A</v>
      </c>
      <c r="GP258" s="330"/>
      <c r="GQ25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8" s="330" t="s">
        <v>261</v>
      </c>
      <c r="GS258" s="330" t="s">
        <v>261</v>
      </c>
      <c r="GT258" s="354"/>
      <c r="GU258" s="344" t="str">
        <f>IF(Table1[[#This Row],[Hydro Tes Actual
(tanggal)]]&lt;&gt;"","Sudah","Belum")</f>
        <v>Belum</v>
      </c>
      <c r="GV258" s="330" t="s">
        <v>261</v>
      </c>
      <c r="GW258" s="330" t="s">
        <v>261</v>
      </c>
      <c r="GX258" s="331"/>
      <c r="GY258" s="344" t="str">
        <f>IF(Table1[[#This Row],[Interkoneksi Actual
(tanggal)]]&lt;&gt;"","Sudah","Belum")</f>
        <v>Belum</v>
      </c>
      <c r="GZ258" s="330" t="s">
        <v>261</v>
      </c>
      <c r="HA258" s="330" t="s">
        <v>261</v>
      </c>
      <c r="HB258" s="331"/>
      <c r="HC258" s="344" t="str">
        <f>IF(Table1[[#This Row],[Flushing Actual
(tanggal)]]&lt;&gt;"","Sudah","Belum")</f>
        <v>Belum</v>
      </c>
      <c r="HD258" s="330">
        <v>46034</v>
      </c>
      <c r="HE258" s="330" t="e">
        <v>#N/A</v>
      </c>
      <c r="HF258" s="330">
        <v>46047</v>
      </c>
      <c r="HG258" s="352"/>
      <c r="HH25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8" s="330" t="s">
        <v>261</v>
      </c>
      <c r="HJ258" s="330" t="s">
        <v>261</v>
      </c>
      <c r="HK258" s="331"/>
      <c r="HL258" s="316"/>
      <c r="HM258" s="330">
        <v>46066</v>
      </c>
      <c r="HN258" s="330">
        <v>46066</v>
      </c>
      <c r="HO258" s="330" t="e">
        <v>#N/A</v>
      </c>
      <c r="HP258" s="331"/>
      <c r="HQ258"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58" s="330">
        <v>46073</v>
      </c>
      <c r="HS258" s="330"/>
      <c r="HT258" s="330">
        <v>46073</v>
      </c>
      <c r="HU258" s="330"/>
      <c r="HV258" s="331"/>
      <c r="HW25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58" s="47"/>
      <c r="HY258" s="352"/>
      <c r="HZ258" s="352"/>
      <c r="IB258" s="618">
        <f>IFERROR(ROUND((Table1[[#This Row],[PLAN TC
finish]]-Table1[[#This Row],[PLAN MC-0
start]])/30,2),"")</f>
        <v>5.33</v>
      </c>
      <c r="IC258">
        <f>DATEDIF(Table1[[#This Row],[PLAN MC-0
start]],Table1[[#This Row],[PLAN TC
finish]],"m")</f>
        <v>5</v>
      </c>
    </row>
    <row r="259" spans="1:237" s="4" customFormat="1" ht="15" hidden="1" customHeight="1" x14ac:dyDescent="0.2">
      <c r="B259" s="311">
        <f>SUBTOTAL(3,$D$5:D259)</f>
        <v>84</v>
      </c>
      <c r="C259" s="316">
        <v>255</v>
      </c>
      <c r="D259" s="338" t="s">
        <v>629</v>
      </c>
      <c r="E259" s="338" t="s">
        <v>2018</v>
      </c>
      <c r="F259" s="338" t="s">
        <v>2019</v>
      </c>
      <c r="G259" s="349">
        <v>46117</v>
      </c>
      <c r="H259" s="338" t="s">
        <v>681</v>
      </c>
      <c r="I259" s="338" t="s">
        <v>278</v>
      </c>
      <c r="J259" s="480" t="s">
        <v>1830</v>
      </c>
      <c r="K259" s="338" t="s">
        <v>915</v>
      </c>
      <c r="L259" s="316" t="s">
        <v>250</v>
      </c>
      <c r="M259" s="355" t="s">
        <v>269</v>
      </c>
      <c r="N259" s="107">
        <v>703</v>
      </c>
      <c r="O259" s="31" t="s">
        <v>252</v>
      </c>
      <c r="P25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9" s="35">
        <v>0.99999999999999989</v>
      </c>
      <c r="S259" s="34">
        <v>1</v>
      </c>
      <c r="T259" s="34">
        <f>Table1[[#This Row],[Progres Total Aktual
(%)]]</f>
        <v>1</v>
      </c>
      <c r="U259" s="98">
        <f>Table1[[#This Row],[Progres Aktual
(%)]]-Table1[[#This Row],[Target Progres
(%)]]</f>
        <v>0</v>
      </c>
      <c r="V259" s="80">
        <f>Table1[[#This Row],["Volume
BA MC-0"]]</f>
        <v>851</v>
      </c>
      <c r="W259" s="46">
        <f>Table1[[#This Row],[Total Panjang Pipa Aktual
(Sum-&gt;)3]]</f>
        <v>823</v>
      </c>
      <c r="X259" s="47"/>
      <c r="Y259" s="67" t="s">
        <v>2020</v>
      </c>
      <c r="Z259" s="67">
        <v>1208135926</v>
      </c>
      <c r="AA259" s="67">
        <f>ROUND((Table1[[#This Row],[Nilai RAB Jaringan
(Exclude Ppn)]]-Table1[[#This Row],[RAB Perizinan]])*1.11+Table1[[#This Row],[RAB Perizinan]],0)</f>
        <v>1208135925</v>
      </c>
      <c r="AB259" s="486">
        <f>SUM(Table1[[#This Row],[RAB Kegiatan Umum]:[RAB Perizinan]])</f>
        <v>1089107410</v>
      </c>
      <c r="AC259" s="436">
        <v>79051321</v>
      </c>
      <c r="AD259" s="436">
        <v>790513201</v>
      </c>
      <c r="AE259" s="436">
        <v>212512888</v>
      </c>
      <c r="AF259" s="436">
        <v>7030000</v>
      </c>
      <c r="AG259" s="483">
        <v>92234174</v>
      </c>
      <c r="AH259" s="33">
        <f>SUM(Table1[[#This Row],[Bobot Keg Umum]:[Bobot Perizinan]])</f>
        <v>1</v>
      </c>
      <c r="AI259" s="33">
        <f>Table1[[#This Row],[RAB Kegiatan Umum]]/Table1[[#This Row],[Nilai RAB Jaringan
(Exclude Ppn)]]</f>
        <v>7.2583585672234108E-2</v>
      </c>
      <c r="AJ259" s="33">
        <f>Table1[[#This Row],[RAB Pemasangan]]/Table1[[#This Row],[Nilai RAB Jaringan
(Exclude Ppn)]]</f>
        <v>0.72583584845869331</v>
      </c>
      <c r="AK259" s="33">
        <f>Table1[[#This Row],[RAB Pengadaan]]/Table1[[#This Row],[Nilai RAB Jaringan
(Exclude Ppn)]]</f>
        <v>0.19512573879191586</v>
      </c>
      <c r="AL259" s="33">
        <f>Table1[[#This Row],[RAB Perizinan]]/Table1[[#This Row],[Nilai RAB Jaringan
(Exclude Ppn)]]</f>
        <v>6.4548270771566966E-3</v>
      </c>
      <c r="AM259" s="47"/>
      <c r="AN259" s="285">
        <v>851</v>
      </c>
      <c r="AO259" s="285">
        <f>SUM(Table1[[#This Row],[Pipa 63 mm]:[Pipa 1,800 mm]])</f>
        <v>851</v>
      </c>
      <c r="AP259" s="285">
        <v>851</v>
      </c>
      <c r="AQ259" s="285"/>
      <c r="AR259" s="285"/>
      <c r="AS259" s="285"/>
      <c r="AT259" s="285"/>
      <c r="AU259" s="285"/>
      <c r="AV259" s="285"/>
      <c r="AW259" s="285"/>
      <c r="AX259" s="285"/>
      <c r="AY259" s="285"/>
      <c r="AZ259" s="285"/>
      <c r="BA259" s="285"/>
      <c r="BB259" s="285"/>
      <c r="BC259" s="285"/>
      <c r="BD259" s="285"/>
      <c r="BE259" s="285"/>
      <c r="BF259" s="285"/>
      <c r="BG259" s="285"/>
      <c r="BH259" s="285"/>
      <c r="BI259" s="285"/>
      <c r="BJ259" s="36">
        <f>SUM(Table1[[#This Row],[Pipa 63 mm2]:[Pipa 1,800 mm21]])</f>
        <v>823</v>
      </c>
      <c r="BK259" s="32">
        <v>823</v>
      </c>
      <c r="BL259" s="32"/>
      <c r="BM259" s="32"/>
      <c r="BN259" s="32"/>
      <c r="BO259" s="32"/>
      <c r="BP259" s="32"/>
      <c r="BQ259" s="32"/>
      <c r="BR259" s="32"/>
      <c r="BS259" s="32"/>
      <c r="BT259" s="32"/>
      <c r="BU259" s="32"/>
      <c r="BV259" s="32"/>
      <c r="BW259" s="32"/>
      <c r="BX259" s="32"/>
      <c r="BY259" s="32"/>
      <c r="BZ259" s="32"/>
      <c r="CA259" s="32"/>
      <c r="CB259" s="32"/>
      <c r="CC259" s="32"/>
      <c r="CD259" s="32"/>
      <c r="CE259" s="32">
        <v>0</v>
      </c>
      <c r="CF259" s="32"/>
      <c r="CG259" s="32"/>
      <c r="CH259" s="32"/>
      <c r="CI259" s="32">
        <f t="shared" si="13"/>
        <v>0</v>
      </c>
      <c r="CJ259" s="65">
        <f>IF((Table1[[#This Row],["Volume
BA MC-0"]]-Table1[[#This Row],[Total Panjang Pipa Aktual
(Sum-&gt;)3]]-Table1[[#This Row],[Total Volume
tidak dapat dipasang]])&gt;=0,Table1[[#This Row],["Volume
BA MC-0"]]-Table1[[#This Row],[Total Panjang Pipa Aktual
(Sum-&gt;)3]]-Table1[[#This Row],[Total Volume
tidak dapat dipasang]],0)</f>
        <v>28</v>
      </c>
      <c r="CK259" s="47"/>
      <c r="CL259" s="484" t="s">
        <v>1821</v>
      </c>
      <c r="CM259" s="34" t="s">
        <v>1821</v>
      </c>
      <c r="CN259" s="484" t="s">
        <v>1821</v>
      </c>
      <c r="CO259" s="484" t="s">
        <v>1821</v>
      </c>
      <c r="CP25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9" s="66">
        <f>IFERROR(Table1[[#This Row],[Progres Keg. Umum
(%)]]*Table1[[#This Row],[Nilai RAB Jaringan
(file pa aji)]],0)</f>
        <v>0</v>
      </c>
      <c r="CR259" s="66">
        <f>IFERROR(Table1[[#This Row],[Progres MOS
(%)]]*Table1[[#This Row],[Nilai RAB Jaringan
(file pa aji)]],0)</f>
        <v>0</v>
      </c>
      <c r="CS259" s="66">
        <f>IFERROR(Table1[[#This Row],[Progres Pemasangan
(%)]]*Table1[[#This Row],[Nilai RAB Jaringan
(file pa aji)]],0)</f>
        <v>0</v>
      </c>
      <c r="CT259" s="66">
        <f>IFERROR(Table1[[#This Row],[Progres Perizinan
(%)]]*Table1[[#This Row],[Nilai RAB Jaringan
(file pa aji)]],0)</f>
        <v>0</v>
      </c>
      <c r="CU259" s="329">
        <v>1319216105</v>
      </c>
      <c r="CV259" s="329">
        <v>1319216105</v>
      </c>
      <c r="CW259" s="583">
        <v>1319216105</v>
      </c>
      <c r="CX259" s="329">
        <v>1319216105</v>
      </c>
      <c r="CY259" s="47"/>
      <c r="CZ259" s="330">
        <v>45866</v>
      </c>
      <c r="DA259" s="330">
        <v>45893</v>
      </c>
      <c r="DB259" s="331">
        <v>45881</v>
      </c>
      <c r="DC259" s="316" t="s">
        <v>2021</v>
      </c>
      <c r="DD259" s="67">
        <v>1208135926</v>
      </c>
      <c r="DE25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9" s="331">
        <v>45889</v>
      </c>
      <c r="DG259" s="316" t="s">
        <v>2022</v>
      </c>
      <c r="DH259" s="67">
        <v>1208135926</v>
      </c>
      <c r="DI25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9" s="330">
        <v>45894</v>
      </c>
      <c r="DK259" s="330">
        <v>45963</v>
      </c>
      <c r="DL259" s="331">
        <v>45924</v>
      </c>
      <c r="DM259" s="316" t="s">
        <v>671</v>
      </c>
      <c r="DN25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9" s="331">
        <v>45929</v>
      </c>
      <c r="DP259" s="316" t="s">
        <v>672</v>
      </c>
      <c r="DQ259" s="338" t="s">
        <v>1937</v>
      </c>
      <c r="DR25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59" s="330">
        <v>45894</v>
      </c>
      <c r="DT259" s="330" t="e">
        <v>#N/A</v>
      </c>
      <c r="DU259" s="330">
        <v>45935</v>
      </c>
      <c r="DV259" s="330" t="e">
        <v>#N/A</v>
      </c>
      <c r="DW259" s="331">
        <v>45924</v>
      </c>
      <c r="DX259" s="316" t="s">
        <v>2023</v>
      </c>
      <c r="DY259" s="332">
        <v>28</v>
      </c>
      <c r="DZ259" s="334">
        <v>28</v>
      </c>
      <c r="EA25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59" s="331">
        <v>46161</v>
      </c>
      <c r="EC259" s="332">
        <v>27</v>
      </c>
      <c r="ED259" s="332">
        <v>27</v>
      </c>
      <c r="EE259" s="425" t="s">
        <v>2024</v>
      </c>
      <c r="EF259" s="35">
        <v>1</v>
      </c>
      <c r="EG259" s="337">
        <v>1</v>
      </c>
      <c r="EH259" s="316" t="str">
        <f>IF(Table1[[#This Row],[PO Material Aktual 
(%)]]&gt;=100%,"Selesai PO = 100%",IF(Table1[[#This Row],[PO Material Aktual 
(%)]]&gt;=50%,"Proses PO &gt; 100%",IF(Table1[[#This Row],[PO Material Aktual 
(%)]]&gt;0%,"Proses PO &gt; 50%",IF(Table1[[#This Row],[PO Material Aktual 
(%)]]=0,"Belum PO = 0%"))))</f>
        <v>Selesai PO = 100%</v>
      </c>
      <c r="EI25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9" s="330">
        <v>45936</v>
      </c>
      <c r="EK259" s="330" t="e">
        <v>#N/A</v>
      </c>
      <c r="EL259" s="330">
        <v>45991</v>
      </c>
      <c r="EM259" s="330" t="e">
        <v>#N/A</v>
      </c>
      <c r="EN259" s="331">
        <v>46156</v>
      </c>
      <c r="EO259" s="332">
        <f>Table1[[#This Row],[Line PO]]</f>
        <v>27</v>
      </c>
      <c r="EP259" s="316">
        <v>27</v>
      </c>
      <c r="EQ259" s="35">
        <v>0.9642857142857143</v>
      </c>
      <c r="ER259" s="35">
        <f>Table1[[#This Row],[Line MOS]]/Table1[[#This Row],[Line PR]]</f>
        <v>0.9642857142857143</v>
      </c>
      <c r="ES259" s="316" t="str">
        <f>IF(Table1[[#This Row],[Progres MOS]]&gt;=100%,"Selesai MOS = 100%",IF(Table1[[#This Row],[Progres MOS]]&gt;=50%,"Proses MOS &gt; 100%",IF(Table1[[#This Row],[Progres MOS]]&gt;0%,"Proses MOS &gt; 50%",IF(Table1[[#This Row],[Progres MOS]]=0,"Belum MOS = 0%"))))</f>
        <v>Proses MOS &gt; 100%</v>
      </c>
      <c r="ET25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9" s="47"/>
      <c r="EV259" s="330">
        <v>45894</v>
      </c>
      <c r="EW259" s="330" t="e">
        <v>#N/A</v>
      </c>
      <c r="EX259" s="330">
        <v>45991</v>
      </c>
      <c r="EY259" s="330" t="e">
        <v>#N/A</v>
      </c>
      <c r="EZ259" s="352" t="s">
        <v>298</v>
      </c>
      <c r="FA259" s="336" t="s">
        <v>259</v>
      </c>
      <c r="FB259" s="330" t="s">
        <v>260</v>
      </c>
      <c r="FC259" s="330">
        <v>45936</v>
      </c>
      <c r="FD259" s="330" t="s">
        <v>260</v>
      </c>
      <c r="FE259" s="330">
        <v>45966</v>
      </c>
      <c r="FF259" s="330">
        <v>45995</v>
      </c>
      <c r="FG259" s="330" t="s">
        <v>260</v>
      </c>
      <c r="FH259" s="330" t="s">
        <v>260</v>
      </c>
      <c r="FI259" s="330">
        <v>46013</v>
      </c>
      <c r="FJ259" s="330" t="s">
        <v>260</v>
      </c>
      <c r="FK259" s="330">
        <v>46142</v>
      </c>
      <c r="FL259" s="336" t="s">
        <v>298</v>
      </c>
      <c r="FM259" s="352">
        <v>45936</v>
      </c>
      <c r="FN259" s="338">
        <f>IF(Table1[[#This Row],[Tanggal Pengajuan Dokumen]]="","",Table1[[#This Row],[PLAN PERMIT
start]]-Table1[[#This Row],[Tanggal Pengajuan Dokumen]])</f>
        <v>-42</v>
      </c>
      <c r="FO259" s="437">
        <v>46097</v>
      </c>
      <c r="FP259" s="316"/>
      <c r="FQ259" s="338"/>
      <c r="FR259" s="338"/>
      <c r="FS259" s="338" t="str">
        <f t="shared" si="14"/>
        <v>Sudah Terbit</v>
      </c>
      <c r="FT25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9" s="344">
        <f ca="1">IF(Table1[[#This Row],[Status Izin]]="Selesai",Table1[[#This Row],[PLAN PERMIT
finish]]-Table1[[#This Row],[Tanggal Terbit/ Target Izin Terbit]],ROUNDUP(Table1[[#This Row],[PLAN PERMIT
finish]]-NOW(),0))</f>
        <v>-106</v>
      </c>
      <c r="FV25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9" s="344"/>
      <c r="FX259" s="47"/>
      <c r="FY259" s="340"/>
      <c r="FZ259" s="341">
        <v>45911</v>
      </c>
      <c r="GA25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9" s="330">
        <v>45965</v>
      </c>
      <c r="GC259" s="352">
        <v>45917</v>
      </c>
      <c r="GD25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9" s="330">
        <v>45972</v>
      </c>
      <c r="GF259" s="352">
        <v>45912</v>
      </c>
      <c r="GG25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9" s="330">
        <v>45978</v>
      </c>
      <c r="GI259" s="330">
        <v>45984</v>
      </c>
      <c r="GJ259" s="352">
        <v>45915</v>
      </c>
      <c r="GK25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9" s="330">
        <v>45992</v>
      </c>
      <c r="GM259" s="330" t="e">
        <v>#N/A</v>
      </c>
      <c r="GN259" s="330">
        <v>46033</v>
      </c>
      <c r="GO259" s="330" t="e">
        <v>#N/A</v>
      </c>
      <c r="GP259" s="330"/>
      <c r="GQ25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9" s="330" t="s">
        <v>261</v>
      </c>
      <c r="GS259" s="330" t="s">
        <v>261</v>
      </c>
      <c r="GT259" s="354">
        <v>45940</v>
      </c>
      <c r="GU259" s="344" t="str">
        <f>IF(Table1[[#This Row],[Hydro Tes Actual
(tanggal)]]&lt;&gt;"","Sudah","Belum")</f>
        <v>Sudah</v>
      </c>
      <c r="GV259" s="330" t="s">
        <v>261</v>
      </c>
      <c r="GW259" s="330" t="s">
        <v>261</v>
      </c>
      <c r="GX259" s="331">
        <v>45973</v>
      </c>
      <c r="GY259" s="344" t="str">
        <f>IF(Table1[[#This Row],[Interkoneksi Actual
(tanggal)]]&lt;&gt;"","Sudah","Belum")</f>
        <v>Sudah</v>
      </c>
      <c r="GZ259" s="330" t="s">
        <v>261</v>
      </c>
      <c r="HA259" s="330" t="s">
        <v>261</v>
      </c>
      <c r="HB259" s="331">
        <v>45958</v>
      </c>
      <c r="HC259" s="344" t="str">
        <f>IF(Table1[[#This Row],[Flushing Actual
(tanggal)]]&lt;&gt;"","Sudah","Belum")</f>
        <v>Sudah</v>
      </c>
      <c r="HD259" s="330">
        <v>46013</v>
      </c>
      <c r="HE259" s="330" t="e">
        <v>#N/A</v>
      </c>
      <c r="HF259" s="330">
        <v>46026</v>
      </c>
      <c r="HG259" s="352">
        <v>45973</v>
      </c>
      <c r="HH25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59" s="330" t="s">
        <v>261</v>
      </c>
      <c r="HJ259" s="330" t="s">
        <v>261</v>
      </c>
      <c r="HK259" s="331"/>
      <c r="HL259" s="316"/>
      <c r="HM259" s="330">
        <v>46038</v>
      </c>
      <c r="HN259" s="330">
        <v>46038</v>
      </c>
      <c r="HO259" s="330" t="e">
        <v>#N/A</v>
      </c>
      <c r="HP259" s="331">
        <v>46106</v>
      </c>
      <c r="HQ259"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59" s="330">
        <v>46045</v>
      </c>
      <c r="HS259" s="330"/>
      <c r="HT259" s="330">
        <v>46045</v>
      </c>
      <c r="HU259" s="330"/>
      <c r="HV259" s="331">
        <v>46107</v>
      </c>
      <c r="HW25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59" s="47"/>
      <c r="HY259" s="352"/>
      <c r="HZ259" s="352"/>
      <c r="IB259" s="618">
        <f>IFERROR(ROUND((Table1[[#This Row],[PLAN TC
finish]]-Table1[[#This Row],[PLAN MC-0
start]])/30,2),"")</f>
        <v>1.6</v>
      </c>
      <c r="IC259">
        <f>DATEDIF(Table1[[#This Row],[PLAN MC-0
start]],Table1[[#This Row],[PLAN TC
finish]],"m")</f>
        <v>1</v>
      </c>
    </row>
    <row r="260" spans="1:237" s="4" customFormat="1" ht="15" hidden="1" customHeight="1" x14ac:dyDescent="0.2">
      <c r="B260" s="311">
        <f>SUBTOTAL(3,$D$5:D260)</f>
        <v>84</v>
      </c>
      <c r="C260" s="316">
        <v>256</v>
      </c>
      <c r="D260" s="338" t="s">
        <v>629</v>
      </c>
      <c r="E260" s="338" t="s">
        <v>2025</v>
      </c>
      <c r="F260" s="338" t="s">
        <v>2026</v>
      </c>
      <c r="G260" s="349">
        <v>46117</v>
      </c>
      <c r="H260" s="338" t="s">
        <v>681</v>
      </c>
      <c r="I260" s="338" t="s">
        <v>278</v>
      </c>
      <c r="J260" s="480" t="s">
        <v>1830</v>
      </c>
      <c r="K260" s="338" t="s">
        <v>915</v>
      </c>
      <c r="L260" s="316" t="s">
        <v>250</v>
      </c>
      <c r="M260" s="355" t="s">
        <v>269</v>
      </c>
      <c r="N260" s="107">
        <v>106</v>
      </c>
      <c r="O260" s="31" t="s">
        <v>252</v>
      </c>
      <c r="P26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0" s="35">
        <v>0.99999999999999989</v>
      </c>
      <c r="S260" s="34">
        <v>1</v>
      </c>
      <c r="T260" s="34">
        <f>Table1[[#This Row],[Progres Total Aktual
(%)]]</f>
        <v>1</v>
      </c>
      <c r="U260" s="98">
        <f>Table1[[#This Row],[Progres Aktual
(%)]]-Table1[[#This Row],[Target Progres
(%)]]</f>
        <v>0</v>
      </c>
      <c r="V260" s="80">
        <v>115</v>
      </c>
      <c r="W260" s="46">
        <f>Table1[[#This Row],[Total Panjang Pipa Aktual
(Sum-&gt;)3]]</f>
        <v>102</v>
      </c>
      <c r="X260" s="47"/>
      <c r="Y260" s="67" t="s">
        <v>2027</v>
      </c>
      <c r="Z260" s="67">
        <v>211312451</v>
      </c>
      <c r="AA260" s="67">
        <f>ROUND((Table1[[#This Row],[Nilai RAB Jaringan
(Exclude Ppn)]]-Table1[[#This Row],[RAB Perizinan]])*1.11+Table1[[#This Row],[RAB Perizinan]],0)</f>
        <v>211312450</v>
      </c>
      <c r="AB260" s="486">
        <f>SUM(Table1[[#This Row],[RAB Kegiatan Umum]:[RAB Perizinan]])</f>
        <v>190476622</v>
      </c>
      <c r="AC260" s="436">
        <v>12372597</v>
      </c>
      <c r="AD260" s="436">
        <v>123725967</v>
      </c>
      <c r="AE260" s="436">
        <v>53318058</v>
      </c>
      <c r="AF260" s="436">
        <v>1060000</v>
      </c>
      <c r="AG260" s="483">
        <v>12642232</v>
      </c>
      <c r="AH260" s="33">
        <f>SUM(Table1[[#This Row],[Bobot Keg Umum]:[Bobot Perizinan]])</f>
        <v>1</v>
      </c>
      <c r="AI260" s="33">
        <f>Table1[[#This Row],[RAB Kegiatan Umum]]/Table1[[#This Row],[Nilai RAB Jaringan
(Exclude Ppn)]]</f>
        <v>6.4955987092211245E-2</v>
      </c>
      <c r="AJ260" s="33">
        <f>Table1[[#This Row],[RAB Pemasangan]]/Table1[[#This Row],[Nilai RAB Jaringan
(Exclude Ppn)]]</f>
        <v>0.64955985517214809</v>
      </c>
      <c r="AK260" s="33">
        <f>Table1[[#This Row],[RAB Pengadaan]]/Table1[[#This Row],[Nilai RAB Jaringan
(Exclude Ppn)]]</f>
        <v>0.27991917034311958</v>
      </c>
      <c r="AL260" s="33">
        <f>Table1[[#This Row],[RAB Perizinan]]/Table1[[#This Row],[Nilai RAB Jaringan
(Exclude Ppn)]]</f>
        <v>5.5649873925210621E-3</v>
      </c>
      <c r="AM260" s="47"/>
      <c r="AN260" s="285">
        <v>106</v>
      </c>
      <c r="AO260" s="285">
        <f>SUM(Table1[[#This Row],[Pipa 63 mm]:[Pipa 1,800 mm]])</f>
        <v>115</v>
      </c>
      <c r="AP260" s="285">
        <v>115</v>
      </c>
      <c r="AQ260" s="285"/>
      <c r="AR260" s="285"/>
      <c r="AS260" s="285"/>
      <c r="AT260" s="285"/>
      <c r="AU260" s="285"/>
      <c r="AV260" s="285"/>
      <c r="AW260" s="285"/>
      <c r="AX260" s="285"/>
      <c r="AY260" s="285"/>
      <c r="AZ260" s="285"/>
      <c r="BA260" s="285"/>
      <c r="BB260" s="285"/>
      <c r="BC260" s="285"/>
      <c r="BD260" s="285"/>
      <c r="BE260" s="285"/>
      <c r="BF260" s="285"/>
      <c r="BG260" s="285"/>
      <c r="BH260" s="285"/>
      <c r="BI260" s="285"/>
      <c r="BJ260" s="36">
        <f>SUM(Table1[[#This Row],[Pipa 63 mm2]:[Pipa 1,800 mm21]])</f>
        <v>102</v>
      </c>
      <c r="BK260" s="32">
        <v>102</v>
      </c>
      <c r="BL260" s="32"/>
      <c r="BM260" s="32"/>
      <c r="BN260" s="32"/>
      <c r="BO260" s="32"/>
      <c r="BP260" s="32"/>
      <c r="BQ260" s="32"/>
      <c r="BR260" s="32"/>
      <c r="BS260" s="32"/>
      <c r="BT260" s="32"/>
      <c r="BU260" s="32"/>
      <c r="BV260" s="32"/>
      <c r="BW260" s="32"/>
      <c r="BX260" s="32"/>
      <c r="BY260" s="32"/>
      <c r="BZ260" s="32"/>
      <c r="CA260" s="32"/>
      <c r="CB260" s="32"/>
      <c r="CC260" s="32"/>
      <c r="CD260" s="32"/>
      <c r="CE260" s="32">
        <v>0</v>
      </c>
      <c r="CF260" s="32"/>
      <c r="CG260" s="32"/>
      <c r="CH260" s="32"/>
      <c r="CI260" s="32">
        <f t="shared" si="13"/>
        <v>0</v>
      </c>
      <c r="CJ260" s="65">
        <f>IF((Table1[[#This Row],["Volume
BA MC-0"]]-Table1[[#This Row],[Total Panjang Pipa Aktual
(Sum-&gt;)3]]-Table1[[#This Row],[Total Volume
tidak dapat dipasang]])&gt;=0,Table1[[#This Row],["Volume
BA MC-0"]]-Table1[[#This Row],[Total Panjang Pipa Aktual
(Sum-&gt;)3]]-Table1[[#This Row],[Total Volume
tidak dapat dipasang]],0)</f>
        <v>4</v>
      </c>
      <c r="CK260" s="47"/>
      <c r="CL260" s="484" t="s">
        <v>1821</v>
      </c>
      <c r="CM260" s="34" t="s">
        <v>1821</v>
      </c>
      <c r="CN260" s="484" t="s">
        <v>1821</v>
      </c>
      <c r="CO260" s="484" t="s">
        <v>1821</v>
      </c>
      <c r="CP26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60" s="66">
        <f>IFERROR(Table1[[#This Row],[Progres Keg. Umum
(%)]]*Table1[[#This Row],[Nilai RAB Jaringan
(file pa aji)]],0)</f>
        <v>0</v>
      </c>
      <c r="CR260" s="66">
        <f>IFERROR(Table1[[#This Row],[Progres MOS
(%)]]*Table1[[#This Row],[Nilai RAB Jaringan
(file pa aji)]],0)</f>
        <v>0</v>
      </c>
      <c r="CS260" s="66">
        <f>IFERROR(Table1[[#This Row],[Progres Pemasangan
(%)]]*Table1[[#This Row],[Nilai RAB Jaringan
(file pa aji)]],0)</f>
        <v>0</v>
      </c>
      <c r="CT260" s="66">
        <f>IFERROR(Table1[[#This Row],[Progres Perizinan
(%)]]*Table1[[#This Row],[Nilai RAB Jaringan
(file pa aji)]],0)</f>
        <v>0</v>
      </c>
      <c r="CU260" s="329">
        <v>194897121</v>
      </c>
      <c r="CV260" s="329">
        <v>194897121</v>
      </c>
      <c r="CW260" s="329">
        <v>194897121</v>
      </c>
      <c r="CX260" s="329">
        <v>194897121</v>
      </c>
      <c r="CY260" s="47"/>
      <c r="CZ260" s="330">
        <v>45866</v>
      </c>
      <c r="DA260" s="330">
        <v>45893</v>
      </c>
      <c r="DB260" s="331">
        <v>45880</v>
      </c>
      <c r="DC260" s="316" t="s">
        <v>2028</v>
      </c>
      <c r="DD260" s="67">
        <v>211312450</v>
      </c>
      <c r="DE26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0" s="331">
        <v>45698</v>
      </c>
      <c r="DG260" s="316" t="s">
        <v>2029</v>
      </c>
      <c r="DH260" s="67">
        <v>211312450</v>
      </c>
      <c r="DI26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0" s="330">
        <v>45894</v>
      </c>
      <c r="DK260" s="330">
        <v>45963</v>
      </c>
      <c r="DL260" s="331">
        <v>45936</v>
      </c>
      <c r="DM260" s="316" t="s">
        <v>2030</v>
      </c>
      <c r="DN26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0" s="331">
        <v>45940</v>
      </c>
      <c r="DP260" s="316" t="s">
        <v>2031</v>
      </c>
      <c r="DQ260" s="338" t="s">
        <v>1979</v>
      </c>
      <c r="DR26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0" s="330">
        <v>45894</v>
      </c>
      <c r="DT260" s="330" t="e">
        <v>#N/A</v>
      </c>
      <c r="DU260" s="330">
        <v>45935</v>
      </c>
      <c r="DV260" s="330" t="e">
        <v>#N/A</v>
      </c>
      <c r="DW260" s="331">
        <v>45934</v>
      </c>
      <c r="DX260" s="484" t="s">
        <v>2032</v>
      </c>
      <c r="DY260" s="332">
        <v>31</v>
      </c>
      <c r="DZ260" s="334">
        <v>31</v>
      </c>
      <c r="EA26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0" s="331">
        <v>46008</v>
      </c>
      <c r="EC260" s="332">
        <v>28</v>
      </c>
      <c r="ED260" s="332">
        <v>28</v>
      </c>
      <c r="EE260" s="425" t="s">
        <v>2033</v>
      </c>
      <c r="EF260" s="35">
        <v>1</v>
      </c>
      <c r="EG260" s="337">
        <v>1</v>
      </c>
      <c r="EH260" s="316" t="str">
        <f>IF(Table1[[#This Row],[PO Material Aktual 
(%)]]&gt;=100%,"Selesai PO = 100%",IF(Table1[[#This Row],[PO Material Aktual 
(%)]]&gt;=50%,"Proses PO &gt; 100%",IF(Table1[[#This Row],[PO Material Aktual 
(%)]]&gt;0%,"Proses PO &gt; 50%",IF(Table1[[#This Row],[PO Material Aktual 
(%)]]=0,"Belum PO = 0%"))))</f>
        <v>Selesai PO = 100%</v>
      </c>
      <c r="EI26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0" s="330">
        <v>45936</v>
      </c>
      <c r="EK260" s="330" t="e">
        <v>#N/A</v>
      </c>
      <c r="EL260" s="330">
        <v>45991</v>
      </c>
      <c r="EM260" s="330" t="e">
        <v>#N/A</v>
      </c>
      <c r="EN260" s="331">
        <v>46091</v>
      </c>
      <c r="EO260" s="332">
        <f>Table1[[#This Row],[Line PO]]</f>
        <v>28</v>
      </c>
      <c r="EP260" s="316">
        <v>28</v>
      </c>
      <c r="EQ260" s="35">
        <v>0.90322580645161288</v>
      </c>
      <c r="ER260" s="35">
        <f>Table1[[#This Row],[Line MOS]]/Table1[[#This Row],[Line PR]]</f>
        <v>0.90322580645161288</v>
      </c>
      <c r="ES260" s="316" t="str">
        <f>IF(Table1[[#This Row],[Progres MOS]]&gt;=100%,"Selesai MOS = 100%",IF(Table1[[#This Row],[Progres MOS]]&gt;=50%,"Proses MOS &gt; 100%",IF(Table1[[#This Row],[Progres MOS]]&gt;0%,"Proses MOS &gt; 50%",IF(Table1[[#This Row],[Progres MOS]]=0,"Belum MOS = 0%"))))</f>
        <v>Proses MOS &gt; 100%</v>
      </c>
      <c r="ET26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0" s="47"/>
      <c r="EV260" s="330">
        <v>45894</v>
      </c>
      <c r="EW260" s="330" t="e">
        <v>#N/A</v>
      </c>
      <c r="EX260" s="330">
        <v>45991</v>
      </c>
      <c r="EY260" s="330" t="e">
        <v>#N/A</v>
      </c>
      <c r="EZ260" s="352" t="s">
        <v>298</v>
      </c>
      <c r="FA260" s="336" t="s">
        <v>259</v>
      </c>
      <c r="FB260" s="330" t="s">
        <v>260</v>
      </c>
      <c r="FC260" s="330">
        <v>45936</v>
      </c>
      <c r="FD260" s="330" t="s">
        <v>260</v>
      </c>
      <c r="FE260" s="330">
        <v>45966</v>
      </c>
      <c r="FF260" s="330">
        <v>45995</v>
      </c>
      <c r="FG260" s="330" t="s">
        <v>260</v>
      </c>
      <c r="FH260" s="330" t="s">
        <v>260</v>
      </c>
      <c r="FI260" s="330">
        <v>46013</v>
      </c>
      <c r="FJ260" s="330" t="s">
        <v>260</v>
      </c>
      <c r="FK260" s="330">
        <v>46142</v>
      </c>
      <c r="FL260" s="336" t="s">
        <v>298</v>
      </c>
      <c r="FM260" s="352">
        <v>45936</v>
      </c>
      <c r="FN260" s="338">
        <f>IF(Table1[[#This Row],[Tanggal Pengajuan Dokumen]]="","",Table1[[#This Row],[PLAN PERMIT
start]]-Table1[[#This Row],[Tanggal Pengajuan Dokumen]])</f>
        <v>-42</v>
      </c>
      <c r="FO260" s="437">
        <v>46097</v>
      </c>
      <c r="FP260" s="316"/>
      <c r="FQ260" s="338"/>
      <c r="FR260" s="338"/>
      <c r="FS260" s="338" t="str">
        <f t="shared" si="14"/>
        <v>Sudah Terbit</v>
      </c>
      <c r="FT26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0" s="344">
        <f ca="1">IF(Table1[[#This Row],[Status Izin]]="Selesai",Table1[[#This Row],[PLAN PERMIT
finish]]-Table1[[#This Row],[Tanggal Terbit/ Target Izin Terbit]],ROUNDUP(Table1[[#This Row],[PLAN PERMIT
finish]]-NOW(),0))</f>
        <v>-106</v>
      </c>
      <c r="FV26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0" s="344"/>
      <c r="FX260" s="47"/>
      <c r="FY260" s="340"/>
      <c r="FZ260" s="341">
        <v>45946</v>
      </c>
      <c r="GA26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60" s="330">
        <v>45965</v>
      </c>
      <c r="GC260" s="352">
        <v>45917</v>
      </c>
      <c r="GD26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0" s="330">
        <v>45972</v>
      </c>
      <c r="GF260" s="352">
        <v>45912</v>
      </c>
      <c r="GG26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0" s="330">
        <v>45978</v>
      </c>
      <c r="GI260" s="330">
        <v>45984</v>
      </c>
      <c r="GJ260" s="352">
        <v>45915</v>
      </c>
      <c r="GK26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60" s="330">
        <v>45992</v>
      </c>
      <c r="GM260" s="330" t="e">
        <v>#N/A</v>
      </c>
      <c r="GN260" s="330">
        <v>46005</v>
      </c>
      <c r="GO260" s="330" t="e">
        <v>#N/A</v>
      </c>
      <c r="GP260" s="330"/>
      <c r="GQ26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0" s="330" t="s">
        <v>261</v>
      </c>
      <c r="GS260" s="330" t="s">
        <v>261</v>
      </c>
      <c r="GT260" s="354">
        <v>46029</v>
      </c>
      <c r="GU260" s="344" t="str">
        <f>IF(Table1[[#This Row],[Hydro Tes Actual
(tanggal)]]&lt;&gt;"","Sudah","Belum")</f>
        <v>Sudah</v>
      </c>
      <c r="GV260" s="330" t="s">
        <v>261</v>
      </c>
      <c r="GW260" s="330" t="s">
        <v>261</v>
      </c>
      <c r="GX260" s="331">
        <v>46029</v>
      </c>
      <c r="GY260" s="344" t="str">
        <f>IF(Table1[[#This Row],[Interkoneksi Actual
(tanggal)]]&lt;&gt;"","Sudah","Belum")</f>
        <v>Sudah</v>
      </c>
      <c r="GZ260" s="330" t="s">
        <v>261</v>
      </c>
      <c r="HA260" s="330" t="s">
        <v>261</v>
      </c>
      <c r="HB260" s="331">
        <v>46031</v>
      </c>
      <c r="HC260" s="344" t="str">
        <f>IF(Table1[[#This Row],[Flushing Actual
(tanggal)]]&lt;&gt;"","Sudah","Belum")</f>
        <v>Sudah</v>
      </c>
      <c r="HD260" s="330">
        <v>45996</v>
      </c>
      <c r="HE260" s="330" t="e">
        <v>#N/A</v>
      </c>
      <c r="HF260" s="330">
        <v>46005</v>
      </c>
      <c r="HG260" s="352">
        <v>46043</v>
      </c>
      <c r="HH26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60" s="330" t="s">
        <v>261</v>
      </c>
      <c r="HJ260" s="330" t="s">
        <v>261</v>
      </c>
      <c r="HK260" s="331"/>
      <c r="HL260" s="316"/>
      <c r="HM260" s="330">
        <v>46010</v>
      </c>
      <c r="HN260" s="330">
        <v>46010</v>
      </c>
      <c r="HO260" s="330" t="e">
        <v>#N/A</v>
      </c>
      <c r="HP260" s="331">
        <v>46066</v>
      </c>
      <c r="HQ260"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60" s="330">
        <v>46017</v>
      </c>
      <c r="HS260" s="330"/>
      <c r="HT260" s="330">
        <v>46017</v>
      </c>
      <c r="HU260" s="330"/>
      <c r="HV260" s="331">
        <v>46078</v>
      </c>
      <c r="HW26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60" s="47"/>
      <c r="HY260" s="352"/>
      <c r="HZ260" s="352"/>
      <c r="IB260" s="618">
        <f>IFERROR(ROUND((Table1[[#This Row],[PLAN TC
finish]]-Table1[[#This Row],[PLAN MC-0
start]])/30,2),"")</f>
        <v>0.9</v>
      </c>
      <c r="IC260">
        <f>DATEDIF(Table1[[#This Row],[PLAN MC-0
start]],Table1[[#This Row],[PLAN TC
finish]],"m")</f>
        <v>0</v>
      </c>
    </row>
    <row r="261" spans="1:237" s="4" customFormat="1" ht="15" hidden="1" customHeight="1" x14ac:dyDescent="0.2">
      <c r="B261" s="311">
        <f>SUBTOTAL(3,$D$5:D261)</f>
        <v>84</v>
      </c>
      <c r="C261" s="316">
        <v>257</v>
      </c>
      <c r="D261" s="338" t="s">
        <v>244</v>
      </c>
      <c r="E261" s="338" t="s">
        <v>2034</v>
      </c>
      <c r="F261" s="338" t="s">
        <v>2035</v>
      </c>
      <c r="G261" s="349">
        <v>46117</v>
      </c>
      <c r="H261" s="338" t="s">
        <v>681</v>
      </c>
      <c r="I261" s="338" t="s">
        <v>248</v>
      </c>
      <c r="J261" s="480" t="s">
        <v>1830</v>
      </c>
      <c r="K261" s="338" t="s">
        <v>249</v>
      </c>
      <c r="L261" s="316" t="s">
        <v>250</v>
      </c>
      <c r="M261" s="355" t="s">
        <v>251</v>
      </c>
      <c r="N261" s="107">
        <v>32</v>
      </c>
      <c r="O261" s="31" t="s">
        <v>252</v>
      </c>
      <c r="P26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1" s="35">
        <v>1</v>
      </c>
      <c r="S261" s="34">
        <v>1</v>
      </c>
      <c r="T261" s="34">
        <f>Table1[[#This Row],[Progres Total Aktual
(%)]]</f>
        <v>1</v>
      </c>
      <c r="U261" s="98">
        <f>Table1[[#This Row],[Progres Aktual
(%)]]-Table1[[#This Row],[Target Progres
(%)]]</f>
        <v>0</v>
      </c>
      <c r="V261" s="80">
        <f>Table1[[#This Row],["Volume
BA MC-0"]]</f>
        <v>43.8</v>
      </c>
      <c r="W261" s="46">
        <f>Table1[[#This Row],[Total Panjang Pipa Aktual
(Sum-&gt;)3]]</f>
        <v>33.799999999999997</v>
      </c>
      <c r="X261" s="47"/>
      <c r="Y261" s="67" t="s">
        <v>2036</v>
      </c>
      <c r="Z261" s="67">
        <v>5120326172</v>
      </c>
      <c r="AA261" s="67">
        <f>ROUND((Table1[[#This Row],[Nilai RAB Jaringan
(Exclude Ppn)]]-Table1[[#This Row],[RAB Perizinan]])*1.11+Table1[[#This Row],[RAB Perizinan]],0)</f>
        <v>5120326172</v>
      </c>
      <c r="AB261" s="486">
        <f>SUM(Table1[[#This Row],[RAB Kegiatan Umum]:[RAB Perizinan]])</f>
        <v>4620744562</v>
      </c>
      <c r="AC261" s="436">
        <v>207258108</v>
      </c>
      <c r="AD261" s="436">
        <v>2072581078</v>
      </c>
      <c r="AE261" s="436">
        <v>2261811812</v>
      </c>
      <c r="AF261" s="436">
        <v>79093564</v>
      </c>
      <c r="AG261" s="483">
        <v>0</v>
      </c>
      <c r="AH261" s="33">
        <f>SUM(Table1[[#This Row],[Bobot Keg Umum]:[Bobot Perizinan]])</f>
        <v>0.99999999999999989</v>
      </c>
      <c r="AI261" s="33">
        <f>Table1[[#This Row],[RAB Kegiatan Umum]]/Table1[[#This Row],[Nilai RAB Jaringan
(Exclude Ppn)]]</f>
        <v>4.4853833666644478E-2</v>
      </c>
      <c r="AJ261" s="33">
        <f>Table1[[#This Row],[RAB Pemasangan]]/Table1[[#This Row],[Nilai RAB Jaringan
(Exclude Ppn)]]</f>
        <v>0.44853833623361411</v>
      </c>
      <c r="AK261" s="33">
        <f>Table1[[#This Row],[RAB Pengadaan]]/Table1[[#This Row],[Nilai RAB Jaringan
(Exclude Ppn)]]</f>
        <v>0.48949076964795873</v>
      </c>
      <c r="AL261" s="33">
        <f>Table1[[#This Row],[RAB Perizinan]]/Table1[[#This Row],[Nilai RAB Jaringan
(Exclude Ppn)]]</f>
        <v>1.7117060451782663E-2</v>
      </c>
      <c r="AM261" s="47"/>
      <c r="AN261" s="285">
        <v>43.8</v>
      </c>
      <c r="AO261" s="285">
        <f>SUM(Table1[[#This Row],[Pipa 63 mm]:[Pipa 1,800 mm]])</f>
        <v>0</v>
      </c>
      <c r="AP261" s="285"/>
      <c r="AQ261" s="285"/>
      <c r="AR261" s="285"/>
      <c r="AS261" s="285"/>
      <c r="AT261" s="285"/>
      <c r="AU261" s="285"/>
      <c r="AV261" s="285"/>
      <c r="AW261" s="285"/>
      <c r="AX261" s="285"/>
      <c r="AY261" s="285"/>
      <c r="AZ261" s="285"/>
      <c r="BA261" s="285"/>
      <c r="BB261" s="285"/>
      <c r="BC261" s="285"/>
      <c r="BD261" s="285"/>
      <c r="BE261" s="285"/>
      <c r="BF261" s="285"/>
      <c r="BG261" s="285"/>
      <c r="BH261" s="285"/>
      <c r="BI261" s="285"/>
      <c r="BJ261" s="36">
        <f>SUM(Table1[[#This Row],[Pipa 63 mm2]:[Pipa 1,800 mm21]])</f>
        <v>33.799999999999997</v>
      </c>
      <c r="BK261" s="32"/>
      <c r="BL261" s="32"/>
      <c r="BM261" s="32"/>
      <c r="BN261" s="32"/>
      <c r="BO261" s="32"/>
      <c r="BP261" s="32"/>
      <c r="BQ261" s="32"/>
      <c r="BR261" s="32"/>
      <c r="BS261" s="32"/>
      <c r="BT261" s="32"/>
      <c r="BU261" s="32"/>
      <c r="BV261" s="32"/>
      <c r="BW261" s="32">
        <v>33.799999999999997</v>
      </c>
      <c r="BX261" s="32"/>
      <c r="BY261" s="32"/>
      <c r="BZ261" s="32"/>
      <c r="CA261" s="32"/>
      <c r="CB261" s="32"/>
      <c r="CC261" s="32"/>
      <c r="CD261" s="32"/>
      <c r="CE261" s="32">
        <v>0</v>
      </c>
      <c r="CF261" s="32"/>
      <c r="CG261" s="32"/>
      <c r="CH261" s="32"/>
      <c r="CI261" s="32">
        <f t="shared" si="13"/>
        <v>0</v>
      </c>
      <c r="CJ261" s="65">
        <f>IF((Table1[[#This Row],["Volume
BA MC-0"]]-Table1[[#This Row],[Total Panjang Pipa Aktual
(Sum-&gt;)3]]-Table1[[#This Row],[Total Volume
tidak dapat dipasang]])&gt;=0,Table1[[#This Row],["Volume
BA MC-0"]]-Table1[[#This Row],[Total Panjang Pipa Aktual
(Sum-&gt;)3]]-Table1[[#This Row],[Total Volume
tidak dapat dipasang]],0)</f>
        <v>10</v>
      </c>
      <c r="CK261" s="47"/>
      <c r="CL261" s="327"/>
      <c r="CM261" s="34"/>
      <c r="CN261" s="327"/>
      <c r="CO261" s="327"/>
      <c r="CP26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61" s="66">
        <f>IFERROR(Table1[[#This Row],[Progres Keg. Umum
(%)]]*Table1[[#This Row],[Nilai RAB Jaringan
(file pa aji)]],0)</f>
        <v>0</v>
      </c>
      <c r="CR261" s="66">
        <f>IFERROR(Table1[[#This Row],[Progres MOS
(%)]]*Table1[[#This Row],[Nilai RAB Jaringan
(file pa aji)]],0)</f>
        <v>0</v>
      </c>
      <c r="CS261" s="66">
        <f>IFERROR(Table1[[#This Row],[Progres Pemasangan
(%)]]*Table1[[#This Row],[Nilai RAB Jaringan
(file pa aji)]],0)</f>
        <v>0</v>
      </c>
      <c r="CT261" s="66">
        <f>IFERROR(Table1[[#This Row],[Progres Perizinan
(%)]]*Table1[[#This Row],[Nilai RAB Jaringan
(file pa aji)]],0)</f>
        <v>0</v>
      </c>
      <c r="CU261" s="329">
        <v>5873391286</v>
      </c>
      <c r="CV261" s="329">
        <v>5873391286</v>
      </c>
      <c r="CW261" s="583">
        <v>5873391286</v>
      </c>
      <c r="CX261" s="329">
        <v>5873391286</v>
      </c>
      <c r="CY261" s="47"/>
      <c r="CZ261" s="330">
        <v>45866</v>
      </c>
      <c r="DA261" s="330">
        <v>45893</v>
      </c>
      <c r="DB261" s="331">
        <v>45859</v>
      </c>
      <c r="DC261" s="316" t="s">
        <v>2037</v>
      </c>
      <c r="DD261" s="67">
        <v>5120326172</v>
      </c>
      <c r="DE26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1" s="331">
        <v>45867</v>
      </c>
      <c r="DG261" s="316" t="s">
        <v>2038</v>
      </c>
      <c r="DH261" s="67">
        <v>5120326172</v>
      </c>
      <c r="DI26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1" s="330">
        <v>45894</v>
      </c>
      <c r="DK261" s="330">
        <v>45956</v>
      </c>
      <c r="DL261" s="331">
        <v>45875</v>
      </c>
      <c r="DM261" s="316" t="s">
        <v>2039</v>
      </c>
      <c r="DN26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1" s="331">
        <v>45908</v>
      </c>
      <c r="DP261" s="316" t="s">
        <v>2040</v>
      </c>
      <c r="DQ261" s="338" t="s">
        <v>2041</v>
      </c>
      <c r="DR26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1" s="330">
        <v>45894</v>
      </c>
      <c r="DT261" s="330" t="e">
        <v>#N/A</v>
      </c>
      <c r="DU261" s="330">
        <v>45935</v>
      </c>
      <c r="DV261" s="330" t="e">
        <v>#N/A</v>
      </c>
      <c r="DW261" s="331">
        <v>45876</v>
      </c>
      <c r="DX261" s="316" t="s">
        <v>2042</v>
      </c>
      <c r="DY261" s="334">
        <v>30</v>
      </c>
      <c r="DZ261" s="334">
        <v>30</v>
      </c>
      <c r="EA26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1" s="331">
        <v>45986</v>
      </c>
      <c r="EC261" s="332">
        <v>26</v>
      </c>
      <c r="ED261" s="332">
        <v>26</v>
      </c>
      <c r="EE261" s="330" t="s">
        <v>2043</v>
      </c>
      <c r="EF261" s="35">
        <v>1</v>
      </c>
      <c r="EG261" s="35">
        <v>1</v>
      </c>
      <c r="EH261" s="316" t="str">
        <f>IF(Table1[[#This Row],[PO Material Aktual 
(%)]]&gt;=100%,"Selesai PO = 100%",IF(Table1[[#This Row],[PO Material Aktual 
(%)]]&gt;=50%,"Proses PO &gt; 100%",IF(Table1[[#This Row],[PO Material Aktual 
(%)]]&gt;0%,"Proses PO &gt; 50%",IF(Table1[[#This Row],[PO Material Aktual 
(%)]]=0,"Belum PO = 0%"))))</f>
        <v>Selesai PO = 100%</v>
      </c>
      <c r="EI26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1" s="330">
        <v>45936</v>
      </c>
      <c r="EK261" s="330" t="e">
        <v>#N/A</v>
      </c>
      <c r="EL261" s="330">
        <v>45984</v>
      </c>
      <c r="EM261" s="330" t="e">
        <v>#N/A</v>
      </c>
      <c r="EN261" s="331">
        <v>46008</v>
      </c>
      <c r="EO261" s="332">
        <f>Table1[[#This Row],[Line PO]]</f>
        <v>26</v>
      </c>
      <c r="EP261" s="316">
        <v>26</v>
      </c>
      <c r="EQ261" s="35">
        <v>0.8666666666666667</v>
      </c>
      <c r="ER261" s="35">
        <f>Table1[[#This Row],[Line MOS]]/Table1[[#This Row],[Line PR]]</f>
        <v>0.8666666666666667</v>
      </c>
      <c r="ES261" s="316" t="str">
        <f>IF(Table1[[#This Row],[Progres MOS]]&gt;=100%,"Selesai MOS = 100%",IF(Table1[[#This Row],[Progres MOS]]&gt;=50%,"Proses MOS &gt; 100%",IF(Table1[[#This Row],[Progres MOS]]&gt;0%,"Proses MOS &gt; 50%",IF(Table1[[#This Row],[Progres MOS]]=0,"Belum MOS = 0%"))))</f>
        <v>Proses MOS &gt; 100%</v>
      </c>
      <c r="ET26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1" s="47"/>
      <c r="EV261" s="330">
        <v>45894</v>
      </c>
      <c r="EW261" s="330" t="e">
        <v>#N/A</v>
      </c>
      <c r="EX261" s="330">
        <v>45984</v>
      </c>
      <c r="EY261" s="330" t="e">
        <v>#N/A</v>
      </c>
      <c r="EZ261" s="352" t="s">
        <v>298</v>
      </c>
      <c r="FA261" s="336" t="s">
        <v>259</v>
      </c>
      <c r="FB261" s="330" t="s">
        <v>260</v>
      </c>
      <c r="FC261" s="330">
        <v>45909</v>
      </c>
      <c r="FD261" s="330" t="s">
        <v>260</v>
      </c>
      <c r="FE261" s="330">
        <v>45966</v>
      </c>
      <c r="FF261" s="330">
        <v>45993</v>
      </c>
      <c r="FG261" s="330" t="s">
        <v>260</v>
      </c>
      <c r="FH261" s="330" t="s">
        <v>260</v>
      </c>
      <c r="FI261" s="330"/>
      <c r="FJ261" s="330" t="s">
        <v>260</v>
      </c>
      <c r="FK261" s="330">
        <v>46114</v>
      </c>
      <c r="FL261" s="336" t="s">
        <v>298</v>
      </c>
      <c r="FM261" s="352">
        <v>45909</v>
      </c>
      <c r="FN261" s="338">
        <f>IF(Table1[[#This Row],[Tanggal Pengajuan Dokumen]]="","",Table1[[#This Row],[PLAN PERMIT
start]]-Table1[[#This Row],[Tanggal Pengajuan Dokumen]])</f>
        <v>-15</v>
      </c>
      <c r="FO261" s="437">
        <v>46097</v>
      </c>
      <c r="FP261" s="316"/>
      <c r="FQ261" s="338"/>
      <c r="FR261" s="338"/>
      <c r="FS261" s="338" t="str">
        <f t="shared" si="14"/>
        <v>Sudah Terbit</v>
      </c>
      <c r="FT26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1" s="344">
        <f ca="1">IF(Table1[[#This Row],[Status Izin]]="Selesai",Table1[[#This Row],[PLAN PERMIT
finish]]-Table1[[#This Row],[Tanggal Terbit/ Target Izin Terbit]],ROUNDUP(Table1[[#This Row],[PLAN PERMIT
finish]]-NOW(),0))</f>
        <v>-113</v>
      </c>
      <c r="FV26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1" s="344"/>
      <c r="FX261" s="47"/>
      <c r="FY261" s="340"/>
      <c r="FZ261" s="341"/>
      <c r="GA26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1" s="330">
        <v>45958</v>
      </c>
      <c r="GC261" s="352">
        <v>45909</v>
      </c>
      <c r="GD26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1" s="330">
        <v>45965</v>
      </c>
      <c r="GF261" s="352">
        <v>45909</v>
      </c>
      <c r="GG26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1" s="330">
        <v>45971</v>
      </c>
      <c r="GI261" s="330">
        <v>45977</v>
      </c>
      <c r="GJ261" s="352">
        <v>45951</v>
      </c>
      <c r="GK26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61" s="330">
        <v>45985</v>
      </c>
      <c r="GM261" s="330" t="e">
        <v>#N/A</v>
      </c>
      <c r="GN261" s="330">
        <v>46005</v>
      </c>
      <c r="GO261" s="330" t="e">
        <v>#N/A</v>
      </c>
      <c r="GP261" s="330"/>
      <c r="GQ26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1" s="330" t="s">
        <v>261</v>
      </c>
      <c r="GS261" s="330" t="s">
        <v>261</v>
      </c>
      <c r="GT261" s="354" t="s">
        <v>2044</v>
      </c>
      <c r="GU261" s="344" t="str">
        <f>IF(Table1[[#This Row],[Hydro Tes Actual
(tanggal)]]&lt;&gt;"","Sudah","Belum")</f>
        <v>Sudah</v>
      </c>
      <c r="GV261" s="330" t="s">
        <v>261</v>
      </c>
      <c r="GW261" s="330" t="s">
        <v>261</v>
      </c>
      <c r="GX261" s="331">
        <v>46107</v>
      </c>
      <c r="GY261" s="344" t="str">
        <f>IF(Table1[[#This Row],[Interkoneksi Actual
(tanggal)]]&lt;&gt;"","Sudah","Belum")</f>
        <v>Sudah</v>
      </c>
      <c r="GZ261" s="330" t="s">
        <v>261</v>
      </c>
      <c r="HA261" s="330" t="s">
        <v>261</v>
      </c>
      <c r="HB261" s="331">
        <v>46020</v>
      </c>
      <c r="HC261" s="344" t="str">
        <f>IF(Table1[[#This Row],[Flushing Actual
(tanggal)]]&lt;&gt;"","Sudah","Belum")</f>
        <v>Sudah</v>
      </c>
      <c r="HD261" s="330">
        <v>45992</v>
      </c>
      <c r="HE261" s="330" t="e">
        <v>#N/A</v>
      </c>
      <c r="HF261" s="330">
        <v>46005</v>
      </c>
      <c r="HG261" s="352">
        <v>46112</v>
      </c>
      <c r="HH26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61" s="330" t="s">
        <v>261</v>
      </c>
      <c r="HJ261" s="330" t="s">
        <v>261</v>
      </c>
      <c r="HK261" s="331"/>
      <c r="HL261" s="316"/>
      <c r="HM261" s="330">
        <v>46010</v>
      </c>
      <c r="HN261" s="330">
        <v>46010</v>
      </c>
      <c r="HO261" s="330" t="e">
        <v>#N/A</v>
      </c>
      <c r="HP261" s="331">
        <v>46114</v>
      </c>
      <c r="HQ261"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61" s="330">
        <v>46017</v>
      </c>
      <c r="HS261" s="330"/>
      <c r="HT261" s="330">
        <v>46017</v>
      </c>
      <c r="HU261" s="330"/>
      <c r="HV261" s="331">
        <v>46115</v>
      </c>
      <c r="HW26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61" s="47"/>
      <c r="HY261" s="352"/>
      <c r="HZ261" s="352"/>
      <c r="IB261" s="618">
        <f>IFERROR(ROUND((Table1[[#This Row],[PLAN TC
finish]]-Table1[[#This Row],[PLAN MC-0
start]])/30,2),"")</f>
        <v>1.1299999999999999</v>
      </c>
      <c r="IC261">
        <f>DATEDIF(Table1[[#This Row],[PLAN MC-0
start]],Table1[[#This Row],[PLAN TC
finish]],"m")</f>
        <v>1</v>
      </c>
    </row>
    <row r="262" spans="1:237" s="4" customFormat="1" ht="15" hidden="1" customHeight="1" x14ac:dyDescent="0.2">
      <c r="B262" s="311">
        <f>SUBTOTAL(3,$D$5:D262)</f>
        <v>84</v>
      </c>
      <c r="C262" s="316">
        <v>258</v>
      </c>
      <c r="D262" s="338" t="s">
        <v>244</v>
      </c>
      <c r="E262" s="338" t="s">
        <v>2045</v>
      </c>
      <c r="F262" s="338" t="s">
        <v>2046</v>
      </c>
      <c r="G262" s="349">
        <v>46117</v>
      </c>
      <c r="H262" s="314" t="s">
        <v>681</v>
      </c>
      <c r="I262" s="338" t="s">
        <v>278</v>
      </c>
      <c r="J262" s="480" t="s">
        <v>2047</v>
      </c>
      <c r="K262" s="338" t="s">
        <v>1165</v>
      </c>
      <c r="L262" s="316" t="s">
        <v>250</v>
      </c>
      <c r="M262" s="355" t="s">
        <v>269</v>
      </c>
      <c r="N262" s="107">
        <v>3780</v>
      </c>
      <c r="O262" s="131" t="s">
        <v>252</v>
      </c>
      <c r="P26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2" s="35">
        <v>0.99999999999999967</v>
      </c>
      <c r="S262" s="34">
        <v>1</v>
      </c>
      <c r="T262" s="34">
        <f>Table1[[#This Row],[Progres Total Aktual
(%)]]</f>
        <v>0.64769113818696156</v>
      </c>
      <c r="U262" s="98">
        <f>Table1[[#This Row],[Progres Aktual
(%)]]-Table1[[#This Row],[Target Progres
(%)]]</f>
        <v>-0.35230886181303844</v>
      </c>
      <c r="V262" s="80">
        <f>Table1[[#This Row],["Volume
BA MC-0"]]</f>
        <v>3780</v>
      </c>
      <c r="W262" s="46">
        <f>Table1[[#This Row],[Total Panjang Pipa Aktual
(Sum-&gt;)3]]</f>
        <v>3812</v>
      </c>
      <c r="X262" s="47"/>
      <c r="Y262" s="67" t="s">
        <v>2048</v>
      </c>
      <c r="Z262" s="67">
        <v>47547203012</v>
      </c>
      <c r="AA262" s="67">
        <f>ROUND((Table1[[#This Row],[Nilai RAB Jaringan
(Exclude Ppn)]]-Table1[[#This Row],[RAB Perizinan]])*1.11+Table1[[#This Row],[RAB Perizinan]],0)</f>
        <v>47547203011</v>
      </c>
      <c r="AB262" s="486">
        <f>SUM(Table1[[#This Row],[RAB Kegiatan Umum]:[RAB Perizinan]])</f>
        <v>42844122546.990654</v>
      </c>
      <c r="AC262" s="436">
        <v>1919267926</v>
      </c>
      <c r="AD262" s="436">
        <v>23990849074.930653</v>
      </c>
      <c r="AE262" s="436">
        <v>16845159946.059999</v>
      </c>
      <c r="AF262" s="436">
        <v>88845600</v>
      </c>
      <c r="AG262" s="483">
        <v>0</v>
      </c>
      <c r="AH262" s="33">
        <f>SUM(Table1[[#This Row],[Bobot Keg Umum]:[Bobot Perizinan]])</f>
        <v>0.99999999999999989</v>
      </c>
      <c r="AI262" s="33">
        <f>Table1[[#This Row],[RAB Kegiatan Umum]]/Table1[[#This Row],[Nilai RAB Jaringan
(Exclude Ppn)]]</f>
        <v>4.4796527782661015E-2</v>
      </c>
      <c r="AJ262" s="33">
        <f>Table1[[#This Row],[RAB Pemasangan]]/Table1[[#This Row],[Nilai RAB Jaringan
(Exclude Ppn)]]</f>
        <v>0.55995659728164404</v>
      </c>
      <c r="AK262" s="33">
        <f>Table1[[#This Row],[RAB Pengadaan]]/Table1[[#This Row],[Nilai RAB Jaringan
(Exclude Ppn)]]</f>
        <v>0.39317318093244957</v>
      </c>
      <c r="AL262" s="33">
        <f>Table1[[#This Row],[RAB Perizinan]]/Table1[[#This Row],[Nilai RAB Jaringan
(Exclude Ppn)]]</f>
        <v>2.0736940032452704E-3</v>
      </c>
      <c r="AM262" s="47"/>
      <c r="AN262" s="285">
        <v>3780</v>
      </c>
      <c r="AO262" s="285">
        <f>SUM(Table1[[#This Row],[Pipa 63 mm]:[Pipa 1,800 mm]])</f>
        <v>0</v>
      </c>
      <c r="AP262" s="285"/>
      <c r="AQ262" s="285"/>
      <c r="AR262" s="285"/>
      <c r="AS262" s="285"/>
      <c r="AT262" s="285"/>
      <c r="AU262" s="285"/>
      <c r="AV262" s="285"/>
      <c r="AW262" s="285"/>
      <c r="AX262" s="285"/>
      <c r="AY262" s="285"/>
      <c r="AZ262" s="285"/>
      <c r="BA262" s="285"/>
      <c r="BB262" s="285"/>
      <c r="BC262" s="285"/>
      <c r="BD262" s="285"/>
      <c r="BE262" s="285"/>
      <c r="BF262" s="285"/>
      <c r="BG262" s="285"/>
      <c r="BH262" s="285"/>
      <c r="BI262" s="285"/>
      <c r="BJ262" s="36">
        <f>SUM(Table1[[#This Row],[Pipa 63 mm2]:[Pipa 1,800 mm21]])</f>
        <v>3812</v>
      </c>
      <c r="BK262" s="32"/>
      <c r="BL262" s="32"/>
      <c r="BM262" s="32"/>
      <c r="BN262" s="32"/>
      <c r="BO262" s="32">
        <v>1470</v>
      </c>
      <c r="BP262" s="32"/>
      <c r="BQ262" s="32">
        <v>180</v>
      </c>
      <c r="BR262" s="32"/>
      <c r="BS262" s="32">
        <v>219</v>
      </c>
      <c r="BT262" s="32"/>
      <c r="BU262" s="32">
        <v>1943</v>
      </c>
      <c r="BV262" s="32"/>
      <c r="BW262" s="32"/>
      <c r="BX262" s="32"/>
      <c r="BY262" s="32"/>
      <c r="BZ262" s="32"/>
      <c r="CA262" s="32"/>
      <c r="CB262" s="32"/>
      <c r="CC262" s="32"/>
      <c r="CD262" s="32"/>
      <c r="CE262" s="32">
        <v>0</v>
      </c>
      <c r="CF262" s="32"/>
      <c r="CG262" s="32"/>
      <c r="CH262" s="32"/>
      <c r="CI262" s="32">
        <f t="shared" si="13"/>
        <v>0</v>
      </c>
      <c r="CJ262" s="65">
        <f>IF((Table1[[#This Row],["Volume
BA MC-0"]]-Table1[[#This Row],[Total Panjang Pipa Aktual
(Sum-&gt;)3]]-Table1[[#This Row],[Total Volume
tidak dapat dipasang]])&gt;=0,Table1[[#This Row],["Volume
BA MC-0"]]-Table1[[#This Row],[Total Panjang Pipa Aktual
(Sum-&gt;)3]]-Table1[[#This Row],[Total Volume
tidak dapat dipasang]],0)</f>
        <v>0</v>
      </c>
      <c r="CK262" s="47"/>
      <c r="CL262" s="484" t="s">
        <v>1821</v>
      </c>
      <c r="CM262" s="34" t="s">
        <v>1821</v>
      </c>
      <c r="CN262" s="484" t="s">
        <v>1821</v>
      </c>
      <c r="CO262" s="484" t="s">
        <v>1821</v>
      </c>
      <c r="CP26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0.64769113818696156</v>
      </c>
      <c r="CQ262" s="66">
        <f>IFERROR(Table1[[#This Row],[Progres Keg. Umum
(%)]]*Table1[[#This Row],[Nilai RAB Jaringan
(file pa aji)]],0)</f>
        <v>0</v>
      </c>
      <c r="CR262" s="66">
        <f>IFERROR(Table1[[#This Row],[Progres MOS
(%)]]*Table1[[#This Row],[Nilai RAB Jaringan
(file pa aji)]],0)</f>
        <v>0</v>
      </c>
      <c r="CS262" s="66">
        <f>IFERROR(Table1[[#This Row],[Progres Pemasangan
(%)]]*Table1[[#This Row],[Nilai RAB Jaringan
(file pa aji)]],0)</f>
        <v>0</v>
      </c>
      <c r="CT262" s="66">
        <f>IFERROR(Table1[[#This Row],[Progres Perizinan
(%)]]*Table1[[#This Row],[Nilai RAB Jaringan
(file pa aji)]],0)</f>
        <v>0</v>
      </c>
      <c r="CU262" s="329">
        <v>30795902035.801117</v>
      </c>
      <c r="CV262" s="329">
        <v>30795902035.801117</v>
      </c>
      <c r="CW262" s="583">
        <v>0</v>
      </c>
      <c r="CX262" s="329">
        <v>0</v>
      </c>
      <c r="CY262" s="47"/>
      <c r="CZ262" s="330">
        <v>45747</v>
      </c>
      <c r="DA262" s="330">
        <v>45774</v>
      </c>
      <c r="DB262" s="331">
        <v>45722</v>
      </c>
      <c r="DC262" s="316" t="s">
        <v>2049</v>
      </c>
      <c r="DD262" s="67">
        <v>47547203012</v>
      </c>
      <c r="DE26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2" s="331">
        <v>45734</v>
      </c>
      <c r="DG262" s="316" t="s">
        <v>2050</v>
      </c>
      <c r="DH262" s="67">
        <v>47547203012</v>
      </c>
      <c r="DI26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2" s="330">
        <v>45775</v>
      </c>
      <c r="DK262" s="330">
        <v>45816</v>
      </c>
      <c r="DL262" s="331">
        <v>45771</v>
      </c>
      <c r="DM262" s="316" t="s">
        <v>2051</v>
      </c>
      <c r="DN26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2" s="331">
        <v>45884</v>
      </c>
      <c r="DP262" s="316" t="s">
        <v>2052</v>
      </c>
      <c r="DQ262" s="338" t="s">
        <v>275</v>
      </c>
      <c r="DR26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2" s="330">
        <v>45775</v>
      </c>
      <c r="DT262" s="330" t="e">
        <v>#N/A</v>
      </c>
      <c r="DU262" s="330">
        <v>45816</v>
      </c>
      <c r="DV262" s="330" t="e">
        <v>#N/A</v>
      </c>
      <c r="DW262" s="331">
        <v>45771</v>
      </c>
      <c r="DX262" s="316" t="s">
        <v>2053</v>
      </c>
      <c r="DY262" s="332">
        <v>166</v>
      </c>
      <c r="DZ262" s="334">
        <v>166</v>
      </c>
      <c r="EA26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2" s="331">
        <v>46123</v>
      </c>
      <c r="EC262" s="332">
        <v>157</v>
      </c>
      <c r="ED262" s="332">
        <v>157</v>
      </c>
      <c r="EE262" s="330"/>
      <c r="EF262" s="35">
        <v>0.94578313253012047</v>
      </c>
      <c r="EG262" s="35">
        <f>Table1[[#This Row],[Line PO (kolom  bantu)2]]/Table1[[#This Row],[Line PR]]</f>
        <v>0.94578313253012047</v>
      </c>
      <c r="EH262" s="316" t="str">
        <f>IF(Table1[[#This Row],[PO Material Aktual 
(%)]]&gt;=100%,"Selesai PO = 100%",IF(Table1[[#This Row],[PO Material Aktual 
(%)]]&gt;=50%,"Proses PO &gt; 100%",IF(Table1[[#This Row],[PO Material Aktual 
(%)]]&gt;0%,"Proses PO &gt; 50%",IF(Table1[[#This Row],[PO Material Aktual 
(%)]]=0,"Belum PO = 0%"))))</f>
        <v>Proses PO &gt; 100%</v>
      </c>
      <c r="EI26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2" s="330">
        <v>45817</v>
      </c>
      <c r="EK262" s="330" t="e">
        <v>#N/A</v>
      </c>
      <c r="EL262" s="330">
        <v>45928</v>
      </c>
      <c r="EM262" s="330" t="e">
        <v>#N/A</v>
      </c>
      <c r="EN262" s="331">
        <v>46115</v>
      </c>
      <c r="EO262" s="332">
        <v>146</v>
      </c>
      <c r="EP262" s="316">
        <v>146</v>
      </c>
      <c r="EQ262" s="35">
        <v>0.87951807228915657</v>
      </c>
      <c r="ER262" s="35">
        <f>Table1[[#This Row],[Line MOS]]/Table1[[#This Row],[Line PR]]</f>
        <v>0.87951807228915657</v>
      </c>
      <c r="ES262" s="316" t="str">
        <f>IF(Table1[[#This Row],[Progres MOS]]&gt;=100%,"Selesai MOS = 100%",IF(Table1[[#This Row],[Progres MOS]]&gt;=50%,"Proses MOS &gt; 100%",IF(Table1[[#This Row],[Progres MOS]]&gt;0%,"Proses MOS &gt; 50%",IF(Table1[[#This Row],[Progres MOS]]=0,"Belum MOS = 0%"))))</f>
        <v>Proses MOS &gt; 100%</v>
      </c>
      <c r="ET26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2" s="47"/>
      <c r="EV262" s="330">
        <v>45775</v>
      </c>
      <c r="EW262" s="330" t="e">
        <v>#N/A</v>
      </c>
      <c r="EX262" s="330">
        <v>45865</v>
      </c>
      <c r="EY262" s="330" t="e">
        <v>#N/A</v>
      </c>
      <c r="EZ262" s="352" t="s">
        <v>298</v>
      </c>
      <c r="FA262" s="336" t="s">
        <v>259</v>
      </c>
      <c r="FB262" s="330" t="s">
        <v>260</v>
      </c>
      <c r="FC262" s="330">
        <v>45796</v>
      </c>
      <c r="FD262" s="330" t="s">
        <v>260</v>
      </c>
      <c r="FE262" s="330">
        <v>45895</v>
      </c>
      <c r="FF262" s="330">
        <v>45916</v>
      </c>
      <c r="FG262" s="330" t="s">
        <v>260</v>
      </c>
      <c r="FH262" s="330" t="s">
        <v>260</v>
      </c>
      <c r="FI262" s="330">
        <v>46013</v>
      </c>
      <c r="FJ262" s="330" t="s">
        <v>260</v>
      </c>
      <c r="FK262" s="330">
        <v>46098</v>
      </c>
      <c r="FL262" s="336" t="s">
        <v>298</v>
      </c>
      <c r="FM262" s="352">
        <v>45796</v>
      </c>
      <c r="FN262" s="338">
        <f>IF(Table1[[#This Row],[Tanggal Pengajuan Dokumen]]="","",Table1[[#This Row],[PLAN PERMIT
start]]-Table1[[#This Row],[Tanggal Pengajuan Dokumen]])</f>
        <v>-21</v>
      </c>
      <c r="FO262" s="437">
        <v>46086</v>
      </c>
      <c r="FP262" s="316"/>
      <c r="FQ262" s="338" t="s">
        <v>923</v>
      </c>
      <c r="FR262" s="338"/>
      <c r="FS262" s="338" t="str">
        <f t="shared" si="14"/>
        <v>On Going</v>
      </c>
      <c r="FT26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2" s="344">
        <f ca="1">IF(Table1[[#This Row],[Status Izin]]="Selesai",Table1[[#This Row],[PLAN PERMIT
finish]]-Table1[[#This Row],[Tanggal Terbit/ Target Izin Terbit]],ROUNDUP(Table1[[#This Row],[PLAN PERMIT
finish]]-NOW(),0))</f>
        <v>-326</v>
      </c>
      <c r="FV26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2" s="344"/>
      <c r="FX262" s="47"/>
      <c r="FY262" s="340"/>
      <c r="FZ262" s="341"/>
      <c r="GA26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2" s="330">
        <v>45839</v>
      </c>
      <c r="GC262" s="352">
        <v>45874</v>
      </c>
      <c r="GD26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2" s="330">
        <v>45846</v>
      </c>
      <c r="GF262" s="352">
        <v>45874</v>
      </c>
      <c r="GG26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2" s="330">
        <v>45852</v>
      </c>
      <c r="GI262" s="330">
        <v>45858</v>
      </c>
      <c r="GJ262" s="352">
        <v>45882</v>
      </c>
      <c r="GK26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2" s="330">
        <v>45866</v>
      </c>
      <c r="GM262" s="330" t="e">
        <v>#N/A</v>
      </c>
      <c r="GN262" s="330">
        <v>46005</v>
      </c>
      <c r="GO262" s="330" t="e">
        <v>#N/A</v>
      </c>
      <c r="GP262" s="330"/>
      <c r="GQ26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2" s="330" t="s">
        <v>261</v>
      </c>
      <c r="GS262" s="330" t="s">
        <v>261</v>
      </c>
      <c r="GT262" s="488" t="s">
        <v>2054</v>
      </c>
      <c r="GU262" s="344" t="str">
        <f>IF(Table1[[#This Row],[Hydro Tes Actual
(tanggal)]]&lt;&gt;"","Sudah","Belum")</f>
        <v>Sudah</v>
      </c>
      <c r="GV262" s="330" t="s">
        <v>261</v>
      </c>
      <c r="GW262" s="330" t="s">
        <v>261</v>
      </c>
      <c r="GX262" s="331"/>
      <c r="GY262" s="344" t="str">
        <f>IF(Table1[[#This Row],[Interkoneksi Actual
(tanggal)]]&lt;&gt;"","Sudah","Belum")</f>
        <v>Belum</v>
      </c>
      <c r="GZ262" s="330" t="s">
        <v>261</v>
      </c>
      <c r="HA262" s="330" t="s">
        <v>261</v>
      </c>
      <c r="HB262" s="331"/>
      <c r="HC262" s="344" t="str">
        <f>IF(Table1[[#This Row],[Flushing Actual
(tanggal)]]&lt;&gt;"","Sudah","Belum")</f>
        <v>Belum</v>
      </c>
      <c r="HD262" s="330">
        <v>45978</v>
      </c>
      <c r="HE262" s="330" t="e">
        <v>#N/A</v>
      </c>
      <c r="HF262" s="330">
        <v>45991</v>
      </c>
      <c r="HG262" s="352"/>
      <c r="HH26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2" s="330" t="s">
        <v>261</v>
      </c>
      <c r="HJ262" s="330" t="s">
        <v>261</v>
      </c>
      <c r="HK262" s="331"/>
      <c r="HL262" s="316"/>
      <c r="HM262" s="330">
        <v>46010</v>
      </c>
      <c r="HN262" s="330">
        <v>46010</v>
      </c>
      <c r="HO262" s="330" t="e">
        <v>#N/A</v>
      </c>
      <c r="HP262" s="331"/>
      <c r="HQ262"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62" s="330">
        <v>46026</v>
      </c>
      <c r="HS262" s="330"/>
      <c r="HT262" s="330">
        <v>46026</v>
      </c>
      <c r="HU262" s="330"/>
      <c r="HV262" s="331"/>
      <c r="HW26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62" s="47"/>
      <c r="HY262" s="352"/>
      <c r="HZ262" s="352"/>
      <c r="IB262" s="618">
        <f>IFERROR(ROUND((Table1[[#This Row],[PLAN TC
finish]]-Table1[[#This Row],[PLAN MC-0
start]])/30,2),"")</f>
        <v>4.63</v>
      </c>
      <c r="IC262">
        <f>DATEDIF(Table1[[#This Row],[PLAN MC-0
start]],Table1[[#This Row],[PLAN TC
finish]],"m")</f>
        <v>4</v>
      </c>
    </row>
    <row r="263" spans="1:237" s="4" customFormat="1" ht="15" hidden="1" customHeight="1" x14ac:dyDescent="0.2">
      <c r="B263" s="311">
        <f>SUBTOTAL(3,$D$5:D263)</f>
        <v>84</v>
      </c>
      <c r="C263" s="316">
        <v>259</v>
      </c>
      <c r="D263" s="338" t="s">
        <v>244</v>
      </c>
      <c r="E263" s="338" t="s">
        <v>2055</v>
      </c>
      <c r="F263" s="338" t="s">
        <v>2056</v>
      </c>
      <c r="G263" s="349">
        <v>46117</v>
      </c>
      <c r="H263" s="314" t="s">
        <v>681</v>
      </c>
      <c r="I263" s="338" t="s">
        <v>278</v>
      </c>
      <c r="J263" s="480" t="s">
        <v>2047</v>
      </c>
      <c r="K263" s="338" t="s">
        <v>1165</v>
      </c>
      <c r="L263" s="316" t="s">
        <v>250</v>
      </c>
      <c r="M263" s="355" t="s">
        <v>269</v>
      </c>
      <c r="N263" s="107">
        <v>1162</v>
      </c>
      <c r="O263" s="131" t="s">
        <v>252</v>
      </c>
      <c r="P26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3" s="35">
        <v>0.99999999999999967</v>
      </c>
      <c r="S263" s="34">
        <v>1</v>
      </c>
      <c r="T263" s="34">
        <f>Table1[[#This Row],[Progres Total Aktual
(%)]]</f>
        <v>0.27681160346985301</v>
      </c>
      <c r="U263" s="98">
        <f>Table1[[#This Row],[Progres Aktual
(%)]]-Table1[[#This Row],[Target Progres
(%)]]</f>
        <v>-0.72318839653014699</v>
      </c>
      <c r="V263" s="80">
        <f>Table1[[#This Row],["Volume
BA MC-0"]]</f>
        <v>1162</v>
      </c>
      <c r="W263" s="46">
        <f>Table1[[#This Row],[Total Panjang Pipa Aktual
(Sum-&gt;)3]]</f>
        <v>300</v>
      </c>
      <c r="X263" s="47"/>
      <c r="Y263" s="67" t="s">
        <v>2057</v>
      </c>
      <c r="Z263" s="67">
        <v>17702853748</v>
      </c>
      <c r="AA263" s="67">
        <f>ROUND((Table1[[#This Row],[Nilai RAB Jaringan
(Exclude Ppn)]]-Table1[[#This Row],[RAB Perizinan]])*1.11+Table1[[#This Row],[RAB Perizinan]],0)</f>
        <v>17702853748</v>
      </c>
      <c r="AB263" s="486">
        <f>SUM(Table1[[#This Row],[RAB Kegiatan Umum]:[RAB Perizinan]])</f>
        <v>15951371340.479988</v>
      </c>
      <c r="AC263" s="436">
        <v>867193543</v>
      </c>
      <c r="AD263" s="436">
        <v>8671935424.6799889</v>
      </c>
      <c r="AE263" s="436">
        <v>6383438372.8000002</v>
      </c>
      <c r="AF263" s="436">
        <v>28804000</v>
      </c>
      <c r="AG263" s="483">
        <v>0</v>
      </c>
      <c r="AH263" s="33">
        <f>SUM(Table1[[#This Row],[Bobot Keg Umum]:[Bobot Perizinan]])</f>
        <v>1</v>
      </c>
      <c r="AI263" s="33">
        <f>Table1[[#This Row],[RAB Kegiatan Umum]]/Table1[[#This Row],[Nilai RAB Jaringan
(Exclude Ppn)]]</f>
        <v>5.436482697881357E-2</v>
      </c>
      <c r="AJ263" s="33">
        <f>Table1[[#This Row],[RAB Pemasangan]]/Table1[[#This Row],[Nilai RAB Jaringan
(Exclude Ppn)]]</f>
        <v>0.5436482694546213</v>
      </c>
      <c r="AK263" s="33">
        <f>Table1[[#This Row],[RAB Pengadaan]]/Table1[[#This Row],[Nilai RAB Jaringan
(Exclude Ppn)]]</f>
        <v>0.40018116540241727</v>
      </c>
      <c r="AL263" s="33">
        <f>Table1[[#This Row],[RAB Perizinan]]/Table1[[#This Row],[Nilai RAB Jaringan
(Exclude Ppn)]]</f>
        <v>1.805738164147915E-3</v>
      </c>
      <c r="AM263" s="47"/>
      <c r="AN263" s="285">
        <v>1162</v>
      </c>
      <c r="AO263" s="285">
        <f>SUM(Table1[[#This Row],[Pipa 63 mm]:[Pipa 1,800 mm]])</f>
        <v>0</v>
      </c>
      <c r="AP263" s="285"/>
      <c r="AQ263" s="285"/>
      <c r="AR263" s="285"/>
      <c r="AS263" s="285"/>
      <c r="AT263" s="285"/>
      <c r="AU263" s="285"/>
      <c r="AV263" s="285"/>
      <c r="AW263" s="285"/>
      <c r="AX263" s="285"/>
      <c r="AY263" s="285"/>
      <c r="AZ263" s="285"/>
      <c r="BA263" s="285"/>
      <c r="BB263" s="285"/>
      <c r="BC263" s="285"/>
      <c r="BD263" s="285"/>
      <c r="BE263" s="285"/>
      <c r="BF263" s="285"/>
      <c r="BG263" s="285"/>
      <c r="BH263" s="285"/>
      <c r="BI263" s="285"/>
      <c r="BJ263" s="36">
        <f>SUM(Table1[[#This Row],[Pipa 63 mm2]:[Pipa 1,800 mm21]])</f>
        <v>300</v>
      </c>
      <c r="BK263" s="32"/>
      <c r="BL263" s="32"/>
      <c r="BM263" s="32"/>
      <c r="BN263" s="32"/>
      <c r="BO263" s="32"/>
      <c r="BP263" s="32"/>
      <c r="BQ263" s="32">
        <v>42</v>
      </c>
      <c r="BR263" s="32"/>
      <c r="BS263" s="32"/>
      <c r="BT263" s="32">
        <v>258</v>
      </c>
      <c r="BU263" s="32"/>
      <c r="BV263" s="32"/>
      <c r="BW263" s="32"/>
      <c r="BX263" s="32"/>
      <c r="BY263" s="32"/>
      <c r="BZ263" s="32"/>
      <c r="CA263" s="32"/>
      <c r="CB263" s="32"/>
      <c r="CC263" s="32"/>
      <c r="CD263" s="32"/>
      <c r="CE263" s="32">
        <v>0</v>
      </c>
      <c r="CF263" s="32"/>
      <c r="CG263" s="32"/>
      <c r="CH263" s="32"/>
      <c r="CI263" s="32">
        <f t="shared" si="13"/>
        <v>0</v>
      </c>
      <c r="CJ263" s="65">
        <f>IF((Table1[[#This Row],["Volume
BA MC-0"]]-Table1[[#This Row],[Total Panjang Pipa Aktual
(Sum-&gt;)3]]-Table1[[#This Row],[Total Volume
tidak dapat dipasang]])&gt;=0,Table1[[#This Row],["Volume
BA MC-0"]]-Table1[[#This Row],[Total Panjang Pipa Aktual
(Sum-&gt;)3]]-Table1[[#This Row],[Total Volume
tidak dapat dipasang]],0)</f>
        <v>862</v>
      </c>
      <c r="CK263" s="47"/>
      <c r="CL263" s="35" t="s">
        <v>1821</v>
      </c>
      <c r="CM263" s="35" t="s">
        <v>1821</v>
      </c>
      <c r="CN263" s="35" t="s">
        <v>1821</v>
      </c>
      <c r="CO263" s="35" t="s">
        <v>1821</v>
      </c>
      <c r="CP26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0.27681160346985301</v>
      </c>
      <c r="CQ263" s="66">
        <f>IFERROR(Table1[[#This Row],[Progres Keg. Umum
(%)]]*Table1[[#This Row],[Nilai RAB Jaringan
(file pa aji)]],0)</f>
        <v>0</v>
      </c>
      <c r="CR263" s="66">
        <f>IFERROR(Table1[[#This Row],[Progres MOS
(%)]]*Table1[[#This Row],[Nilai RAB Jaringan
(file pa aji)]],0)</f>
        <v>0</v>
      </c>
      <c r="CS263" s="66">
        <f>IFERROR(Table1[[#This Row],[Progres Pemasangan
(%)]]*Table1[[#This Row],[Nilai RAB Jaringan
(file pa aji)]],0)</f>
        <v>0</v>
      </c>
      <c r="CT263" s="66">
        <f>IFERROR(Table1[[#This Row],[Progres Perizinan
(%)]]*Table1[[#This Row],[Nilai RAB Jaringan
(file pa aji)]],0)</f>
        <v>0</v>
      </c>
      <c r="CU263" s="329">
        <v>4900355331.9761772</v>
      </c>
      <c r="CV263" s="329">
        <v>4900355331.9761772</v>
      </c>
      <c r="CW263" s="583">
        <v>0</v>
      </c>
      <c r="CX263" s="329">
        <v>0</v>
      </c>
      <c r="CY263" s="47"/>
      <c r="CZ263" s="330">
        <v>45747</v>
      </c>
      <c r="DA263" s="330">
        <v>45774</v>
      </c>
      <c r="DB263" s="331">
        <v>45722</v>
      </c>
      <c r="DC263" s="316" t="s">
        <v>2058</v>
      </c>
      <c r="DD263" s="67">
        <v>17702853748</v>
      </c>
      <c r="DE26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3" s="331">
        <v>45734</v>
      </c>
      <c r="DG263" s="316" t="s">
        <v>2059</v>
      </c>
      <c r="DH263" s="67">
        <v>17702853748</v>
      </c>
      <c r="DI26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3" s="330">
        <v>45775</v>
      </c>
      <c r="DK263" s="330">
        <v>45816</v>
      </c>
      <c r="DL263" s="331">
        <v>45772</v>
      </c>
      <c r="DM263" s="316" t="s">
        <v>2060</v>
      </c>
      <c r="DN26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3" s="331">
        <v>45845</v>
      </c>
      <c r="DP263" s="316" t="s">
        <v>2061</v>
      </c>
      <c r="DQ263" s="338" t="s">
        <v>371</v>
      </c>
      <c r="DR26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3" s="330">
        <v>45775</v>
      </c>
      <c r="DT263" s="330" t="e">
        <v>#N/A</v>
      </c>
      <c r="DU263" s="330">
        <v>45816</v>
      </c>
      <c r="DV263" s="330" t="e">
        <v>#N/A</v>
      </c>
      <c r="DW263" s="331">
        <v>45772</v>
      </c>
      <c r="DX263" s="316" t="s">
        <v>2062</v>
      </c>
      <c r="DY263" s="332">
        <v>77</v>
      </c>
      <c r="DZ263" s="334">
        <v>77</v>
      </c>
      <c r="EA26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3" s="331">
        <v>46098</v>
      </c>
      <c r="EC263" s="332">
        <v>72</v>
      </c>
      <c r="ED263" s="332">
        <v>72</v>
      </c>
      <c r="EE263" s="330"/>
      <c r="EF263" s="35">
        <v>0.93506493506493504</v>
      </c>
      <c r="EG263" s="35">
        <f>Table1[[#This Row],[Line PO (kolom  bantu)2]]/Table1[[#This Row],[Line PR]]</f>
        <v>0.93506493506493504</v>
      </c>
      <c r="EH263" s="316" t="str">
        <f>IF(Table1[[#This Row],[PO Material Aktual 
(%)]]&gt;=100%,"Selesai PO = 100%",IF(Table1[[#This Row],[PO Material Aktual 
(%)]]&gt;=50%,"Proses PO &gt; 100%",IF(Table1[[#This Row],[PO Material Aktual 
(%)]]&gt;0%,"Proses PO &gt; 50%",IF(Table1[[#This Row],[PO Material Aktual 
(%)]]=0,"Belum PO = 0%"))))</f>
        <v>Proses PO &gt; 100%</v>
      </c>
      <c r="EI26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3" s="330">
        <v>45817</v>
      </c>
      <c r="EK263" s="330" t="e">
        <v>#N/A</v>
      </c>
      <c r="EL263" s="330">
        <v>45928</v>
      </c>
      <c r="EM263" s="330" t="e">
        <v>#N/A</v>
      </c>
      <c r="EN263" s="331">
        <v>46119</v>
      </c>
      <c r="EO263" s="332">
        <v>69</v>
      </c>
      <c r="EP263" s="316">
        <v>69</v>
      </c>
      <c r="EQ263" s="35">
        <v>0.89610389610389607</v>
      </c>
      <c r="ER263" s="35">
        <f>Table1[[#This Row],[Line MOS]]/Table1[[#This Row],[Line PR]]</f>
        <v>0.89610389610389607</v>
      </c>
      <c r="ES263" s="316" t="str">
        <f>IF(Table1[[#This Row],[Progres MOS]]&gt;=100%,"Selesai MOS = 100%",IF(Table1[[#This Row],[Progres MOS]]&gt;=50%,"Proses MOS &gt; 100%",IF(Table1[[#This Row],[Progres MOS]]&gt;0%,"Proses MOS &gt; 50%",IF(Table1[[#This Row],[Progres MOS]]=0,"Belum MOS = 0%"))))</f>
        <v>Proses MOS &gt; 100%</v>
      </c>
      <c r="ET26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3" s="47"/>
      <c r="EV263" s="330">
        <v>45775</v>
      </c>
      <c r="EW263" s="330" t="e">
        <v>#N/A</v>
      </c>
      <c r="EX263" s="330">
        <v>45865</v>
      </c>
      <c r="EY263" s="330" t="e">
        <v>#N/A</v>
      </c>
      <c r="EZ263" s="352" t="s">
        <v>298</v>
      </c>
      <c r="FA263" s="336" t="s">
        <v>259</v>
      </c>
      <c r="FB263" s="330" t="s">
        <v>260</v>
      </c>
      <c r="FC263" s="330">
        <v>45796</v>
      </c>
      <c r="FD263" s="330" t="s">
        <v>260</v>
      </c>
      <c r="FE263" s="330">
        <v>45895</v>
      </c>
      <c r="FF263" s="330">
        <v>45916</v>
      </c>
      <c r="FG263" s="330" t="s">
        <v>260</v>
      </c>
      <c r="FH263" s="330" t="s">
        <v>260</v>
      </c>
      <c r="FI263" s="330">
        <v>46013</v>
      </c>
      <c r="FJ263" s="330" t="s">
        <v>260</v>
      </c>
      <c r="FK263" s="330">
        <v>46113</v>
      </c>
      <c r="FL263" s="336" t="s">
        <v>298</v>
      </c>
      <c r="FM263" s="352">
        <v>45796</v>
      </c>
      <c r="FN263" s="338">
        <f>IF(Table1[[#This Row],[Tanggal Pengajuan Dokumen]]="","",Table1[[#This Row],[PLAN PERMIT
start]]-Table1[[#This Row],[Tanggal Pengajuan Dokumen]])</f>
        <v>-21</v>
      </c>
      <c r="FO263" s="437">
        <v>46086</v>
      </c>
      <c r="FP263" s="316" t="s">
        <v>172</v>
      </c>
      <c r="FQ263" s="338"/>
      <c r="FR263" s="338"/>
      <c r="FS263" s="338" t="str">
        <f t="shared" si="14"/>
        <v>On Going</v>
      </c>
      <c r="FT26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3" s="344">
        <f ca="1">IF(Table1[[#This Row],[Status Izin]]="Selesai",Table1[[#This Row],[PLAN PERMIT
finish]]-Table1[[#This Row],[Tanggal Terbit/ Target Izin Terbit]],ROUNDUP(Table1[[#This Row],[PLAN PERMIT
finish]]-NOW(),0))</f>
        <v>-326</v>
      </c>
      <c r="FV26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3" s="344"/>
      <c r="FX263" s="47"/>
      <c r="FY263" s="340"/>
      <c r="FZ263" s="341"/>
      <c r="GA26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3" s="330">
        <v>45839</v>
      </c>
      <c r="GC263" s="352">
        <v>45874</v>
      </c>
      <c r="GD26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3" s="330">
        <v>45846</v>
      </c>
      <c r="GF263" s="352">
        <v>45874</v>
      </c>
      <c r="GG26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3" s="330">
        <v>45852</v>
      </c>
      <c r="GI263" s="330">
        <v>45858</v>
      </c>
      <c r="GJ263" s="352">
        <v>45884</v>
      </c>
      <c r="GK26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3" s="330">
        <v>45866</v>
      </c>
      <c r="GM263" s="330" t="e">
        <v>#N/A</v>
      </c>
      <c r="GN263" s="330">
        <v>46005</v>
      </c>
      <c r="GO263" s="330" t="e">
        <v>#N/A</v>
      </c>
      <c r="GP263" s="330"/>
      <c r="GQ26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3" s="330" t="s">
        <v>261</v>
      </c>
      <c r="GS263" s="330" t="s">
        <v>261</v>
      </c>
      <c r="GT263" s="354"/>
      <c r="GU263" s="344" t="str">
        <f>IF(Table1[[#This Row],[Hydro Tes Actual
(tanggal)]]&lt;&gt;"","Sudah","Belum")</f>
        <v>Belum</v>
      </c>
      <c r="GV263" s="330" t="s">
        <v>261</v>
      </c>
      <c r="GW263" s="330" t="s">
        <v>261</v>
      </c>
      <c r="GX263" s="331"/>
      <c r="GY263" s="344" t="str">
        <f>IF(Table1[[#This Row],[Interkoneksi Actual
(tanggal)]]&lt;&gt;"","Sudah","Belum")</f>
        <v>Belum</v>
      </c>
      <c r="GZ263" s="330" t="s">
        <v>261</v>
      </c>
      <c r="HA263" s="330" t="s">
        <v>261</v>
      </c>
      <c r="HB263" s="331"/>
      <c r="HC263" s="344" t="str">
        <f>IF(Table1[[#This Row],[Flushing Actual
(tanggal)]]&lt;&gt;"","Sudah","Belum")</f>
        <v>Belum</v>
      </c>
      <c r="HD263" s="330">
        <v>45978</v>
      </c>
      <c r="HE263" s="330" t="e">
        <v>#N/A</v>
      </c>
      <c r="HF263" s="330">
        <v>45991</v>
      </c>
      <c r="HG263" s="352"/>
      <c r="HH26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3" s="330" t="s">
        <v>261</v>
      </c>
      <c r="HJ263" s="330" t="s">
        <v>261</v>
      </c>
      <c r="HK263" s="331"/>
      <c r="HL263" s="316"/>
      <c r="HM263" s="330">
        <v>46010</v>
      </c>
      <c r="HN263" s="330">
        <v>46010</v>
      </c>
      <c r="HO263" s="330" t="e">
        <v>#N/A</v>
      </c>
      <c r="HP263" s="331"/>
      <c r="HQ26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63" s="330">
        <v>46026</v>
      </c>
      <c r="HS263" s="330"/>
      <c r="HT263" s="330">
        <v>46026</v>
      </c>
      <c r="HU263" s="330"/>
      <c r="HV263" s="331"/>
      <c r="HW26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63" s="47"/>
      <c r="HY263" s="352"/>
      <c r="HZ263" s="352"/>
      <c r="IB263" s="618">
        <f>IFERROR(ROUND((Table1[[#This Row],[PLAN TC
finish]]-Table1[[#This Row],[PLAN MC-0
start]])/30,2),"")</f>
        <v>4.63</v>
      </c>
      <c r="IC263">
        <f>DATEDIF(Table1[[#This Row],[PLAN MC-0
start]],Table1[[#This Row],[PLAN TC
finish]],"m")</f>
        <v>4</v>
      </c>
    </row>
    <row r="264" spans="1:237" s="4" customFormat="1" ht="15" hidden="1" customHeight="1" x14ac:dyDescent="0.2">
      <c r="B264" s="311">
        <f>SUBTOTAL(3,$D$5:D264)</f>
        <v>84</v>
      </c>
      <c r="C264" s="316">
        <v>260</v>
      </c>
      <c r="D264" s="338" t="s">
        <v>244</v>
      </c>
      <c r="E264" s="338" t="s">
        <v>2063</v>
      </c>
      <c r="F264" s="338" t="s">
        <v>2064</v>
      </c>
      <c r="G264" s="349">
        <v>46117</v>
      </c>
      <c r="H264" s="314" t="s">
        <v>681</v>
      </c>
      <c r="I264" s="338" t="s">
        <v>248</v>
      </c>
      <c r="J264" s="480" t="s">
        <v>2047</v>
      </c>
      <c r="K264" s="338" t="s">
        <v>1165</v>
      </c>
      <c r="L264" s="316" t="s">
        <v>250</v>
      </c>
      <c r="M264" s="355" t="s">
        <v>269</v>
      </c>
      <c r="N264" s="107">
        <v>18</v>
      </c>
      <c r="O264" s="131" t="s">
        <v>252</v>
      </c>
      <c r="P26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264" s="35">
        <v>1.0000000000000002</v>
      </c>
      <c r="S264" s="34">
        <v>1</v>
      </c>
      <c r="T264" s="34">
        <f>Table1[[#This Row],[Progres Total Aktual
(%)]]</f>
        <v>0.2549812032629471</v>
      </c>
      <c r="U264" s="98">
        <f>Table1[[#This Row],[Progres Aktual
(%)]]-Table1[[#This Row],[Target Progres
(%)]]</f>
        <v>-0.74501879673705296</v>
      </c>
      <c r="V264" s="80">
        <f>Table1[[#This Row],["Volume
BA MC-0"]]</f>
        <v>0</v>
      </c>
      <c r="W264" s="46">
        <f>Table1[[#This Row],[Total Panjang Pipa Aktual
(Sum-&gt;)3]]</f>
        <v>0</v>
      </c>
      <c r="X264" s="47"/>
      <c r="Y264" s="67" t="s">
        <v>2065</v>
      </c>
      <c r="Z264" s="67">
        <v>983838843</v>
      </c>
      <c r="AA264" s="67">
        <f>ROUND((Table1[[#This Row],[Nilai RAB Jaringan
(Exclude Ppn)]]-Table1[[#This Row],[RAB Perizinan]])*1.11+Table1[[#This Row],[RAB Perizinan]],0)</f>
        <v>983838842</v>
      </c>
      <c r="AB264" s="486">
        <f>SUM(Table1[[#This Row],[RAB Kegiatan Umum]:[RAB Perizinan]])</f>
        <v>886376975</v>
      </c>
      <c r="AC264" s="436">
        <v>7965964</v>
      </c>
      <c r="AD264" s="436">
        <v>159319267</v>
      </c>
      <c r="AE264" s="436">
        <v>718731744</v>
      </c>
      <c r="AF264" s="436">
        <v>360000</v>
      </c>
      <c r="AG264" s="483">
        <v>0</v>
      </c>
      <c r="AH264" s="33">
        <f>SUM(Table1[[#This Row],[Bobot Keg Umum]:[Bobot Perizinan]])</f>
        <v>1</v>
      </c>
      <c r="AI264" s="33">
        <f>Table1[[#This Row],[RAB Kegiatan Umum]]/Table1[[#This Row],[Nilai RAB Jaringan
(Exclude Ppn)]]</f>
        <v>8.987106191471186E-3</v>
      </c>
      <c r="AJ264" s="33">
        <f>Table1[[#This Row],[RAB Pemasangan]]/Table1[[#This Row],[Nilai RAB Jaringan
(Exclude Ppn)]]</f>
        <v>0.17974210916297775</v>
      </c>
      <c r="AK264" s="33">
        <f>Table1[[#This Row],[RAB Pengadaan]]/Table1[[#This Row],[Nilai RAB Jaringan
(Exclude Ppn)]]</f>
        <v>0.81086463691139987</v>
      </c>
      <c r="AL264" s="33">
        <f>Table1[[#This Row],[RAB Perizinan]]/Table1[[#This Row],[Nilai RAB Jaringan
(Exclude Ppn)]]</f>
        <v>4.0614773415114942E-4</v>
      </c>
      <c r="AM264" s="47"/>
      <c r="AN264" s="285"/>
      <c r="AO264" s="285">
        <f>SUM(Table1[[#This Row],[Pipa 63 mm]:[Pipa 1,800 mm]])</f>
        <v>0</v>
      </c>
      <c r="AP264" s="285"/>
      <c r="AQ264" s="285"/>
      <c r="AR264" s="285"/>
      <c r="AS264" s="285"/>
      <c r="AT264" s="285"/>
      <c r="AU264" s="285"/>
      <c r="AV264" s="285"/>
      <c r="AW264" s="285"/>
      <c r="AX264" s="285"/>
      <c r="AY264" s="285"/>
      <c r="AZ264" s="285"/>
      <c r="BA264" s="285"/>
      <c r="BB264" s="285"/>
      <c r="BC264" s="285"/>
      <c r="BD264" s="285"/>
      <c r="BE264" s="285"/>
      <c r="BF264" s="285"/>
      <c r="BG264" s="285"/>
      <c r="BH264" s="285"/>
      <c r="BI264" s="285"/>
      <c r="BJ264" s="36">
        <f>SUM(Table1[[#This Row],[Pipa 63 mm2]:[Pipa 1,800 mm21]])</f>
        <v>0</v>
      </c>
      <c r="BK264" s="32"/>
      <c r="BL264" s="32"/>
      <c r="BM264" s="32"/>
      <c r="BN264" s="32"/>
      <c r="BO264" s="32"/>
      <c r="BP264" s="32"/>
      <c r="BQ264" s="32"/>
      <c r="BR264" s="32"/>
      <c r="BS264" s="32"/>
      <c r="BT264" s="32"/>
      <c r="BU264" s="32"/>
      <c r="BV264" s="32"/>
      <c r="BW264" s="32"/>
      <c r="BX264" s="32"/>
      <c r="BY264" s="32"/>
      <c r="BZ264" s="32"/>
      <c r="CA264" s="32"/>
      <c r="CB264" s="32"/>
      <c r="CC264" s="32"/>
      <c r="CD264" s="32"/>
      <c r="CE264" s="32">
        <v>0</v>
      </c>
      <c r="CF264" s="32"/>
      <c r="CG264" s="32"/>
      <c r="CH264" s="32"/>
      <c r="CI264" s="32">
        <f t="shared" si="13"/>
        <v>0</v>
      </c>
      <c r="CJ264" s="65">
        <f>IF((Table1[[#This Row],["Volume
BA MC-0"]]-Table1[[#This Row],[Total Panjang Pipa Aktual
(Sum-&gt;)3]]-Table1[[#This Row],[Total Volume
tidak dapat dipasang]])&gt;=0,Table1[[#This Row],["Volume
BA MC-0"]]-Table1[[#This Row],[Total Panjang Pipa Aktual
(Sum-&gt;)3]]-Table1[[#This Row],[Total Volume
tidak dapat dipasang]],0)</f>
        <v>0</v>
      </c>
      <c r="CK264" s="47"/>
      <c r="CL264" s="484" t="s">
        <v>1821</v>
      </c>
      <c r="CM264" s="34" t="s">
        <v>1821</v>
      </c>
      <c r="CN264" s="484" t="s">
        <v>1821</v>
      </c>
      <c r="CO264" s="484" t="s">
        <v>1821</v>
      </c>
      <c r="CP26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0.2549812032629471</v>
      </c>
      <c r="CQ264" s="66">
        <f>IFERROR(Table1[[#This Row],[Progres Keg. Umum
(%)]]*Table1[[#This Row],[Nilai RAB Jaringan
(file pa aji)]],0)</f>
        <v>0</v>
      </c>
      <c r="CR264" s="66">
        <f>IFERROR(Table1[[#This Row],[Progres MOS
(%)]]*Table1[[#This Row],[Nilai RAB Jaringan
(file pa aji)]],0)</f>
        <v>0</v>
      </c>
      <c r="CS264" s="66">
        <f>IFERROR(Table1[[#This Row],[Progres Pemasangan
(%)]]*Table1[[#This Row],[Nilai RAB Jaringan
(file pa aji)]],0)</f>
        <v>0</v>
      </c>
      <c r="CT264" s="66">
        <f>IFERROR(Table1[[#This Row],[Progres Perizinan
(%)]]*Table1[[#This Row],[Nilai RAB Jaringan
(file pa aji)]],0)</f>
        <v>0</v>
      </c>
      <c r="CU264" s="329">
        <v>250860411.7499845</v>
      </c>
      <c r="CV264" s="329">
        <v>250860411.7499845</v>
      </c>
      <c r="CW264" s="583">
        <v>0</v>
      </c>
      <c r="CX264" s="329">
        <v>0</v>
      </c>
      <c r="CY264" s="47"/>
      <c r="CZ264" s="330">
        <v>45838</v>
      </c>
      <c r="DA264" s="330">
        <v>45865</v>
      </c>
      <c r="DB264" s="331">
        <v>45797</v>
      </c>
      <c r="DC264" s="316" t="s">
        <v>2066</v>
      </c>
      <c r="DD264" s="67">
        <v>983838843</v>
      </c>
      <c r="DE26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4" s="331">
        <v>45803</v>
      </c>
      <c r="DG264" s="316" t="s">
        <v>2067</v>
      </c>
      <c r="DH264" s="67">
        <v>983838843</v>
      </c>
      <c r="DI26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4" s="330">
        <v>45866</v>
      </c>
      <c r="DK264" s="330">
        <v>45928</v>
      </c>
      <c r="DL264" s="331">
        <v>45842</v>
      </c>
      <c r="DM264" s="316" t="s">
        <v>2068</v>
      </c>
      <c r="DN26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4" s="331">
        <v>45884</v>
      </c>
      <c r="DP264" s="316" t="s">
        <v>2052</v>
      </c>
      <c r="DQ264" s="338" t="s">
        <v>275</v>
      </c>
      <c r="DR26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4" s="330">
        <v>45866</v>
      </c>
      <c r="DT264" s="330" t="e">
        <v>#N/A</v>
      </c>
      <c r="DU264" s="330">
        <v>45928</v>
      </c>
      <c r="DV264" s="330" t="e">
        <v>#N/A</v>
      </c>
      <c r="DW264" s="331">
        <v>45841</v>
      </c>
      <c r="DX264" s="316" t="s">
        <v>2069</v>
      </c>
      <c r="DY264" s="332">
        <v>32</v>
      </c>
      <c r="DZ264" s="334">
        <v>32</v>
      </c>
      <c r="EA26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4" s="331">
        <v>46125</v>
      </c>
      <c r="EC264" s="332">
        <v>24</v>
      </c>
      <c r="ED264" s="332">
        <v>24</v>
      </c>
      <c r="EE264" s="330"/>
      <c r="EF264" s="35">
        <v>0.75</v>
      </c>
      <c r="EG264" s="35">
        <f>Table1[[#This Row],[Line PO (kolom  bantu)2]]/Table1[[#This Row],[Line PR]]</f>
        <v>0.75</v>
      </c>
      <c r="EH264" s="316" t="str">
        <f>IF(Table1[[#This Row],[PO Material Aktual 
(%)]]&gt;=100%,"Selesai PO = 100%",IF(Table1[[#This Row],[PO Material Aktual 
(%)]]&gt;=50%,"Proses PO &gt; 100%",IF(Table1[[#This Row],[PO Material Aktual 
(%)]]&gt;0%,"Proses PO &gt; 50%",IF(Table1[[#This Row],[PO Material Aktual 
(%)]]=0,"Belum PO = 0%"))))</f>
        <v>Proses PO &gt; 100%</v>
      </c>
      <c r="EI26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4" s="330">
        <v>45929</v>
      </c>
      <c r="EK264" s="330" t="e">
        <v>#N/A</v>
      </c>
      <c r="EL264" s="330">
        <v>45977</v>
      </c>
      <c r="EM264" s="330" t="e">
        <v>#N/A</v>
      </c>
      <c r="EN264" s="331">
        <v>46106</v>
      </c>
      <c r="EO264" s="332">
        <v>21</v>
      </c>
      <c r="EP264" s="316">
        <v>21</v>
      </c>
      <c r="EQ264" s="35">
        <v>0.65625</v>
      </c>
      <c r="ER264" s="35">
        <f>Table1[[#This Row],[Line MOS]]/Table1[[#This Row],[Line PR]]</f>
        <v>0.65625</v>
      </c>
      <c r="ES264" s="316" t="str">
        <f>IF(Table1[[#This Row],[Progres MOS]]&gt;=100%,"Selesai MOS = 100%",IF(Table1[[#This Row],[Progres MOS]]&gt;=50%,"Proses MOS &gt; 100%",IF(Table1[[#This Row],[Progres MOS]]&gt;0%,"Proses MOS &gt; 50%",IF(Table1[[#This Row],[Progres MOS]]=0,"Belum MOS = 0%"))))</f>
        <v>Proses MOS &gt; 100%</v>
      </c>
      <c r="ET26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4" s="47"/>
      <c r="EV264" s="330">
        <v>45866</v>
      </c>
      <c r="EW264" s="330" t="e">
        <v>#N/A</v>
      </c>
      <c r="EX264" s="330">
        <v>45956</v>
      </c>
      <c r="EY264" s="330" t="e">
        <v>#N/A</v>
      </c>
      <c r="EZ264" s="352" t="s">
        <v>298</v>
      </c>
      <c r="FA264" s="336" t="s">
        <v>259</v>
      </c>
      <c r="FB264" s="330" t="s">
        <v>260</v>
      </c>
      <c r="FC264" s="330">
        <v>45796</v>
      </c>
      <c r="FD264" s="330" t="s">
        <v>260</v>
      </c>
      <c r="FE264" s="330">
        <v>45895</v>
      </c>
      <c r="FF264" s="330">
        <v>45916</v>
      </c>
      <c r="FG264" s="330" t="s">
        <v>260</v>
      </c>
      <c r="FH264" s="330" t="s">
        <v>260</v>
      </c>
      <c r="FI264" s="330">
        <v>46013</v>
      </c>
      <c r="FJ264" s="330" t="s">
        <v>260</v>
      </c>
      <c r="FK264" s="330">
        <v>46098</v>
      </c>
      <c r="FL264" s="336" t="s">
        <v>298</v>
      </c>
      <c r="FM264" s="352">
        <v>45796</v>
      </c>
      <c r="FN264" s="338">
        <f>IF(Table1[[#This Row],[Tanggal Pengajuan Dokumen]]="","",Table1[[#This Row],[PLAN PERMIT
start]]-Table1[[#This Row],[Tanggal Pengajuan Dokumen]])</f>
        <v>70</v>
      </c>
      <c r="FO264" s="437">
        <v>46086</v>
      </c>
      <c r="FP264" s="316"/>
      <c r="FQ264" s="338"/>
      <c r="FR264" s="338"/>
      <c r="FS264" s="338" t="str">
        <f t="shared" si="14"/>
        <v>Sudah Terbit</v>
      </c>
      <c r="FT26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4" s="344">
        <f ca="1">IF(Table1[[#This Row],[Status Izin]]="Selesai",Table1[[#This Row],[PLAN PERMIT
finish]]-Table1[[#This Row],[Tanggal Terbit/ Target Izin Terbit]],ROUNDUP(Table1[[#This Row],[PLAN PERMIT
finish]]-NOW(),0))</f>
        <v>-130</v>
      </c>
      <c r="FV26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4" s="344"/>
      <c r="FX264" s="47"/>
      <c r="FY264" s="340"/>
      <c r="FZ264" s="341">
        <v>46051</v>
      </c>
      <c r="GA26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64" s="330">
        <v>45930</v>
      </c>
      <c r="GC264" s="352">
        <v>45874</v>
      </c>
      <c r="GD26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4" s="330">
        <v>45937</v>
      </c>
      <c r="GF264" s="352">
        <v>45874</v>
      </c>
      <c r="GG26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4" s="330">
        <v>45943</v>
      </c>
      <c r="GI264" s="330">
        <v>45949</v>
      </c>
      <c r="GJ264" s="352">
        <v>46059</v>
      </c>
      <c r="GK26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4" s="330">
        <v>45957</v>
      </c>
      <c r="GM264" s="330" t="e">
        <v>#N/A</v>
      </c>
      <c r="GN264" s="330">
        <v>46005</v>
      </c>
      <c r="GO264" s="330" t="e">
        <v>#N/A</v>
      </c>
      <c r="GP264" s="330"/>
      <c r="GQ26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4" s="330" t="s">
        <v>261</v>
      </c>
      <c r="GS264" s="330" t="s">
        <v>261</v>
      </c>
      <c r="GT264" s="354"/>
      <c r="GU264" s="344" t="str">
        <f>IF(Table1[[#This Row],[Hydro Tes Actual
(tanggal)]]&lt;&gt;"","Sudah","Belum")</f>
        <v>Belum</v>
      </c>
      <c r="GV264" s="330" t="s">
        <v>261</v>
      </c>
      <c r="GW264" s="330" t="s">
        <v>261</v>
      </c>
      <c r="GX264" s="331"/>
      <c r="GY264" s="344" t="str">
        <f>IF(Table1[[#This Row],[Interkoneksi Actual
(tanggal)]]&lt;&gt;"","Sudah","Belum")</f>
        <v>Belum</v>
      </c>
      <c r="GZ264" s="330" t="s">
        <v>261</v>
      </c>
      <c r="HA264" s="330" t="s">
        <v>261</v>
      </c>
      <c r="HB264" s="331"/>
      <c r="HC264" s="344" t="str">
        <f>IF(Table1[[#This Row],[Flushing Actual
(tanggal)]]&lt;&gt;"","Sudah","Belum")</f>
        <v>Belum</v>
      </c>
      <c r="HD264" s="330">
        <v>45985</v>
      </c>
      <c r="HE264" s="330" t="e">
        <v>#N/A</v>
      </c>
      <c r="HF264" s="330">
        <v>45998</v>
      </c>
      <c r="HG264" s="352"/>
      <c r="HH26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4" s="330" t="s">
        <v>261</v>
      </c>
      <c r="HJ264" s="330" t="s">
        <v>261</v>
      </c>
      <c r="HK264" s="331"/>
      <c r="HL264" s="316"/>
      <c r="HM264" s="330">
        <v>46010</v>
      </c>
      <c r="HN264" s="330">
        <v>46010</v>
      </c>
      <c r="HO264" s="330" t="e">
        <v>#N/A</v>
      </c>
      <c r="HP264" s="331"/>
      <c r="HQ264"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64" s="330">
        <v>46017</v>
      </c>
      <c r="HS264" s="330"/>
      <c r="HT264" s="330">
        <v>46017</v>
      </c>
      <c r="HU264" s="330"/>
      <c r="HV264" s="331"/>
      <c r="HW26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64" s="47"/>
      <c r="HY264" s="352"/>
      <c r="HZ264" s="352"/>
      <c r="IB264" s="618">
        <f>IFERROR(ROUND((Table1[[#This Row],[PLAN TC
finish]]-Table1[[#This Row],[PLAN MC-0
start]])/30,2),"")</f>
        <v>1.83</v>
      </c>
      <c r="IC264">
        <f>DATEDIF(Table1[[#This Row],[PLAN MC-0
start]],Table1[[#This Row],[PLAN TC
finish]],"m")</f>
        <v>1</v>
      </c>
    </row>
    <row r="265" spans="1:237" s="4" customFormat="1" ht="15" hidden="1" customHeight="1" x14ac:dyDescent="0.2">
      <c r="B265" s="311">
        <f>SUBTOTAL(3,$D$5:D265)</f>
        <v>84</v>
      </c>
      <c r="C265" s="316">
        <v>261</v>
      </c>
      <c r="D265" s="338" t="s">
        <v>244</v>
      </c>
      <c r="E265" s="338" t="s">
        <v>2070</v>
      </c>
      <c r="F265" s="338" t="s">
        <v>2071</v>
      </c>
      <c r="G265" s="349">
        <v>46117</v>
      </c>
      <c r="H265" s="314" t="s">
        <v>681</v>
      </c>
      <c r="I265" s="338" t="s">
        <v>248</v>
      </c>
      <c r="J265" s="480" t="s">
        <v>2047</v>
      </c>
      <c r="K265" s="338" t="s">
        <v>1165</v>
      </c>
      <c r="L265" s="316" t="s">
        <v>250</v>
      </c>
      <c r="M265" s="355" t="s">
        <v>269</v>
      </c>
      <c r="N265" s="107">
        <v>1</v>
      </c>
      <c r="O265" s="131" t="s">
        <v>327</v>
      </c>
      <c r="P26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265" s="35">
        <v>1.0000000000000002</v>
      </c>
      <c r="S265" s="34">
        <v>1</v>
      </c>
      <c r="T265" s="34">
        <f>Table1[[#This Row],[Progres Total Aktual
(%)]]</f>
        <v>0.29021126472437475</v>
      </c>
      <c r="U265" s="98">
        <f>Table1[[#This Row],[Progres Aktual
(%)]]-Table1[[#This Row],[Target Progres
(%)]]</f>
        <v>-0.70978873527562525</v>
      </c>
      <c r="V265" s="80">
        <f>Table1[[#This Row],["Volume
BA MC-0"]]</f>
        <v>0</v>
      </c>
      <c r="W265" s="46">
        <f>Table1[[#This Row],[Total Panjang Pipa Aktual
(Sum-&gt;)3]]</f>
        <v>0</v>
      </c>
      <c r="X265" s="47"/>
      <c r="Y265" s="67" t="s">
        <v>2065</v>
      </c>
      <c r="Z265" s="67">
        <v>224679205</v>
      </c>
      <c r="AA265" s="67">
        <f>ROUND((Table1[[#This Row],[Nilai RAB Jaringan
(Exclude Ppn)]]-Table1[[#This Row],[RAB Perizinan]])*1.11+Table1[[#This Row],[RAB Perizinan]],0)</f>
        <v>224679205</v>
      </c>
      <c r="AB265" s="486">
        <f>SUM(Table1[[#This Row],[RAB Kegiatan Umum]:[RAB Perizinan]])</f>
        <v>202413698</v>
      </c>
      <c r="AC265" s="436">
        <v>1713141</v>
      </c>
      <c r="AD265" s="436">
        <v>34262807</v>
      </c>
      <c r="AE265" s="436">
        <v>166437750</v>
      </c>
      <c r="AF265" s="436"/>
      <c r="AG265" s="483">
        <v>0</v>
      </c>
      <c r="AH265" s="33">
        <f>SUM(Table1[[#This Row],[Bobot Keg Umum]:[Bobot Perizinan]])</f>
        <v>1</v>
      </c>
      <c r="AI265" s="33">
        <f>Table1[[#This Row],[RAB Kegiatan Umum]]/Table1[[#This Row],[Nilai RAB Jaringan
(Exclude Ppn)]]</f>
        <v>8.4635625796432024E-3</v>
      </c>
      <c r="AJ265" s="33">
        <f>Table1[[#This Row],[RAB Pemasangan]]/Table1[[#This Row],[Nilai RAB Jaringan
(Exclude Ppn)]]</f>
        <v>0.16927118736796162</v>
      </c>
      <c r="AK265" s="33">
        <f>Table1[[#This Row],[RAB Pengadaan]]/Table1[[#This Row],[Nilai RAB Jaringan
(Exclude Ppn)]]</f>
        <v>0.82226525005239515</v>
      </c>
      <c r="AL265" s="33">
        <f>Table1[[#This Row],[RAB Perizinan]]/Table1[[#This Row],[Nilai RAB Jaringan
(Exclude Ppn)]]</f>
        <v>0</v>
      </c>
      <c r="AM265" s="47"/>
      <c r="AN265" s="285"/>
      <c r="AO265" s="285">
        <f>SUM(Table1[[#This Row],[Pipa 63 mm]:[Pipa 1,800 mm]])</f>
        <v>0</v>
      </c>
      <c r="AP265" s="285"/>
      <c r="AQ265" s="285"/>
      <c r="AR265" s="285"/>
      <c r="AS265" s="285"/>
      <c r="AT265" s="285"/>
      <c r="AU265" s="285"/>
      <c r="AV265" s="285"/>
      <c r="AW265" s="285"/>
      <c r="AX265" s="285"/>
      <c r="AY265" s="285"/>
      <c r="AZ265" s="285"/>
      <c r="BA265" s="285"/>
      <c r="BB265" s="285"/>
      <c r="BC265" s="285"/>
      <c r="BD265" s="285"/>
      <c r="BE265" s="285"/>
      <c r="BF265" s="285"/>
      <c r="BG265" s="285"/>
      <c r="BH265" s="285"/>
      <c r="BI265" s="285"/>
      <c r="BJ265" s="36">
        <f>SUM(Table1[[#This Row],[Pipa 63 mm2]:[Pipa 1,800 mm21]])</f>
        <v>0</v>
      </c>
      <c r="BK265" s="32"/>
      <c r="BL265" s="32"/>
      <c r="BM265" s="32"/>
      <c r="BN265" s="32"/>
      <c r="BO265" s="32"/>
      <c r="BP265" s="32"/>
      <c r="BQ265" s="32"/>
      <c r="BR265" s="32"/>
      <c r="BS265" s="32"/>
      <c r="BT265" s="32"/>
      <c r="BU265" s="32"/>
      <c r="BV265" s="32"/>
      <c r="BW265" s="32"/>
      <c r="BX265" s="32"/>
      <c r="BY265" s="32"/>
      <c r="BZ265" s="32"/>
      <c r="CA265" s="32"/>
      <c r="CB265" s="32"/>
      <c r="CC265" s="32"/>
      <c r="CD265" s="32"/>
      <c r="CE265" s="32">
        <v>0</v>
      </c>
      <c r="CF265" s="32"/>
      <c r="CG265" s="32"/>
      <c r="CH265" s="32"/>
      <c r="CI265" s="32">
        <f t="shared" si="13"/>
        <v>0</v>
      </c>
      <c r="CJ265" s="65">
        <f>IF((Table1[[#This Row],["Volume
BA MC-0"]]-Table1[[#This Row],[Total Panjang Pipa Aktual
(Sum-&gt;)3]]-Table1[[#This Row],[Total Volume
tidak dapat dipasang]])&gt;=0,Table1[[#This Row],["Volume
BA MC-0"]]-Table1[[#This Row],[Total Panjang Pipa Aktual
(Sum-&gt;)3]]-Table1[[#This Row],[Total Volume
tidak dapat dipasang]],0)</f>
        <v>0</v>
      </c>
      <c r="CK265" s="47"/>
      <c r="CL265" s="484" t="s">
        <v>1821</v>
      </c>
      <c r="CM265" s="34" t="s">
        <v>1821</v>
      </c>
      <c r="CN265" s="484" t="s">
        <v>1821</v>
      </c>
      <c r="CO265" s="484" t="s">
        <v>1821</v>
      </c>
      <c r="CP26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0.29021126472437475</v>
      </c>
      <c r="CQ265" s="66">
        <f>IFERROR(Table1[[#This Row],[Progres Keg. Umum
(%)]]*Table1[[#This Row],[Nilai RAB Jaringan
(file pa aji)]],0)</f>
        <v>0</v>
      </c>
      <c r="CR265" s="66">
        <f>IFERROR(Table1[[#This Row],[Progres MOS
(%)]]*Table1[[#This Row],[Nilai RAB Jaringan
(file pa aji)]],0)</f>
        <v>0</v>
      </c>
      <c r="CS265" s="66">
        <f>IFERROR(Table1[[#This Row],[Progres Pemasangan
(%)]]*Table1[[#This Row],[Nilai RAB Jaringan
(file pa aji)]],0)</f>
        <v>0</v>
      </c>
      <c r="CT265" s="66">
        <f>IFERROR(Table1[[#This Row],[Progres Perizinan
(%)]]*Table1[[#This Row],[Nilai RAB Jaringan
(file pa aji)]],0)</f>
        <v>0</v>
      </c>
      <c r="CU265" s="329">
        <v>0</v>
      </c>
      <c r="CV265" s="329">
        <v>0</v>
      </c>
      <c r="CW265" s="583">
        <v>0</v>
      </c>
      <c r="CX265" s="329">
        <v>0</v>
      </c>
      <c r="CY265" s="47"/>
      <c r="CZ265" s="330">
        <v>45838</v>
      </c>
      <c r="DA265" s="330">
        <v>45865</v>
      </c>
      <c r="DB265" s="331">
        <v>45818</v>
      </c>
      <c r="DC265" s="316" t="s">
        <v>2072</v>
      </c>
      <c r="DD265" s="67">
        <v>224679205</v>
      </c>
      <c r="DE26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5" s="331">
        <v>45825</v>
      </c>
      <c r="DG265" s="316" t="s">
        <v>2073</v>
      </c>
      <c r="DH265" s="67">
        <v>224679205</v>
      </c>
      <c r="DI26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5" s="330">
        <v>45866</v>
      </c>
      <c r="DK265" s="330">
        <v>45928</v>
      </c>
      <c r="DL265" s="331">
        <v>45846</v>
      </c>
      <c r="DM265" s="316" t="s">
        <v>2074</v>
      </c>
      <c r="DN26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5" s="331">
        <v>45896</v>
      </c>
      <c r="DP265" s="316" t="s">
        <v>2075</v>
      </c>
      <c r="DQ265" s="338" t="s">
        <v>275</v>
      </c>
      <c r="DR26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5" s="330">
        <v>45866</v>
      </c>
      <c r="DT265" s="330" t="e">
        <v>#N/A</v>
      </c>
      <c r="DU265" s="330">
        <v>45928</v>
      </c>
      <c r="DV265" s="330" t="e">
        <v>#N/A</v>
      </c>
      <c r="DW265" s="331">
        <v>45845</v>
      </c>
      <c r="DX265" s="316" t="s">
        <v>2076</v>
      </c>
      <c r="DY265" s="332">
        <v>17</v>
      </c>
      <c r="DZ265" s="334">
        <v>17</v>
      </c>
      <c r="EA26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5" s="331">
        <v>46114</v>
      </c>
      <c r="EC265" s="332">
        <v>15</v>
      </c>
      <c r="ED265" s="332">
        <v>15</v>
      </c>
      <c r="EE265" s="330"/>
      <c r="EF265" s="35">
        <v>0.88235294117647056</v>
      </c>
      <c r="EG265" s="35">
        <f>Table1[[#This Row],[Line PO (kolom  bantu)2]]/Table1[[#This Row],[Line PR]]</f>
        <v>0.88235294117647056</v>
      </c>
      <c r="EH265" s="316" t="str">
        <f>IF(Table1[[#This Row],[PO Material Aktual 
(%)]]&gt;=100%,"Selesai PO = 100%",IF(Table1[[#This Row],[PO Material Aktual 
(%)]]&gt;=50%,"Proses PO &gt; 100%",IF(Table1[[#This Row],[PO Material Aktual 
(%)]]&gt;0%,"Proses PO &gt; 50%",IF(Table1[[#This Row],[PO Material Aktual 
(%)]]=0,"Belum PO = 0%"))))</f>
        <v>Proses PO &gt; 100%</v>
      </c>
      <c r="EI26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5" s="330">
        <v>45929</v>
      </c>
      <c r="EK265" s="330" t="e">
        <v>#N/A</v>
      </c>
      <c r="EL265" s="330">
        <v>45977</v>
      </c>
      <c r="EM265" s="330" t="e">
        <v>#N/A</v>
      </c>
      <c r="EN265" s="331">
        <v>46082</v>
      </c>
      <c r="EO265" s="332">
        <v>10</v>
      </c>
      <c r="EP265" s="316">
        <v>10</v>
      </c>
      <c r="EQ265" s="35">
        <v>0.58823529411764708</v>
      </c>
      <c r="ER265" s="35">
        <f>Table1[[#This Row],[Line MOS]]/Table1[[#This Row],[Line PR]]</f>
        <v>0.58823529411764708</v>
      </c>
      <c r="ES265" s="316" t="str">
        <f>IF(Table1[[#This Row],[Progres MOS]]&gt;=100%,"Selesai MOS = 100%",IF(Table1[[#This Row],[Progres MOS]]&gt;=50%,"Proses MOS &gt; 100%",IF(Table1[[#This Row],[Progres MOS]]&gt;0%,"Proses MOS &gt; 50%",IF(Table1[[#This Row],[Progres MOS]]=0,"Belum MOS = 0%"))))</f>
        <v>Proses MOS &gt; 100%</v>
      </c>
      <c r="ET26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5" s="47"/>
      <c r="EV265" s="330">
        <v>45866</v>
      </c>
      <c r="EW265" s="330" t="e">
        <v>#N/A</v>
      </c>
      <c r="EX265" s="330">
        <v>45956</v>
      </c>
      <c r="EY265" s="330" t="e">
        <v>#N/A</v>
      </c>
      <c r="EZ265" s="352" t="s">
        <v>298</v>
      </c>
      <c r="FA265" s="336" t="s">
        <v>259</v>
      </c>
      <c r="FB265" s="330" t="s">
        <v>260</v>
      </c>
      <c r="FC265" s="330">
        <v>45796</v>
      </c>
      <c r="FD265" s="330" t="s">
        <v>260</v>
      </c>
      <c r="FE265" s="330">
        <v>45895</v>
      </c>
      <c r="FF265" s="330">
        <v>45916</v>
      </c>
      <c r="FG265" s="330" t="s">
        <v>260</v>
      </c>
      <c r="FH265" s="330" t="s">
        <v>260</v>
      </c>
      <c r="FI265" s="330">
        <v>46013</v>
      </c>
      <c r="FJ265" s="330" t="s">
        <v>260</v>
      </c>
      <c r="FK265" s="330">
        <v>46098</v>
      </c>
      <c r="FL265" s="336" t="s">
        <v>298</v>
      </c>
      <c r="FM265" s="352">
        <v>45796</v>
      </c>
      <c r="FN265" s="338">
        <f>IF(Table1[[#This Row],[Tanggal Pengajuan Dokumen]]="","",Table1[[#This Row],[PLAN PERMIT
start]]-Table1[[#This Row],[Tanggal Pengajuan Dokumen]])</f>
        <v>70</v>
      </c>
      <c r="FO265" s="437">
        <v>46086</v>
      </c>
      <c r="FP265" s="316"/>
      <c r="FQ265" s="338"/>
      <c r="FR265" s="338"/>
      <c r="FS265" s="338" t="str">
        <f t="shared" si="14"/>
        <v>Sudah Terbit</v>
      </c>
      <c r="FT26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5" s="344">
        <f ca="1">IF(Table1[[#This Row],[Status Izin]]="Selesai",Table1[[#This Row],[PLAN PERMIT
finish]]-Table1[[#This Row],[Tanggal Terbit/ Target Izin Terbit]],ROUNDUP(Table1[[#This Row],[PLAN PERMIT
finish]]-NOW(),0))</f>
        <v>-130</v>
      </c>
      <c r="FV26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5" s="344"/>
      <c r="FX265" s="47"/>
      <c r="FY265" s="340"/>
      <c r="FZ265" s="341">
        <v>46051</v>
      </c>
      <c r="GA26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65" s="330">
        <v>45930</v>
      </c>
      <c r="GC265" s="352">
        <v>45874</v>
      </c>
      <c r="GD26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5" s="330">
        <v>45937</v>
      </c>
      <c r="GF265" s="352">
        <v>45874</v>
      </c>
      <c r="GG26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5" s="330">
        <v>45943</v>
      </c>
      <c r="GI265" s="330">
        <v>45949</v>
      </c>
      <c r="GJ265" s="352">
        <v>46059</v>
      </c>
      <c r="GK26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5" s="330">
        <v>45957</v>
      </c>
      <c r="GM265" s="330" t="e">
        <v>#N/A</v>
      </c>
      <c r="GN265" s="330">
        <v>46005</v>
      </c>
      <c r="GO265" s="330" t="e">
        <v>#N/A</v>
      </c>
      <c r="GP265" s="330"/>
      <c r="GQ26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5" s="330" t="s">
        <v>261</v>
      </c>
      <c r="GS265" s="330" t="s">
        <v>261</v>
      </c>
      <c r="GT265" s="354"/>
      <c r="GU265" s="344" t="str">
        <f>IF(Table1[[#This Row],[Hydro Tes Actual
(tanggal)]]&lt;&gt;"","Sudah","Belum")</f>
        <v>Belum</v>
      </c>
      <c r="GV265" s="330" t="s">
        <v>261</v>
      </c>
      <c r="GW265" s="330" t="s">
        <v>261</v>
      </c>
      <c r="GX265" s="331"/>
      <c r="GY265" s="344" t="str">
        <f>IF(Table1[[#This Row],[Interkoneksi Actual
(tanggal)]]&lt;&gt;"","Sudah","Belum")</f>
        <v>Belum</v>
      </c>
      <c r="GZ265" s="330" t="s">
        <v>261</v>
      </c>
      <c r="HA265" s="330" t="s">
        <v>261</v>
      </c>
      <c r="HB265" s="331"/>
      <c r="HC265" s="344" t="str">
        <f>IF(Table1[[#This Row],[Flushing Actual
(tanggal)]]&lt;&gt;"","Sudah","Belum")</f>
        <v>Belum</v>
      </c>
      <c r="HD265" s="330">
        <v>45985</v>
      </c>
      <c r="HE265" s="330" t="e">
        <v>#N/A</v>
      </c>
      <c r="HF265" s="330">
        <v>45998</v>
      </c>
      <c r="HG265" s="352"/>
      <c r="HH26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5" s="330" t="s">
        <v>261</v>
      </c>
      <c r="HJ265" s="330" t="s">
        <v>261</v>
      </c>
      <c r="HK265" s="331"/>
      <c r="HL265" s="316"/>
      <c r="HM265" s="330">
        <v>46010</v>
      </c>
      <c r="HN265" s="330">
        <v>46010</v>
      </c>
      <c r="HO265" s="330" t="e">
        <v>#N/A</v>
      </c>
      <c r="HP265" s="331"/>
      <c r="HQ265"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65" s="330">
        <v>46017</v>
      </c>
      <c r="HS265" s="330"/>
      <c r="HT265" s="330">
        <v>46017</v>
      </c>
      <c r="HU265" s="330"/>
      <c r="HV265" s="331"/>
      <c r="HW26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65" s="47"/>
      <c r="HY265" s="352"/>
      <c r="HZ265" s="352"/>
      <c r="IB265" s="618">
        <f>IFERROR(ROUND((Table1[[#This Row],[PLAN TC
finish]]-Table1[[#This Row],[PLAN MC-0
start]])/30,2),"")</f>
        <v>1.83</v>
      </c>
      <c r="IC265">
        <f>DATEDIF(Table1[[#This Row],[PLAN MC-0
start]],Table1[[#This Row],[PLAN TC
finish]],"m")</f>
        <v>1</v>
      </c>
    </row>
    <row r="266" spans="1:237" s="4" customFormat="1" ht="15" hidden="1" customHeight="1" x14ac:dyDescent="0.2">
      <c r="B266" s="311">
        <f>SUBTOTAL(3,$D$5:D266)</f>
        <v>84</v>
      </c>
      <c r="C266" s="316">
        <v>262</v>
      </c>
      <c r="D266" s="338" t="s">
        <v>244</v>
      </c>
      <c r="E266" s="338" t="s">
        <v>2077</v>
      </c>
      <c r="F266" s="338" t="s">
        <v>2078</v>
      </c>
      <c r="G266" s="349">
        <v>46117</v>
      </c>
      <c r="H266" s="314" t="s">
        <v>247</v>
      </c>
      <c r="I266" s="338" t="s">
        <v>278</v>
      </c>
      <c r="J266" s="480" t="s">
        <v>2047</v>
      </c>
      <c r="K266" s="338" t="s">
        <v>1165</v>
      </c>
      <c r="L266" s="316" t="s">
        <v>250</v>
      </c>
      <c r="M266" s="355" t="s">
        <v>269</v>
      </c>
      <c r="N266" s="107">
        <v>6146</v>
      </c>
      <c r="O266" s="131" t="s">
        <v>252</v>
      </c>
      <c r="P26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6" s="35">
        <v>0.99999999999999956</v>
      </c>
      <c r="S266" s="34">
        <v>1</v>
      </c>
      <c r="T266" s="34">
        <f>Table1[[#This Row],[Progres Total Aktual
(%)]]</f>
        <v>0.63955209571248317</v>
      </c>
      <c r="U266" s="98">
        <f>Table1[[#This Row],[Progres Aktual
(%)]]-Table1[[#This Row],[Target Progres
(%)]]</f>
        <v>-0.36044790428751683</v>
      </c>
      <c r="V266" s="80">
        <f>Table1[[#This Row],["Volume
BA MC-0"]]</f>
        <v>6146</v>
      </c>
      <c r="W266" s="46">
        <f>Table1[[#This Row],[Total Panjang Pipa Aktual
(Sum-&gt;)3]]</f>
        <v>5983</v>
      </c>
      <c r="X266" s="47"/>
      <c r="Y266" s="67" t="s">
        <v>2079</v>
      </c>
      <c r="Z266" s="67">
        <v>8679014980</v>
      </c>
      <c r="AA266" s="67">
        <f>ROUND((Table1[[#This Row],[Nilai RAB Jaringan
(Exclude Ppn)]]-Table1[[#This Row],[RAB Perizinan]])*1.11+Table1[[#This Row],[RAB Perizinan]],0)</f>
        <v>9781028172</v>
      </c>
      <c r="AB266" s="486">
        <f>SUM(Table1[[#This Row],[RAB Kegiatan Umum]:[RAB Perizinan]])</f>
        <v>8818521416.0418625</v>
      </c>
      <c r="AC266" s="436">
        <v>677098052</v>
      </c>
      <c r="AD266" s="436">
        <v>6770980515.0418615</v>
      </c>
      <c r="AE266" s="436">
        <v>1301982849</v>
      </c>
      <c r="AF266" s="436">
        <v>68460000</v>
      </c>
      <c r="AG266" s="483">
        <v>1803690504</v>
      </c>
      <c r="AH266" s="33">
        <f>SUM(Table1[[#This Row],[Bobot Keg Umum]:[Bobot Perizinan]])</f>
        <v>0.99999999999999989</v>
      </c>
      <c r="AI266" s="33">
        <f>Table1[[#This Row],[RAB Kegiatan Umum]]/Table1[[#This Row],[Nilai RAB Jaringan
(Exclude Ppn)]]</f>
        <v>7.6781358240881975E-2</v>
      </c>
      <c r="AJ266" s="33">
        <f>Table1[[#This Row],[RAB Pemasangan]]/Table1[[#This Row],[Nilai RAB Jaringan
(Exclude Ppn)]]</f>
        <v>0.76781358184657822</v>
      </c>
      <c r="AK266" s="33">
        <f>Table1[[#This Row],[RAB Pengadaan]]/Table1[[#This Row],[Nilai RAB Jaringan
(Exclude Ppn)]]</f>
        <v>0.14764185372749106</v>
      </c>
      <c r="AL266" s="33">
        <f>Table1[[#This Row],[RAB Perizinan]]/Table1[[#This Row],[Nilai RAB Jaringan
(Exclude Ppn)]]</f>
        <v>7.7632061850486309E-3</v>
      </c>
      <c r="AM266" s="47"/>
      <c r="AN266" s="285">
        <v>6146</v>
      </c>
      <c r="AO266" s="285">
        <f>SUM(Table1[[#This Row],[Pipa 63 mm]:[Pipa 1,800 mm]])</f>
        <v>0</v>
      </c>
      <c r="AP266" s="285"/>
      <c r="AQ266" s="285"/>
      <c r="AR266" s="285"/>
      <c r="AS266" s="285"/>
      <c r="AT266" s="285"/>
      <c r="AU266" s="285"/>
      <c r="AV266" s="285"/>
      <c r="AW266" s="285"/>
      <c r="AX266" s="285"/>
      <c r="AY266" s="285"/>
      <c r="AZ266" s="285"/>
      <c r="BA266" s="285"/>
      <c r="BB266" s="285"/>
      <c r="BC266" s="285"/>
      <c r="BD266" s="285"/>
      <c r="BE266" s="285"/>
      <c r="BF266" s="285"/>
      <c r="BG266" s="285"/>
      <c r="BH266" s="285"/>
      <c r="BI266" s="285"/>
      <c r="BJ266" s="36">
        <f>SUM(Table1[[#This Row],[Pipa 63 mm2]:[Pipa 1,800 mm21]])</f>
        <v>5983</v>
      </c>
      <c r="BK266" s="32">
        <v>4198</v>
      </c>
      <c r="BL266" s="32">
        <v>889</v>
      </c>
      <c r="BM266" s="32">
        <v>63</v>
      </c>
      <c r="BN266" s="32">
        <v>833</v>
      </c>
      <c r="BO266" s="32"/>
      <c r="BP266" s="32"/>
      <c r="BQ266" s="32"/>
      <c r="BR266" s="32"/>
      <c r="BS266" s="32"/>
      <c r="BT266" s="32"/>
      <c r="BU266" s="32"/>
      <c r="BV266" s="32"/>
      <c r="BW266" s="32"/>
      <c r="BX266" s="32"/>
      <c r="BY266" s="32"/>
      <c r="BZ266" s="32"/>
      <c r="CA266" s="32"/>
      <c r="CB266" s="32"/>
      <c r="CC266" s="32"/>
      <c r="CD266" s="32"/>
      <c r="CE266" s="32">
        <v>0</v>
      </c>
      <c r="CF266" s="32">
        <v>164</v>
      </c>
      <c r="CG266" s="32"/>
      <c r="CH266" s="32"/>
      <c r="CI266" s="32">
        <f t="shared" si="13"/>
        <v>164</v>
      </c>
      <c r="CJ266" s="65">
        <f>IF((Table1[[#This Row],["Volume
BA MC-0"]]-Table1[[#This Row],[Total Panjang Pipa Aktual
(Sum-&gt;)3]]-Table1[[#This Row],[Total Volume
tidak dapat dipasang]])&gt;=0,Table1[[#This Row],["Volume
BA MC-0"]]-Table1[[#This Row],[Total Panjang Pipa Aktual
(Sum-&gt;)3]]-Table1[[#This Row],[Total Volume
tidak dapat dipasang]],0)</f>
        <v>0</v>
      </c>
      <c r="CK266" s="47"/>
      <c r="CL266" s="484" t="s">
        <v>1821</v>
      </c>
      <c r="CM266" s="34" t="s">
        <v>1821</v>
      </c>
      <c r="CN266" s="484" t="s">
        <v>1821</v>
      </c>
      <c r="CO266" s="484" t="s">
        <v>1821</v>
      </c>
      <c r="CP26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0.63955209571248317</v>
      </c>
      <c r="CQ266" s="66">
        <f>IFERROR(Table1[[#This Row],[Progres Keg. Umum
(%)]]*Table1[[#This Row],[Nilai RAB Jaringan
(file pa aji)]],0)</f>
        <v>0</v>
      </c>
      <c r="CR266" s="66">
        <f>IFERROR(Table1[[#This Row],[Progres MOS
(%)]]*Table1[[#This Row],[Nilai RAB Jaringan
(file pa aji)]],0)</f>
        <v>0</v>
      </c>
      <c r="CS266" s="66">
        <f>IFERROR(Table1[[#This Row],[Progres Pemasangan
(%)]]*Table1[[#This Row],[Nilai RAB Jaringan
(file pa aji)]],0)</f>
        <v>0</v>
      </c>
      <c r="CT266" s="66">
        <f>IFERROR(Table1[[#This Row],[Progres Perizinan
(%)]]*Table1[[#This Row],[Nilai RAB Jaringan
(file pa aji)]],0)</f>
        <v>0</v>
      </c>
      <c r="CU266" s="329">
        <v>6255477065.6254387</v>
      </c>
      <c r="CV266" s="329">
        <v>6255477065.6254387</v>
      </c>
      <c r="CW266" s="583">
        <v>0</v>
      </c>
      <c r="CX266" s="329">
        <v>0</v>
      </c>
      <c r="CY266" s="47"/>
      <c r="CZ266" s="330">
        <v>45712</v>
      </c>
      <c r="DA266" s="330">
        <v>45746</v>
      </c>
      <c r="DB266" s="331">
        <v>45726</v>
      </c>
      <c r="DC266" s="316" t="s">
        <v>2080</v>
      </c>
      <c r="DD266" s="67">
        <v>9781028172</v>
      </c>
      <c r="DE26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6" s="331">
        <v>45733</v>
      </c>
      <c r="DG266" s="316" t="s">
        <v>2081</v>
      </c>
      <c r="DH266" s="67">
        <v>9781028172</v>
      </c>
      <c r="DI26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6" s="330">
        <v>45747</v>
      </c>
      <c r="DK266" s="330">
        <v>45795</v>
      </c>
      <c r="DL266" s="331">
        <v>45772</v>
      </c>
      <c r="DM266" s="316" t="s">
        <v>2082</v>
      </c>
      <c r="DN26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6" s="331">
        <v>45855</v>
      </c>
      <c r="DP266" s="316" t="s">
        <v>2083</v>
      </c>
      <c r="DQ266" s="338" t="s">
        <v>2084</v>
      </c>
      <c r="DR26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6" s="330">
        <v>45747</v>
      </c>
      <c r="DT266" s="330" t="e">
        <v>#N/A</v>
      </c>
      <c r="DU266" s="330">
        <v>45795</v>
      </c>
      <c r="DV266" s="330" t="e">
        <v>#N/A</v>
      </c>
      <c r="DW266" s="331">
        <v>45771</v>
      </c>
      <c r="DX266" s="316" t="s">
        <v>2085</v>
      </c>
      <c r="DY266" s="332">
        <v>65</v>
      </c>
      <c r="DZ266" s="334">
        <v>65</v>
      </c>
      <c r="EA26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6" s="331"/>
      <c r="EC266" s="332">
        <v>60</v>
      </c>
      <c r="ED266" s="332">
        <v>60</v>
      </c>
      <c r="EE266" s="330"/>
      <c r="EF266" s="35">
        <v>0.92307692307692313</v>
      </c>
      <c r="EG266" s="35">
        <f>Table1[[#This Row],[Line PO (kolom  bantu)2]]/Table1[[#This Row],[Line PR]]</f>
        <v>0.92307692307692313</v>
      </c>
      <c r="EH266" s="316" t="str">
        <f>IF(Table1[[#This Row],[PO Material Aktual 
(%)]]&gt;=100%,"Selesai PO = 100%",IF(Table1[[#This Row],[PO Material Aktual 
(%)]]&gt;=50%,"Proses PO &gt; 100%",IF(Table1[[#This Row],[PO Material Aktual 
(%)]]&gt;0%,"Proses PO &gt; 50%",IF(Table1[[#This Row],[PO Material Aktual 
(%)]]=0,"Belum PO = 0%"))))</f>
        <v>Proses PO &gt; 100%</v>
      </c>
      <c r="EI26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6" s="330">
        <v>45796</v>
      </c>
      <c r="EK266" s="330" t="e">
        <v>#N/A</v>
      </c>
      <c r="EL266" s="330">
        <v>45928</v>
      </c>
      <c r="EM266" s="330" t="e">
        <v>#N/A</v>
      </c>
      <c r="EN266" s="331"/>
      <c r="EO266" s="332">
        <v>60</v>
      </c>
      <c r="EP266" s="316">
        <v>60</v>
      </c>
      <c r="EQ266" s="35">
        <v>0.92307692307692313</v>
      </c>
      <c r="ER266" s="35">
        <f>Table1[[#This Row],[Line MOS]]/Table1[[#This Row],[Line PR]]</f>
        <v>0.92307692307692313</v>
      </c>
      <c r="ES266" s="316" t="str">
        <f>IF(Table1[[#This Row],[Progres MOS]]&gt;=100%,"Selesai MOS = 100%",IF(Table1[[#This Row],[Progres MOS]]&gt;=50%,"Proses MOS &gt; 100%",IF(Table1[[#This Row],[Progres MOS]]&gt;0%,"Proses MOS &gt; 50%",IF(Table1[[#This Row],[Progres MOS]]=0,"Belum MOS = 0%"))))</f>
        <v>Proses MOS &gt; 100%</v>
      </c>
      <c r="ET26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6" s="47"/>
      <c r="EV266" s="330">
        <v>45747</v>
      </c>
      <c r="EW266" s="330" t="e">
        <v>#N/A</v>
      </c>
      <c r="EX266" s="330">
        <v>45837</v>
      </c>
      <c r="EY266" s="330" t="e">
        <v>#N/A</v>
      </c>
      <c r="EZ266" s="352" t="s">
        <v>298</v>
      </c>
      <c r="FA266" s="336" t="s">
        <v>259</v>
      </c>
      <c r="FB266" s="330" t="s">
        <v>260</v>
      </c>
      <c r="FC266" s="330">
        <v>45800</v>
      </c>
      <c r="FD266" s="330" t="s">
        <v>260</v>
      </c>
      <c r="FE266" s="330">
        <v>45882</v>
      </c>
      <c r="FF266" s="330">
        <v>45916</v>
      </c>
      <c r="FG266" s="330" t="s">
        <v>260</v>
      </c>
      <c r="FH266" s="330" t="s">
        <v>260</v>
      </c>
      <c r="FI266" s="330">
        <v>46010</v>
      </c>
      <c r="FJ266" s="330" t="s">
        <v>260</v>
      </c>
      <c r="FK266" s="330">
        <v>46122</v>
      </c>
      <c r="FL266" s="336" t="s">
        <v>298</v>
      </c>
      <c r="FM266" s="352">
        <v>45800</v>
      </c>
      <c r="FN266" s="338">
        <f>IF(Table1[[#This Row],[Tanggal Pengajuan Dokumen]]="","",Table1[[#This Row],[PLAN PERMIT
start]]-Table1[[#This Row],[Tanggal Pengajuan Dokumen]])</f>
        <v>-53</v>
      </c>
      <c r="FO266" s="437">
        <v>46086</v>
      </c>
      <c r="FP266" s="316" t="s">
        <v>2086</v>
      </c>
      <c r="FQ266" s="338"/>
      <c r="FR266" s="338"/>
      <c r="FS266" s="338" t="str">
        <f t="shared" si="14"/>
        <v>On Going</v>
      </c>
      <c r="FT26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6" s="344">
        <f ca="1">IF(Table1[[#This Row],[Status Izin]]="Selesai",Table1[[#This Row],[PLAN PERMIT
finish]]-Table1[[#This Row],[Tanggal Terbit/ Target Izin Terbit]],ROUNDUP(Table1[[#This Row],[PLAN PERMIT
finish]]-NOW(),0))</f>
        <v>-354</v>
      </c>
      <c r="FV26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6" s="344"/>
      <c r="FX266" s="47"/>
      <c r="FY266" s="340"/>
      <c r="FZ266" s="341"/>
      <c r="GA26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6" s="330">
        <v>45811</v>
      </c>
      <c r="GC266" s="352">
        <v>45874</v>
      </c>
      <c r="GD26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6" s="330">
        <v>45818</v>
      </c>
      <c r="GF266" s="352">
        <v>45874</v>
      </c>
      <c r="GG26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6" s="330">
        <v>45824</v>
      </c>
      <c r="GI266" s="330">
        <v>45830</v>
      </c>
      <c r="GJ266" s="352">
        <v>45882</v>
      </c>
      <c r="GK26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6" s="330">
        <v>45838</v>
      </c>
      <c r="GM266" s="330" t="e">
        <v>#N/A</v>
      </c>
      <c r="GN266" s="330">
        <v>46005</v>
      </c>
      <c r="GO266" s="330" t="e">
        <v>#N/A</v>
      </c>
      <c r="GP266" s="330"/>
      <c r="GQ26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6" s="330" t="s">
        <v>261</v>
      </c>
      <c r="GS266" s="330" t="s">
        <v>261</v>
      </c>
      <c r="GT266" s="488" t="s">
        <v>2087</v>
      </c>
      <c r="GU266" s="344" t="str">
        <f>IF(Table1[[#This Row],[Hydro Tes Actual
(tanggal)]]&lt;&gt;"","Sudah","Belum")</f>
        <v>Sudah</v>
      </c>
      <c r="GV266" s="330" t="s">
        <v>261</v>
      </c>
      <c r="GW266" s="330" t="s">
        <v>261</v>
      </c>
      <c r="GX266" s="331"/>
      <c r="GY266" s="344" t="str">
        <f>IF(Table1[[#This Row],[Interkoneksi Actual
(tanggal)]]&lt;&gt;"","Sudah","Belum")</f>
        <v>Belum</v>
      </c>
      <c r="GZ266" s="330" t="s">
        <v>261</v>
      </c>
      <c r="HA266" s="330" t="s">
        <v>261</v>
      </c>
      <c r="HB266" s="331"/>
      <c r="HC266" s="344" t="str">
        <f>IF(Table1[[#This Row],[Flushing Actual
(tanggal)]]&lt;&gt;"","Sudah","Belum")</f>
        <v>Belum</v>
      </c>
      <c r="HD266" s="330">
        <v>45978</v>
      </c>
      <c r="HE266" s="330" t="e">
        <v>#N/A</v>
      </c>
      <c r="HF266" s="330">
        <v>45991</v>
      </c>
      <c r="HG266" s="352"/>
      <c r="HH26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6" s="330" t="s">
        <v>261</v>
      </c>
      <c r="HJ266" s="330" t="s">
        <v>261</v>
      </c>
      <c r="HK266" s="331"/>
      <c r="HL266" s="316"/>
      <c r="HM266" s="330">
        <v>46010</v>
      </c>
      <c r="HN266" s="330">
        <v>46010</v>
      </c>
      <c r="HO266" s="330" t="e">
        <v>#N/A</v>
      </c>
      <c r="HP266" s="331"/>
      <c r="HQ266"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66" s="330">
        <v>46026</v>
      </c>
      <c r="HS266" s="330"/>
      <c r="HT266" s="330">
        <v>46026</v>
      </c>
      <c r="HU266" s="330"/>
      <c r="HV266" s="331"/>
      <c r="HW26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66" s="47"/>
      <c r="HY266" s="352"/>
      <c r="HZ266" s="352"/>
      <c r="IB266" s="618">
        <f>IFERROR(ROUND((Table1[[#This Row],[PLAN TC
finish]]-Table1[[#This Row],[PLAN MC-0
start]])/30,2),"")</f>
        <v>5.57</v>
      </c>
      <c r="IC266">
        <f>DATEDIF(Table1[[#This Row],[PLAN MC-0
start]],Table1[[#This Row],[PLAN TC
finish]],"m")</f>
        <v>5</v>
      </c>
    </row>
    <row r="267" spans="1:237" s="4" customFormat="1" ht="15" hidden="1" customHeight="1" x14ac:dyDescent="0.2">
      <c r="B267" s="311">
        <f>SUBTOTAL(3,$D$5:D267)</f>
        <v>84</v>
      </c>
      <c r="C267" s="316">
        <v>263</v>
      </c>
      <c r="D267" s="338" t="s">
        <v>244</v>
      </c>
      <c r="E267" s="338" t="s">
        <v>2088</v>
      </c>
      <c r="F267" s="338" t="s">
        <v>2089</v>
      </c>
      <c r="G267" s="349">
        <v>46117</v>
      </c>
      <c r="H267" s="314" t="s">
        <v>247</v>
      </c>
      <c r="I267" s="338" t="s">
        <v>278</v>
      </c>
      <c r="J267" s="480" t="s">
        <v>2047</v>
      </c>
      <c r="K267" s="338" t="s">
        <v>1165</v>
      </c>
      <c r="L267" s="316" t="s">
        <v>250</v>
      </c>
      <c r="M267" s="355" t="s">
        <v>269</v>
      </c>
      <c r="N267" s="107">
        <v>11420</v>
      </c>
      <c r="O267" s="131" t="s">
        <v>252</v>
      </c>
      <c r="P26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7" s="35">
        <v>0.99999999999999944</v>
      </c>
      <c r="S267" s="34">
        <v>1</v>
      </c>
      <c r="T267" s="34">
        <f>Table1[[#This Row],[Progres Total Aktual
(%)]]</f>
        <v>0.78707537987142095</v>
      </c>
      <c r="U267" s="98">
        <f>Table1[[#This Row],[Progres Aktual
(%)]]-Table1[[#This Row],[Target Progres
(%)]]</f>
        <v>-0.21292462012857905</v>
      </c>
      <c r="V267" s="80">
        <f>Table1[[#This Row],["Volume
BA MC-0"]]</f>
        <v>11420</v>
      </c>
      <c r="W267" s="46">
        <f>Table1[[#This Row],[Total Panjang Pipa Aktual
(Sum-&gt;)3]]</f>
        <v>10078</v>
      </c>
      <c r="X267" s="47"/>
      <c r="Y267" s="67" t="s">
        <v>2090</v>
      </c>
      <c r="Z267" s="67">
        <v>15638577575</v>
      </c>
      <c r="AA267" s="67">
        <f>ROUND((Table1[[#This Row],[Nilai RAB Jaringan
(Exclude Ppn)]]-Table1[[#This Row],[RAB Perizinan]])*1.11+Table1[[#This Row],[RAB Perizinan]],0)</f>
        <v>17649963246</v>
      </c>
      <c r="AB267" s="486">
        <f>SUM(Table1[[#This Row],[RAB Kegiatan Umum]:[RAB Perizinan]])</f>
        <v>15912184905.879999</v>
      </c>
      <c r="AC267" s="436">
        <v>1211928997</v>
      </c>
      <c r="AD267" s="436">
        <v>12119289963.879999</v>
      </c>
      <c r="AE267" s="436">
        <v>2466765945</v>
      </c>
      <c r="AF267" s="436">
        <v>114200000</v>
      </c>
      <c r="AG267" s="483">
        <v>3625827843</v>
      </c>
      <c r="AH267" s="33">
        <f>SUM(Table1[[#This Row],[Bobot Keg Umum]:[Bobot Perizinan]])</f>
        <v>1</v>
      </c>
      <c r="AI267" s="33">
        <f>Table1[[#This Row],[RAB Kegiatan Umum]]/Table1[[#This Row],[Nilai RAB Jaringan
(Exclude Ppn)]]</f>
        <v>7.6163581819122667E-2</v>
      </c>
      <c r="AJ267" s="33">
        <f>Table1[[#This Row],[RAB Pemasangan]]/Table1[[#This Row],[Nilai RAB Jaringan
(Exclude Ppn)]]</f>
        <v>0.76163581780661571</v>
      </c>
      <c r="AK267" s="33">
        <f>Table1[[#This Row],[RAB Pengadaan]]/Table1[[#This Row],[Nilai RAB Jaringan
(Exclude Ppn)]]</f>
        <v>0.15502371042008573</v>
      </c>
      <c r="AL267" s="33">
        <f>Table1[[#This Row],[RAB Perizinan]]/Table1[[#This Row],[Nilai RAB Jaringan
(Exclude Ppn)]]</f>
        <v>7.176889954175928E-3</v>
      </c>
      <c r="AM267" s="47"/>
      <c r="AN267" s="285">
        <v>11420</v>
      </c>
      <c r="AO267" s="285">
        <f>SUM(Table1[[#This Row],[Pipa 63 mm]:[Pipa 1,800 mm]])</f>
        <v>0</v>
      </c>
      <c r="AP267" s="285"/>
      <c r="AQ267" s="285"/>
      <c r="AR267" s="285"/>
      <c r="AS267" s="285"/>
      <c r="AT267" s="285"/>
      <c r="AU267" s="285"/>
      <c r="AV267" s="285"/>
      <c r="AW267" s="285"/>
      <c r="AX267" s="285"/>
      <c r="AY267" s="285"/>
      <c r="AZ267" s="285"/>
      <c r="BA267" s="285"/>
      <c r="BB267" s="285"/>
      <c r="BC267" s="285"/>
      <c r="BD267" s="285"/>
      <c r="BE267" s="285"/>
      <c r="BF267" s="285"/>
      <c r="BG267" s="285"/>
      <c r="BH267" s="285"/>
      <c r="BI267" s="285"/>
      <c r="BJ267" s="36">
        <f>SUM(Table1[[#This Row],[Pipa 63 mm2]:[Pipa 1,800 mm21]])</f>
        <v>10078</v>
      </c>
      <c r="BK267" s="32">
        <v>7148</v>
      </c>
      <c r="BL267" s="32">
        <v>1533</v>
      </c>
      <c r="BM267" s="32">
        <v>661</v>
      </c>
      <c r="BN267" s="32">
        <v>724</v>
      </c>
      <c r="BO267" s="32">
        <v>6</v>
      </c>
      <c r="BP267" s="32">
        <v>6</v>
      </c>
      <c r="BQ267" s="32"/>
      <c r="BR267" s="32"/>
      <c r="BS267" s="32"/>
      <c r="BT267" s="32"/>
      <c r="BU267" s="32"/>
      <c r="BV267" s="32"/>
      <c r="BW267" s="32"/>
      <c r="BX267" s="32"/>
      <c r="BY267" s="32"/>
      <c r="BZ267" s="32"/>
      <c r="CA267" s="32"/>
      <c r="CB267" s="32"/>
      <c r="CC267" s="32"/>
      <c r="CD267" s="32"/>
      <c r="CE267" s="32">
        <v>0</v>
      </c>
      <c r="CF267" s="32"/>
      <c r="CG267" s="32"/>
      <c r="CH267" s="32"/>
      <c r="CI267" s="32">
        <f t="shared" si="13"/>
        <v>0</v>
      </c>
      <c r="CJ267" s="65">
        <f>IF((Table1[[#This Row],["Volume
BA MC-0"]]-Table1[[#This Row],[Total Panjang Pipa Aktual
(Sum-&gt;)3]]-Table1[[#This Row],[Total Volume
tidak dapat dipasang]])&gt;=0,Table1[[#This Row],["Volume
BA MC-0"]]-Table1[[#This Row],[Total Panjang Pipa Aktual
(Sum-&gt;)3]]-Table1[[#This Row],[Total Volume
tidak dapat dipasang]],0)</f>
        <v>1342</v>
      </c>
      <c r="CK267" s="47"/>
      <c r="CL267" s="35" t="s">
        <v>1821</v>
      </c>
      <c r="CM267" s="35" t="s">
        <v>1821</v>
      </c>
      <c r="CN267" s="35" t="s">
        <v>1821</v>
      </c>
      <c r="CO267" s="35" t="s">
        <v>1821</v>
      </c>
      <c r="CP26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0.78707537987142095</v>
      </c>
      <c r="CQ267" s="66">
        <f>IFERROR(Table1[[#This Row],[Progres Keg. Umum
(%)]]*Table1[[#This Row],[Nilai RAB Jaringan
(file pa aji)]],0)</f>
        <v>0</v>
      </c>
      <c r="CR267" s="66">
        <f>IFERROR(Table1[[#This Row],[Progres MOS
(%)]]*Table1[[#This Row],[Nilai RAB Jaringan
(file pa aji)]],0)</f>
        <v>0</v>
      </c>
      <c r="CS267" s="66">
        <f>IFERROR(Table1[[#This Row],[Progres Pemasangan
(%)]]*Table1[[#This Row],[Nilai RAB Jaringan
(file pa aji)]],0)</f>
        <v>0</v>
      </c>
      <c r="CT267" s="66">
        <f>IFERROR(Table1[[#This Row],[Progres Perizinan
(%)]]*Table1[[#This Row],[Nilai RAB Jaringan
(file pa aji)]],0)</f>
        <v>0</v>
      </c>
      <c r="CU267" s="329">
        <v>13891851526.562069</v>
      </c>
      <c r="CV267" s="329">
        <v>13891851526.562069</v>
      </c>
      <c r="CW267" s="583">
        <v>0</v>
      </c>
      <c r="CX267" s="329">
        <v>0</v>
      </c>
      <c r="CY267" s="47"/>
      <c r="CZ267" s="330">
        <v>45712</v>
      </c>
      <c r="DA267" s="330">
        <v>45746</v>
      </c>
      <c r="DB267" s="331">
        <v>45726</v>
      </c>
      <c r="DC267" s="316" t="s">
        <v>2091</v>
      </c>
      <c r="DD267" s="67">
        <v>17649963246</v>
      </c>
      <c r="DE26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7" s="331">
        <v>45734</v>
      </c>
      <c r="DG267" s="316" t="s">
        <v>2092</v>
      </c>
      <c r="DH267" s="67">
        <v>17649963246</v>
      </c>
      <c r="DI26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7" s="330">
        <v>45747</v>
      </c>
      <c r="DK267" s="330">
        <v>45795</v>
      </c>
      <c r="DL267" s="331">
        <v>45771</v>
      </c>
      <c r="DM267" s="316" t="s">
        <v>2093</v>
      </c>
      <c r="DN26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7" s="331">
        <v>45786</v>
      </c>
      <c r="DP267" s="316" t="s">
        <v>2094</v>
      </c>
      <c r="DQ267" s="338" t="s">
        <v>371</v>
      </c>
      <c r="DR26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7" s="330">
        <v>45747</v>
      </c>
      <c r="DT267" s="330" t="e">
        <v>#N/A</v>
      </c>
      <c r="DU267" s="330">
        <v>45795</v>
      </c>
      <c r="DV267" s="330" t="e">
        <v>#N/A</v>
      </c>
      <c r="DW267" s="331">
        <v>45771</v>
      </c>
      <c r="DX267" s="316" t="s">
        <v>2095</v>
      </c>
      <c r="DY267" s="332">
        <v>101</v>
      </c>
      <c r="DZ267" s="334">
        <v>101</v>
      </c>
      <c r="EA26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7" s="331"/>
      <c r="EC267" s="332">
        <v>95</v>
      </c>
      <c r="ED267" s="332">
        <v>95</v>
      </c>
      <c r="EE267" s="330"/>
      <c r="EF267" s="35">
        <v>0.94059405940594054</v>
      </c>
      <c r="EG267" s="35">
        <f>Table1[[#This Row],[Line PO (kolom  bantu)2]]/Table1[[#This Row],[Line PR]]</f>
        <v>0.94059405940594054</v>
      </c>
      <c r="EH267" s="316" t="str">
        <f>IF(Table1[[#This Row],[PO Material Aktual 
(%)]]&gt;=100%,"Selesai PO = 100%",IF(Table1[[#This Row],[PO Material Aktual 
(%)]]&gt;=50%,"Proses PO &gt; 100%",IF(Table1[[#This Row],[PO Material Aktual 
(%)]]&gt;0%,"Proses PO &gt; 50%",IF(Table1[[#This Row],[PO Material Aktual 
(%)]]=0,"Belum PO = 0%"))))</f>
        <v>Proses PO &gt; 100%</v>
      </c>
      <c r="EI26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7" s="330">
        <v>45796</v>
      </c>
      <c r="EK267" s="330" t="e">
        <v>#N/A</v>
      </c>
      <c r="EL267" s="330">
        <v>45928</v>
      </c>
      <c r="EM267" s="330" t="e">
        <v>#N/A</v>
      </c>
      <c r="EN267" s="331"/>
      <c r="EO267" s="332">
        <v>95</v>
      </c>
      <c r="EP267" s="316">
        <v>95</v>
      </c>
      <c r="EQ267" s="35">
        <v>0.94059405940594054</v>
      </c>
      <c r="ER267" s="35">
        <f>Table1[[#This Row],[Line MOS]]/Table1[[#This Row],[Line PR]]</f>
        <v>0.94059405940594054</v>
      </c>
      <c r="ES267" s="316" t="str">
        <f>IF(Table1[[#This Row],[Progres MOS]]&gt;=100%,"Selesai MOS = 100%",IF(Table1[[#This Row],[Progres MOS]]&gt;=50%,"Proses MOS &gt; 100%",IF(Table1[[#This Row],[Progres MOS]]&gt;0%,"Proses MOS &gt; 50%",IF(Table1[[#This Row],[Progres MOS]]=0,"Belum MOS = 0%"))))</f>
        <v>Proses MOS &gt; 100%</v>
      </c>
      <c r="ET26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7" s="47"/>
      <c r="EV267" s="330">
        <v>45747</v>
      </c>
      <c r="EW267" s="330" t="e">
        <v>#N/A</v>
      </c>
      <c r="EX267" s="330">
        <v>45837</v>
      </c>
      <c r="EY267" s="330" t="e">
        <v>#N/A</v>
      </c>
      <c r="EZ267" s="352" t="s">
        <v>298</v>
      </c>
      <c r="FA267" s="336" t="s">
        <v>259</v>
      </c>
      <c r="FB267" s="330" t="s">
        <v>260</v>
      </c>
      <c r="FC267" s="330">
        <v>45800</v>
      </c>
      <c r="FD267" s="330" t="s">
        <v>260</v>
      </c>
      <c r="FE267" s="330">
        <v>45882</v>
      </c>
      <c r="FF267" s="330">
        <v>45916</v>
      </c>
      <c r="FG267" s="330" t="s">
        <v>260</v>
      </c>
      <c r="FH267" s="330" t="s">
        <v>260</v>
      </c>
      <c r="FI267" s="330">
        <v>46010</v>
      </c>
      <c r="FJ267" s="330" t="s">
        <v>260</v>
      </c>
      <c r="FK267" s="330">
        <v>46122</v>
      </c>
      <c r="FL267" s="336" t="s">
        <v>298</v>
      </c>
      <c r="FM267" s="352">
        <v>45800</v>
      </c>
      <c r="FN267" s="338">
        <f>IF(Table1[[#This Row],[Tanggal Pengajuan Dokumen]]="","",Table1[[#This Row],[PLAN PERMIT
start]]-Table1[[#This Row],[Tanggal Pengajuan Dokumen]])</f>
        <v>-53</v>
      </c>
      <c r="FO267" s="437">
        <v>46086</v>
      </c>
      <c r="FP267" s="316"/>
      <c r="FQ267" s="338"/>
      <c r="FR267" s="338"/>
      <c r="FS267" s="338" t="str">
        <f t="shared" si="14"/>
        <v>Sudah Terbit</v>
      </c>
      <c r="FT26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7" s="344">
        <f ca="1">IF(Table1[[#This Row],[Status Izin]]="Selesai",Table1[[#This Row],[PLAN PERMIT
finish]]-Table1[[#This Row],[Tanggal Terbit/ Target Izin Terbit]],ROUNDUP(Table1[[#This Row],[PLAN PERMIT
finish]]-NOW(),0))</f>
        <v>-249</v>
      </c>
      <c r="FV26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7" s="344"/>
      <c r="FX267" s="47"/>
      <c r="FY267" s="340"/>
      <c r="FZ267" s="341"/>
      <c r="GA26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7" s="330">
        <v>45811</v>
      </c>
      <c r="GC267" s="352">
        <v>45874</v>
      </c>
      <c r="GD26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7" s="330">
        <v>45818</v>
      </c>
      <c r="GF267" s="352">
        <v>45874</v>
      </c>
      <c r="GG26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7" s="330">
        <v>45824</v>
      </c>
      <c r="GI267" s="330">
        <v>45830</v>
      </c>
      <c r="GJ267" s="352">
        <v>45884</v>
      </c>
      <c r="GK26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7" s="330">
        <v>45838</v>
      </c>
      <c r="GM267" s="330" t="e">
        <v>#N/A</v>
      </c>
      <c r="GN267" s="330">
        <v>46005</v>
      </c>
      <c r="GO267" s="330" t="e">
        <v>#N/A</v>
      </c>
      <c r="GP267" s="330"/>
      <c r="GQ26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7" s="330" t="s">
        <v>261</v>
      </c>
      <c r="GS267" s="330" t="s">
        <v>261</v>
      </c>
      <c r="GT267" s="488" t="s">
        <v>2096</v>
      </c>
      <c r="GU267" s="344" t="str">
        <f>IF(Table1[[#This Row],[Hydro Tes Actual
(tanggal)]]&lt;&gt;"","Sudah","Belum")</f>
        <v>Sudah</v>
      </c>
      <c r="GV267" s="330" t="s">
        <v>261</v>
      </c>
      <c r="GW267" s="330" t="s">
        <v>261</v>
      </c>
      <c r="GX267" s="331"/>
      <c r="GY267" s="344" t="str">
        <f>IF(Table1[[#This Row],[Interkoneksi Actual
(tanggal)]]&lt;&gt;"","Sudah","Belum")</f>
        <v>Belum</v>
      </c>
      <c r="GZ267" s="330" t="s">
        <v>261</v>
      </c>
      <c r="HA267" s="330" t="s">
        <v>261</v>
      </c>
      <c r="HB267" s="331"/>
      <c r="HC267" s="344" t="str">
        <f>IF(Table1[[#This Row],[Flushing Actual
(tanggal)]]&lt;&gt;"","Sudah","Belum")</f>
        <v>Belum</v>
      </c>
      <c r="HD267" s="330">
        <v>45978</v>
      </c>
      <c r="HE267" s="330" t="e">
        <v>#N/A</v>
      </c>
      <c r="HF267" s="330">
        <v>45991</v>
      </c>
      <c r="HG267" s="352"/>
      <c r="HH26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7" s="330" t="s">
        <v>261</v>
      </c>
      <c r="HJ267" s="330" t="s">
        <v>261</v>
      </c>
      <c r="HK267" s="331"/>
      <c r="HL267" s="316"/>
      <c r="HM267" s="330">
        <v>46010</v>
      </c>
      <c r="HN267" s="330">
        <v>46010</v>
      </c>
      <c r="HO267" s="330" t="e">
        <v>#N/A</v>
      </c>
      <c r="HP267" s="331"/>
      <c r="HQ267"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67" s="330">
        <v>46026</v>
      </c>
      <c r="HS267" s="330"/>
      <c r="HT267" s="330">
        <v>46026</v>
      </c>
      <c r="HU267" s="330"/>
      <c r="HV267" s="331"/>
      <c r="HW26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67" s="47"/>
      <c r="HY267" s="352"/>
      <c r="HZ267" s="352"/>
      <c r="IB267" s="618">
        <f>IFERROR(ROUND((Table1[[#This Row],[PLAN TC
finish]]-Table1[[#This Row],[PLAN MC-0
start]])/30,2),"")</f>
        <v>5.57</v>
      </c>
      <c r="IC267">
        <f>DATEDIF(Table1[[#This Row],[PLAN MC-0
start]],Table1[[#This Row],[PLAN TC
finish]],"m")</f>
        <v>5</v>
      </c>
    </row>
    <row r="268" spans="1:237" s="4" customFormat="1" ht="15" hidden="1" customHeight="1" x14ac:dyDescent="0.2">
      <c r="B268" s="311">
        <f>SUBTOTAL(3,$D$5:D268)</f>
        <v>84</v>
      </c>
      <c r="C268" s="316">
        <v>264</v>
      </c>
      <c r="D268" s="338" t="s">
        <v>244</v>
      </c>
      <c r="E268" s="338" t="s">
        <v>2097</v>
      </c>
      <c r="F268" s="338" t="s">
        <v>2098</v>
      </c>
      <c r="G268" s="349">
        <v>46117</v>
      </c>
      <c r="H268" s="314" t="s">
        <v>247</v>
      </c>
      <c r="I268" s="338" t="s">
        <v>278</v>
      </c>
      <c r="J268" s="480" t="s">
        <v>2047</v>
      </c>
      <c r="K268" s="338" t="s">
        <v>1165</v>
      </c>
      <c r="L268" s="316" t="s">
        <v>250</v>
      </c>
      <c r="M268" s="355" t="s">
        <v>269</v>
      </c>
      <c r="N268" s="107">
        <v>6338</v>
      </c>
      <c r="O268" s="131" t="s">
        <v>252</v>
      </c>
      <c r="P26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8" s="35">
        <v>1.0000000000000007</v>
      </c>
      <c r="S268" s="34">
        <v>1</v>
      </c>
      <c r="T268" s="34">
        <f>Table1[[#This Row],[Progres Total Aktual
(%)]]</f>
        <v>0.56278247562665251</v>
      </c>
      <c r="U268" s="98">
        <f>Table1[[#This Row],[Progres Aktual
(%)]]-Table1[[#This Row],[Target Progres
(%)]]</f>
        <v>-0.43721752437334749</v>
      </c>
      <c r="V268" s="80">
        <f>Table1[[#This Row],["Volume
BA MC-0"]]</f>
        <v>6338</v>
      </c>
      <c r="W268" s="46">
        <f>Table1[[#This Row],[Total Panjang Pipa Aktual
(Sum-&gt;)3]]</f>
        <v>6376.2</v>
      </c>
      <c r="X268" s="47"/>
      <c r="Y268" s="67" t="s">
        <v>2099</v>
      </c>
      <c r="Z268" s="67">
        <v>8955765728</v>
      </c>
      <c r="AA268" s="67">
        <f>ROUND((Table1[[#This Row],[Nilai RAB Jaringan
(Exclude Ppn)]]-Table1[[#This Row],[RAB Perizinan]])*1.11+Table1[[#This Row],[RAB Perizinan]],0)</f>
        <v>10125135684</v>
      </c>
      <c r="AB268" s="486">
        <f>SUM(Table1[[#This Row],[RAB Kegiatan Umum]:[RAB Perizinan]])</f>
        <v>9128024760.5599995</v>
      </c>
      <c r="AC268" s="436">
        <v>687491753</v>
      </c>
      <c r="AD268" s="436">
        <v>6874917521.5599995</v>
      </c>
      <c r="AE268" s="436">
        <v>1502235486</v>
      </c>
      <c r="AF268" s="436">
        <v>63380000</v>
      </c>
      <c r="AG268" s="483">
        <v>1836484877</v>
      </c>
      <c r="AH268" s="33">
        <f>SUM(Table1[[#This Row],[Bobot Keg Umum]:[Bobot Perizinan]])</f>
        <v>0.99999999999999989</v>
      </c>
      <c r="AI268" s="33">
        <f>Table1[[#This Row],[RAB Kegiatan Umum]]/Table1[[#This Row],[Nilai RAB Jaringan
(Exclude Ppn)]]</f>
        <v>7.5316595981475262E-2</v>
      </c>
      <c r="AJ268" s="33">
        <f>Table1[[#This Row],[RAB Pemasangan]]/Table1[[#This Row],[Nilai RAB Jaringan
(Exclude Ppn)]]</f>
        <v>0.75316595889012761</v>
      </c>
      <c r="AK268" s="33">
        <f>Table1[[#This Row],[RAB Pengadaan]]/Table1[[#This Row],[Nilai RAB Jaringan
(Exclude Ppn)]]</f>
        <v>0.16457399332337466</v>
      </c>
      <c r="AL268" s="33">
        <f>Table1[[#This Row],[RAB Perizinan]]/Table1[[#This Row],[Nilai RAB Jaringan
(Exclude Ppn)]]</f>
        <v>6.9434518050224556E-3</v>
      </c>
      <c r="AM268" s="47"/>
      <c r="AN268" s="285">
        <v>6338</v>
      </c>
      <c r="AO268" s="285">
        <f>SUM(Table1[[#This Row],[Pipa 63 mm]:[Pipa 1,800 mm]])</f>
        <v>0</v>
      </c>
      <c r="AP268" s="285"/>
      <c r="AQ268" s="285"/>
      <c r="AR268" s="285"/>
      <c r="AS268" s="285"/>
      <c r="AT268" s="285"/>
      <c r="AU268" s="285"/>
      <c r="AV268" s="285"/>
      <c r="AW268" s="285"/>
      <c r="AX268" s="285"/>
      <c r="AY268" s="285"/>
      <c r="AZ268" s="285"/>
      <c r="BA268" s="285"/>
      <c r="BB268" s="285"/>
      <c r="BC268" s="285"/>
      <c r="BD268" s="285"/>
      <c r="BE268" s="285"/>
      <c r="BF268" s="285"/>
      <c r="BG268" s="285"/>
      <c r="BH268" s="285"/>
      <c r="BI268" s="285"/>
      <c r="BJ268" s="36">
        <f>SUM(Table1[[#This Row],[Pipa 63 mm2]:[Pipa 1,800 mm21]])</f>
        <v>6376.2</v>
      </c>
      <c r="BK268" s="32">
        <v>4659</v>
      </c>
      <c r="BL268" s="32">
        <v>640.20000000000005</v>
      </c>
      <c r="BM268" s="32">
        <v>371</v>
      </c>
      <c r="BN268" s="32">
        <v>382</v>
      </c>
      <c r="BO268" s="32">
        <v>324</v>
      </c>
      <c r="BP268" s="32"/>
      <c r="BQ268" s="32"/>
      <c r="BR268" s="32"/>
      <c r="BS268" s="32"/>
      <c r="BT268" s="32"/>
      <c r="BU268" s="32"/>
      <c r="BV268" s="32"/>
      <c r="BW268" s="32"/>
      <c r="BX268" s="32"/>
      <c r="BY268" s="32"/>
      <c r="BZ268" s="32"/>
      <c r="CA268" s="32"/>
      <c r="CB268" s="32"/>
      <c r="CC268" s="32"/>
      <c r="CD268" s="32"/>
      <c r="CE268" s="32">
        <v>0</v>
      </c>
      <c r="CF268" s="32">
        <v>72</v>
      </c>
      <c r="CG268" s="32"/>
      <c r="CH268" s="32"/>
      <c r="CI268" s="32">
        <f t="shared" si="13"/>
        <v>72</v>
      </c>
      <c r="CJ268" s="65">
        <f>IF((Table1[[#This Row],["Volume
BA MC-0"]]-Table1[[#This Row],[Total Panjang Pipa Aktual
(Sum-&gt;)3]]-Table1[[#This Row],[Total Volume
tidak dapat dipasang]])&gt;=0,Table1[[#This Row],["Volume
BA MC-0"]]-Table1[[#This Row],[Total Panjang Pipa Aktual
(Sum-&gt;)3]]-Table1[[#This Row],[Total Volume
tidak dapat dipasang]],0)</f>
        <v>0</v>
      </c>
      <c r="CK268" s="47"/>
      <c r="CL268" s="484" t="s">
        <v>1821</v>
      </c>
      <c r="CM268" s="34" t="s">
        <v>1821</v>
      </c>
      <c r="CN268" s="484" t="s">
        <v>1821</v>
      </c>
      <c r="CO268" s="484" t="s">
        <v>1821</v>
      </c>
      <c r="CP26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0.56278247562665251</v>
      </c>
      <c r="CQ268" s="66">
        <f>IFERROR(Table1[[#This Row],[Progres Keg. Umum
(%)]]*Table1[[#This Row],[Nilai RAB Jaringan
(file pa aji)]],0)</f>
        <v>0</v>
      </c>
      <c r="CR268" s="66">
        <f>IFERROR(Table1[[#This Row],[Progres MOS
(%)]]*Table1[[#This Row],[Nilai RAB Jaringan
(file pa aji)]],0)</f>
        <v>0</v>
      </c>
      <c r="CS268" s="66">
        <f>IFERROR(Table1[[#This Row],[Progres Pemasangan
(%)]]*Table1[[#This Row],[Nilai RAB Jaringan
(file pa aji)]],0)</f>
        <v>0</v>
      </c>
      <c r="CT268" s="66">
        <f>IFERROR(Table1[[#This Row],[Progres Perizinan
(%)]]*Table1[[#This Row],[Nilai RAB Jaringan
(file pa aji)]],0)</f>
        <v>0</v>
      </c>
      <c r="CU268" s="329">
        <v>5698248926.2972794</v>
      </c>
      <c r="CV268" s="329">
        <v>5698248926.2972794</v>
      </c>
      <c r="CW268" s="583">
        <v>0</v>
      </c>
      <c r="CX268" s="329">
        <v>0</v>
      </c>
      <c r="CY268" s="47"/>
      <c r="CZ268" s="330">
        <v>45712</v>
      </c>
      <c r="DA268" s="330">
        <v>45746</v>
      </c>
      <c r="DB268" s="331">
        <v>45726</v>
      </c>
      <c r="DC268" s="316" t="s">
        <v>2100</v>
      </c>
      <c r="DD268" s="67">
        <v>10125135685</v>
      </c>
      <c r="DE26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8" s="331">
        <v>45733</v>
      </c>
      <c r="DG268" s="316" t="s">
        <v>2101</v>
      </c>
      <c r="DH268" s="67">
        <v>10125135685</v>
      </c>
      <c r="DI26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8" s="330">
        <v>45747</v>
      </c>
      <c r="DK268" s="330">
        <v>45795</v>
      </c>
      <c r="DL268" s="331">
        <v>45772</v>
      </c>
      <c r="DM268" s="316" t="s">
        <v>2102</v>
      </c>
      <c r="DN26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8" s="331">
        <v>45845</v>
      </c>
      <c r="DP268" s="316" t="s">
        <v>2103</v>
      </c>
      <c r="DQ268" s="338" t="s">
        <v>560</v>
      </c>
      <c r="DR26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8" s="330">
        <v>45747</v>
      </c>
      <c r="DT268" s="330" t="e">
        <v>#N/A</v>
      </c>
      <c r="DU268" s="330">
        <v>45795</v>
      </c>
      <c r="DV268" s="330" t="e">
        <v>#N/A</v>
      </c>
      <c r="DW268" s="331">
        <v>45772</v>
      </c>
      <c r="DX268" s="316" t="s">
        <v>2104</v>
      </c>
      <c r="DY268" s="332">
        <v>73</v>
      </c>
      <c r="DZ268" s="334">
        <v>73</v>
      </c>
      <c r="EA26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8" s="331"/>
      <c r="EC268" s="332">
        <v>72</v>
      </c>
      <c r="ED268" s="332">
        <v>72</v>
      </c>
      <c r="EE268" s="330"/>
      <c r="EF268" s="35">
        <v>0.98630136986301364</v>
      </c>
      <c r="EG268" s="35">
        <f>Table1[[#This Row],[Line PO (kolom  bantu)2]]/Table1[[#This Row],[Line PR]]</f>
        <v>0.98630136986301364</v>
      </c>
      <c r="EH268" s="316" t="str">
        <f>IF(Table1[[#This Row],[PO Material Aktual 
(%)]]&gt;=100%,"Selesai PO = 100%",IF(Table1[[#This Row],[PO Material Aktual 
(%)]]&gt;=50%,"Proses PO &gt; 100%",IF(Table1[[#This Row],[PO Material Aktual 
(%)]]&gt;0%,"Proses PO &gt; 50%",IF(Table1[[#This Row],[PO Material Aktual 
(%)]]=0,"Belum PO = 0%"))))</f>
        <v>Proses PO &gt; 100%</v>
      </c>
      <c r="EI26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8" s="330">
        <v>45796</v>
      </c>
      <c r="EK268" s="330" t="e">
        <v>#N/A</v>
      </c>
      <c r="EL268" s="330">
        <v>45928</v>
      </c>
      <c r="EM268" s="330" t="e">
        <v>#N/A</v>
      </c>
      <c r="EN268" s="331"/>
      <c r="EO268" s="332">
        <v>72</v>
      </c>
      <c r="EP268" s="316">
        <v>72</v>
      </c>
      <c r="EQ268" s="35">
        <v>0.98630136986301364</v>
      </c>
      <c r="ER268" s="35">
        <f>Table1[[#This Row],[Line MOS]]/Table1[[#This Row],[Line PR]]</f>
        <v>0.98630136986301364</v>
      </c>
      <c r="ES268" s="316" t="str">
        <f>IF(Table1[[#This Row],[Progres MOS]]&gt;=100%,"Selesai MOS = 100%",IF(Table1[[#This Row],[Progres MOS]]&gt;=50%,"Proses MOS &gt; 100%",IF(Table1[[#This Row],[Progres MOS]]&gt;0%,"Proses MOS &gt; 50%",IF(Table1[[#This Row],[Progres MOS]]=0,"Belum MOS = 0%"))))</f>
        <v>Proses MOS &gt; 100%</v>
      </c>
      <c r="ET26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8" s="47"/>
      <c r="EV268" s="330">
        <v>45747</v>
      </c>
      <c r="EW268" s="330" t="e">
        <v>#N/A</v>
      </c>
      <c r="EX268" s="330">
        <v>45837</v>
      </c>
      <c r="EY268" s="330" t="e">
        <v>#N/A</v>
      </c>
      <c r="EZ268" s="352" t="s">
        <v>298</v>
      </c>
      <c r="FA268" s="336" t="s">
        <v>298</v>
      </c>
      <c r="FB268" s="330" t="s">
        <v>260</v>
      </c>
      <c r="FC268" s="330">
        <v>45800</v>
      </c>
      <c r="FD268" s="330" t="s">
        <v>260</v>
      </c>
      <c r="FE268" s="330">
        <v>45882</v>
      </c>
      <c r="FF268" s="330">
        <v>45916</v>
      </c>
      <c r="FG268" s="330" t="s">
        <v>260</v>
      </c>
      <c r="FH268" s="330" t="s">
        <v>260</v>
      </c>
      <c r="FI268" s="330">
        <v>46010</v>
      </c>
      <c r="FJ268" s="330" t="s">
        <v>260</v>
      </c>
      <c r="FK268" s="330"/>
      <c r="FL268" s="336" t="s">
        <v>298</v>
      </c>
      <c r="FM268" s="352">
        <v>45800</v>
      </c>
      <c r="FN268" s="338">
        <f>IF(Table1[[#This Row],[Tanggal Pengajuan Dokumen]]="","",Table1[[#This Row],[PLAN PERMIT
start]]-Table1[[#This Row],[Tanggal Pengajuan Dokumen]])</f>
        <v>-53</v>
      </c>
      <c r="FO268" s="437">
        <v>46086</v>
      </c>
      <c r="FP268" s="316"/>
      <c r="FQ268" s="338"/>
      <c r="FR268" s="338"/>
      <c r="FS268" s="338" t="str">
        <f t="shared" si="14"/>
        <v>On Going</v>
      </c>
      <c r="FT26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8" s="344">
        <f ca="1">IF(Table1[[#This Row],[Status Izin]]="Selesai",Table1[[#This Row],[PLAN PERMIT
finish]]-Table1[[#This Row],[Tanggal Terbit/ Target Izin Terbit]],ROUNDUP(Table1[[#This Row],[PLAN PERMIT
finish]]-NOW(),0))</f>
        <v>-354</v>
      </c>
      <c r="FV26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8" s="344"/>
      <c r="FX268" s="47"/>
      <c r="FY268" s="340"/>
      <c r="FZ268" s="341"/>
      <c r="GA26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8" s="330">
        <v>45811</v>
      </c>
      <c r="GC268" s="352">
        <v>45874</v>
      </c>
      <c r="GD26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8" s="330">
        <v>45818</v>
      </c>
      <c r="GF268" s="352">
        <v>45874</v>
      </c>
      <c r="GG26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8" s="330">
        <v>45824</v>
      </c>
      <c r="GI268" s="330">
        <v>45830</v>
      </c>
      <c r="GJ268" s="352">
        <v>45882</v>
      </c>
      <c r="GK26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8" s="330">
        <v>45838</v>
      </c>
      <c r="GM268" s="330" t="e">
        <v>#N/A</v>
      </c>
      <c r="GN268" s="330">
        <v>46005</v>
      </c>
      <c r="GO268" s="330" t="e">
        <v>#N/A</v>
      </c>
      <c r="GP268" s="330"/>
      <c r="GQ26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8" s="330" t="s">
        <v>261</v>
      </c>
      <c r="GS268" s="330" t="s">
        <v>261</v>
      </c>
      <c r="GT268" s="488" t="s">
        <v>2105</v>
      </c>
      <c r="GU268" s="344" t="str">
        <f>IF(Table1[[#This Row],[Hydro Tes Actual
(tanggal)]]&lt;&gt;"","Sudah","Belum")</f>
        <v>Sudah</v>
      </c>
      <c r="GV268" s="330" t="s">
        <v>261</v>
      </c>
      <c r="GW268" s="330" t="s">
        <v>261</v>
      </c>
      <c r="GX268" s="331"/>
      <c r="GY268" s="344" t="str">
        <f>IF(Table1[[#This Row],[Interkoneksi Actual
(tanggal)]]&lt;&gt;"","Sudah","Belum")</f>
        <v>Belum</v>
      </c>
      <c r="GZ268" s="330" t="s">
        <v>261</v>
      </c>
      <c r="HA268" s="330" t="s">
        <v>261</v>
      </c>
      <c r="HB268" s="331"/>
      <c r="HC268" s="344" t="str">
        <f>IF(Table1[[#This Row],[Flushing Actual
(tanggal)]]&lt;&gt;"","Sudah","Belum")</f>
        <v>Belum</v>
      </c>
      <c r="HD268" s="330">
        <v>45978</v>
      </c>
      <c r="HE268" s="330" t="e">
        <v>#N/A</v>
      </c>
      <c r="HF268" s="330">
        <v>45991</v>
      </c>
      <c r="HG268" s="352"/>
      <c r="HH26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8" s="330" t="s">
        <v>261</v>
      </c>
      <c r="HJ268" s="330" t="s">
        <v>261</v>
      </c>
      <c r="HK268" s="331"/>
      <c r="HL268" s="316"/>
      <c r="HM268" s="330">
        <v>46010</v>
      </c>
      <c r="HN268" s="330">
        <v>46010</v>
      </c>
      <c r="HO268" s="330" t="e">
        <v>#N/A</v>
      </c>
      <c r="HP268" s="331"/>
      <c r="HQ268"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68" s="330">
        <v>46026</v>
      </c>
      <c r="HS268" s="330"/>
      <c r="HT268" s="330">
        <v>46026</v>
      </c>
      <c r="HU268" s="330"/>
      <c r="HV268" s="331"/>
      <c r="HW26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68" s="47"/>
      <c r="HY268" s="352"/>
      <c r="HZ268" s="352"/>
      <c r="IB268" s="618">
        <f>IFERROR(ROUND((Table1[[#This Row],[PLAN TC
finish]]-Table1[[#This Row],[PLAN MC-0
start]])/30,2),"")</f>
        <v>5.57</v>
      </c>
      <c r="IC268">
        <f>DATEDIF(Table1[[#This Row],[PLAN MC-0
start]],Table1[[#This Row],[PLAN TC
finish]],"m")</f>
        <v>5</v>
      </c>
    </row>
    <row r="269" spans="1:237" s="4" customFormat="1" ht="15" hidden="1" customHeight="1" x14ac:dyDescent="0.2">
      <c r="B269" s="311">
        <f>SUBTOTAL(3,$D$5:D269)</f>
        <v>84</v>
      </c>
      <c r="C269" s="316">
        <v>265</v>
      </c>
      <c r="D269" s="338" t="s">
        <v>244</v>
      </c>
      <c r="E269" s="338" t="s">
        <v>2106</v>
      </c>
      <c r="F269" s="338" t="s">
        <v>2107</v>
      </c>
      <c r="G269" s="349">
        <v>46117</v>
      </c>
      <c r="H269" s="314" t="s">
        <v>247</v>
      </c>
      <c r="I269" s="338" t="s">
        <v>278</v>
      </c>
      <c r="J269" s="480" t="s">
        <v>2047</v>
      </c>
      <c r="K269" s="338" t="s">
        <v>1165</v>
      </c>
      <c r="L269" s="316" t="s">
        <v>250</v>
      </c>
      <c r="M269" s="355" t="s">
        <v>269</v>
      </c>
      <c r="N269" s="107">
        <v>14274</v>
      </c>
      <c r="O269" s="131" t="s">
        <v>252</v>
      </c>
      <c r="P26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9" s="35">
        <v>0.99999999999999967</v>
      </c>
      <c r="S269" s="34">
        <v>1</v>
      </c>
      <c r="T269" s="34">
        <f>Table1[[#This Row],[Progres Total Aktual
(%)]]</f>
        <v>0.71943939371638344</v>
      </c>
      <c r="U269" s="98">
        <f>Table1[[#This Row],[Progres Aktual
(%)]]-Table1[[#This Row],[Target Progres
(%)]]</f>
        <v>-0.28056060628361656</v>
      </c>
      <c r="V269" s="80">
        <f>Table1[[#This Row],["Volume
BA MC-0"]]</f>
        <v>14274</v>
      </c>
      <c r="W269" s="46">
        <f>Table1[[#This Row],[Total Panjang Pipa Aktual
(Sum-&gt;)3]]</f>
        <v>12067</v>
      </c>
      <c r="X269" s="47"/>
      <c r="Y269" s="67" t="s">
        <v>2108</v>
      </c>
      <c r="Z269" s="67">
        <v>19719326745</v>
      </c>
      <c r="AA269" s="67">
        <f>ROUND((Table1[[#This Row],[Nilai RAB Jaringan
(Exclude Ppn)]]-Table1[[#This Row],[RAB Perizinan]])*1.11+Table1[[#This Row],[RAB Perizinan]],0)</f>
        <v>22251292018</v>
      </c>
      <c r="AB269" s="486">
        <f>SUM(Table1[[#This Row],[RAB Kegiatan Umum]:[RAB Perizinan]])</f>
        <v>20060354430.360001</v>
      </c>
      <c r="AC269" s="436">
        <v>1542624117</v>
      </c>
      <c r="AD269" s="436">
        <v>15426241167.359999</v>
      </c>
      <c r="AE269" s="436">
        <v>2948749146</v>
      </c>
      <c r="AF269" s="436">
        <v>142740000</v>
      </c>
      <c r="AG269" s="483">
        <v>3033479484</v>
      </c>
      <c r="AH269" s="33">
        <f>SUM(Table1[[#This Row],[Bobot Keg Umum]:[Bobot Perizinan]])</f>
        <v>0.99999999999999989</v>
      </c>
      <c r="AI269" s="33">
        <f>Table1[[#This Row],[RAB Kegiatan Umum]]/Table1[[#This Row],[Nilai RAB Jaringan
(Exclude Ppn)]]</f>
        <v>7.6899145643475858E-2</v>
      </c>
      <c r="AJ269" s="33">
        <f>Table1[[#This Row],[RAB Pemasangan]]/Table1[[#This Row],[Nilai RAB Jaringan
(Exclude Ppn)]]</f>
        <v>0.76899145630315568</v>
      </c>
      <c r="AK269" s="33">
        <f>Table1[[#This Row],[RAB Pengadaan]]/Table1[[#This Row],[Nilai RAB Jaringan
(Exclude Ppn)]]</f>
        <v>0.14699387073327408</v>
      </c>
      <c r="AL269" s="33">
        <f>Table1[[#This Row],[RAB Perizinan]]/Table1[[#This Row],[Nilai RAB Jaringan
(Exclude Ppn)]]</f>
        <v>7.1155273200942349E-3</v>
      </c>
      <c r="AM269" s="47"/>
      <c r="AN269" s="285">
        <v>14274</v>
      </c>
      <c r="AO269" s="285">
        <f>SUM(Table1[[#This Row],[Pipa 63 mm]:[Pipa 1,800 mm]])</f>
        <v>0</v>
      </c>
      <c r="AP269" s="285"/>
      <c r="AQ269" s="285"/>
      <c r="AR269" s="285"/>
      <c r="AS269" s="285"/>
      <c r="AT269" s="285"/>
      <c r="AU269" s="285"/>
      <c r="AV269" s="285"/>
      <c r="AW269" s="285"/>
      <c r="AX269" s="285"/>
      <c r="AY269" s="285"/>
      <c r="AZ269" s="285"/>
      <c r="BA269" s="285"/>
      <c r="BB269" s="285"/>
      <c r="BC269" s="285"/>
      <c r="BD269" s="285"/>
      <c r="BE269" s="285"/>
      <c r="BF269" s="285"/>
      <c r="BG269" s="285"/>
      <c r="BH269" s="285"/>
      <c r="BI269" s="285"/>
      <c r="BJ269" s="36">
        <f>SUM(Table1[[#This Row],[Pipa 63 mm2]:[Pipa 1,800 mm21]])</f>
        <v>12067</v>
      </c>
      <c r="BK269" s="32">
        <v>8007</v>
      </c>
      <c r="BL269" s="32">
        <v>1416</v>
      </c>
      <c r="BM269" s="32">
        <v>1672</v>
      </c>
      <c r="BN269" s="32">
        <v>575</v>
      </c>
      <c r="BO269" s="32">
        <v>397</v>
      </c>
      <c r="BP269" s="32"/>
      <c r="BQ269" s="32"/>
      <c r="BR269" s="32"/>
      <c r="BS269" s="32"/>
      <c r="BT269" s="32"/>
      <c r="BU269" s="32"/>
      <c r="BV269" s="32"/>
      <c r="BW269" s="32"/>
      <c r="BX269" s="32"/>
      <c r="BY269" s="32"/>
      <c r="BZ269" s="32"/>
      <c r="CA269" s="32"/>
      <c r="CB269" s="32"/>
      <c r="CC269" s="32"/>
      <c r="CD269" s="32"/>
      <c r="CE269" s="32">
        <v>0</v>
      </c>
      <c r="CF269" s="32"/>
      <c r="CG269" s="32"/>
      <c r="CH269" s="32"/>
      <c r="CI269" s="32">
        <f t="shared" si="13"/>
        <v>0</v>
      </c>
      <c r="CJ269" s="65">
        <f>IF((Table1[[#This Row],["Volume
BA MC-0"]]-Table1[[#This Row],[Total Panjang Pipa Aktual
(Sum-&gt;)3]]-Table1[[#This Row],[Total Volume
tidak dapat dipasang]])&gt;=0,Table1[[#This Row],["Volume
BA MC-0"]]-Table1[[#This Row],[Total Panjang Pipa Aktual
(Sum-&gt;)3]]-Table1[[#This Row],[Total Volume
tidak dapat dipasang]],0)</f>
        <v>2207</v>
      </c>
      <c r="CK269" s="47"/>
      <c r="CL269" s="35" t="s">
        <v>1821</v>
      </c>
      <c r="CM269" s="35" t="s">
        <v>1821</v>
      </c>
      <c r="CN269" s="35" t="s">
        <v>1821</v>
      </c>
      <c r="CO269" s="35" t="s">
        <v>1821</v>
      </c>
      <c r="CP26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0.71943939371638344</v>
      </c>
      <c r="CQ269" s="66">
        <f>IFERROR(Table1[[#This Row],[Progres Keg. Umum
(%)]]*Table1[[#This Row],[Nilai RAB Jaringan
(file pa aji)]],0)</f>
        <v>0</v>
      </c>
      <c r="CR269" s="66">
        <f>IFERROR(Table1[[#This Row],[Progres MOS
(%)]]*Table1[[#This Row],[Nilai RAB Jaringan
(file pa aji)]],0)</f>
        <v>0</v>
      </c>
      <c r="CS269" s="66">
        <f>IFERROR(Table1[[#This Row],[Progres Pemasangan
(%)]]*Table1[[#This Row],[Nilai RAB Jaringan
(file pa aji)]],0)</f>
        <v>0</v>
      </c>
      <c r="CT269" s="66">
        <f>IFERROR(Table1[[#This Row],[Progres Perizinan
(%)]]*Table1[[#This Row],[Nilai RAB Jaringan
(file pa aji)]],0)</f>
        <v>0</v>
      </c>
      <c r="CU269" s="329">
        <v>16008456038.836123</v>
      </c>
      <c r="CV269" s="329">
        <v>16008456038.836123</v>
      </c>
      <c r="CW269" s="583">
        <v>0</v>
      </c>
      <c r="CX269" s="329">
        <v>0</v>
      </c>
      <c r="CY269" s="47"/>
      <c r="CZ269" s="330">
        <v>45712</v>
      </c>
      <c r="DA269" s="330">
        <v>45746</v>
      </c>
      <c r="DB269" s="331">
        <v>45727</v>
      </c>
      <c r="DC269" s="316" t="s">
        <v>2109</v>
      </c>
      <c r="DD269" s="67">
        <v>22251292018</v>
      </c>
      <c r="DE26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9" s="331">
        <v>45734</v>
      </c>
      <c r="DG269" s="316" t="s">
        <v>2110</v>
      </c>
      <c r="DH269" s="67">
        <v>22251292018</v>
      </c>
      <c r="DI26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9" s="330">
        <v>45747</v>
      </c>
      <c r="DK269" s="330">
        <v>45795</v>
      </c>
      <c r="DL269" s="331">
        <v>45771</v>
      </c>
      <c r="DM269" s="316" t="s">
        <v>2111</v>
      </c>
      <c r="DN26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9" s="331">
        <v>45847</v>
      </c>
      <c r="DP269" s="316" t="s">
        <v>2112</v>
      </c>
      <c r="DQ269" s="338" t="s">
        <v>275</v>
      </c>
      <c r="DR26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9" s="330">
        <v>45747</v>
      </c>
      <c r="DT269" s="330" t="e">
        <v>#N/A</v>
      </c>
      <c r="DU269" s="330">
        <v>45795</v>
      </c>
      <c r="DV269" s="330" t="e">
        <v>#N/A</v>
      </c>
      <c r="DW269" s="331">
        <v>45772</v>
      </c>
      <c r="DX269" s="316" t="s">
        <v>2113</v>
      </c>
      <c r="DY269" s="332">
        <v>93</v>
      </c>
      <c r="DZ269" s="334">
        <v>93</v>
      </c>
      <c r="EA26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9" s="331"/>
      <c r="EC269" s="332">
        <v>87</v>
      </c>
      <c r="ED269" s="332">
        <v>87</v>
      </c>
      <c r="EE269" s="330"/>
      <c r="EF269" s="35">
        <v>0.93548387096774188</v>
      </c>
      <c r="EG269" s="35">
        <f>Table1[[#This Row],[Line PO (kolom  bantu)2]]/Table1[[#This Row],[Line PR]]</f>
        <v>0.93548387096774188</v>
      </c>
      <c r="EH269" s="316" t="str">
        <f>IF(Table1[[#This Row],[PO Material Aktual 
(%)]]&gt;=100%,"Selesai PO = 100%",IF(Table1[[#This Row],[PO Material Aktual 
(%)]]&gt;=50%,"Proses PO &gt; 100%",IF(Table1[[#This Row],[PO Material Aktual 
(%)]]&gt;0%,"Proses PO &gt; 50%",IF(Table1[[#This Row],[PO Material Aktual 
(%)]]=0,"Belum PO = 0%"))))</f>
        <v>Proses PO &gt; 100%</v>
      </c>
      <c r="EI26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9" s="330">
        <v>45796</v>
      </c>
      <c r="EK269" s="330" t="e">
        <v>#N/A</v>
      </c>
      <c r="EL269" s="330">
        <v>45928</v>
      </c>
      <c r="EM269" s="330" t="e">
        <v>#N/A</v>
      </c>
      <c r="EN269" s="331"/>
      <c r="EO269" s="332">
        <v>87</v>
      </c>
      <c r="EP269" s="316">
        <v>87</v>
      </c>
      <c r="EQ269" s="35">
        <v>0.93548387096774188</v>
      </c>
      <c r="ER269" s="35">
        <f>Table1[[#This Row],[Line MOS]]/Table1[[#This Row],[Line PR]]</f>
        <v>0.93548387096774188</v>
      </c>
      <c r="ES269" s="316" t="str">
        <f>IF(Table1[[#This Row],[Progres MOS]]&gt;=100%,"Selesai MOS = 100%",IF(Table1[[#This Row],[Progres MOS]]&gt;=50%,"Proses MOS &gt; 100%",IF(Table1[[#This Row],[Progres MOS]]&gt;0%,"Proses MOS &gt; 50%",IF(Table1[[#This Row],[Progres MOS]]=0,"Belum MOS = 0%"))))</f>
        <v>Proses MOS &gt; 100%</v>
      </c>
      <c r="ET26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9" s="47"/>
      <c r="EV269" s="330">
        <v>45747</v>
      </c>
      <c r="EW269" s="330" t="e">
        <v>#N/A</v>
      </c>
      <c r="EX269" s="330">
        <v>45837</v>
      </c>
      <c r="EY269" s="330" t="e">
        <v>#N/A</v>
      </c>
      <c r="EZ269" s="352" t="s">
        <v>298</v>
      </c>
      <c r="FA269" s="336" t="s">
        <v>298</v>
      </c>
      <c r="FB269" s="330" t="s">
        <v>260</v>
      </c>
      <c r="FC269" s="330">
        <v>45800</v>
      </c>
      <c r="FD269" s="330" t="s">
        <v>260</v>
      </c>
      <c r="FE269" s="330">
        <v>45882</v>
      </c>
      <c r="FF269" s="330">
        <v>45916</v>
      </c>
      <c r="FG269" s="330" t="s">
        <v>260</v>
      </c>
      <c r="FH269" s="330" t="s">
        <v>260</v>
      </c>
      <c r="FI269" s="330">
        <v>46010</v>
      </c>
      <c r="FJ269" s="330" t="s">
        <v>260</v>
      </c>
      <c r="FK269" s="330"/>
      <c r="FL269" s="336" t="s">
        <v>298</v>
      </c>
      <c r="FM269" s="352">
        <v>45800</v>
      </c>
      <c r="FN269" s="338">
        <f>IF(Table1[[#This Row],[Tanggal Pengajuan Dokumen]]="","",Table1[[#This Row],[PLAN PERMIT
start]]-Table1[[#This Row],[Tanggal Pengajuan Dokumen]])</f>
        <v>-53</v>
      </c>
      <c r="FO269" s="437">
        <v>46086</v>
      </c>
      <c r="FP269" s="316"/>
      <c r="FQ269" s="338"/>
      <c r="FR269" s="338"/>
      <c r="FS269" s="338" t="str">
        <f t="shared" si="14"/>
        <v>On Going</v>
      </c>
      <c r="FT26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9" s="344">
        <f ca="1">IF(Table1[[#This Row],[Status Izin]]="Selesai",Table1[[#This Row],[PLAN PERMIT
finish]]-Table1[[#This Row],[Tanggal Terbit/ Target Izin Terbit]],ROUNDUP(Table1[[#This Row],[PLAN PERMIT
finish]]-NOW(),0))</f>
        <v>-354</v>
      </c>
      <c r="FV26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9" s="344"/>
      <c r="FX269" s="47"/>
      <c r="FY269" s="340"/>
      <c r="FZ269" s="341"/>
      <c r="GA26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9" s="330">
        <v>45811</v>
      </c>
      <c r="GC269" s="352">
        <v>45874</v>
      </c>
      <c r="GD26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9" s="330">
        <v>45818</v>
      </c>
      <c r="GF269" s="352">
        <v>45874</v>
      </c>
      <c r="GG26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9" s="330">
        <v>45824</v>
      </c>
      <c r="GI269" s="330">
        <v>45830</v>
      </c>
      <c r="GJ269" s="352">
        <v>45882</v>
      </c>
      <c r="GK26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9" s="330">
        <v>45838</v>
      </c>
      <c r="GM269" s="330" t="e">
        <v>#N/A</v>
      </c>
      <c r="GN269" s="330">
        <v>46005</v>
      </c>
      <c r="GO269" s="330" t="e">
        <v>#N/A</v>
      </c>
      <c r="GP269" s="330"/>
      <c r="GQ26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9" s="330" t="s">
        <v>261</v>
      </c>
      <c r="GS269" s="330" t="s">
        <v>261</v>
      </c>
      <c r="GT269" s="354" t="s">
        <v>2114</v>
      </c>
      <c r="GU269" s="344" t="str">
        <f>IF(Table1[[#This Row],[Hydro Tes Actual
(tanggal)]]&lt;&gt;"","Sudah","Belum")</f>
        <v>Sudah</v>
      </c>
      <c r="GV269" s="330" t="s">
        <v>261</v>
      </c>
      <c r="GW269" s="330" t="s">
        <v>261</v>
      </c>
      <c r="GX269" s="331"/>
      <c r="GY269" s="344" t="str">
        <f>IF(Table1[[#This Row],[Interkoneksi Actual
(tanggal)]]&lt;&gt;"","Sudah","Belum")</f>
        <v>Belum</v>
      </c>
      <c r="GZ269" s="330" t="s">
        <v>261</v>
      </c>
      <c r="HA269" s="330" t="s">
        <v>261</v>
      </c>
      <c r="HB269" s="331"/>
      <c r="HC269" s="344" t="str">
        <f>IF(Table1[[#This Row],[Flushing Actual
(tanggal)]]&lt;&gt;"","Sudah","Belum")</f>
        <v>Belum</v>
      </c>
      <c r="HD269" s="330">
        <v>45978</v>
      </c>
      <c r="HE269" s="330" t="e">
        <v>#N/A</v>
      </c>
      <c r="HF269" s="330">
        <v>45991</v>
      </c>
      <c r="HG269" s="352"/>
      <c r="HH26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9" s="330" t="s">
        <v>261</v>
      </c>
      <c r="HJ269" s="330" t="s">
        <v>261</v>
      </c>
      <c r="HK269" s="331"/>
      <c r="HL269" s="316"/>
      <c r="HM269" s="330">
        <v>46010</v>
      </c>
      <c r="HN269" s="330">
        <v>46010</v>
      </c>
      <c r="HO269" s="330" t="e">
        <v>#N/A</v>
      </c>
      <c r="HP269" s="331"/>
      <c r="HQ269"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69" s="330">
        <v>46026</v>
      </c>
      <c r="HS269" s="330"/>
      <c r="HT269" s="330">
        <v>46026</v>
      </c>
      <c r="HU269" s="330"/>
      <c r="HV269" s="331"/>
      <c r="HW26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69" s="47"/>
      <c r="HY269" s="352"/>
      <c r="HZ269" s="352"/>
      <c r="IB269" s="618">
        <f>IFERROR(ROUND((Table1[[#This Row],[PLAN TC
finish]]-Table1[[#This Row],[PLAN MC-0
start]])/30,2),"")</f>
        <v>5.57</v>
      </c>
      <c r="IC269">
        <f>DATEDIF(Table1[[#This Row],[PLAN MC-0
start]],Table1[[#This Row],[PLAN TC
finish]],"m")</f>
        <v>5</v>
      </c>
    </row>
    <row r="270" spans="1:237" s="4" customFormat="1" ht="15" hidden="1" customHeight="1" x14ac:dyDescent="0.2">
      <c r="B270" s="311">
        <f>SUBTOTAL(3,$D$5:D270)</f>
        <v>84</v>
      </c>
      <c r="C270" s="316">
        <v>266</v>
      </c>
      <c r="D270" s="338" t="s">
        <v>244</v>
      </c>
      <c r="E270" s="338" t="s">
        <v>2115</v>
      </c>
      <c r="F270" s="338" t="s">
        <v>2116</v>
      </c>
      <c r="G270" s="349">
        <v>46117</v>
      </c>
      <c r="H270" s="314" t="s">
        <v>247</v>
      </c>
      <c r="I270" s="338" t="s">
        <v>278</v>
      </c>
      <c r="J270" s="480" t="s">
        <v>2047</v>
      </c>
      <c r="K270" s="338" t="s">
        <v>1165</v>
      </c>
      <c r="L270" s="316" t="s">
        <v>250</v>
      </c>
      <c r="M270" s="355" t="s">
        <v>269</v>
      </c>
      <c r="N270" s="107">
        <v>4643</v>
      </c>
      <c r="O270" s="131" t="s">
        <v>252</v>
      </c>
      <c r="P27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70" s="35">
        <v>0.99999999999999967</v>
      </c>
      <c r="S270" s="34">
        <v>1</v>
      </c>
      <c r="T270" s="34">
        <f>Table1[[#This Row],[Progres Total Aktual
(%)]]</f>
        <v>0.62443639834009845</v>
      </c>
      <c r="U270" s="98">
        <f>Table1[[#This Row],[Progres Aktual
(%)]]-Table1[[#This Row],[Target Progres
(%)]]</f>
        <v>-0.37556360165990155</v>
      </c>
      <c r="V270" s="80">
        <f>Table1[[#This Row],["Volume
BA MC-0"]]</f>
        <v>4643</v>
      </c>
      <c r="W270" s="46">
        <f>Table1[[#This Row],[Total Panjang Pipa Aktual
(Sum-&gt;)3]]</f>
        <v>3672</v>
      </c>
      <c r="X270" s="47"/>
      <c r="Y270" s="67" t="s">
        <v>2117</v>
      </c>
      <c r="Z270" s="67">
        <v>6643544748</v>
      </c>
      <c r="AA270" s="67">
        <f>ROUND((Table1[[#This Row],[Nilai RAB Jaringan
(Exclude Ppn)]]-Table1[[#This Row],[RAB Perizinan]])*1.11+Table1[[#This Row],[RAB Perizinan]],0)</f>
        <v>7463167244</v>
      </c>
      <c r="AB270" s="486">
        <f>SUM(Table1[[#This Row],[RAB Kegiatan Umum]:[RAB Perizinan]])</f>
        <v>6728175265</v>
      </c>
      <c r="AC270" s="436">
        <v>519563701</v>
      </c>
      <c r="AD270" s="436">
        <v>5195637003</v>
      </c>
      <c r="AE270" s="436">
        <v>966544561</v>
      </c>
      <c r="AF270" s="436">
        <v>46430000</v>
      </c>
      <c r="AG270" s="483">
        <v>1182647070</v>
      </c>
      <c r="AH270" s="33">
        <f>SUM(Table1[[#This Row],[Bobot Keg Umum]:[Bobot Perizinan]])</f>
        <v>1</v>
      </c>
      <c r="AI270" s="33">
        <f>Table1[[#This Row],[RAB Kegiatan Umum]]/Table1[[#This Row],[Nilai RAB Jaringan
(Exclude Ppn)]]</f>
        <v>7.7222081847774224E-2</v>
      </c>
      <c r="AJ270" s="33">
        <f>Table1[[#This Row],[RAB Pemasangan]]/Table1[[#This Row],[Nilai RAB Jaringan
(Exclude Ppn)]]</f>
        <v>0.77222081743734128</v>
      </c>
      <c r="AK270" s="33">
        <f>Table1[[#This Row],[RAB Pengadaan]]/Table1[[#This Row],[Nilai RAB Jaringan
(Exclude Ppn)]]</f>
        <v>0.1436562697806</v>
      </c>
      <c r="AL270" s="33">
        <f>Table1[[#This Row],[RAB Perizinan]]/Table1[[#This Row],[Nilai RAB Jaringan
(Exclude Ppn)]]</f>
        <v>6.9008309342845275E-3</v>
      </c>
      <c r="AM270" s="47"/>
      <c r="AN270" s="285">
        <v>4643</v>
      </c>
      <c r="AO270" s="285">
        <f>SUM(Table1[[#This Row],[Pipa 63 mm]:[Pipa 1,800 mm]])</f>
        <v>0</v>
      </c>
      <c r="AP270" s="285"/>
      <c r="AQ270" s="285"/>
      <c r="AR270" s="285"/>
      <c r="AS270" s="285"/>
      <c r="AT270" s="285"/>
      <c r="AU270" s="285"/>
      <c r="AV270" s="285"/>
      <c r="AW270" s="285"/>
      <c r="AX270" s="285"/>
      <c r="AY270" s="285"/>
      <c r="AZ270" s="285"/>
      <c r="BA270" s="285"/>
      <c r="BB270" s="285"/>
      <c r="BC270" s="285"/>
      <c r="BD270" s="285"/>
      <c r="BE270" s="285"/>
      <c r="BF270" s="285"/>
      <c r="BG270" s="285"/>
      <c r="BH270" s="285"/>
      <c r="BI270" s="285"/>
      <c r="BJ270" s="36">
        <f>SUM(Table1[[#This Row],[Pipa 63 mm2]:[Pipa 1,800 mm21]])</f>
        <v>3672</v>
      </c>
      <c r="BK270" s="32">
        <v>1931</v>
      </c>
      <c r="BL270" s="32">
        <v>611</v>
      </c>
      <c r="BM270" s="32">
        <v>200</v>
      </c>
      <c r="BN270" s="32">
        <v>930</v>
      </c>
      <c r="BO270" s="32"/>
      <c r="BP270" s="32"/>
      <c r="BQ270" s="32"/>
      <c r="BR270" s="32"/>
      <c r="BS270" s="32"/>
      <c r="BT270" s="32"/>
      <c r="BU270" s="32"/>
      <c r="BV270" s="32"/>
      <c r="BW270" s="32"/>
      <c r="BX270" s="32"/>
      <c r="BY270" s="32"/>
      <c r="BZ270" s="32"/>
      <c r="CA270" s="32"/>
      <c r="CB270" s="32"/>
      <c r="CC270" s="32"/>
      <c r="CD270" s="32"/>
      <c r="CE270" s="32">
        <v>0</v>
      </c>
      <c r="CF270" s="32"/>
      <c r="CG270" s="32"/>
      <c r="CH270" s="32"/>
      <c r="CI270" s="32">
        <f t="shared" si="13"/>
        <v>0</v>
      </c>
      <c r="CJ270" s="65">
        <f>IF((Table1[[#This Row],["Volume
BA MC-0"]]-Table1[[#This Row],[Total Panjang Pipa Aktual
(Sum-&gt;)3]]-Table1[[#This Row],[Total Volume
tidak dapat dipasang]])&gt;=0,Table1[[#This Row],["Volume
BA MC-0"]]-Table1[[#This Row],[Total Panjang Pipa Aktual
(Sum-&gt;)3]]-Table1[[#This Row],[Total Volume
tidak dapat dipasang]],0)</f>
        <v>971</v>
      </c>
      <c r="CK270" s="47"/>
      <c r="CL270" s="484" t="s">
        <v>1821</v>
      </c>
      <c r="CM270" s="34" t="s">
        <v>1821</v>
      </c>
      <c r="CN270" s="484" t="s">
        <v>1821</v>
      </c>
      <c r="CO270" s="484" t="s">
        <v>1821</v>
      </c>
      <c r="CP27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0.62443639834009845</v>
      </c>
      <c r="CQ270" s="66">
        <f>IFERROR(Table1[[#This Row],[Progres Keg. Umum
(%)]]*Table1[[#This Row],[Nilai RAB Jaringan
(file pa aji)]],0)</f>
        <v>0</v>
      </c>
      <c r="CR270" s="66">
        <f>IFERROR(Table1[[#This Row],[Progres MOS
(%)]]*Table1[[#This Row],[Nilai RAB Jaringan
(file pa aji)]],0)</f>
        <v>0</v>
      </c>
      <c r="CS270" s="66">
        <f>IFERROR(Table1[[#This Row],[Progres Pemasangan
(%)]]*Table1[[#This Row],[Nilai RAB Jaringan
(file pa aji)]],0)</f>
        <v>0</v>
      </c>
      <c r="CT270" s="66">
        <f>IFERROR(Table1[[#This Row],[Progres Perizinan
(%)]]*Table1[[#This Row],[Nilai RAB Jaringan
(file pa aji)]],0)</f>
        <v>0</v>
      </c>
      <c r="CU270" s="329">
        <v>4660273274.0531588</v>
      </c>
      <c r="CV270" s="329">
        <v>4660273274.0531588</v>
      </c>
      <c r="CW270" s="583">
        <v>0</v>
      </c>
      <c r="CX270" s="329">
        <v>0</v>
      </c>
      <c r="CY270" s="47"/>
      <c r="CZ270" s="330">
        <v>45712</v>
      </c>
      <c r="DA270" s="330">
        <v>45746</v>
      </c>
      <c r="DB270" s="331">
        <v>45727</v>
      </c>
      <c r="DC270" s="316" t="s">
        <v>2118</v>
      </c>
      <c r="DD270" s="67">
        <v>7463167245</v>
      </c>
      <c r="DE27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0" s="331">
        <v>45734</v>
      </c>
      <c r="DG270" s="316" t="s">
        <v>2119</v>
      </c>
      <c r="DH270" s="67">
        <v>7463167245</v>
      </c>
      <c r="DI27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0" s="330">
        <v>45747</v>
      </c>
      <c r="DK270" s="330">
        <v>45795</v>
      </c>
      <c r="DL270" s="331">
        <v>45772</v>
      </c>
      <c r="DM270" s="316" t="s">
        <v>2120</v>
      </c>
      <c r="DN27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0" s="331">
        <v>45845</v>
      </c>
      <c r="DP270" s="316" t="s">
        <v>2121</v>
      </c>
      <c r="DQ270" s="338" t="s">
        <v>783</v>
      </c>
      <c r="DR27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70" s="330">
        <v>45747</v>
      </c>
      <c r="DT270" s="330" t="e">
        <v>#N/A</v>
      </c>
      <c r="DU270" s="330">
        <v>45795</v>
      </c>
      <c r="DV270" s="330" t="e">
        <v>#N/A</v>
      </c>
      <c r="DW270" s="331">
        <v>45772</v>
      </c>
      <c r="DX270" s="316" t="s">
        <v>2122</v>
      </c>
      <c r="DY270" s="332">
        <v>63</v>
      </c>
      <c r="DZ270" s="334">
        <v>63</v>
      </c>
      <c r="EA27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0" s="331">
        <v>46006</v>
      </c>
      <c r="EC270" s="332">
        <v>61</v>
      </c>
      <c r="ED270" s="332">
        <v>61</v>
      </c>
      <c r="EE270" s="330" t="s">
        <v>2123</v>
      </c>
      <c r="EF270" s="35">
        <v>0.96825396825396826</v>
      </c>
      <c r="EG270" s="35">
        <f>Table1[[#This Row],[Line PO (kolom  bantu)2]]/Table1[[#This Row],[Line PR]]</f>
        <v>0.96825396825396826</v>
      </c>
      <c r="EH270" s="316" t="str">
        <f>IF(Table1[[#This Row],[PO Material Aktual 
(%)]]&gt;=100%,"Selesai PO = 100%",IF(Table1[[#This Row],[PO Material Aktual 
(%)]]&gt;=50%,"Proses PO &gt; 100%",IF(Table1[[#This Row],[PO Material Aktual 
(%)]]&gt;0%,"Proses PO &gt; 50%",IF(Table1[[#This Row],[PO Material Aktual 
(%)]]=0,"Belum PO = 0%"))))</f>
        <v>Proses PO &gt; 100%</v>
      </c>
      <c r="EI27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0" s="330">
        <v>45796</v>
      </c>
      <c r="EK270" s="330" t="e">
        <v>#N/A</v>
      </c>
      <c r="EL270" s="330">
        <v>45928</v>
      </c>
      <c r="EM270" s="330" t="e">
        <v>#N/A</v>
      </c>
      <c r="EN270" s="331"/>
      <c r="EO270" s="332">
        <v>56</v>
      </c>
      <c r="EP270" s="316">
        <v>56</v>
      </c>
      <c r="EQ270" s="35">
        <v>0.88888888888888884</v>
      </c>
      <c r="ER270" s="35">
        <f>Table1[[#This Row],[Line MOS]]/Table1[[#This Row],[Line PR]]</f>
        <v>0.88888888888888884</v>
      </c>
      <c r="ES270" s="316" t="str">
        <f>IF(Table1[[#This Row],[Progres MOS]]&gt;=100%,"Selesai MOS = 100%",IF(Table1[[#This Row],[Progres MOS]]&gt;=50%,"Proses MOS &gt; 100%",IF(Table1[[#This Row],[Progres MOS]]&gt;0%,"Proses MOS &gt; 50%",IF(Table1[[#This Row],[Progres MOS]]=0,"Belum MOS = 0%"))))</f>
        <v>Proses MOS &gt; 100%</v>
      </c>
      <c r="ET27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0" s="47"/>
      <c r="EV270" s="330">
        <v>45747</v>
      </c>
      <c r="EW270" s="330" t="e">
        <v>#N/A</v>
      </c>
      <c r="EX270" s="330">
        <v>45837</v>
      </c>
      <c r="EY270" s="330" t="e">
        <v>#N/A</v>
      </c>
      <c r="EZ270" s="352" t="s">
        <v>298</v>
      </c>
      <c r="FA270" s="336" t="s">
        <v>259</v>
      </c>
      <c r="FB270" s="330" t="s">
        <v>260</v>
      </c>
      <c r="FC270" s="330">
        <v>45834</v>
      </c>
      <c r="FD270" s="330" t="s">
        <v>260</v>
      </c>
      <c r="FE270" s="330">
        <v>45882</v>
      </c>
      <c r="FF270" s="330">
        <v>45916</v>
      </c>
      <c r="FG270" s="330" t="s">
        <v>260</v>
      </c>
      <c r="FH270" s="330" t="s">
        <v>260</v>
      </c>
      <c r="FI270" s="330">
        <v>46010</v>
      </c>
      <c r="FJ270" s="330" t="s">
        <v>260</v>
      </c>
      <c r="FK270" s="330">
        <v>46098</v>
      </c>
      <c r="FL270" s="336" t="s">
        <v>298</v>
      </c>
      <c r="FM270" s="352">
        <v>45834</v>
      </c>
      <c r="FN270" s="338">
        <f>IF(Table1[[#This Row],[Tanggal Pengajuan Dokumen]]="","",Table1[[#This Row],[PLAN PERMIT
start]]-Table1[[#This Row],[Tanggal Pengajuan Dokumen]])</f>
        <v>-87</v>
      </c>
      <c r="FO270" s="437">
        <v>46086</v>
      </c>
      <c r="FP270" s="316"/>
      <c r="FQ270" s="338"/>
      <c r="FR270" s="338"/>
      <c r="FS270" s="338" t="str">
        <f t="shared" si="14"/>
        <v>Sudah Terbit</v>
      </c>
      <c r="FT27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70" s="344">
        <f ca="1">IF(Table1[[#This Row],[Status Izin]]="Selesai",Table1[[#This Row],[PLAN PERMIT
finish]]-Table1[[#This Row],[Tanggal Terbit/ Target Izin Terbit]],ROUNDUP(Table1[[#This Row],[PLAN PERMIT
finish]]-NOW(),0))</f>
        <v>-249</v>
      </c>
      <c r="FV27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0" s="344"/>
      <c r="FX270" s="47"/>
      <c r="FY270" s="340"/>
      <c r="FZ270" s="341"/>
      <c r="GA27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0" s="330">
        <v>45811</v>
      </c>
      <c r="GC270" s="352">
        <v>45874</v>
      </c>
      <c r="GD27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0" s="330">
        <v>45818</v>
      </c>
      <c r="GF270" s="352">
        <v>45874</v>
      </c>
      <c r="GG27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0" s="330">
        <v>45824</v>
      </c>
      <c r="GI270" s="330">
        <v>45830</v>
      </c>
      <c r="GJ270" s="352">
        <v>45911</v>
      </c>
      <c r="GK27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0" s="330">
        <v>45838</v>
      </c>
      <c r="GM270" s="330" t="e">
        <v>#N/A</v>
      </c>
      <c r="GN270" s="330">
        <v>46005</v>
      </c>
      <c r="GO270" s="330" t="e">
        <v>#N/A</v>
      </c>
      <c r="GP270" s="330"/>
      <c r="GQ27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0" s="330" t="s">
        <v>261</v>
      </c>
      <c r="GS270" s="330" t="s">
        <v>261</v>
      </c>
      <c r="GT270" s="354">
        <v>46184</v>
      </c>
      <c r="GU270" s="344" t="str">
        <f>IF(Table1[[#This Row],[Hydro Tes Actual
(tanggal)]]&lt;&gt;"","Sudah","Belum")</f>
        <v>Sudah</v>
      </c>
      <c r="GV270" s="330" t="s">
        <v>261</v>
      </c>
      <c r="GW270" s="330" t="s">
        <v>261</v>
      </c>
      <c r="GX270" s="331"/>
      <c r="GY270" s="344" t="str">
        <f>IF(Table1[[#This Row],[Interkoneksi Actual
(tanggal)]]&lt;&gt;"","Sudah","Belum")</f>
        <v>Belum</v>
      </c>
      <c r="GZ270" s="330" t="s">
        <v>261</v>
      </c>
      <c r="HA270" s="330" t="s">
        <v>261</v>
      </c>
      <c r="HB270" s="331"/>
      <c r="HC270" s="344" t="str">
        <f>IF(Table1[[#This Row],[Flushing Actual
(tanggal)]]&lt;&gt;"","Sudah","Belum")</f>
        <v>Belum</v>
      </c>
      <c r="HD270" s="330">
        <v>45978</v>
      </c>
      <c r="HE270" s="330" t="e">
        <v>#N/A</v>
      </c>
      <c r="HF270" s="330">
        <v>45991</v>
      </c>
      <c r="HG270" s="352"/>
      <c r="HH27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0" s="330" t="s">
        <v>261</v>
      </c>
      <c r="HJ270" s="330" t="s">
        <v>261</v>
      </c>
      <c r="HK270" s="331"/>
      <c r="HL270" s="316"/>
      <c r="HM270" s="330">
        <v>46010</v>
      </c>
      <c r="HN270" s="330">
        <v>46010</v>
      </c>
      <c r="HO270" s="330" t="e">
        <v>#N/A</v>
      </c>
      <c r="HP270" s="331"/>
      <c r="HQ270"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70" s="330">
        <v>46026</v>
      </c>
      <c r="HS270" s="330"/>
      <c r="HT270" s="330">
        <v>46026</v>
      </c>
      <c r="HU270" s="330"/>
      <c r="HV270" s="331"/>
      <c r="HW27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70" s="47"/>
      <c r="HY270" s="352"/>
      <c r="HZ270" s="352"/>
      <c r="IB270" s="618">
        <f>IFERROR(ROUND((Table1[[#This Row],[PLAN TC
finish]]-Table1[[#This Row],[PLAN MC-0
start]])/30,2),"")</f>
        <v>5.57</v>
      </c>
      <c r="IC270">
        <f>DATEDIF(Table1[[#This Row],[PLAN MC-0
start]],Table1[[#This Row],[PLAN TC
finish]],"m")</f>
        <v>5</v>
      </c>
    </row>
    <row r="271" spans="1:237" s="30" customFormat="1" ht="15" hidden="1" customHeight="1" x14ac:dyDescent="0.2">
      <c r="A271" s="77"/>
      <c r="B271" s="311">
        <f>SUBTOTAL(3,$D$5:D271)</f>
        <v>84</v>
      </c>
      <c r="C271" s="367">
        <v>267</v>
      </c>
      <c r="D271" s="366" t="s">
        <v>244</v>
      </c>
      <c r="E271" s="366" t="s">
        <v>2124</v>
      </c>
      <c r="F271" s="366" t="s">
        <v>2125</v>
      </c>
      <c r="G271" s="364">
        <v>46117</v>
      </c>
      <c r="H271" s="366" t="s">
        <v>681</v>
      </c>
      <c r="I271" s="366" t="s">
        <v>278</v>
      </c>
      <c r="J271" s="385" t="s">
        <v>389</v>
      </c>
      <c r="K271" s="366" t="s">
        <v>1165</v>
      </c>
      <c r="L271" s="367" t="s">
        <v>250</v>
      </c>
      <c r="M271" s="392" t="s">
        <v>269</v>
      </c>
      <c r="N271" s="368">
        <v>534</v>
      </c>
      <c r="O271" s="369" t="s">
        <v>252</v>
      </c>
      <c r="P271"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1" s="385" t="s">
        <v>389</v>
      </c>
      <c r="R271" s="371">
        <v>1</v>
      </c>
      <c r="S271" s="34">
        <v>1</v>
      </c>
      <c r="T271" s="489">
        <f>Table1[[#This Row],[Progres Total Aktual
(%)]]</f>
        <v>0</v>
      </c>
      <c r="U271" s="490">
        <f>Table1[[#This Row],[Progres Aktual
(%)]]-Table1[[#This Row],[Target Progres
(%)]]</f>
        <v>-1</v>
      </c>
      <c r="V271" s="491">
        <f>Table1[[#This Row],["Volume
BA MC-0"]]</f>
        <v>0</v>
      </c>
      <c r="W271" s="492">
        <f>Table1[[#This Row],[Total Panjang Pipa Aktual
(Sum-&gt;)3]]</f>
        <v>0</v>
      </c>
      <c r="X271" s="47"/>
      <c r="Y271" s="375" t="s">
        <v>2126</v>
      </c>
      <c r="Z271" s="375">
        <v>784083898</v>
      </c>
      <c r="AA271" s="375">
        <f>ROUND((Table1[[#This Row],[Nilai RAB Jaringan
(Exclude Ppn)]]-Table1[[#This Row],[RAB Perizinan]])*1.11+Table1[[#This Row],[RAB Perizinan]],0)</f>
        <v>784083898</v>
      </c>
      <c r="AB271" s="493">
        <f>SUM(Table1[[#This Row],[RAB Kegiatan Umum]:[RAB Perizinan]])</f>
        <v>706911079</v>
      </c>
      <c r="AC271" s="439">
        <v>52420784</v>
      </c>
      <c r="AD271" s="439">
        <v>524207840</v>
      </c>
      <c r="AE271" s="439">
        <v>124942455</v>
      </c>
      <c r="AF271" s="439">
        <v>5340000</v>
      </c>
      <c r="AG271" s="494">
        <v>50568928</v>
      </c>
      <c r="AH271" s="495">
        <f>SUM(Table1[[#This Row],[Bobot Keg Umum]:[Bobot Perizinan]])</f>
        <v>1</v>
      </c>
      <c r="AI271" s="495">
        <f>Table1[[#This Row],[RAB Kegiatan Umum]]/Table1[[#This Row],[Nilai RAB Jaringan
(Exclude Ppn)]]</f>
        <v>7.4154707087282751E-2</v>
      </c>
      <c r="AJ271" s="495">
        <f>Table1[[#This Row],[RAB Pemasangan]]/Table1[[#This Row],[Nilai RAB Jaringan
(Exclude Ppn)]]</f>
        <v>0.74154707087282756</v>
      </c>
      <c r="AK271" s="495">
        <f>Table1[[#This Row],[RAB Pengadaan]]/Table1[[#This Row],[Nilai RAB Jaringan
(Exclude Ppn)]]</f>
        <v>0.1767442309388392</v>
      </c>
      <c r="AL271" s="495">
        <f>Table1[[#This Row],[RAB Perizinan]]/Table1[[#This Row],[Nilai RAB Jaringan
(Exclude Ppn)]]</f>
        <v>7.5539911010504904E-3</v>
      </c>
      <c r="AM271" s="47"/>
      <c r="AN271" s="376">
        <v>0</v>
      </c>
      <c r="AO271" s="376">
        <f>SUM(Table1[[#This Row],[Pipa 63 mm]:[Pipa 1,800 mm]])</f>
        <v>0</v>
      </c>
      <c r="AP271" s="376"/>
      <c r="AQ271" s="376"/>
      <c r="AR271" s="376"/>
      <c r="AS271" s="376"/>
      <c r="AT271" s="376"/>
      <c r="AU271" s="376"/>
      <c r="AV271" s="376"/>
      <c r="AW271" s="376"/>
      <c r="AX271" s="376"/>
      <c r="AY271" s="376"/>
      <c r="AZ271" s="376"/>
      <c r="BA271" s="376"/>
      <c r="BB271" s="376"/>
      <c r="BC271" s="376"/>
      <c r="BD271" s="376"/>
      <c r="BE271" s="376"/>
      <c r="BF271" s="376"/>
      <c r="BG271" s="376"/>
      <c r="BH271" s="376"/>
      <c r="BI271" s="376"/>
      <c r="BJ271" s="377">
        <f>SUM(Table1[[#This Row],[Pipa 63 mm2]:[Pipa 1,800 mm21]])</f>
        <v>0</v>
      </c>
      <c r="BK271" s="378"/>
      <c r="BL271" s="378"/>
      <c r="BM271" s="378"/>
      <c r="BN271" s="378"/>
      <c r="BO271" s="378"/>
      <c r="BP271" s="378"/>
      <c r="BQ271" s="378"/>
      <c r="BR271" s="378"/>
      <c r="BS271" s="378"/>
      <c r="BT271" s="378"/>
      <c r="BU271" s="378"/>
      <c r="BV271" s="378"/>
      <c r="BW271" s="378"/>
      <c r="BX271" s="378"/>
      <c r="BY271" s="378"/>
      <c r="BZ271" s="378"/>
      <c r="CA271" s="378"/>
      <c r="CB271" s="378"/>
      <c r="CC271" s="378"/>
      <c r="CD271" s="378"/>
      <c r="CE271" s="378">
        <v>0</v>
      </c>
      <c r="CF271" s="378"/>
      <c r="CG271" s="378"/>
      <c r="CH271" s="378"/>
      <c r="CI271" s="378">
        <f t="shared" si="13"/>
        <v>0</v>
      </c>
      <c r="CJ271" s="440">
        <f>IF((Table1[[#This Row],["Volume
BA MC-0"]]-Table1[[#This Row],[Total Panjang Pipa Aktual
(Sum-&gt;)3]]-Table1[[#This Row],[Total Volume
tidak dapat dipasang]])&gt;=0,Table1[[#This Row],["Volume
BA MC-0"]]-Table1[[#This Row],[Total Panjang Pipa Aktual
(Sum-&gt;)3]]-Table1[[#This Row],[Total Volume
tidak dapat dipasang]],0)</f>
        <v>0</v>
      </c>
      <c r="CK271" s="47"/>
      <c r="CL271" s="371" t="s">
        <v>1821</v>
      </c>
      <c r="CM271" s="371" t="s">
        <v>1821</v>
      </c>
      <c r="CN271" s="371" t="s">
        <v>1821</v>
      </c>
      <c r="CO271" s="371" t="s">
        <v>1821</v>
      </c>
      <c r="CP271"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71" s="380">
        <f>IFERROR(Table1[[#This Row],[Progres Keg. Umum
(%)]]*Table1[[#This Row],[Nilai RAB Jaringan
(file pa aji)]],0)</f>
        <v>0</v>
      </c>
      <c r="CR271" s="380">
        <f>IFERROR(Table1[[#This Row],[Progres MOS
(%)]]*Table1[[#This Row],[Nilai RAB Jaringan
(file pa aji)]],0)</f>
        <v>0</v>
      </c>
      <c r="CS271" s="380">
        <f>IFERROR(Table1[[#This Row],[Progres Pemasangan
(%)]]*Table1[[#This Row],[Nilai RAB Jaringan
(file pa aji)]],0)</f>
        <v>0</v>
      </c>
      <c r="CT271" s="380">
        <f>IFERROR(Table1[[#This Row],[Progres Perizinan
(%)]]*Table1[[#This Row],[Nilai RAB Jaringan
(file pa aji)]],0)</f>
        <v>0</v>
      </c>
      <c r="CU271" s="329">
        <v>0</v>
      </c>
      <c r="CV271" s="329">
        <v>0</v>
      </c>
      <c r="CW271" s="582">
        <v>0</v>
      </c>
      <c r="CX271" s="329">
        <v>0</v>
      </c>
      <c r="CY271" s="47"/>
      <c r="CZ271" s="386">
        <v>45775</v>
      </c>
      <c r="DA271" s="386">
        <v>45802</v>
      </c>
      <c r="DB271" s="388">
        <v>45804</v>
      </c>
      <c r="DC271" s="367" t="s">
        <v>2127</v>
      </c>
      <c r="DD271" s="375">
        <v>784083898</v>
      </c>
      <c r="DE27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71" s="388">
        <v>45825</v>
      </c>
      <c r="DG271" s="367" t="s">
        <v>2128</v>
      </c>
      <c r="DH271" s="375">
        <v>784083898</v>
      </c>
      <c r="DI271" s="367"/>
      <c r="DJ271" s="386">
        <v>45803</v>
      </c>
      <c r="DK271" s="386">
        <v>45872</v>
      </c>
      <c r="DL271" s="388">
        <v>45847</v>
      </c>
      <c r="DM271" s="367" t="s">
        <v>2129</v>
      </c>
      <c r="DN271" s="382"/>
      <c r="DO271" s="388">
        <v>45880</v>
      </c>
      <c r="DP271" s="367" t="s">
        <v>2130</v>
      </c>
      <c r="DQ271" s="366" t="s">
        <v>312</v>
      </c>
      <c r="DR271" s="382"/>
      <c r="DS271" s="386">
        <v>45803</v>
      </c>
      <c r="DT271" s="386" t="e">
        <v>#N/A</v>
      </c>
      <c r="DU271" s="386">
        <v>45844</v>
      </c>
      <c r="DV271" s="386" t="e">
        <v>#N/A</v>
      </c>
      <c r="DW271" s="388">
        <v>45847</v>
      </c>
      <c r="DX271" s="367" t="s">
        <v>2131</v>
      </c>
      <c r="DY271" s="442"/>
      <c r="DZ271" s="442"/>
      <c r="EA271" s="382"/>
      <c r="EB271" s="388"/>
      <c r="EC271" s="442"/>
      <c r="ED271" s="442"/>
      <c r="EE271" s="386"/>
      <c r="EF271" s="371"/>
      <c r="EG271" s="371"/>
      <c r="EH271" s="367"/>
      <c r="EI271"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1" s="386">
        <v>45845</v>
      </c>
      <c r="EK271" s="386" t="e">
        <v>#N/A</v>
      </c>
      <c r="EL271" s="386">
        <v>45900</v>
      </c>
      <c r="EM271" s="386" t="e">
        <v>#N/A</v>
      </c>
      <c r="EN271" s="388"/>
      <c r="EO271" s="442"/>
      <c r="EP271" s="367"/>
      <c r="EQ271" s="371"/>
      <c r="ER271" s="371"/>
      <c r="ES271" s="367"/>
      <c r="ET27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1" s="47"/>
      <c r="EV271" s="386">
        <v>45803</v>
      </c>
      <c r="EW271" s="386" t="e">
        <v>#N/A</v>
      </c>
      <c r="EX271" s="386">
        <v>45900</v>
      </c>
      <c r="EY271" s="386" t="e">
        <v>#N/A</v>
      </c>
      <c r="EZ271" s="384" t="s">
        <v>298</v>
      </c>
      <c r="FA271" s="385" t="s">
        <v>389</v>
      </c>
      <c r="FB271" s="386" t="s">
        <v>260</v>
      </c>
      <c r="FC271" s="330">
        <v>45838</v>
      </c>
      <c r="FD271" s="386" t="s">
        <v>260</v>
      </c>
      <c r="FE271" s="386">
        <v>45888</v>
      </c>
      <c r="FF271" s="386">
        <v>45944</v>
      </c>
      <c r="FG271" s="386" t="s">
        <v>260</v>
      </c>
      <c r="FH271" s="386" t="s">
        <v>260</v>
      </c>
      <c r="FI271" s="386">
        <v>46010</v>
      </c>
      <c r="FJ271" s="386" t="s">
        <v>260</v>
      </c>
      <c r="FK271" s="386">
        <v>46113</v>
      </c>
      <c r="FL271" s="443" t="s">
        <v>298</v>
      </c>
      <c r="FM271" s="384">
        <v>45838</v>
      </c>
      <c r="FN271" s="366">
        <f>IF(Table1[[#This Row],[Tanggal Pengajuan Dokumen]]="","",Table1[[#This Row],[PLAN PERMIT
start]]-Table1[[#This Row],[Tanggal Pengajuan Dokumen]])</f>
        <v>-35</v>
      </c>
      <c r="FO271" s="444">
        <v>46086</v>
      </c>
      <c r="FP271" s="367"/>
      <c r="FQ271" s="366"/>
      <c r="FR271" s="366"/>
      <c r="FS271" s="366" t="str">
        <f t="shared" si="14"/>
        <v>On Going</v>
      </c>
      <c r="FT271"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1" s="387">
        <f ca="1">IF(Table1[[#This Row],[Status Izin]]="Selesai",Table1[[#This Row],[PLAN PERMIT
finish]]-Table1[[#This Row],[Tanggal Terbit/ Target Izin Terbit]],ROUNDUP(Table1[[#This Row],[PLAN PERMIT
finish]]-NOW(),0))</f>
        <v>-291</v>
      </c>
      <c r="FV271"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1" s="387"/>
      <c r="FX271" s="47"/>
      <c r="FY271" s="340"/>
      <c r="FZ271" s="341"/>
      <c r="GA27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1" s="386">
        <v>45874</v>
      </c>
      <c r="GC271" s="384">
        <v>45922</v>
      </c>
      <c r="GD271"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1" s="386">
        <v>45881</v>
      </c>
      <c r="GF271" s="384">
        <v>45922</v>
      </c>
      <c r="GG271"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1" s="386">
        <v>45887</v>
      </c>
      <c r="GI271" s="386">
        <v>45893</v>
      </c>
      <c r="GJ271" s="384">
        <v>45973</v>
      </c>
      <c r="GK271"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1" s="386">
        <v>45901</v>
      </c>
      <c r="GM271" s="386" t="e">
        <v>#N/A</v>
      </c>
      <c r="GN271" s="386">
        <v>45942</v>
      </c>
      <c r="GO271" s="386" t="e">
        <v>#N/A</v>
      </c>
      <c r="GP271" s="386"/>
      <c r="GQ271"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1" s="386" t="s">
        <v>261</v>
      </c>
      <c r="GS271" s="386" t="s">
        <v>261</v>
      </c>
      <c r="GT271" s="390"/>
      <c r="GU271" s="387" t="str">
        <f>IF(Table1[[#This Row],[Hydro Tes Actual
(tanggal)]]&lt;&gt;"","Sudah","Belum")</f>
        <v>Belum</v>
      </c>
      <c r="GV271" s="386" t="s">
        <v>261</v>
      </c>
      <c r="GW271" s="386" t="s">
        <v>261</v>
      </c>
      <c r="GX271" s="388"/>
      <c r="GY271" s="387" t="str">
        <f>IF(Table1[[#This Row],[Interkoneksi Actual
(tanggal)]]&lt;&gt;"","Sudah","Belum")</f>
        <v>Belum</v>
      </c>
      <c r="GZ271" s="386" t="s">
        <v>261</v>
      </c>
      <c r="HA271" s="386" t="s">
        <v>261</v>
      </c>
      <c r="HB271" s="388"/>
      <c r="HC271" s="387" t="str">
        <f>IF(Table1[[#This Row],[Flushing Actual
(tanggal)]]&lt;&gt;"","Sudah","Belum")</f>
        <v>Belum</v>
      </c>
      <c r="HD271" s="386">
        <v>45922</v>
      </c>
      <c r="HE271" s="386" t="e">
        <v>#N/A</v>
      </c>
      <c r="HF271" s="386">
        <v>45935</v>
      </c>
      <c r="HG271" s="384"/>
      <c r="HH271"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1" s="386" t="s">
        <v>261</v>
      </c>
      <c r="HJ271" s="386" t="s">
        <v>261</v>
      </c>
      <c r="HK271" s="388"/>
      <c r="HL271" s="367"/>
      <c r="HM271" s="386">
        <v>45947</v>
      </c>
      <c r="HN271" s="386">
        <v>45947</v>
      </c>
      <c r="HO271" s="386" t="e">
        <v>#N/A</v>
      </c>
      <c r="HP271" s="388"/>
      <c r="HQ271"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71" s="386">
        <v>45954</v>
      </c>
      <c r="HS271" s="386"/>
      <c r="HT271" s="386">
        <v>45954</v>
      </c>
      <c r="HU271" s="386"/>
      <c r="HV271" s="388"/>
      <c r="HW271"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71" s="47"/>
      <c r="HY271" s="384"/>
      <c r="HZ271" s="384"/>
      <c r="IB271" s="618">
        <f>IFERROR(ROUND((Table1[[#This Row],[PLAN TC
finish]]-Table1[[#This Row],[PLAN MC-0
start]])/30,2),"")</f>
        <v>1.6</v>
      </c>
      <c r="IC271">
        <f>DATEDIF(Table1[[#This Row],[PLAN MC-0
start]],Table1[[#This Row],[PLAN TC
finish]],"m")</f>
        <v>1</v>
      </c>
    </row>
    <row r="272" spans="1:237" s="4" customFormat="1" ht="15" hidden="1" customHeight="1" x14ac:dyDescent="0.2">
      <c r="B272" s="311">
        <f>SUBTOTAL(3,$D$5:D272)</f>
        <v>84</v>
      </c>
      <c r="C272" s="316">
        <v>268</v>
      </c>
      <c r="D272" s="338" t="s">
        <v>244</v>
      </c>
      <c r="E272" s="338" t="s">
        <v>2132</v>
      </c>
      <c r="F272" s="338" t="s">
        <v>2133</v>
      </c>
      <c r="G272" s="349">
        <v>46117</v>
      </c>
      <c r="H272" s="338" t="s">
        <v>681</v>
      </c>
      <c r="I272" s="338" t="s">
        <v>278</v>
      </c>
      <c r="J272" s="480" t="s">
        <v>1830</v>
      </c>
      <c r="K272" s="338" t="s">
        <v>1165</v>
      </c>
      <c r="L272" s="316" t="s">
        <v>250</v>
      </c>
      <c r="M272" s="355" t="s">
        <v>269</v>
      </c>
      <c r="N272" s="107">
        <v>93</v>
      </c>
      <c r="O272" s="31" t="s">
        <v>252</v>
      </c>
      <c r="P27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2" s="35">
        <v>0.99999999999999989</v>
      </c>
      <c r="S272" s="34">
        <v>1</v>
      </c>
      <c r="T272" s="34">
        <f>Table1[[#This Row],[Progres Total Aktual
(%)]]</f>
        <v>1</v>
      </c>
      <c r="U272" s="98">
        <f>Table1[[#This Row],[Progres Aktual
(%)]]-Table1[[#This Row],[Target Progres
(%)]]</f>
        <v>0</v>
      </c>
      <c r="V272" s="80">
        <f>Table1[[#This Row],["Volume
BA MC-0"]]</f>
        <v>54</v>
      </c>
      <c r="W272" s="46">
        <f>Table1[[#This Row],[Total Panjang Pipa Aktual
(Sum-&gt;)3]]</f>
        <v>53.8</v>
      </c>
      <c r="X272" s="47"/>
      <c r="Y272" s="67" t="s">
        <v>2134</v>
      </c>
      <c r="Z272" s="67">
        <v>542982145</v>
      </c>
      <c r="AA272" s="67">
        <f>ROUND((Table1[[#This Row],[Nilai RAB Jaringan
(Exclude Ppn)]]-Table1[[#This Row],[RAB Perizinan]])*1.11+Table1[[#This Row],[RAB Perizinan]],0)</f>
        <v>542982144</v>
      </c>
      <c r="AB272" s="486">
        <f>SUM(Table1[[#This Row],[RAB Kegiatan Umum]:[RAB Perizinan]])</f>
        <v>489265265</v>
      </c>
      <c r="AC272" s="436">
        <v>24200245</v>
      </c>
      <c r="AD272" s="436">
        <v>242002444</v>
      </c>
      <c r="AE272" s="436">
        <v>222132576</v>
      </c>
      <c r="AF272" s="436">
        <v>930000</v>
      </c>
      <c r="AG272" s="483">
        <v>2107039</v>
      </c>
      <c r="AH272" s="33">
        <f>SUM(Table1[[#This Row],[Bobot Keg Umum]:[Bobot Perizinan]])</f>
        <v>1</v>
      </c>
      <c r="AI272" s="33">
        <f>Table1[[#This Row],[RAB Kegiatan Umum]]/Table1[[#This Row],[Nilai RAB Jaringan
(Exclude Ppn)]]</f>
        <v>4.9462421984932857E-2</v>
      </c>
      <c r="AJ272" s="33">
        <f>Table1[[#This Row],[RAB Pemasangan]]/Table1[[#This Row],[Nilai RAB Jaringan
(Exclude Ppn)]]</f>
        <v>0.49462420758604231</v>
      </c>
      <c r="AK272" s="33">
        <f>Table1[[#This Row],[RAB Pengadaan]]/Table1[[#This Row],[Nilai RAB Jaringan
(Exclude Ppn)]]</f>
        <v>0.4540125610592855</v>
      </c>
      <c r="AL272" s="33">
        <f>Table1[[#This Row],[RAB Perizinan]]/Table1[[#This Row],[Nilai RAB Jaringan
(Exclude Ppn)]]</f>
        <v>1.9008093697393377E-3</v>
      </c>
      <c r="AM272" s="47"/>
      <c r="AN272" s="285">
        <v>54</v>
      </c>
      <c r="AO272" s="285">
        <f>SUM(Table1[[#This Row],[Pipa 63 mm]:[Pipa 1,800 mm]])</f>
        <v>0</v>
      </c>
      <c r="AP272" s="285"/>
      <c r="AQ272" s="285"/>
      <c r="AR272" s="285"/>
      <c r="AS272" s="285"/>
      <c r="AT272" s="285"/>
      <c r="AU272" s="285"/>
      <c r="AV272" s="285"/>
      <c r="AW272" s="285"/>
      <c r="AX272" s="285"/>
      <c r="AY272" s="285"/>
      <c r="AZ272" s="285"/>
      <c r="BA272" s="285"/>
      <c r="BB272" s="285"/>
      <c r="BC272" s="285"/>
      <c r="BD272" s="285"/>
      <c r="BE272" s="285"/>
      <c r="BF272" s="285"/>
      <c r="BG272" s="285"/>
      <c r="BH272" s="285"/>
      <c r="BI272" s="285"/>
      <c r="BJ272" s="36">
        <f>SUM(Table1[[#This Row],[Pipa 63 mm2]:[Pipa 1,800 mm21]])</f>
        <v>53.8</v>
      </c>
      <c r="BK272" s="32"/>
      <c r="BL272" s="32"/>
      <c r="BM272" s="32"/>
      <c r="BN272" s="32">
        <v>45</v>
      </c>
      <c r="BO272" s="32">
        <v>8.8000000000000007</v>
      </c>
      <c r="BP272" s="32"/>
      <c r="BQ272" s="32"/>
      <c r="BR272" s="32"/>
      <c r="BS272" s="32"/>
      <c r="BT272" s="32"/>
      <c r="BU272" s="32"/>
      <c r="BV272" s="32"/>
      <c r="BW272" s="32"/>
      <c r="BX272" s="32"/>
      <c r="BY272" s="32"/>
      <c r="BZ272" s="32"/>
      <c r="CA272" s="32"/>
      <c r="CB272" s="32"/>
      <c r="CC272" s="32"/>
      <c r="CD272" s="32"/>
      <c r="CE272" s="32">
        <v>0</v>
      </c>
      <c r="CF272" s="32"/>
      <c r="CG272" s="32"/>
      <c r="CH272" s="32"/>
      <c r="CI272" s="32">
        <f t="shared" si="13"/>
        <v>0</v>
      </c>
      <c r="CJ272" s="65">
        <f>IF((Table1[[#This Row],["Volume
BA MC-0"]]-Table1[[#This Row],[Total Panjang Pipa Aktual
(Sum-&gt;)3]]-Table1[[#This Row],[Total Volume
tidak dapat dipasang]])&gt;=0,Table1[[#This Row],["Volume
BA MC-0"]]-Table1[[#This Row],[Total Panjang Pipa Aktual
(Sum-&gt;)3]]-Table1[[#This Row],[Total Volume
tidak dapat dipasang]],0)</f>
        <v>0.20000000000000284</v>
      </c>
      <c r="CK272" s="47"/>
      <c r="CL272" s="484" t="s">
        <v>1821</v>
      </c>
      <c r="CM272" s="34" t="s">
        <v>1821</v>
      </c>
      <c r="CN272" s="484" t="s">
        <v>1821</v>
      </c>
      <c r="CO272" s="484" t="s">
        <v>1821</v>
      </c>
      <c r="CP27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2" s="66">
        <f>IFERROR(Table1[[#This Row],[Progres Keg. Umum
(%)]]*Table1[[#This Row],[Nilai RAB Jaringan
(file pa aji)]],0)</f>
        <v>0</v>
      </c>
      <c r="CR272" s="66">
        <f>IFERROR(Table1[[#This Row],[Progres MOS
(%)]]*Table1[[#This Row],[Nilai RAB Jaringan
(file pa aji)]],0)</f>
        <v>0</v>
      </c>
      <c r="CS272" s="66">
        <f>IFERROR(Table1[[#This Row],[Progres Pemasangan
(%)]]*Table1[[#This Row],[Nilai RAB Jaringan
(file pa aji)]],0)</f>
        <v>0</v>
      </c>
      <c r="CT272" s="66">
        <f>IFERROR(Table1[[#This Row],[Progres Perizinan
(%)]]*Table1[[#This Row],[Nilai RAB Jaringan
(file pa aji)]],0)</f>
        <v>0</v>
      </c>
      <c r="CU272" s="329">
        <v>394128266</v>
      </c>
      <c r="CV272" s="329">
        <v>394128266</v>
      </c>
      <c r="CW272" s="583">
        <v>394128266</v>
      </c>
      <c r="CX272" s="329">
        <v>394128266</v>
      </c>
      <c r="CY272" s="47"/>
      <c r="CZ272" s="330">
        <v>45803</v>
      </c>
      <c r="DA272" s="330">
        <v>45830</v>
      </c>
      <c r="DB272" s="331">
        <v>45782</v>
      </c>
      <c r="DC272" s="316" t="s">
        <v>2135</v>
      </c>
      <c r="DD272" s="67">
        <v>542982145</v>
      </c>
      <c r="DE27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2" s="331">
        <v>45799</v>
      </c>
      <c r="DG272" s="316" t="s">
        <v>2136</v>
      </c>
      <c r="DH272" s="67">
        <v>542982145</v>
      </c>
      <c r="DI27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2" s="330">
        <v>45831</v>
      </c>
      <c r="DK272" s="330">
        <v>45900</v>
      </c>
      <c r="DL272" s="331">
        <v>45825</v>
      </c>
      <c r="DM272" s="316" t="s">
        <v>2137</v>
      </c>
      <c r="DN27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2" s="331">
        <v>45845</v>
      </c>
      <c r="DP272" s="316" t="s">
        <v>2138</v>
      </c>
      <c r="DQ272" s="338" t="s">
        <v>371</v>
      </c>
      <c r="DR27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2" s="330">
        <v>45831</v>
      </c>
      <c r="DT272" s="330" t="e">
        <v>#N/A</v>
      </c>
      <c r="DU272" s="330">
        <v>45872</v>
      </c>
      <c r="DV272" s="330" t="e">
        <v>#N/A</v>
      </c>
      <c r="DW272" s="331">
        <v>45824</v>
      </c>
      <c r="DX272" s="484" t="s">
        <v>2139</v>
      </c>
      <c r="DY272" s="332">
        <v>27</v>
      </c>
      <c r="DZ272" s="334">
        <v>27</v>
      </c>
      <c r="EA27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2" s="331">
        <v>45993</v>
      </c>
      <c r="EC272" s="332">
        <v>24</v>
      </c>
      <c r="ED272" s="332">
        <v>24</v>
      </c>
      <c r="EE272" s="330" t="s">
        <v>2140</v>
      </c>
      <c r="EF272" s="35">
        <v>0.88888888888888884</v>
      </c>
      <c r="EG272" s="35">
        <f>Table1[[#This Row],[Line PO (kolom  bantu)2]]/Table1[[#This Row],[Line PR]]</f>
        <v>0.88888888888888884</v>
      </c>
      <c r="EH272" s="316" t="str">
        <f>IF(Table1[[#This Row],[PO Material Aktual 
(%)]]&gt;=100%,"Selesai PO = 100%",IF(Table1[[#This Row],[PO Material Aktual 
(%)]]&gt;=50%,"Proses PO &gt; 100%",IF(Table1[[#This Row],[PO Material Aktual 
(%)]]&gt;0%,"Proses PO &gt; 50%",IF(Table1[[#This Row],[PO Material Aktual 
(%)]]=0,"Belum PO = 0%"))))</f>
        <v>Proses PO &gt; 100%</v>
      </c>
      <c r="EI27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2" s="330">
        <v>45873</v>
      </c>
      <c r="EK272" s="330" t="e">
        <v>#N/A</v>
      </c>
      <c r="EL272" s="330">
        <v>45928</v>
      </c>
      <c r="EM272" s="330" t="e">
        <v>#N/A</v>
      </c>
      <c r="EN272" s="331">
        <v>45993</v>
      </c>
      <c r="EO272" s="332">
        <f>Table1[[#This Row],[Line PO]]</f>
        <v>24</v>
      </c>
      <c r="EP272" s="316">
        <v>24</v>
      </c>
      <c r="EQ272" s="35">
        <v>0.88888888888888884</v>
      </c>
      <c r="ER272" s="35">
        <f>Table1[[#This Row],[Line MOS]]/Table1[[#This Row],[Line PR]]</f>
        <v>0.88888888888888884</v>
      </c>
      <c r="ES272" s="316" t="str">
        <f>IF(Table1[[#This Row],[Progres MOS]]&gt;=100%,"Selesai MOS = 100%",IF(Table1[[#This Row],[Progres MOS]]&gt;=50%,"Proses MOS &gt; 100%",IF(Table1[[#This Row],[Progres MOS]]&gt;0%,"Proses MOS &gt; 50%",IF(Table1[[#This Row],[Progres MOS]]=0,"Belum MOS = 0%"))))</f>
        <v>Proses MOS &gt; 100%</v>
      </c>
      <c r="ET27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72" s="47"/>
      <c r="EV272" s="330">
        <v>45831</v>
      </c>
      <c r="EW272" s="330" t="e">
        <v>#N/A</v>
      </c>
      <c r="EX272" s="330">
        <v>45928</v>
      </c>
      <c r="EY272" s="330" t="e">
        <v>#N/A</v>
      </c>
      <c r="EZ272" s="352" t="s">
        <v>298</v>
      </c>
      <c r="FA272" s="336" t="s">
        <v>298</v>
      </c>
      <c r="FB272" s="330" t="s">
        <v>260</v>
      </c>
      <c r="FC272" s="330"/>
      <c r="FD272" s="330" t="s">
        <v>260</v>
      </c>
      <c r="FE272" s="330">
        <v>45915</v>
      </c>
      <c r="FF272" s="330">
        <v>45958</v>
      </c>
      <c r="FG272" s="330" t="s">
        <v>260</v>
      </c>
      <c r="FH272" s="330" t="s">
        <v>260</v>
      </c>
      <c r="FI272" s="330">
        <v>46006</v>
      </c>
      <c r="FJ272" s="330" t="s">
        <v>260</v>
      </c>
      <c r="FK272" s="330"/>
      <c r="FL272" s="336" t="s">
        <v>298</v>
      </c>
      <c r="FM272" s="336"/>
      <c r="FN272" s="314" t="str">
        <f>IF(Table1[[#This Row],[Tanggal Pengajuan Dokumen]]="","",Table1[[#This Row],[PLAN PERMIT
start]]-Table1[[#This Row],[Tanggal Pengajuan Dokumen]])</f>
        <v/>
      </c>
      <c r="FO272" s="437">
        <v>46086</v>
      </c>
      <c r="FP272" s="316" t="s">
        <v>2086</v>
      </c>
      <c r="FQ272" s="338"/>
      <c r="FR272" s="338"/>
      <c r="FS272" s="338" t="str">
        <f t="shared" si="14"/>
        <v>On Going</v>
      </c>
      <c r="FT27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2" s="344">
        <f ca="1">IF(Table1[[#This Row],[Status Izin]]="Selesai",Table1[[#This Row],[PLAN PERMIT
finish]]-Table1[[#This Row],[Tanggal Terbit/ Target Izin Terbit]],ROUNDUP(Table1[[#This Row],[PLAN PERMIT
finish]]-NOW(),0))</f>
        <v>-263</v>
      </c>
      <c r="FV27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2" s="344"/>
      <c r="FX272" s="47"/>
      <c r="FY272" s="340"/>
      <c r="FZ272" s="341"/>
      <c r="GA27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2" s="330">
        <v>45902</v>
      </c>
      <c r="GC272" s="438">
        <v>45961</v>
      </c>
      <c r="GD27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2" s="330">
        <v>45909</v>
      </c>
      <c r="GF272" s="438">
        <v>45961</v>
      </c>
      <c r="GG27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2" s="330">
        <v>45915</v>
      </c>
      <c r="GI272" s="330">
        <v>45921</v>
      </c>
      <c r="GJ272" s="352">
        <v>45973</v>
      </c>
      <c r="GK27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2" s="330">
        <v>45929</v>
      </c>
      <c r="GM272" s="330" t="e">
        <v>#N/A</v>
      </c>
      <c r="GN272" s="330">
        <v>45942</v>
      </c>
      <c r="GO272" s="330" t="e">
        <v>#N/A</v>
      </c>
      <c r="GP272" s="330"/>
      <c r="GQ27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2" s="330" t="s">
        <v>261</v>
      </c>
      <c r="GS272" s="330" t="s">
        <v>261</v>
      </c>
      <c r="GT272" s="354">
        <v>46088</v>
      </c>
      <c r="GU272" s="344" t="str">
        <f>IF(Table1[[#This Row],[Hydro Tes Actual
(tanggal)]]&lt;&gt;"","Sudah","Belum")</f>
        <v>Sudah</v>
      </c>
      <c r="GV272" s="330" t="s">
        <v>261</v>
      </c>
      <c r="GW272" s="330" t="s">
        <v>261</v>
      </c>
      <c r="GX272" s="331">
        <v>46090</v>
      </c>
      <c r="GY272" s="344" t="str">
        <f>IF(Table1[[#This Row],[Interkoneksi Actual
(tanggal)]]&lt;&gt;"","Sudah","Belum")</f>
        <v>Sudah</v>
      </c>
      <c r="GZ272" s="330" t="s">
        <v>261</v>
      </c>
      <c r="HA272" s="330" t="s">
        <v>261</v>
      </c>
      <c r="HB272" s="331">
        <v>46093</v>
      </c>
      <c r="HC272" s="344" t="str">
        <f>IF(Table1[[#This Row],[Flushing Actual
(tanggal)]]&lt;&gt;"","Sudah","Belum")</f>
        <v>Sudah</v>
      </c>
      <c r="HD272" s="330">
        <v>45929</v>
      </c>
      <c r="HE272" s="330" t="e">
        <v>#N/A</v>
      </c>
      <c r="HF272" s="330">
        <v>45942</v>
      </c>
      <c r="HG272" s="352">
        <v>46094</v>
      </c>
      <c r="HH27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2" s="330" t="s">
        <v>261</v>
      </c>
      <c r="HJ272" s="330" t="s">
        <v>261</v>
      </c>
      <c r="HK272" s="331"/>
      <c r="HL272" s="316"/>
      <c r="HM272" s="330">
        <v>45947</v>
      </c>
      <c r="HN272" s="330">
        <v>45947</v>
      </c>
      <c r="HO272" s="330" t="e">
        <v>#N/A</v>
      </c>
      <c r="HP272" s="331">
        <v>46113</v>
      </c>
      <c r="HQ272"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72" s="330">
        <v>45954</v>
      </c>
      <c r="HS272" s="330"/>
      <c r="HT272" s="330">
        <v>45954</v>
      </c>
      <c r="HU272" s="330"/>
      <c r="HV272" s="331">
        <v>46114</v>
      </c>
      <c r="HW27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72" s="47"/>
      <c r="HY272" s="352"/>
      <c r="HZ272" s="352"/>
      <c r="IB272" s="618">
        <f>IFERROR(ROUND((Table1[[#This Row],[PLAN TC
finish]]-Table1[[#This Row],[PLAN MC-0
start]])/30,2),"")</f>
        <v>0.9</v>
      </c>
      <c r="IC272">
        <f>DATEDIF(Table1[[#This Row],[PLAN MC-0
start]],Table1[[#This Row],[PLAN TC
finish]],"m")</f>
        <v>0</v>
      </c>
    </row>
    <row r="273" spans="1:237" s="4" customFormat="1" ht="15" hidden="1" customHeight="1" x14ac:dyDescent="0.2">
      <c r="B273" s="311">
        <f>SUBTOTAL(3,$D$5:D273)</f>
        <v>84</v>
      </c>
      <c r="C273" s="316">
        <v>269</v>
      </c>
      <c r="D273" s="338" t="s">
        <v>244</v>
      </c>
      <c r="E273" s="338" t="s">
        <v>2141</v>
      </c>
      <c r="F273" s="338" t="s">
        <v>2142</v>
      </c>
      <c r="G273" s="349">
        <v>46117</v>
      </c>
      <c r="H273" s="338" t="s">
        <v>681</v>
      </c>
      <c r="I273" s="338" t="s">
        <v>278</v>
      </c>
      <c r="J273" s="480" t="s">
        <v>1830</v>
      </c>
      <c r="K273" s="338" t="s">
        <v>1165</v>
      </c>
      <c r="L273" s="316" t="s">
        <v>250</v>
      </c>
      <c r="M273" s="355" t="s">
        <v>269</v>
      </c>
      <c r="N273" s="107">
        <v>11267</v>
      </c>
      <c r="O273" s="31" t="s">
        <v>252</v>
      </c>
      <c r="P27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3" s="35">
        <v>1.0000000000000004</v>
      </c>
      <c r="S273" s="34">
        <v>1</v>
      </c>
      <c r="T273" s="34">
        <f>Table1[[#This Row],[Progres Total Aktual
(%)]]</f>
        <v>1</v>
      </c>
      <c r="U273" s="98">
        <f>Table1[[#This Row],[Progres Aktual
(%)]]-Table1[[#This Row],[Target Progres
(%)]]</f>
        <v>0</v>
      </c>
      <c r="V273" s="80">
        <f>Table1[[#This Row],["Volume
BA MC-0"]]</f>
        <v>11510.2</v>
      </c>
      <c r="W273" s="46">
        <f>Table1[[#This Row],[Total Panjang Pipa Aktual
(Sum-&gt;)3]]</f>
        <v>11159</v>
      </c>
      <c r="X273" s="47"/>
      <c r="Y273" s="67" t="s">
        <v>2143</v>
      </c>
      <c r="Z273" s="67">
        <v>16686085218</v>
      </c>
      <c r="AA273" s="67">
        <f>ROUND((Table1[[#This Row],[Nilai RAB Jaringan
(Exclude Ppn)]]-Table1[[#This Row],[RAB Perizinan]])*1.11+Table1[[#This Row],[RAB Perizinan]],0)</f>
        <v>16686085218</v>
      </c>
      <c r="AB273" s="486">
        <f>SUM(Table1[[#This Row],[RAB Kegiatan Umum]:[RAB Perizinan]])</f>
        <v>15045062088</v>
      </c>
      <c r="AC273" s="436">
        <v>1206654148</v>
      </c>
      <c r="AD273" s="436">
        <v>12066541474</v>
      </c>
      <c r="AE273" s="436">
        <v>1645196466</v>
      </c>
      <c r="AF273" s="436">
        <v>126670000</v>
      </c>
      <c r="AG273" s="483">
        <v>1011378543</v>
      </c>
      <c r="AH273" s="33">
        <f>SUM(Table1[[#This Row],[Bobot Keg Umum]:[Bobot Perizinan]])</f>
        <v>1</v>
      </c>
      <c r="AI273" s="33">
        <f>Table1[[#This Row],[RAB Kegiatan Umum]]/Table1[[#This Row],[Nilai RAB Jaringan
(Exclude Ppn)]]</f>
        <v>8.020266988212911E-2</v>
      </c>
      <c r="AJ273" s="33">
        <f>Table1[[#This Row],[RAB Pemasangan]]/Table1[[#This Row],[Nilai RAB Jaringan
(Exclude Ppn)]]</f>
        <v>0.80202669842248908</v>
      </c>
      <c r="AK273" s="33">
        <f>Table1[[#This Row],[RAB Pengadaan]]/Table1[[#This Row],[Nilai RAB Jaringan
(Exclude Ppn)]]</f>
        <v>0.10935125799927506</v>
      </c>
      <c r="AL273" s="33">
        <f>Table1[[#This Row],[RAB Perizinan]]/Table1[[#This Row],[Nilai RAB Jaringan
(Exclude Ppn)]]</f>
        <v>8.4193736961067443E-3</v>
      </c>
      <c r="AM273" s="47"/>
      <c r="AN273" s="285">
        <v>11510.2</v>
      </c>
      <c r="AO273" s="285">
        <f>SUM(Table1[[#This Row],[Pipa 63 mm]:[Pipa 1,800 mm]])</f>
        <v>0</v>
      </c>
      <c r="AP273" s="285"/>
      <c r="AQ273" s="285"/>
      <c r="AR273" s="285"/>
      <c r="AS273" s="285"/>
      <c r="AT273" s="285"/>
      <c r="AU273" s="285"/>
      <c r="AV273" s="285"/>
      <c r="AW273" s="285"/>
      <c r="AX273" s="285"/>
      <c r="AY273" s="285"/>
      <c r="AZ273" s="285"/>
      <c r="BA273" s="285"/>
      <c r="BB273" s="285"/>
      <c r="BC273" s="285"/>
      <c r="BD273" s="285"/>
      <c r="BE273" s="285"/>
      <c r="BF273" s="285"/>
      <c r="BG273" s="285"/>
      <c r="BH273" s="285"/>
      <c r="BI273" s="285"/>
      <c r="BJ273" s="36">
        <f>SUM(Table1[[#This Row],[Pipa 63 mm2]:[Pipa 1,800 mm21]])</f>
        <v>11159</v>
      </c>
      <c r="BK273" s="32">
        <v>11002</v>
      </c>
      <c r="BL273" s="32">
        <v>107</v>
      </c>
      <c r="BM273" s="32">
        <v>22</v>
      </c>
      <c r="BN273" s="32">
        <v>28</v>
      </c>
      <c r="BO273" s="32"/>
      <c r="BP273" s="32"/>
      <c r="BQ273" s="32"/>
      <c r="BR273" s="32"/>
      <c r="BS273" s="32"/>
      <c r="BT273" s="32"/>
      <c r="BU273" s="32"/>
      <c r="BV273" s="32"/>
      <c r="BW273" s="32"/>
      <c r="BX273" s="32"/>
      <c r="BY273" s="32"/>
      <c r="BZ273" s="32"/>
      <c r="CA273" s="32"/>
      <c r="CB273" s="32"/>
      <c r="CC273" s="32"/>
      <c r="CD273" s="32"/>
      <c r="CE273" s="32">
        <v>0</v>
      </c>
      <c r="CF273" s="32"/>
      <c r="CG273" s="32"/>
      <c r="CH273" s="32"/>
      <c r="CI273" s="32">
        <f t="shared" si="13"/>
        <v>0</v>
      </c>
      <c r="CJ273" s="65">
        <f>IF((Table1[[#This Row],["Volume
BA MC-0"]]-Table1[[#This Row],[Total Panjang Pipa Aktual
(Sum-&gt;)3]]-Table1[[#This Row],[Total Volume
tidak dapat dipasang]])&gt;=0,Table1[[#This Row],["Volume
BA MC-0"]]-Table1[[#This Row],[Total Panjang Pipa Aktual
(Sum-&gt;)3]]-Table1[[#This Row],[Total Volume
tidak dapat dipasang]],0)</f>
        <v>351.20000000000073</v>
      </c>
      <c r="CK273" s="47"/>
      <c r="CL273" s="35">
        <v>5.6456794427697181E-2</v>
      </c>
      <c r="CM273" s="35">
        <v>6.5578715147656175E-2</v>
      </c>
      <c r="CN273" s="35">
        <v>0.6724020086768483</v>
      </c>
      <c r="CO273" s="35">
        <v>0</v>
      </c>
      <c r="CP27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3" s="66">
        <f>IFERROR(Table1[[#This Row],[Progres Keg. Umum
(%)]]*Table1[[#This Row],[Nilai RAB Jaringan
(file pa aji)]],0)</f>
        <v>942042882.95566273</v>
      </c>
      <c r="CR273" s="66">
        <f>IFERROR(Table1[[#This Row],[Progres MOS
(%)]]*Table1[[#This Row],[Nilai RAB Jaringan
(file pa aji)]],0)</f>
        <v>1094252029.4407384</v>
      </c>
      <c r="CS273" s="66">
        <f>IFERROR(Table1[[#This Row],[Progres Pemasangan
(%)]]*Table1[[#This Row],[Nilai RAB Jaringan
(file pa aji)]],0)</f>
        <v>11219757217.536266</v>
      </c>
      <c r="CT273" s="66">
        <f>IFERROR(Table1[[#This Row],[Progres Perizinan
(%)]]*Table1[[#This Row],[Nilai RAB Jaringan
(file pa aji)]],0)</f>
        <v>0</v>
      </c>
      <c r="CU273" s="329">
        <v>13884488170</v>
      </c>
      <c r="CV273" s="329">
        <v>13884488170</v>
      </c>
      <c r="CW273" s="583">
        <v>13884488170</v>
      </c>
      <c r="CX273" s="329">
        <v>13884488170</v>
      </c>
      <c r="CY273" s="47"/>
      <c r="CZ273" s="330">
        <v>45775</v>
      </c>
      <c r="DA273" s="330">
        <v>45802</v>
      </c>
      <c r="DB273" s="331">
        <v>45782</v>
      </c>
      <c r="DC273" s="316" t="s">
        <v>2144</v>
      </c>
      <c r="DD273" s="67">
        <v>16686085219</v>
      </c>
      <c r="DE27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3" s="331">
        <v>45799</v>
      </c>
      <c r="DG273" s="316" t="s">
        <v>2145</v>
      </c>
      <c r="DH273" s="67">
        <v>16686085219</v>
      </c>
      <c r="DI27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3" s="330">
        <v>45803</v>
      </c>
      <c r="DK273" s="330">
        <v>45844</v>
      </c>
      <c r="DL273" s="331">
        <v>45829</v>
      </c>
      <c r="DM273" s="316" t="s">
        <v>2146</v>
      </c>
      <c r="DN27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3" s="331">
        <v>45838</v>
      </c>
      <c r="DP273" s="316" t="s">
        <v>2147</v>
      </c>
      <c r="DQ273" s="338" t="s">
        <v>365</v>
      </c>
      <c r="DR27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3" s="330">
        <v>45803</v>
      </c>
      <c r="DT273" s="330" t="e">
        <v>#N/A</v>
      </c>
      <c r="DU273" s="330">
        <v>45844</v>
      </c>
      <c r="DV273" s="330" t="e">
        <v>#N/A</v>
      </c>
      <c r="DW273" s="331">
        <v>45829</v>
      </c>
      <c r="DX273" s="484" t="s">
        <v>2148</v>
      </c>
      <c r="DY273" s="332">
        <v>86</v>
      </c>
      <c r="DZ273" s="334">
        <v>86</v>
      </c>
      <c r="EA27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3" s="331">
        <v>46039</v>
      </c>
      <c r="EC273" s="332">
        <v>78</v>
      </c>
      <c r="ED273" s="332">
        <v>78</v>
      </c>
      <c r="EE273" s="425" t="s">
        <v>2149</v>
      </c>
      <c r="EF273" s="35">
        <v>1</v>
      </c>
      <c r="EG273" s="337">
        <v>1</v>
      </c>
      <c r="EH273" s="316" t="str">
        <f>IF(Table1[[#This Row],[PO Material Aktual 
(%)]]&gt;=100%,"Selesai PO = 100%",IF(Table1[[#This Row],[PO Material Aktual 
(%)]]&gt;=50%,"Proses PO &gt; 100%",IF(Table1[[#This Row],[PO Material Aktual 
(%)]]&gt;0%,"Proses PO &gt; 50%",IF(Table1[[#This Row],[PO Material Aktual 
(%)]]=0,"Belum PO = 0%"))))</f>
        <v>Selesai PO = 100%</v>
      </c>
      <c r="EI27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3" s="330">
        <v>45845</v>
      </c>
      <c r="EK273" s="330" t="e">
        <v>#N/A</v>
      </c>
      <c r="EL273" s="330">
        <v>45956</v>
      </c>
      <c r="EM273" s="330" t="e">
        <v>#N/A</v>
      </c>
      <c r="EN273" s="331">
        <v>46142</v>
      </c>
      <c r="EO273" s="332">
        <f>Table1[[#This Row],[Line PO]]</f>
        <v>78</v>
      </c>
      <c r="EP273" s="316">
        <v>78</v>
      </c>
      <c r="EQ273" s="35">
        <v>0.90697674418604646</v>
      </c>
      <c r="ER273" s="35">
        <f>Table1[[#This Row],[Line MOS]]/Table1[[#This Row],[Line PR]]</f>
        <v>0.90697674418604646</v>
      </c>
      <c r="ES273" s="316" t="str">
        <f>IF(Table1[[#This Row],[Progres MOS]]&gt;=100%,"Selesai MOS = 100%",IF(Table1[[#This Row],[Progres MOS]]&gt;=50%,"Proses MOS &gt; 100%",IF(Table1[[#This Row],[Progres MOS]]&gt;0%,"Proses MOS &gt; 50%",IF(Table1[[#This Row],[Progres MOS]]=0,"Belum MOS = 0%"))))</f>
        <v>Proses MOS &gt; 100%</v>
      </c>
      <c r="ET27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73" s="47"/>
      <c r="EV273" s="330">
        <v>45803</v>
      </c>
      <c r="EW273" s="330" t="e">
        <v>#N/A</v>
      </c>
      <c r="EX273" s="330">
        <v>45900</v>
      </c>
      <c r="EY273" s="330" t="e">
        <v>#N/A</v>
      </c>
      <c r="EZ273" s="352" t="s">
        <v>298</v>
      </c>
      <c r="FA273" s="336" t="s">
        <v>298</v>
      </c>
      <c r="FB273" s="330" t="s">
        <v>260</v>
      </c>
      <c r="FC273" s="330"/>
      <c r="FD273" s="330" t="s">
        <v>260</v>
      </c>
      <c r="FE273" s="330">
        <v>45882</v>
      </c>
      <c r="FF273" s="330">
        <v>45958</v>
      </c>
      <c r="FG273" s="330" t="s">
        <v>260</v>
      </c>
      <c r="FH273" s="330" t="s">
        <v>260</v>
      </c>
      <c r="FI273" s="330">
        <v>46003</v>
      </c>
      <c r="FJ273" s="330" t="s">
        <v>260</v>
      </c>
      <c r="FK273" s="330"/>
      <c r="FL273" s="336" t="s">
        <v>298</v>
      </c>
      <c r="FM273" s="336"/>
      <c r="FN273" s="314" t="str">
        <f>IF(Table1[[#This Row],[Tanggal Pengajuan Dokumen]]="","",Table1[[#This Row],[PLAN PERMIT
start]]-Table1[[#This Row],[Tanggal Pengajuan Dokumen]])</f>
        <v/>
      </c>
      <c r="FO273" s="437">
        <v>46086</v>
      </c>
      <c r="FP273" s="316"/>
      <c r="FQ273" s="338"/>
      <c r="FR273" s="338"/>
      <c r="FS273" s="338" t="str">
        <f t="shared" si="14"/>
        <v>On Going</v>
      </c>
      <c r="FT27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3" s="344">
        <f ca="1">IF(Table1[[#This Row],[Status Izin]]="Selesai",Table1[[#This Row],[PLAN PERMIT
finish]]-Table1[[#This Row],[Tanggal Terbit/ Target Izin Terbit]],ROUNDUP(Table1[[#This Row],[PLAN PERMIT
finish]]-NOW(),0))</f>
        <v>-291</v>
      </c>
      <c r="FV27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3" s="344"/>
      <c r="FX273" s="47"/>
      <c r="FY273" s="340"/>
      <c r="FZ273" s="341"/>
      <c r="GA27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3" s="330">
        <v>45874</v>
      </c>
      <c r="GC273" s="352">
        <v>45828</v>
      </c>
      <c r="GD27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73" s="330">
        <v>45881</v>
      </c>
      <c r="GF273" s="352">
        <v>45828</v>
      </c>
      <c r="GG27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73" s="330">
        <v>45887</v>
      </c>
      <c r="GI273" s="330">
        <v>45893</v>
      </c>
      <c r="GJ273" s="352">
        <v>45831</v>
      </c>
      <c r="GK27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73" s="330">
        <v>45901</v>
      </c>
      <c r="GM273" s="330" t="e">
        <v>#N/A</v>
      </c>
      <c r="GN273" s="330">
        <v>46033</v>
      </c>
      <c r="GO273" s="330" t="e">
        <v>#N/A</v>
      </c>
      <c r="GP273" s="330">
        <v>45909</v>
      </c>
      <c r="GQ27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273" s="330" t="s">
        <v>261</v>
      </c>
      <c r="GS273" s="330" t="s">
        <v>261</v>
      </c>
      <c r="GT273" s="354" t="s">
        <v>2150</v>
      </c>
      <c r="GU273" s="344" t="str">
        <f>IF(Table1[[#This Row],[Hydro Tes Actual
(tanggal)]]&lt;&gt;"","Sudah","Belum")</f>
        <v>Sudah</v>
      </c>
      <c r="GV273" s="330" t="s">
        <v>261</v>
      </c>
      <c r="GW273" s="330" t="s">
        <v>261</v>
      </c>
      <c r="GX273" s="331">
        <v>45901</v>
      </c>
      <c r="GY273" s="344" t="str">
        <f>IF(Table1[[#This Row],[Interkoneksi Actual
(tanggal)]]&lt;&gt;"","Sudah","Belum")</f>
        <v>Sudah</v>
      </c>
      <c r="GZ273" s="330" t="s">
        <v>261</v>
      </c>
      <c r="HA273" s="330" t="s">
        <v>261</v>
      </c>
      <c r="HB273" s="395">
        <v>45905</v>
      </c>
      <c r="HC273" s="344" t="str">
        <f>IF(Table1[[#This Row],[Flushing Actual
(tanggal)]]&lt;&gt;"","Sudah","Belum")</f>
        <v>Sudah</v>
      </c>
      <c r="HD273" s="330">
        <v>46006</v>
      </c>
      <c r="HE273" s="330" t="e">
        <v>#N/A</v>
      </c>
      <c r="HF273" s="330">
        <v>46019</v>
      </c>
      <c r="HG273" s="352">
        <v>45909</v>
      </c>
      <c r="HH27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73" s="330" t="s">
        <v>261</v>
      </c>
      <c r="HJ273" s="330" t="s">
        <v>261</v>
      </c>
      <c r="HK273" s="331"/>
      <c r="HL273" s="316"/>
      <c r="HM273" s="330">
        <v>46038</v>
      </c>
      <c r="HN273" s="330">
        <v>46038</v>
      </c>
      <c r="HO273" s="330" t="e">
        <v>#N/A</v>
      </c>
      <c r="HP273" s="331">
        <v>46113</v>
      </c>
      <c r="HQ27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73" s="330">
        <v>46054</v>
      </c>
      <c r="HS273" s="330"/>
      <c r="HT273" s="330">
        <v>46054</v>
      </c>
      <c r="HU273" s="330"/>
      <c r="HV273" s="331">
        <v>46115</v>
      </c>
      <c r="HW27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73" s="47"/>
      <c r="HY273" s="352"/>
      <c r="HZ273" s="352"/>
      <c r="IB273" s="618">
        <f>IFERROR(ROUND((Table1[[#This Row],[PLAN TC
finish]]-Table1[[#This Row],[PLAN MC-0
start]])/30,2),"")</f>
        <v>4.4000000000000004</v>
      </c>
      <c r="IC273">
        <f>DATEDIF(Table1[[#This Row],[PLAN MC-0
start]],Table1[[#This Row],[PLAN TC
finish]],"m")</f>
        <v>4</v>
      </c>
    </row>
    <row r="274" spans="1:237" s="30" customFormat="1" ht="15" hidden="1" customHeight="1" x14ac:dyDescent="0.2">
      <c r="A274" s="77"/>
      <c r="B274" s="311">
        <f>SUBTOTAL(3,$D$5:D274)</f>
        <v>84</v>
      </c>
      <c r="C274" s="367">
        <v>270</v>
      </c>
      <c r="D274" s="366" t="s">
        <v>244</v>
      </c>
      <c r="E274" s="366" t="s">
        <v>2151</v>
      </c>
      <c r="F274" s="366" t="s">
        <v>2152</v>
      </c>
      <c r="G274" s="364">
        <v>46117</v>
      </c>
      <c r="H274" s="366" t="s">
        <v>681</v>
      </c>
      <c r="I274" s="366" t="s">
        <v>278</v>
      </c>
      <c r="J274" s="385" t="s">
        <v>389</v>
      </c>
      <c r="K274" s="366" t="s">
        <v>1165</v>
      </c>
      <c r="L274" s="367" t="s">
        <v>250</v>
      </c>
      <c r="M274" s="392" t="s">
        <v>269</v>
      </c>
      <c r="N274" s="368">
        <v>132</v>
      </c>
      <c r="O274" s="369" t="s">
        <v>252</v>
      </c>
      <c r="P274"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4" s="385" t="s">
        <v>389</v>
      </c>
      <c r="R274" s="371">
        <v>0.99999999999999989</v>
      </c>
      <c r="S274" s="34">
        <v>1</v>
      </c>
      <c r="T274" s="489">
        <f>Table1[[#This Row],[Progres Total Aktual
(%)]]</f>
        <v>0</v>
      </c>
      <c r="U274" s="490">
        <f>Table1[[#This Row],[Progres Aktual
(%)]]-Table1[[#This Row],[Target Progres
(%)]]</f>
        <v>-1</v>
      </c>
      <c r="V274" s="491">
        <f>Table1[[#This Row],["Volume
BA MC-0"]]</f>
        <v>128.30000000000001</v>
      </c>
      <c r="W274" s="492">
        <f>Table1[[#This Row],[Total Panjang Pipa Aktual
(Sum-&gt;)3]]</f>
        <v>0</v>
      </c>
      <c r="X274" s="47"/>
      <c r="Y274" s="375" t="s">
        <v>2153</v>
      </c>
      <c r="Z274" s="375">
        <v>271645744</v>
      </c>
      <c r="AA274" s="375">
        <f>ROUND((Table1[[#This Row],[Nilai RAB Jaringan
(Exclude Ppn)]]-Table1[[#This Row],[RAB Perizinan]])*1.11+Table1[[#This Row],[RAB Perizinan]],0)</f>
        <v>271645744</v>
      </c>
      <c r="AB274" s="493">
        <f>SUM(Table1[[#This Row],[RAB Kegiatan Umum]:[RAB Perizinan]])</f>
        <v>244856706</v>
      </c>
      <c r="AC274" s="439">
        <v>17378982</v>
      </c>
      <c r="AD274" s="439">
        <v>173789820</v>
      </c>
      <c r="AE274" s="439">
        <v>52367904</v>
      </c>
      <c r="AF274" s="439">
        <v>1320000</v>
      </c>
      <c r="AG274" s="494">
        <v>27391503</v>
      </c>
      <c r="AH274" s="495">
        <f>SUM(Table1[[#This Row],[Bobot Keg Umum]:[Bobot Perizinan]])</f>
        <v>0.99999999999999989</v>
      </c>
      <c r="AI274" s="495">
        <f>Table1[[#This Row],[RAB Kegiatan Umum]]/Table1[[#This Row],[Nilai RAB Jaringan
(Exclude Ppn)]]</f>
        <v>7.0976132465001798E-2</v>
      </c>
      <c r="AJ274" s="495">
        <f>Table1[[#This Row],[RAB Pemasangan]]/Table1[[#This Row],[Nilai RAB Jaringan
(Exclude Ppn)]]</f>
        <v>0.70976132465001796</v>
      </c>
      <c r="AK274" s="495">
        <f>Table1[[#This Row],[RAB Pengadaan]]/Table1[[#This Row],[Nilai RAB Jaringan
(Exclude Ppn)]]</f>
        <v>0.21387163478381516</v>
      </c>
      <c r="AL274" s="495">
        <f>Table1[[#This Row],[RAB Perizinan]]/Table1[[#This Row],[Nilai RAB Jaringan
(Exclude Ppn)]]</f>
        <v>5.3909081011650952E-3</v>
      </c>
      <c r="AM274" s="47"/>
      <c r="AN274" s="376">
        <v>128.30000000000001</v>
      </c>
      <c r="AO274" s="376">
        <f>SUM(Table1[[#This Row],[Pipa 63 mm]:[Pipa 1,800 mm]])</f>
        <v>0</v>
      </c>
      <c r="AP274" s="376"/>
      <c r="AQ274" s="376"/>
      <c r="AR274" s="376"/>
      <c r="AS274" s="376"/>
      <c r="AT274" s="376"/>
      <c r="AU274" s="376"/>
      <c r="AV274" s="376"/>
      <c r="AW274" s="376"/>
      <c r="AX274" s="376"/>
      <c r="AY274" s="376"/>
      <c r="AZ274" s="376"/>
      <c r="BA274" s="376"/>
      <c r="BB274" s="376"/>
      <c r="BC274" s="376"/>
      <c r="BD274" s="376"/>
      <c r="BE274" s="376"/>
      <c r="BF274" s="376"/>
      <c r="BG274" s="376"/>
      <c r="BH274" s="376"/>
      <c r="BI274" s="376"/>
      <c r="BJ274" s="377">
        <f>SUM(Table1[[#This Row],[Pipa 63 mm2]:[Pipa 1,800 mm21]])</f>
        <v>0</v>
      </c>
      <c r="BK274" s="378"/>
      <c r="BL274" s="378"/>
      <c r="BM274" s="378"/>
      <c r="BN274" s="378"/>
      <c r="BO274" s="378"/>
      <c r="BP274" s="378"/>
      <c r="BQ274" s="378"/>
      <c r="BR274" s="378"/>
      <c r="BS274" s="378"/>
      <c r="BT274" s="378"/>
      <c r="BU274" s="378"/>
      <c r="BV274" s="378"/>
      <c r="BW274" s="378"/>
      <c r="BX274" s="378"/>
      <c r="BY274" s="378"/>
      <c r="BZ274" s="378"/>
      <c r="CA274" s="378"/>
      <c r="CB274" s="378"/>
      <c r="CC274" s="378"/>
      <c r="CD274" s="378"/>
      <c r="CE274" s="378">
        <v>132</v>
      </c>
      <c r="CF274" s="378"/>
      <c r="CG274" s="378"/>
      <c r="CH274" s="378"/>
      <c r="CI274" s="378">
        <f t="shared" si="13"/>
        <v>132</v>
      </c>
      <c r="CJ274" s="440">
        <f>IF((Table1[[#This Row],["Volume
BA MC-0"]]-Table1[[#This Row],[Total Panjang Pipa Aktual
(Sum-&gt;)3]]-Table1[[#This Row],[Total Volume
tidak dapat dipasang]])&gt;=0,Table1[[#This Row],["Volume
BA MC-0"]]-Table1[[#This Row],[Total Panjang Pipa Aktual
(Sum-&gt;)3]]-Table1[[#This Row],[Total Volume
tidak dapat dipasang]],0)</f>
        <v>0</v>
      </c>
      <c r="CK274" s="47"/>
      <c r="CL274" s="496" t="s">
        <v>1821</v>
      </c>
      <c r="CM274" s="489" t="s">
        <v>1821</v>
      </c>
      <c r="CN274" s="496" t="s">
        <v>1821</v>
      </c>
      <c r="CO274" s="496" t="s">
        <v>1821</v>
      </c>
      <c r="CP274"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74" s="380">
        <f>IFERROR(Table1[[#This Row],[Progres Keg. Umum
(%)]]*Table1[[#This Row],[Nilai RAB Jaringan
(file pa aji)]],0)</f>
        <v>0</v>
      </c>
      <c r="CR274" s="380">
        <f>IFERROR(Table1[[#This Row],[Progres MOS
(%)]]*Table1[[#This Row],[Nilai RAB Jaringan
(file pa aji)]],0)</f>
        <v>0</v>
      </c>
      <c r="CS274" s="380">
        <f>IFERROR(Table1[[#This Row],[Progres Pemasangan
(%)]]*Table1[[#This Row],[Nilai RAB Jaringan
(file pa aji)]],0)</f>
        <v>0</v>
      </c>
      <c r="CT274" s="380">
        <f>IFERROR(Table1[[#This Row],[Progres Perizinan
(%)]]*Table1[[#This Row],[Nilai RAB Jaringan
(file pa aji)]],0)</f>
        <v>0</v>
      </c>
      <c r="CU274" s="329">
        <v>0</v>
      </c>
      <c r="CV274" s="329">
        <v>0</v>
      </c>
      <c r="CW274" s="582">
        <v>0</v>
      </c>
      <c r="CX274" s="329">
        <v>0</v>
      </c>
      <c r="CY274" s="47"/>
      <c r="CZ274" s="386">
        <v>45803</v>
      </c>
      <c r="DA274" s="386">
        <v>45830</v>
      </c>
      <c r="DB274" s="388">
        <v>45782</v>
      </c>
      <c r="DC274" s="367" t="s">
        <v>2154</v>
      </c>
      <c r="DD274" s="375">
        <v>271645743</v>
      </c>
      <c r="DE27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4" s="388">
        <v>45790</v>
      </c>
      <c r="DG274" s="367" t="s">
        <v>2155</v>
      </c>
      <c r="DH274" s="375">
        <v>271645743</v>
      </c>
      <c r="DI274" s="367"/>
      <c r="DJ274" s="386">
        <v>45831</v>
      </c>
      <c r="DK274" s="386">
        <v>45900</v>
      </c>
      <c r="DL274" s="388">
        <v>45811</v>
      </c>
      <c r="DM274" s="367" t="s">
        <v>2156</v>
      </c>
      <c r="DN274" s="382"/>
      <c r="DO274" s="388">
        <v>45876</v>
      </c>
      <c r="DP274" s="367" t="s">
        <v>2157</v>
      </c>
      <c r="DQ274" s="366" t="s">
        <v>371</v>
      </c>
      <c r="DR274" s="382"/>
      <c r="DS274" s="386">
        <v>45831</v>
      </c>
      <c r="DT274" s="386" t="e">
        <v>#N/A</v>
      </c>
      <c r="DU274" s="386">
        <v>45872</v>
      </c>
      <c r="DV274" s="386" t="e">
        <v>#N/A</v>
      </c>
      <c r="DW274" s="388">
        <v>45811</v>
      </c>
      <c r="DX274" s="496" t="s">
        <v>2158</v>
      </c>
      <c r="DY274" s="442"/>
      <c r="DZ274" s="442"/>
      <c r="EA274" s="382"/>
      <c r="EB274" s="388"/>
      <c r="EC274" s="442"/>
      <c r="ED274" s="442"/>
      <c r="EE274" s="386"/>
      <c r="EF274" s="371"/>
      <c r="EG274" s="371"/>
      <c r="EH274" s="367"/>
      <c r="EI274"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4" s="386">
        <v>45873</v>
      </c>
      <c r="EK274" s="386" t="e">
        <v>#N/A</v>
      </c>
      <c r="EL274" s="386">
        <v>45928</v>
      </c>
      <c r="EM274" s="386" t="e">
        <v>#N/A</v>
      </c>
      <c r="EN274" s="388"/>
      <c r="EO274" s="442"/>
      <c r="EP274" s="367"/>
      <c r="EQ274" s="371"/>
      <c r="ER274" s="371"/>
      <c r="ES274" s="367"/>
      <c r="ET27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4" s="47"/>
      <c r="EV274" s="386">
        <v>45831</v>
      </c>
      <c r="EW274" s="386" t="e">
        <v>#N/A</v>
      </c>
      <c r="EX274" s="386">
        <v>45928</v>
      </c>
      <c r="EY274" s="386" t="e">
        <v>#N/A</v>
      </c>
      <c r="EZ274" s="384" t="s">
        <v>298</v>
      </c>
      <c r="FA274" s="385" t="s">
        <v>389</v>
      </c>
      <c r="FB274" s="386" t="s">
        <v>260</v>
      </c>
      <c r="FC274" s="330"/>
      <c r="FD274" s="386" t="s">
        <v>260</v>
      </c>
      <c r="FE274" s="386">
        <v>45895</v>
      </c>
      <c r="FF274" s="386">
        <v>45919</v>
      </c>
      <c r="FG274" s="386" t="s">
        <v>260</v>
      </c>
      <c r="FH274" s="386" t="s">
        <v>260</v>
      </c>
      <c r="FI274" s="386">
        <v>46010</v>
      </c>
      <c r="FJ274" s="386" t="s">
        <v>260</v>
      </c>
      <c r="FK274" s="386">
        <v>46112</v>
      </c>
      <c r="FL274" s="443" t="s">
        <v>298</v>
      </c>
      <c r="FM274" s="443"/>
      <c r="FN274" s="365" t="str">
        <f>IF(Table1[[#This Row],[Tanggal Pengajuan Dokumen]]="","",Table1[[#This Row],[PLAN PERMIT
start]]-Table1[[#This Row],[Tanggal Pengajuan Dokumen]])</f>
        <v/>
      </c>
      <c r="FO274" s="444">
        <v>46086</v>
      </c>
      <c r="FP274" s="367"/>
      <c r="FQ274" s="366"/>
      <c r="FR274" s="366"/>
      <c r="FS274" s="366" t="str">
        <f t="shared" si="14"/>
        <v>On Going</v>
      </c>
      <c r="FT274"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4" s="387">
        <f ca="1">IF(Table1[[#This Row],[Status Izin]]="Selesai",Table1[[#This Row],[PLAN PERMIT
finish]]-Table1[[#This Row],[Tanggal Terbit/ Target Izin Terbit]],ROUNDUP(Table1[[#This Row],[PLAN PERMIT
finish]]-NOW(),0))</f>
        <v>-263</v>
      </c>
      <c r="FV274"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4" s="387"/>
      <c r="FX274" s="47"/>
      <c r="FY274" s="340"/>
      <c r="FZ274" s="341"/>
      <c r="GA27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4" s="386">
        <v>45902</v>
      </c>
      <c r="GC274" s="497">
        <v>45961</v>
      </c>
      <c r="GD274"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4" s="386">
        <v>45909</v>
      </c>
      <c r="GF274" s="497">
        <v>45961</v>
      </c>
      <c r="GG274"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4" s="386">
        <v>45915</v>
      </c>
      <c r="GI274" s="386">
        <v>45921</v>
      </c>
      <c r="GJ274" s="384">
        <v>45973</v>
      </c>
      <c r="GK274"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4" s="386">
        <v>45929</v>
      </c>
      <c r="GM274" s="386" t="e">
        <v>#N/A</v>
      </c>
      <c r="GN274" s="386">
        <v>45942</v>
      </c>
      <c r="GO274" s="386" t="e">
        <v>#N/A</v>
      </c>
      <c r="GP274" s="386"/>
      <c r="GQ274"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4" s="386" t="s">
        <v>261</v>
      </c>
      <c r="GS274" s="386" t="s">
        <v>261</v>
      </c>
      <c r="GT274" s="390"/>
      <c r="GU274" s="387" t="str">
        <f>IF(Table1[[#This Row],[Hydro Tes Actual
(tanggal)]]&lt;&gt;"","Sudah","Belum")</f>
        <v>Belum</v>
      </c>
      <c r="GV274" s="386" t="s">
        <v>261</v>
      </c>
      <c r="GW274" s="386" t="s">
        <v>261</v>
      </c>
      <c r="GX274" s="388"/>
      <c r="GY274" s="387" t="str">
        <f>IF(Table1[[#This Row],[Interkoneksi Actual
(tanggal)]]&lt;&gt;"","Sudah","Belum")</f>
        <v>Belum</v>
      </c>
      <c r="GZ274" s="386" t="s">
        <v>261</v>
      </c>
      <c r="HA274" s="386" t="s">
        <v>261</v>
      </c>
      <c r="HB274" s="388"/>
      <c r="HC274" s="387" t="str">
        <f>IF(Table1[[#This Row],[Flushing Actual
(tanggal)]]&lt;&gt;"","Sudah","Belum")</f>
        <v>Belum</v>
      </c>
      <c r="HD274" s="386">
        <v>45929</v>
      </c>
      <c r="HE274" s="386" t="e">
        <v>#N/A</v>
      </c>
      <c r="HF274" s="386">
        <v>45942</v>
      </c>
      <c r="HG274" s="384"/>
      <c r="HH274"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4" s="386" t="s">
        <v>261</v>
      </c>
      <c r="HJ274" s="386" t="s">
        <v>261</v>
      </c>
      <c r="HK274" s="388"/>
      <c r="HL274" s="367"/>
      <c r="HM274" s="386">
        <v>45947</v>
      </c>
      <c r="HN274" s="386">
        <v>45947</v>
      </c>
      <c r="HO274" s="386" t="e">
        <v>#N/A</v>
      </c>
      <c r="HP274" s="388"/>
      <c r="HQ274"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74" s="386">
        <v>45954</v>
      </c>
      <c r="HS274" s="386"/>
      <c r="HT274" s="386">
        <v>45954</v>
      </c>
      <c r="HU274" s="386"/>
      <c r="HV274" s="388"/>
      <c r="HW274"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74" s="47"/>
      <c r="HY274" s="384"/>
      <c r="HZ274" s="384"/>
      <c r="IB274" s="618">
        <f>IFERROR(ROUND((Table1[[#This Row],[PLAN TC
finish]]-Table1[[#This Row],[PLAN MC-0
start]])/30,2),"")</f>
        <v>0.9</v>
      </c>
      <c r="IC274">
        <f>DATEDIF(Table1[[#This Row],[PLAN MC-0
start]],Table1[[#This Row],[PLAN TC
finish]],"m")</f>
        <v>0</v>
      </c>
    </row>
    <row r="275" spans="1:237" s="4" customFormat="1" ht="15" hidden="1" customHeight="1" x14ac:dyDescent="0.2">
      <c r="B275" s="311">
        <f>SUBTOTAL(3,$D$5:D275)</f>
        <v>84</v>
      </c>
      <c r="C275" s="316">
        <v>271</v>
      </c>
      <c r="D275" s="338" t="s">
        <v>244</v>
      </c>
      <c r="E275" s="338" t="s">
        <v>2159</v>
      </c>
      <c r="F275" s="338" t="s">
        <v>2160</v>
      </c>
      <c r="G275" s="349">
        <v>46117</v>
      </c>
      <c r="H275" s="338" t="s">
        <v>681</v>
      </c>
      <c r="I275" s="338" t="s">
        <v>278</v>
      </c>
      <c r="J275" s="480" t="s">
        <v>1830</v>
      </c>
      <c r="K275" s="338" t="s">
        <v>1165</v>
      </c>
      <c r="L275" s="316" t="s">
        <v>250</v>
      </c>
      <c r="M275" s="355" t="s">
        <v>269</v>
      </c>
      <c r="N275" s="107">
        <v>190</v>
      </c>
      <c r="O275" s="31" t="s">
        <v>252</v>
      </c>
      <c r="P27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5" s="35">
        <v>1.0000000000000002</v>
      </c>
      <c r="S275" s="34">
        <v>1</v>
      </c>
      <c r="T275" s="34">
        <f>Table1[[#This Row],[Progres Total Aktual
(%)]]</f>
        <v>1</v>
      </c>
      <c r="U275" s="98">
        <f>Table1[[#This Row],[Progres Aktual
(%)]]-Table1[[#This Row],[Target Progres
(%)]]</f>
        <v>0</v>
      </c>
      <c r="V275" s="80">
        <f>Table1[[#This Row],["Volume
BA MC-0"]]</f>
        <v>184.4</v>
      </c>
      <c r="W275" s="46">
        <f>Table1[[#This Row],[Total Panjang Pipa Aktual
(Sum-&gt;)3]]</f>
        <v>94.7</v>
      </c>
      <c r="X275" s="47"/>
      <c r="Y275" s="67" t="s">
        <v>2161</v>
      </c>
      <c r="Z275" s="67">
        <v>314811380</v>
      </c>
      <c r="AA275" s="67">
        <f>ROUND((Table1[[#This Row],[Nilai RAB Jaringan
(Exclude Ppn)]]-Table1[[#This Row],[RAB Perizinan]])*1.11+Table1[[#This Row],[RAB Perizinan]],0)</f>
        <v>314811380</v>
      </c>
      <c r="AB275" s="486">
        <f>SUM(Table1[[#This Row],[RAB Kegiatan Umum]:[RAB Perizinan]])</f>
        <v>283802143.69999999</v>
      </c>
      <c r="AC275" s="436">
        <v>20426473.699999999</v>
      </c>
      <c r="AD275" s="436">
        <v>204264737</v>
      </c>
      <c r="AE275" s="436">
        <v>57210933</v>
      </c>
      <c r="AF275" s="436">
        <v>1900000</v>
      </c>
      <c r="AG275" s="483">
        <v>31605580</v>
      </c>
      <c r="AH275" s="33">
        <f>SUM(Table1[[#This Row],[Bobot Keg Umum]:[Bobot Perizinan]])</f>
        <v>1</v>
      </c>
      <c r="AI275" s="33">
        <f>Table1[[#This Row],[RAB Kegiatan Umum]]/Table1[[#This Row],[Nilai RAB Jaringan
(Exclude Ppn)]]</f>
        <v>7.1974346048605975E-2</v>
      </c>
      <c r="AJ275" s="33">
        <f>Table1[[#This Row],[RAB Pemasangan]]/Table1[[#This Row],[Nilai RAB Jaringan
(Exclude Ppn)]]</f>
        <v>0.71974346048605975</v>
      </c>
      <c r="AK275" s="33">
        <f>Table1[[#This Row],[RAB Pengadaan]]/Table1[[#This Row],[Nilai RAB Jaringan
(Exclude Ppn)]]</f>
        <v>0.20158738850287269</v>
      </c>
      <c r="AL275" s="33">
        <f>Table1[[#This Row],[RAB Perizinan]]/Table1[[#This Row],[Nilai RAB Jaringan
(Exclude Ppn)]]</f>
        <v>6.6948049624615995E-3</v>
      </c>
      <c r="AM275" s="47"/>
      <c r="AN275" s="285">
        <f>59+109.4+16</f>
        <v>184.4</v>
      </c>
      <c r="AO275" s="285">
        <f>SUM(Table1[[#This Row],[Pipa 63 mm]:[Pipa 1,800 mm]])</f>
        <v>0</v>
      </c>
      <c r="AP275" s="285"/>
      <c r="AQ275" s="285"/>
      <c r="AR275" s="285"/>
      <c r="AS275" s="285"/>
      <c r="AT275" s="285"/>
      <c r="AU275" s="285"/>
      <c r="AV275" s="285"/>
      <c r="AW275" s="285"/>
      <c r="AX275" s="285"/>
      <c r="AY275" s="285"/>
      <c r="AZ275" s="285"/>
      <c r="BA275" s="285"/>
      <c r="BB275" s="285"/>
      <c r="BC275" s="285"/>
      <c r="BD275" s="285"/>
      <c r="BE275" s="285"/>
      <c r="BF275" s="285"/>
      <c r="BG275" s="285"/>
      <c r="BH275" s="285"/>
      <c r="BI275" s="285"/>
      <c r="BJ275" s="36">
        <f>SUM(Table1[[#This Row],[Pipa 63 mm2]:[Pipa 1,800 mm21]])</f>
        <v>94.7</v>
      </c>
      <c r="BK275" s="32">
        <v>94.7</v>
      </c>
      <c r="BL275" s="32"/>
      <c r="BM275" s="32"/>
      <c r="BN275" s="32"/>
      <c r="BO275" s="32"/>
      <c r="BP275" s="32"/>
      <c r="BQ275" s="32"/>
      <c r="BR275" s="32"/>
      <c r="BS275" s="32"/>
      <c r="BT275" s="32"/>
      <c r="BU275" s="32"/>
      <c r="BV275" s="32"/>
      <c r="BW275" s="32"/>
      <c r="BX275" s="32"/>
      <c r="BY275" s="32"/>
      <c r="BZ275" s="32"/>
      <c r="CA275" s="32"/>
      <c r="CB275" s="32"/>
      <c r="CC275" s="32"/>
      <c r="CD275" s="32"/>
      <c r="CE275" s="32">
        <v>0</v>
      </c>
      <c r="CF275" s="32"/>
      <c r="CG275" s="32"/>
      <c r="CH275" s="32"/>
      <c r="CI275" s="32">
        <f t="shared" si="13"/>
        <v>0</v>
      </c>
      <c r="CJ275" s="65">
        <f>IF((Table1[[#This Row],["Volume
BA MC-0"]]-Table1[[#This Row],[Total Panjang Pipa Aktual
(Sum-&gt;)3]]-Table1[[#This Row],[Total Volume
tidak dapat dipasang]])&gt;=0,Table1[[#This Row],["Volume
BA MC-0"]]-Table1[[#This Row],[Total Panjang Pipa Aktual
(Sum-&gt;)3]]-Table1[[#This Row],[Total Volume
tidak dapat dipasang]],0)</f>
        <v>89.7</v>
      </c>
      <c r="CK275" s="47"/>
      <c r="CL275" s="35" t="s">
        <v>1821</v>
      </c>
      <c r="CM275" s="35" t="s">
        <v>1821</v>
      </c>
      <c r="CN275" s="35" t="s">
        <v>1821</v>
      </c>
      <c r="CO275" s="35" t="s">
        <v>1821</v>
      </c>
      <c r="CP27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5" s="66">
        <f>IFERROR(Table1[[#This Row],[Progres Keg. Umum
(%)]]*Table1[[#This Row],[Nilai RAB Jaringan
(file pa aji)]],0)</f>
        <v>0</v>
      </c>
      <c r="CR275" s="66">
        <f>IFERROR(Table1[[#This Row],[Progres MOS
(%)]]*Table1[[#This Row],[Nilai RAB Jaringan
(file pa aji)]],0)</f>
        <v>0</v>
      </c>
      <c r="CS275" s="66">
        <f>IFERROR(Table1[[#This Row],[Progres Pemasangan
(%)]]*Table1[[#This Row],[Nilai RAB Jaringan
(file pa aji)]],0)</f>
        <v>0</v>
      </c>
      <c r="CT275" s="66">
        <f>IFERROR(Table1[[#This Row],[Progres Perizinan
(%)]]*Table1[[#This Row],[Nilai RAB Jaringan
(file pa aji)]],0)</f>
        <v>0</v>
      </c>
      <c r="CU275" s="329">
        <v>167859902</v>
      </c>
      <c r="CV275" s="329">
        <v>167859902</v>
      </c>
      <c r="CW275" s="583">
        <v>167859902</v>
      </c>
      <c r="CX275" s="329">
        <v>167859902</v>
      </c>
      <c r="CY275" s="47"/>
      <c r="CZ275" s="330">
        <v>45803</v>
      </c>
      <c r="DA275" s="330">
        <v>45830</v>
      </c>
      <c r="DB275" s="331">
        <v>45782</v>
      </c>
      <c r="DC275" s="316" t="s">
        <v>2162</v>
      </c>
      <c r="DD275" s="67">
        <v>314811380</v>
      </c>
      <c r="DE27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5" s="331">
        <v>45798</v>
      </c>
      <c r="DG275" s="316" t="s">
        <v>2163</v>
      </c>
      <c r="DH275" s="67">
        <v>314811380</v>
      </c>
      <c r="DI27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5" s="330">
        <v>45831</v>
      </c>
      <c r="DK275" s="330">
        <v>45900</v>
      </c>
      <c r="DL275" s="331">
        <v>45829</v>
      </c>
      <c r="DM275" s="316" t="s">
        <v>2164</v>
      </c>
      <c r="DN27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5" s="331">
        <v>45845</v>
      </c>
      <c r="DP275" s="316" t="s">
        <v>2165</v>
      </c>
      <c r="DQ275" s="338" t="s">
        <v>365</v>
      </c>
      <c r="DR27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5" s="330">
        <v>45831</v>
      </c>
      <c r="DT275" s="330" t="e">
        <v>#N/A</v>
      </c>
      <c r="DU275" s="330">
        <v>45872</v>
      </c>
      <c r="DV275" s="330" t="e">
        <v>#N/A</v>
      </c>
      <c r="DW275" s="331">
        <v>45828</v>
      </c>
      <c r="DX275" s="484" t="s">
        <v>2166</v>
      </c>
      <c r="DY275" s="332">
        <v>40</v>
      </c>
      <c r="DZ275" s="334">
        <v>40</v>
      </c>
      <c r="EA27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5" s="331">
        <v>46039</v>
      </c>
      <c r="EC275" s="332">
        <v>37</v>
      </c>
      <c r="ED275" s="332">
        <v>37</v>
      </c>
      <c r="EE275" s="425" t="s">
        <v>2167</v>
      </c>
      <c r="EF275" s="35">
        <v>1</v>
      </c>
      <c r="EG275" s="337">
        <v>1</v>
      </c>
      <c r="EH275" s="316" t="str">
        <f>IF(Table1[[#This Row],[PO Material Aktual 
(%)]]&gt;=100%,"Selesai PO = 100%",IF(Table1[[#This Row],[PO Material Aktual 
(%)]]&gt;=50%,"Proses PO &gt; 100%",IF(Table1[[#This Row],[PO Material Aktual 
(%)]]&gt;0%,"Proses PO &gt; 50%",IF(Table1[[#This Row],[PO Material Aktual 
(%)]]=0,"Belum PO = 0%"))))</f>
        <v>Selesai PO = 100%</v>
      </c>
      <c r="EI27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5" s="330">
        <v>45873</v>
      </c>
      <c r="EK275" s="330" t="e">
        <v>#N/A</v>
      </c>
      <c r="EL275" s="330">
        <v>45928</v>
      </c>
      <c r="EM275" s="330" t="e">
        <v>#N/A</v>
      </c>
      <c r="EN275" s="331">
        <v>46139</v>
      </c>
      <c r="EO275" s="332">
        <f>Table1[[#This Row],[Line PO]]</f>
        <v>37</v>
      </c>
      <c r="EP275" s="316">
        <v>37</v>
      </c>
      <c r="EQ275" s="35">
        <v>0.92500000000000004</v>
      </c>
      <c r="ER275" s="35">
        <f>Table1[[#This Row],[Line MOS]]/Table1[[#This Row],[Line PR]]</f>
        <v>0.92500000000000004</v>
      </c>
      <c r="ES275" s="316" t="str">
        <f>IF(Table1[[#This Row],[Progres MOS]]&gt;=100%,"Selesai MOS = 100%",IF(Table1[[#This Row],[Progres MOS]]&gt;=50%,"Proses MOS &gt; 100%",IF(Table1[[#This Row],[Progres MOS]]&gt;0%,"Proses MOS &gt; 50%",IF(Table1[[#This Row],[Progres MOS]]=0,"Belum MOS = 0%"))))</f>
        <v>Proses MOS &gt; 100%</v>
      </c>
      <c r="ET27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75" s="47"/>
      <c r="EV275" s="330">
        <v>45831</v>
      </c>
      <c r="EW275" s="330" t="e">
        <v>#N/A</v>
      </c>
      <c r="EX275" s="330">
        <v>45928</v>
      </c>
      <c r="EY275" s="330" t="e">
        <v>#N/A</v>
      </c>
      <c r="EZ275" s="352" t="s">
        <v>298</v>
      </c>
      <c r="FA275" s="336" t="s">
        <v>259</v>
      </c>
      <c r="FB275" s="330" t="s">
        <v>260</v>
      </c>
      <c r="FC275" s="330"/>
      <c r="FD275" s="330" t="s">
        <v>260</v>
      </c>
      <c r="FE275" s="330">
        <v>45895</v>
      </c>
      <c r="FF275" s="330">
        <v>45919</v>
      </c>
      <c r="FG275" s="330" t="s">
        <v>260</v>
      </c>
      <c r="FH275" s="330" t="s">
        <v>260</v>
      </c>
      <c r="FI275" s="330">
        <v>46010</v>
      </c>
      <c r="FJ275" s="330" t="s">
        <v>260</v>
      </c>
      <c r="FK275" s="330">
        <v>46112</v>
      </c>
      <c r="FL275" s="336" t="s">
        <v>298</v>
      </c>
      <c r="FM275" s="336"/>
      <c r="FN275" s="314" t="str">
        <f>IF(Table1[[#This Row],[Tanggal Pengajuan Dokumen]]="","",Table1[[#This Row],[PLAN PERMIT
start]]-Table1[[#This Row],[Tanggal Pengajuan Dokumen]])</f>
        <v/>
      </c>
      <c r="FO275" s="437">
        <v>46086</v>
      </c>
      <c r="FP275" s="316"/>
      <c r="FQ275" s="338"/>
      <c r="FR275" s="338"/>
      <c r="FS275" s="338" t="str">
        <f t="shared" si="14"/>
        <v>Sudah Terbit</v>
      </c>
      <c r="FT27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75" s="344">
        <f ca="1">IF(Table1[[#This Row],[Status Izin]]="Selesai",Table1[[#This Row],[PLAN PERMIT
finish]]-Table1[[#This Row],[Tanggal Terbit/ Target Izin Terbit]],ROUNDUP(Table1[[#This Row],[PLAN PERMIT
finish]]-NOW(),0))</f>
        <v>-158</v>
      </c>
      <c r="FV27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5" s="344"/>
      <c r="FX275" s="47"/>
      <c r="FY275" s="340"/>
      <c r="FZ275" s="341"/>
      <c r="GA27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5" s="330">
        <v>45902</v>
      </c>
      <c r="GC275" s="438">
        <v>45961</v>
      </c>
      <c r="GD27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5" s="330">
        <v>45909</v>
      </c>
      <c r="GF275" s="438">
        <v>45961</v>
      </c>
      <c r="GG27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5" s="330">
        <v>45915</v>
      </c>
      <c r="GI275" s="330">
        <v>45921</v>
      </c>
      <c r="GJ275" s="352">
        <v>45973</v>
      </c>
      <c r="GK27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5" s="330">
        <v>45929</v>
      </c>
      <c r="GM275" s="330" t="e">
        <v>#N/A</v>
      </c>
      <c r="GN275" s="330">
        <v>45942</v>
      </c>
      <c r="GO275" s="330" t="e">
        <v>#N/A</v>
      </c>
      <c r="GP275" s="330"/>
      <c r="GQ27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5" s="330" t="s">
        <v>261</v>
      </c>
      <c r="GS275" s="330" t="s">
        <v>261</v>
      </c>
      <c r="GT275" s="354">
        <v>46015</v>
      </c>
      <c r="GU275" s="344" t="str">
        <f>IF(Table1[[#This Row],[Hydro Tes Actual
(tanggal)]]&lt;&gt;"","Sudah","Belum")</f>
        <v>Sudah</v>
      </c>
      <c r="GV275" s="330" t="s">
        <v>261</v>
      </c>
      <c r="GW275" s="330" t="s">
        <v>261</v>
      </c>
      <c r="GX275" s="331">
        <v>46015</v>
      </c>
      <c r="GY275" s="344" t="str">
        <f>IF(Table1[[#This Row],[Interkoneksi Actual
(tanggal)]]&lt;&gt;"","Sudah","Belum")</f>
        <v>Sudah</v>
      </c>
      <c r="GZ275" s="330" t="s">
        <v>261</v>
      </c>
      <c r="HA275" s="330" t="s">
        <v>261</v>
      </c>
      <c r="HB275" s="331">
        <v>46059</v>
      </c>
      <c r="HC275" s="344" t="str">
        <f>IF(Table1[[#This Row],[Flushing Actual
(tanggal)]]&lt;&gt;"","Sudah","Belum")</f>
        <v>Sudah</v>
      </c>
      <c r="HD275" s="330">
        <v>45929</v>
      </c>
      <c r="HE275" s="330" t="e">
        <v>#N/A</v>
      </c>
      <c r="HF275" s="330">
        <v>45942</v>
      </c>
      <c r="HG275" s="352">
        <v>46065</v>
      </c>
      <c r="HH27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5" s="330" t="s">
        <v>261</v>
      </c>
      <c r="HJ275" s="330" t="s">
        <v>261</v>
      </c>
      <c r="HK275" s="331"/>
      <c r="HL275" s="316"/>
      <c r="HM275" s="330">
        <v>45947</v>
      </c>
      <c r="HN275" s="330">
        <v>45947</v>
      </c>
      <c r="HO275" s="330" t="e">
        <v>#N/A</v>
      </c>
      <c r="HP275" s="331">
        <v>46098</v>
      </c>
      <c r="HQ275"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75" s="330">
        <v>45954</v>
      </c>
      <c r="HS275" s="330"/>
      <c r="HT275" s="330">
        <v>45954</v>
      </c>
      <c r="HU275" s="330"/>
      <c r="HV275" s="331">
        <v>46099</v>
      </c>
      <c r="HW27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75" s="47"/>
      <c r="HY275" s="352"/>
      <c r="HZ275" s="352"/>
      <c r="IB275" s="618">
        <f>IFERROR(ROUND((Table1[[#This Row],[PLAN TC
finish]]-Table1[[#This Row],[PLAN MC-0
start]])/30,2),"")</f>
        <v>0.9</v>
      </c>
      <c r="IC275">
        <f>DATEDIF(Table1[[#This Row],[PLAN MC-0
start]],Table1[[#This Row],[PLAN TC
finish]],"m")</f>
        <v>0</v>
      </c>
    </row>
    <row r="276" spans="1:237" s="4" customFormat="1" ht="15" hidden="1" customHeight="1" x14ac:dyDescent="0.2">
      <c r="B276" s="311">
        <f>SUBTOTAL(3,$D$5:D276)</f>
        <v>84</v>
      </c>
      <c r="C276" s="316">
        <v>272</v>
      </c>
      <c r="D276" s="338" t="s">
        <v>244</v>
      </c>
      <c r="E276" s="338" t="s">
        <v>2168</v>
      </c>
      <c r="F276" s="338" t="s">
        <v>2169</v>
      </c>
      <c r="G276" s="349">
        <v>46117</v>
      </c>
      <c r="H276" s="338" t="s">
        <v>681</v>
      </c>
      <c r="I276" s="338" t="s">
        <v>278</v>
      </c>
      <c r="J276" s="480" t="s">
        <v>1818</v>
      </c>
      <c r="K276" s="338" t="s">
        <v>1165</v>
      </c>
      <c r="L276" s="316" t="s">
        <v>250</v>
      </c>
      <c r="M276" s="355" t="s">
        <v>269</v>
      </c>
      <c r="N276" s="107">
        <v>265</v>
      </c>
      <c r="O276" s="31" t="s">
        <v>252</v>
      </c>
      <c r="P27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76" s="35">
        <v>0.99999999999999978</v>
      </c>
      <c r="S276" s="34">
        <v>1</v>
      </c>
      <c r="T276" s="34">
        <f>Table1[[#This Row],[Progres Total Aktual
(%)]]</f>
        <v>0.48661565000229057</v>
      </c>
      <c r="U276" s="98">
        <f>Table1[[#This Row],[Progres Aktual
(%)]]-Table1[[#This Row],[Target Progres
(%)]]</f>
        <v>-0.51338434999770943</v>
      </c>
      <c r="V276" s="80">
        <f>Table1[[#This Row],["Volume
BA MC-0"]]</f>
        <v>268.2</v>
      </c>
      <c r="W276" s="46">
        <f>Table1[[#This Row],[Total Panjang Pipa Aktual
(Sum-&gt;)3]]</f>
        <v>251</v>
      </c>
      <c r="X276" s="47"/>
      <c r="Y276" s="67" t="s">
        <v>2170</v>
      </c>
      <c r="Z276" s="67">
        <v>562633602</v>
      </c>
      <c r="AA276" s="67">
        <f>ROUND((Table1[[#This Row],[Nilai RAB Jaringan
(Exclude Ppn)]]-Table1[[#This Row],[RAB Perizinan]])*1.11+Table1[[#This Row],[RAB Perizinan]],0)</f>
        <v>555821264</v>
      </c>
      <c r="AB276" s="486">
        <f>SUM(Table1[[#This Row],[RAB Kegiatan Umum]:[RAB Perizinan]])</f>
        <v>501002490</v>
      </c>
      <c r="AC276" s="436">
        <v>35314553</v>
      </c>
      <c r="AD276" s="436">
        <v>353145529</v>
      </c>
      <c r="AE276" s="436">
        <v>109892408</v>
      </c>
      <c r="AF276" s="436">
        <v>2650000</v>
      </c>
      <c r="AG276" s="483">
        <v>88495623</v>
      </c>
      <c r="AH276" s="33">
        <f>SUM(Table1[[#This Row],[Bobot Keg Umum]:[Bobot Perizinan]])</f>
        <v>1</v>
      </c>
      <c r="AI276" s="33">
        <f>Table1[[#This Row],[RAB Kegiatan Umum]]/Table1[[#This Row],[Nilai RAB Jaringan
(Exclude Ppn)]]</f>
        <v>7.0487779412034463E-2</v>
      </c>
      <c r="AJ276" s="33">
        <f>Table1[[#This Row],[RAB Pemasangan]]/Table1[[#This Row],[Nilai RAB Jaringan
(Exclude Ppn)]]</f>
        <v>0.70487779212434654</v>
      </c>
      <c r="AK276" s="33">
        <f>Table1[[#This Row],[RAB Pengadaan]]/Table1[[#This Row],[Nilai RAB Jaringan
(Exclude Ppn)]]</f>
        <v>0.2193450335945436</v>
      </c>
      <c r="AL276" s="33">
        <f>Table1[[#This Row],[RAB Perizinan]]/Table1[[#This Row],[Nilai RAB Jaringan
(Exclude Ppn)]]</f>
        <v>5.2893948690754013E-3</v>
      </c>
      <c r="AM276" s="47"/>
      <c r="AN276" s="285">
        <v>268.2</v>
      </c>
      <c r="AO276" s="285">
        <f>SUM(Table1[[#This Row],[Pipa 63 mm]:[Pipa 1,800 mm]])</f>
        <v>0</v>
      </c>
      <c r="AP276" s="285"/>
      <c r="AQ276" s="285"/>
      <c r="AR276" s="285"/>
      <c r="AS276" s="285"/>
      <c r="AT276" s="285"/>
      <c r="AU276" s="285"/>
      <c r="AV276" s="285"/>
      <c r="AW276" s="285"/>
      <c r="AX276" s="285"/>
      <c r="AY276" s="285"/>
      <c r="AZ276" s="285"/>
      <c r="BA276" s="285"/>
      <c r="BB276" s="285"/>
      <c r="BC276" s="285"/>
      <c r="BD276" s="285"/>
      <c r="BE276" s="285"/>
      <c r="BF276" s="285"/>
      <c r="BG276" s="285"/>
      <c r="BH276" s="285"/>
      <c r="BI276" s="285"/>
      <c r="BJ276" s="36">
        <f>SUM(Table1[[#This Row],[Pipa 63 mm2]:[Pipa 1,800 mm21]])</f>
        <v>251</v>
      </c>
      <c r="BK276" s="32">
        <v>251</v>
      </c>
      <c r="BL276" s="32"/>
      <c r="BM276" s="32"/>
      <c r="BN276" s="32"/>
      <c r="BO276" s="32"/>
      <c r="BP276" s="32"/>
      <c r="BQ276" s="32"/>
      <c r="BR276" s="32"/>
      <c r="BS276" s="32"/>
      <c r="BT276" s="32"/>
      <c r="BU276" s="32"/>
      <c r="BV276" s="32"/>
      <c r="BW276" s="32"/>
      <c r="BX276" s="32"/>
      <c r="BY276" s="32"/>
      <c r="BZ276" s="32"/>
      <c r="CA276" s="32"/>
      <c r="CB276" s="32"/>
      <c r="CC276" s="32"/>
      <c r="CD276" s="32"/>
      <c r="CE276" s="32">
        <v>0</v>
      </c>
      <c r="CF276" s="32"/>
      <c r="CG276" s="32"/>
      <c r="CH276" s="32"/>
      <c r="CI276" s="32">
        <f t="shared" si="13"/>
        <v>0</v>
      </c>
      <c r="CJ276" s="65">
        <f>IF((Table1[[#This Row],["Volume
BA MC-0"]]-Table1[[#This Row],[Total Panjang Pipa Aktual
(Sum-&gt;)3]]-Table1[[#This Row],[Total Volume
tidak dapat dipasang]])&gt;=0,Table1[[#This Row],["Volume
BA MC-0"]]-Table1[[#This Row],[Total Panjang Pipa Aktual
(Sum-&gt;)3]]-Table1[[#This Row],[Total Volume
tidak dapat dipasang]],0)</f>
        <v>17.199999999999989</v>
      </c>
      <c r="CK276" s="47"/>
      <c r="CL276" s="484" t="s">
        <v>1821</v>
      </c>
      <c r="CM276" s="34" t="s">
        <v>1821</v>
      </c>
      <c r="CN276" s="484" t="s">
        <v>1821</v>
      </c>
      <c r="CO276" s="484" t="s">
        <v>1821</v>
      </c>
      <c r="CP27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0.48661565000229057</v>
      </c>
      <c r="CQ276" s="66">
        <f>IFERROR(Table1[[#This Row],[Progres Keg. Umum
(%)]]*Table1[[#This Row],[Nilai RAB Jaringan
(file pa aji)]],0)</f>
        <v>0</v>
      </c>
      <c r="CR276" s="66">
        <f>IFERROR(Table1[[#This Row],[Progres MOS
(%)]]*Table1[[#This Row],[Nilai RAB Jaringan
(file pa aji)]],0)</f>
        <v>0</v>
      </c>
      <c r="CS276" s="66">
        <f>IFERROR(Table1[[#This Row],[Progres Pemasangan
(%)]]*Table1[[#This Row],[Nilai RAB Jaringan
(file pa aji)]],0)</f>
        <v>0</v>
      </c>
      <c r="CT276" s="66">
        <f>IFERROR(Table1[[#This Row],[Progres Perizinan
(%)]]*Table1[[#This Row],[Nilai RAB Jaringan
(file pa aji)]],0)</f>
        <v>0</v>
      </c>
      <c r="CU276" s="329">
        <v>270471325.66645473</v>
      </c>
      <c r="CV276" s="329">
        <v>270471325.66645473</v>
      </c>
      <c r="CW276" s="583">
        <v>0</v>
      </c>
      <c r="CX276" s="329">
        <v>0</v>
      </c>
      <c r="CY276" s="47"/>
      <c r="CZ276" s="330">
        <v>45803</v>
      </c>
      <c r="DA276" s="330">
        <v>45830</v>
      </c>
      <c r="DB276" s="331">
        <v>45782</v>
      </c>
      <c r="DC276" s="316" t="s">
        <v>2171</v>
      </c>
      <c r="DD276" s="67">
        <v>562633602</v>
      </c>
      <c r="DE27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6" s="331">
        <v>45783</v>
      </c>
      <c r="DG276" s="316" t="s">
        <v>2172</v>
      </c>
      <c r="DH276" s="67">
        <v>562633602</v>
      </c>
      <c r="DI27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6" s="330">
        <v>45831</v>
      </c>
      <c r="DK276" s="330">
        <v>45900</v>
      </c>
      <c r="DL276" s="331">
        <v>45839</v>
      </c>
      <c r="DM276" s="316" t="s">
        <v>2173</v>
      </c>
      <c r="DN27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6" s="331">
        <v>45888</v>
      </c>
      <c r="DP276" s="316" t="s">
        <v>2174</v>
      </c>
      <c r="DQ276" s="338" t="s">
        <v>312</v>
      </c>
      <c r="DR27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6" s="330">
        <v>45831</v>
      </c>
      <c r="DT276" s="330" t="e">
        <v>#N/A</v>
      </c>
      <c r="DU276" s="330">
        <v>45872</v>
      </c>
      <c r="DV276" s="330" t="e">
        <v>#N/A</v>
      </c>
      <c r="DW276" s="331">
        <v>45839</v>
      </c>
      <c r="DX276" s="484" t="s">
        <v>2175</v>
      </c>
      <c r="DY276" s="334">
        <v>20</v>
      </c>
      <c r="DZ276" s="334">
        <v>20</v>
      </c>
      <c r="EA27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6" s="331"/>
      <c r="EC276" s="332">
        <v>19</v>
      </c>
      <c r="ED276" s="332">
        <v>19</v>
      </c>
      <c r="EE276" s="330"/>
      <c r="EF276" s="35">
        <v>0.95</v>
      </c>
      <c r="EG276" s="35">
        <f>Table1[[#This Row],[Line PO (kolom  bantu)2]]/Table1[[#This Row],[Line PR]]</f>
        <v>0.95</v>
      </c>
      <c r="EH276" s="316" t="str">
        <f>IF(Table1[[#This Row],[PO Material Aktual 
(%)]]&gt;=100%,"Selesai PO = 100%",IF(Table1[[#This Row],[PO Material Aktual 
(%)]]&gt;=50%,"Proses PO &gt; 100%",IF(Table1[[#This Row],[PO Material Aktual 
(%)]]&gt;0%,"Proses PO &gt; 50%",IF(Table1[[#This Row],[PO Material Aktual 
(%)]]=0,"Belum PO = 0%"))))</f>
        <v>Proses PO &gt; 100%</v>
      </c>
      <c r="EI27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6" s="330">
        <v>45873</v>
      </c>
      <c r="EK276" s="330" t="e">
        <v>#N/A</v>
      </c>
      <c r="EL276" s="330">
        <v>45928</v>
      </c>
      <c r="EM276" s="330" t="e">
        <v>#N/A</v>
      </c>
      <c r="EN276" s="331"/>
      <c r="EO276" s="332">
        <v>19</v>
      </c>
      <c r="EP276" s="316">
        <v>19</v>
      </c>
      <c r="EQ276" s="35">
        <v>0.95</v>
      </c>
      <c r="ER276" s="35">
        <f>Table1[[#This Row],[Line MOS]]/Table1[[#This Row],[Line PR]]</f>
        <v>0.95</v>
      </c>
      <c r="ES276" s="316" t="str">
        <f>IF(Table1[[#This Row],[Progres MOS]]&gt;=100%,"Selesai MOS = 100%",IF(Table1[[#This Row],[Progres MOS]]&gt;=50%,"Proses MOS &gt; 100%",IF(Table1[[#This Row],[Progres MOS]]&gt;0%,"Proses MOS &gt; 50%",IF(Table1[[#This Row],[Progres MOS]]=0,"Belum MOS = 0%"))))</f>
        <v>Proses MOS &gt; 100%</v>
      </c>
      <c r="ET27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6" s="47"/>
      <c r="EV276" s="330">
        <v>45831</v>
      </c>
      <c r="EW276" s="330" t="e">
        <v>#N/A</v>
      </c>
      <c r="EX276" s="330">
        <v>45928</v>
      </c>
      <c r="EY276" s="330" t="e">
        <v>#N/A</v>
      </c>
      <c r="EZ276" s="352" t="s">
        <v>298</v>
      </c>
      <c r="FA276" s="336" t="s">
        <v>298</v>
      </c>
      <c r="FB276" s="330" t="s">
        <v>260</v>
      </c>
      <c r="FC276" s="330"/>
      <c r="FD276" s="330" t="s">
        <v>260</v>
      </c>
      <c r="FE276" s="330">
        <v>45915</v>
      </c>
      <c r="FF276" s="330">
        <v>45958</v>
      </c>
      <c r="FG276" s="330" t="s">
        <v>260</v>
      </c>
      <c r="FH276" s="330" t="s">
        <v>260</v>
      </c>
      <c r="FI276" s="330">
        <v>46006</v>
      </c>
      <c r="FJ276" s="330" t="s">
        <v>260</v>
      </c>
      <c r="FK276" s="330"/>
      <c r="FL276" s="336" t="s">
        <v>298</v>
      </c>
      <c r="FM276" s="336"/>
      <c r="FN276" s="314" t="str">
        <f>IF(Table1[[#This Row],[Tanggal Pengajuan Dokumen]]="","",Table1[[#This Row],[PLAN PERMIT
start]]-Table1[[#This Row],[Tanggal Pengajuan Dokumen]])</f>
        <v/>
      </c>
      <c r="FO276" s="437">
        <v>46086</v>
      </c>
      <c r="FP276" s="316"/>
      <c r="FQ276" s="338"/>
      <c r="FR276" s="338"/>
      <c r="FS276" s="338" t="str">
        <f t="shared" si="14"/>
        <v>On Going</v>
      </c>
      <c r="FT27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6" s="344">
        <f ca="1">IF(Table1[[#This Row],[Status Izin]]="Selesai",Table1[[#This Row],[PLAN PERMIT
finish]]-Table1[[#This Row],[Tanggal Terbit/ Target Izin Terbit]],ROUNDUP(Table1[[#This Row],[PLAN PERMIT
finish]]-NOW(),0))</f>
        <v>-263</v>
      </c>
      <c r="FV27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6" s="344"/>
      <c r="FX276" s="47"/>
      <c r="FY276" s="340"/>
      <c r="FZ276" s="341"/>
      <c r="GA27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6" s="330">
        <v>45902</v>
      </c>
      <c r="GC276" s="438">
        <v>45961</v>
      </c>
      <c r="GD27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6" s="330">
        <v>45909</v>
      </c>
      <c r="GF276" s="438">
        <v>45961</v>
      </c>
      <c r="GG27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6" s="330">
        <v>45915</v>
      </c>
      <c r="GI276" s="330">
        <v>45921</v>
      </c>
      <c r="GJ276" s="352">
        <v>45973</v>
      </c>
      <c r="GK27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6" s="330">
        <v>45929</v>
      </c>
      <c r="GM276" s="330" t="e">
        <v>#N/A</v>
      </c>
      <c r="GN276" s="330">
        <v>45942</v>
      </c>
      <c r="GO276" s="330" t="e">
        <v>#N/A</v>
      </c>
      <c r="GP276" s="330"/>
      <c r="GQ27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6" s="330" t="s">
        <v>261</v>
      </c>
      <c r="GS276" s="330" t="s">
        <v>261</v>
      </c>
      <c r="GT276" s="354">
        <v>46163</v>
      </c>
      <c r="GU276" s="344" t="str">
        <f>IF(Table1[[#This Row],[Hydro Tes Actual
(tanggal)]]&lt;&gt;"","Sudah","Belum")</f>
        <v>Sudah</v>
      </c>
      <c r="GV276" s="330" t="s">
        <v>261</v>
      </c>
      <c r="GW276" s="330" t="s">
        <v>261</v>
      </c>
      <c r="GX276" s="331">
        <v>46175</v>
      </c>
      <c r="GY276" s="344" t="str">
        <f>IF(Table1[[#This Row],[Interkoneksi Actual
(tanggal)]]&lt;&gt;"","Sudah","Belum")</f>
        <v>Sudah</v>
      </c>
      <c r="GZ276" s="330" t="s">
        <v>261</v>
      </c>
      <c r="HA276" s="330" t="s">
        <v>261</v>
      </c>
      <c r="HB276" s="331"/>
      <c r="HC276" s="344" t="str">
        <f>IF(Table1[[#This Row],[Flushing Actual
(tanggal)]]&lt;&gt;"","Sudah","Belum")</f>
        <v>Belum</v>
      </c>
      <c r="HD276" s="330">
        <v>45929</v>
      </c>
      <c r="HE276" s="330" t="e">
        <v>#N/A</v>
      </c>
      <c r="HF276" s="330">
        <v>45942</v>
      </c>
      <c r="HG276" s="352"/>
      <c r="HH27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6" s="330" t="s">
        <v>261</v>
      </c>
      <c r="HJ276" s="330" t="s">
        <v>261</v>
      </c>
      <c r="HK276" s="331"/>
      <c r="HL276" s="316"/>
      <c r="HM276" s="330">
        <v>45947</v>
      </c>
      <c r="HN276" s="330">
        <v>45947</v>
      </c>
      <c r="HO276" s="330" t="e">
        <v>#N/A</v>
      </c>
      <c r="HP276" s="331"/>
      <c r="HQ276"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76" s="330">
        <v>45954</v>
      </c>
      <c r="HS276" s="330"/>
      <c r="HT276" s="330">
        <v>45954</v>
      </c>
      <c r="HU276" s="330"/>
      <c r="HV276" s="331"/>
      <c r="HW27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76" s="47"/>
      <c r="HY276" s="352"/>
      <c r="HZ276" s="352"/>
      <c r="IB276" s="618">
        <f>IFERROR(ROUND((Table1[[#This Row],[PLAN TC
finish]]-Table1[[#This Row],[PLAN MC-0
start]])/30,2),"")</f>
        <v>0.9</v>
      </c>
      <c r="IC276">
        <f>DATEDIF(Table1[[#This Row],[PLAN MC-0
start]],Table1[[#This Row],[PLAN TC
finish]],"m")</f>
        <v>0</v>
      </c>
    </row>
    <row r="277" spans="1:237" s="4" customFormat="1" ht="15" hidden="1" customHeight="1" x14ac:dyDescent="0.2">
      <c r="B277" s="311">
        <f>SUBTOTAL(3,$D$5:D277)</f>
        <v>84</v>
      </c>
      <c r="C277" s="316">
        <v>273</v>
      </c>
      <c r="D277" s="338" t="s">
        <v>244</v>
      </c>
      <c r="E277" s="338" t="s">
        <v>2176</v>
      </c>
      <c r="F277" s="338" t="s">
        <v>2177</v>
      </c>
      <c r="G277" s="349">
        <v>46117</v>
      </c>
      <c r="H277" s="338" t="s">
        <v>681</v>
      </c>
      <c r="I277" s="338" t="s">
        <v>278</v>
      </c>
      <c r="J277" s="480" t="s">
        <v>1818</v>
      </c>
      <c r="K277" s="338" t="s">
        <v>1165</v>
      </c>
      <c r="L277" s="316" t="s">
        <v>250</v>
      </c>
      <c r="M277" s="355" t="s">
        <v>269</v>
      </c>
      <c r="N277" s="107">
        <v>697</v>
      </c>
      <c r="O277" s="31" t="s">
        <v>252</v>
      </c>
      <c r="P27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77" s="35">
        <v>0.99999999999999989</v>
      </c>
      <c r="S277" s="34">
        <v>1</v>
      </c>
      <c r="T277" s="34">
        <f>Table1[[#This Row],[Progres Total Aktual
(%)]]</f>
        <v>0.44299125948442286</v>
      </c>
      <c r="U277" s="98">
        <f>Table1[[#This Row],[Progres Aktual
(%)]]-Table1[[#This Row],[Target Progres
(%)]]</f>
        <v>-0.55700874051557714</v>
      </c>
      <c r="V277" s="80">
        <f>Table1[[#This Row],["Volume
BA MC-0"]]</f>
        <v>687.5</v>
      </c>
      <c r="W277" s="46">
        <f>Table1[[#This Row],[Total Panjang Pipa Aktual
(Sum-&gt;)3]]</f>
        <v>719</v>
      </c>
      <c r="X277" s="47"/>
      <c r="Y277" s="67" t="s">
        <v>2178</v>
      </c>
      <c r="Z277" s="67">
        <v>2899780730</v>
      </c>
      <c r="AA277" s="67">
        <f>ROUND((Table1[[#This Row],[Nilai RAB Jaringan
(Exclude Ppn)]]-Table1[[#This Row],[RAB Perizinan]])*1.11+Table1[[#This Row],[RAB Perizinan]],0)</f>
        <v>2899780729</v>
      </c>
      <c r="AB277" s="486">
        <f>SUM(Table1[[#This Row],[RAB Kegiatan Umum]:[RAB Perizinan]])</f>
        <v>2613799486</v>
      </c>
      <c r="AC277" s="436">
        <v>204988135</v>
      </c>
      <c r="AD277" s="436">
        <v>2049881342</v>
      </c>
      <c r="AE277" s="436">
        <v>344960009</v>
      </c>
      <c r="AF277" s="436">
        <v>13970000</v>
      </c>
      <c r="AG277" s="483">
        <v>2107039</v>
      </c>
      <c r="AH277" s="33">
        <f>SUM(Table1[[#This Row],[Bobot Keg Umum]:[Bobot Perizinan]])</f>
        <v>1</v>
      </c>
      <c r="AI277" s="33">
        <f>Table1[[#This Row],[RAB Kegiatan Umum]]/Table1[[#This Row],[Nilai RAB Jaringan
(Exclude Ppn)]]</f>
        <v>7.8425348270957609E-2</v>
      </c>
      <c r="AJ277" s="33">
        <f>Table1[[#This Row],[RAB Pemasangan]]/Table1[[#This Row],[Nilai RAB Jaringan
(Exclude Ppn)]]</f>
        <v>0.78425347964889758</v>
      </c>
      <c r="AK277" s="33">
        <f>Table1[[#This Row],[RAB Pengadaan]]/Table1[[#This Row],[Nilai RAB Jaringan
(Exclude Ppn)]]</f>
        <v>0.13197646217610434</v>
      </c>
      <c r="AL277" s="33">
        <f>Table1[[#This Row],[RAB Perizinan]]/Table1[[#This Row],[Nilai RAB Jaringan
(Exclude Ppn)]]</f>
        <v>5.3447099040404358E-3</v>
      </c>
      <c r="AM277" s="47"/>
      <c r="AN277" s="285">
        <v>687.5</v>
      </c>
      <c r="AO277" s="285">
        <f>SUM(Table1[[#This Row],[Pipa 63 mm]:[Pipa 1,800 mm]])</f>
        <v>0</v>
      </c>
      <c r="AP277" s="285"/>
      <c r="AQ277" s="285"/>
      <c r="AR277" s="285"/>
      <c r="AS277" s="285"/>
      <c r="AT277" s="285"/>
      <c r="AU277" s="285"/>
      <c r="AV277" s="285"/>
      <c r="AW277" s="285"/>
      <c r="AX277" s="285"/>
      <c r="AY277" s="285"/>
      <c r="AZ277" s="285"/>
      <c r="BA277" s="285"/>
      <c r="BB277" s="285"/>
      <c r="BC277" s="285"/>
      <c r="BD277" s="285"/>
      <c r="BE277" s="285"/>
      <c r="BF277" s="285"/>
      <c r="BG277" s="285"/>
      <c r="BH277" s="285"/>
      <c r="BI277" s="285"/>
      <c r="BJ277" s="36">
        <f>SUM(Table1[[#This Row],[Pipa 63 mm2]:[Pipa 1,800 mm21]])</f>
        <v>719</v>
      </c>
      <c r="BK277" s="32"/>
      <c r="BL277" s="32"/>
      <c r="BM277" s="32"/>
      <c r="BN277" s="32">
        <v>719</v>
      </c>
      <c r="BO277" s="32"/>
      <c r="BP277" s="32"/>
      <c r="BQ277" s="32"/>
      <c r="BR277" s="32"/>
      <c r="BS277" s="32"/>
      <c r="BT277" s="32"/>
      <c r="BU277" s="32"/>
      <c r="BV277" s="32"/>
      <c r="BW277" s="32"/>
      <c r="BX277" s="32"/>
      <c r="BY277" s="32"/>
      <c r="BZ277" s="32"/>
      <c r="CA277" s="32"/>
      <c r="CB277" s="32"/>
      <c r="CC277" s="32"/>
      <c r="CD277" s="32"/>
      <c r="CE277" s="32">
        <v>0</v>
      </c>
      <c r="CF277" s="32"/>
      <c r="CG277" s="32"/>
      <c r="CH277" s="32"/>
      <c r="CI277" s="32">
        <f t="shared" si="13"/>
        <v>0</v>
      </c>
      <c r="CJ277" s="65">
        <f>IF((Table1[[#This Row],["Volume
BA MC-0"]]-Table1[[#This Row],[Total Panjang Pipa Aktual
(Sum-&gt;)3]]-Table1[[#This Row],[Total Volume
tidak dapat dipasang]])&gt;=0,Table1[[#This Row],["Volume
BA MC-0"]]-Table1[[#This Row],[Total Panjang Pipa Aktual
(Sum-&gt;)3]]-Table1[[#This Row],[Total Volume
tidak dapat dipasang]],0)</f>
        <v>0</v>
      </c>
      <c r="CK277" s="47"/>
      <c r="CL277" s="35" t="s">
        <v>1821</v>
      </c>
      <c r="CM277" s="35" t="s">
        <v>1821</v>
      </c>
      <c r="CN277" s="35" t="s">
        <v>1821</v>
      </c>
      <c r="CO277" s="35" t="s">
        <v>1821</v>
      </c>
      <c r="CP27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0.44299125948442286</v>
      </c>
      <c r="CQ277" s="66">
        <f>IFERROR(Table1[[#This Row],[Progres Keg. Umum
(%)]]*Table1[[#This Row],[Nilai RAB Jaringan
(file pa aji)]],0)</f>
        <v>0</v>
      </c>
      <c r="CR277" s="66">
        <f>IFERROR(Table1[[#This Row],[Progres MOS
(%)]]*Table1[[#This Row],[Nilai RAB Jaringan
(file pa aji)]],0)</f>
        <v>0</v>
      </c>
      <c r="CS277" s="66">
        <f>IFERROR(Table1[[#This Row],[Progres Pemasangan
(%)]]*Table1[[#This Row],[Nilai RAB Jaringan
(file pa aji)]],0)</f>
        <v>0</v>
      </c>
      <c r="CT277" s="66">
        <f>IFERROR(Table1[[#This Row],[Progres Perizinan
(%)]]*Table1[[#This Row],[Nilai RAB Jaringan
(file pa aji)]],0)</f>
        <v>0</v>
      </c>
      <c r="CU277" s="329">
        <v>1284577517.3683679</v>
      </c>
      <c r="CV277" s="329">
        <v>1284577517.3683679</v>
      </c>
      <c r="CW277" s="583">
        <v>0</v>
      </c>
      <c r="CX277" s="329">
        <v>0</v>
      </c>
      <c r="CY277" s="47"/>
      <c r="CZ277" s="330">
        <v>45866</v>
      </c>
      <c r="DA277" s="330">
        <v>45893</v>
      </c>
      <c r="DB277" s="331">
        <v>45783</v>
      </c>
      <c r="DC277" s="316" t="s">
        <v>2179</v>
      </c>
      <c r="DD277" s="67">
        <v>2899780730</v>
      </c>
      <c r="DE27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7" s="331">
        <v>45803</v>
      </c>
      <c r="DG277" s="316" t="s">
        <v>2180</v>
      </c>
      <c r="DH277" s="67">
        <v>2899780730</v>
      </c>
      <c r="DI27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7" s="330">
        <v>45894</v>
      </c>
      <c r="DK277" s="330">
        <v>45956</v>
      </c>
      <c r="DL277" s="331">
        <v>45836</v>
      </c>
      <c r="DM277" s="316" t="s">
        <v>2181</v>
      </c>
      <c r="DN27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7" s="331">
        <v>45989</v>
      </c>
      <c r="DP277" s="316" t="s">
        <v>2182</v>
      </c>
      <c r="DQ277" s="338" t="s">
        <v>365</v>
      </c>
      <c r="DR27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77" s="330">
        <v>45894</v>
      </c>
      <c r="DT277" s="330" t="e">
        <v>#N/A</v>
      </c>
      <c r="DU277" s="330">
        <v>45935</v>
      </c>
      <c r="DV277" s="330" t="e">
        <v>#N/A</v>
      </c>
      <c r="DW277" s="331">
        <v>45836</v>
      </c>
      <c r="DX277" s="316" t="s">
        <v>2183</v>
      </c>
      <c r="DY277" s="334">
        <v>53</v>
      </c>
      <c r="DZ277" s="334">
        <v>53</v>
      </c>
      <c r="EA27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7" s="331"/>
      <c r="EC277" s="332">
        <v>46</v>
      </c>
      <c r="ED277" s="332">
        <v>46</v>
      </c>
      <c r="EE277" s="330"/>
      <c r="EF277" s="35">
        <v>0.86792452830188682</v>
      </c>
      <c r="EG277" s="35">
        <f>Table1[[#This Row],[Line PO (kolom  bantu)2]]/Table1[[#This Row],[Line PR]]</f>
        <v>0.86792452830188682</v>
      </c>
      <c r="EH277" s="316" t="str">
        <f>IF(Table1[[#This Row],[PO Material Aktual 
(%)]]&gt;=100%,"Selesai PO = 100%",IF(Table1[[#This Row],[PO Material Aktual 
(%)]]&gt;=50%,"Proses PO &gt; 100%",IF(Table1[[#This Row],[PO Material Aktual 
(%)]]&gt;0%,"Proses PO &gt; 50%",IF(Table1[[#This Row],[PO Material Aktual 
(%)]]=0,"Belum PO = 0%"))))</f>
        <v>Proses PO &gt; 100%</v>
      </c>
      <c r="EI27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7" s="330">
        <v>45936</v>
      </c>
      <c r="EK277" s="330" t="e">
        <v>#N/A</v>
      </c>
      <c r="EL277" s="330">
        <v>45984</v>
      </c>
      <c r="EM277" s="330" t="e">
        <v>#N/A</v>
      </c>
      <c r="EN277" s="331"/>
      <c r="EO277" s="332">
        <v>46</v>
      </c>
      <c r="EP277" s="316">
        <v>46</v>
      </c>
      <c r="EQ277" s="35">
        <v>0.86792452830188682</v>
      </c>
      <c r="ER277" s="35">
        <f>Table1[[#This Row],[Line MOS]]/Table1[[#This Row],[Line PR]]</f>
        <v>0.86792452830188682</v>
      </c>
      <c r="ES277" s="316" t="str">
        <f>IF(Table1[[#This Row],[Progres MOS]]&gt;=100%,"Selesai MOS = 100%",IF(Table1[[#This Row],[Progres MOS]]&gt;=50%,"Proses MOS &gt; 100%",IF(Table1[[#This Row],[Progres MOS]]&gt;0%,"Proses MOS &gt; 50%",IF(Table1[[#This Row],[Progres MOS]]=0,"Belum MOS = 0%"))))</f>
        <v>Proses MOS &gt; 100%</v>
      </c>
      <c r="ET27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7" s="47"/>
      <c r="EV277" s="330">
        <v>45894</v>
      </c>
      <c r="EW277" s="330" t="e">
        <v>#N/A</v>
      </c>
      <c r="EX277" s="330">
        <v>45984</v>
      </c>
      <c r="EY277" s="330" t="e">
        <v>#N/A</v>
      </c>
      <c r="EZ277" s="352" t="s">
        <v>298</v>
      </c>
      <c r="FA277" s="336" t="s">
        <v>298</v>
      </c>
      <c r="FB277" s="330" t="s">
        <v>260</v>
      </c>
      <c r="FC277" s="330"/>
      <c r="FD277" s="330" t="s">
        <v>260</v>
      </c>
      <c r="FE277" s="330">
        <v>45915</v>
      </c>
      <c r="FF277" s="330">
        <v>45958</v>
      </c>
      <c r="FG277" s="330" t="s">
        <v>260</v>
      </c>
      <c r="FH277" s="330" t="s">
        <v>260</v>
      </c>
      <c r="FI277" s="330">
        <v>46006</v>
      </c>
      <c r="FJ277" s="330" t="s">
        <v>260</v>
      </c>
      <c r="FK277" s="330"/>
      <c r="FL277" s="336" t="s">
        <v>298</v>
      </c>
      <c r="FM277" s="336"/>
      <c r="FN277" s="314" t="str">
        <f>IF(Table1[[#This Row],[Tanggal Pengajuan Dokumen]]="","",Table1[[#This Row],[PLAN PERMIT
start]]-Table1[[#This Row],[Tanggal Pengajuan Dokumen]])</f>
        <v/>
      </c>
      <c r="FO277" s="437">
        <v>46086</v>
      </c>
      <c r="FP277" s="316"/>
      <c r="FQ277" s="338"/>
      <c r="FR277" s="338"/>
      <c r="FS277" s="338" t="str">
        <f t="shared" si="14"/>
        <v>On Going</v>
      </c>
      <c r="FT27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7" s="344">
        <f ca="1">IF(Table1[[#This Row],[Status Izin]]="Selesai",Table1[[#This Row],[PLAN PERMIT
finish]]-Table1[[#This Row],[Tanggal Terbit/ Target Izin Terbit]],ROUNDUP(Table1[[#This Row],[PLAN PERMIT
finish]]-NOW(),0))</f>
        <v>-207</v>
      </c>
      <c r="FV27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7" s="344"/>
      <c r="FX277" s="47"/>
      <c r="FY277" s="340"/>
      <c r="FZ277" s="341"/>
      <c r="GA27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7" s="330">
        <v>45958</v>
      </c>
      <c r="GC277" s="352">
        <v>45922</v>
      </c>
      <c r="GD27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77" s="330">
        <v>45965</v>
      </c>
      <c r="GF277" s="352">
        <v>45922</v>
      </c>
      <c r="GG27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77" s="330">
        <v>45971</v>
      </c>
      <c r="GI277" s="330">
        <v>45977</v>
      </c>
      <c r="GJ277" s="438">
        <v>45952</v>
      </c>
      <c r="GK27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77" s="330">
        <v>45985</v>
      </c>
      <c r="GM277" s="330" t="e">
        <v>#N/A</v>
      </c>
      <c r="GN277" s="330">
        <v>46005</v>
      </c>
      <c r="GO277" s="330" t="e">
        <v>#N/A</v>
      </c>
      <c r="GP277" s="330"/>
      <c r="GQ27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7" s="330" t="s">
        <v>261</v>
      </c>
      <c r="GS277" s="330" t="s">
        <v>261</v>
      </c>
      <c r="GT277" s="354">
        <v>46088</v>
      </c>
      <c r="GU277" s="344" t="str">
        <f>IF(Table1[[#This Row],[Hydro Tes Actual
(tanggal)]]&lt;&gt;"","Sudah","Belum")</f>
        <v>Sudah</v>
      </c>
      <c r="GV277" s="330" t="s">
        <v>261</v>
      </c>
      <c r="GW277" s="330" t="s">
        <v>261</v>
      </c>
      <c r="GX277" s="331">
        <v>46092</v>
      </c>
      <c r="GY277" s="344" t="str">
        <f>IF(Table1[[#This Row],[Interkoneksi Actual
(tanggal)]]&lt;&gt;"","Sudah","Belum")</f>
        <v>Sudah</v>
      </c>
      <c r="GZ277" s="330" t="s">
        <v>261</v>
      </c>
      <c r="HA277" s="330" t="s">
        <v>261</v>
      </c>
      <c r="HB277" s="331"/>
      <c r="HC277" s="344" t="str">
        <f>IF(Table1[[#This Row],[Flushing Actual
(tanggal)]]&lt;&gt;"","Sudah","Belum")</f>
        <v>Belum</v>
      </c>
      <c r="HD277" s="330">
        <v>45992</v>
      </c>
      <c r="HE277" s="330" t="e">
        <v>#N/A</v>
      </c>
      <c r="HF277" s="330">
        <v>46005</v>
      </c>
      <c r="HG277" s="352"/>
      <c r="HH27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7" s="330" t="s">
        <v>261</v>
      </c>
      <c r="HJ277" s="330" t="s">
        <v>261</v>
      </c>
      <c r="HK277" s="331"/>
      <c r="HL277" s="316"/>
      <c r="HM277" s="330">
        <v>46010</v>
      </c>
      <c r="HN277" s="330">
        <v>46010</v>
      </c>
      <c r="HO277" s="330" t="e">
        <v>#N/A</v>
      </c>
      <c r="HP277" s="331"/>
      <c r="HQ277"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77" s="330">
        <v>46017</v>
      </c>
      <c r="HS277" s="330"/>
      <c r="HT277" s="330">
        <v>46017</v>
      </c>
      <c r="HU277" s="330"/>
      <c r="HV277" s="331"/>
      <c r="HW27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77" s="47"/>
      <c r="HY277" s="352"/>
      <c r="HZ277" s="352"/>
      <c r="IB277" s="618">
        <f>IFERROR(ROUND((Table1[[#This Row],[PLAN TC
finish]]-Table1[[#This Row],[PLAN MC-0
start]])/30,2),"")</f>
        <v>1.1299999999999999</v>
      </c>
      <c r="IC277">
        <f>DATEDIF(Table1[[#This Row],[PLAN MC-0
start]],Table1[[#This Row],[PLAN TC
finish]],"m")</f>
        <v>1</v>
      </c>
    </row>
    <row r="278" spans="1:237" s="30" customFormat="1" ht="15" hidden="1" customHeight="1" x14ac:dyDescent="0.2">
      <c r="A278" s="77"/>
      <c r="B278" s="311">
        <f>SUBTOTAL(3,$D$5:D278)</f>
        <v>84</v>
      </c>
      <c r="C278" s="367">
        <v>274</v>
      </c>
      <c r="D278" s="366" t="s">
        <v>244</v>
      </c>
      <c r="E278" s="366" t="s">
        <v>2184</v>
      </c>
      <c r="F278" s="366" t="s">
        <v>2185</v>
      </c>
      <c r="G278" s="364">
        <v>46117</v>
      </c>
      <c r="H278" s="366" t="s">
        <v>681</v>
      </c>
      <c r="I278" s="366" t="s">
        <v>278</v>
      </c>
      <c r="J278" s="385" t="s">
        <v>389</v>
      </c>
      <c r="K278" s="366" t="s">
        <v>1165</v>
      </c>
      <c r="L278" s="367" t="s">
        <v>250</v>
      </c>
      <c r="M278" s="392" t="s">
        <v>269</v>
      </c>
      <c r="N278" s="368">
        <v>138</v>
      </c>
      <c r="O278" s="369" t="s">
        <v>252</v>
      </c>
      <c r="P278"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8" s="385" t="s">
        <v>389</v>
      </c>
      <c r="R278" s="371">
        <v>0.99999999999999978</v>
      </c>
      <c r="S278" s="34">
        <v>1</v>
      </c>
      <c r="T278" s="489">
        <f>Table1[[#This Row],[Progres Total Aktual
(%)]]</f>
        <v>0</v>
      </c>
      <c r="U278" s="490">
        <f>Table1[[#This Row],[Progres Aktual
(%)]]-Table1[[#This Row],[Target Progres
(%)]]</f>
        <v>-1</v>
      </c>
      <c r="V278" s="491">
        <f>Table1[[#This Row],["Volume
BA MC-0"]]</f>
        <v>0</v>
      </c>
      <c r="W278" s="492">
        <f>Table1[[#This Row],[Total Panjang Pipa Aktual
(Sum-&gt;)3]]</f>
        <v>0</v>
      </c>
      <c r="X278" s="47"/>
      <c r="Y278" s="375" t="s">
        <v>2186</v>
      </c>
      <c r="Z278" s="375">
        <v>235229615</v>
      </c>
      <c r="AA278" s="375">
        <f>ROUND((Table1[[#This Row],[Nilai RAB Jaringan
(Exclude Ppn)]]-Table1[[#This Row],[RAB Perizinan]])*1.11+Table1[[#This Row],[RAB Perizinan]],0)</f>
        <v>231527815</v>
      </c>
      <c r="AB278" s="493">
        <f>SUM(Table1[[#This Row],[RAB Kegiatan Umum]:[RAB Perizinan]])</f>
        <v>208720374</v>
      </c>
      <c r="AC278" s="439">
        <v>14677885</v>
      </c>
      <c r="AD278" s="439">
        <v>146778846</v>
      </c>
      <c r="AE278" s="439">
        <v>45883643</v>
      </c>
      <c r="AF278" s="439">
        <v>1380000</v>
      </c>
      <c r="AG278" s="494">
        <v>46354850</v>
      </c>
      <c r="AH278" s="495">
        <f>SUM(Table1[[#This Row],[Bobot Keg Umum]:[Bobot Perizinan]])</f>
        <v>1</v>
      </c>
      <c r="AI278" s="495">
        <f>Table1[[#This Row],[RAB Kegiatan Umum]]/Table1[[#This Row],[Nilai RAB Jaringan
(Exclude Ppn)]]</f>
        <v>7.0323201893074422E-2</v>
      </c>
      <c r="AJ278" s="495">
        <f>Table1[[#This Row],[RAB Pemasangan]]/Table1[[#This Row],[Nilai RAB Jaringan
(Exclude Ppn)]]</f>
        <v>0.70323199976634765</v>
      </c>
      <c r="AK278" s="495">
        <f>Table1[[#This Row],[RAB Pengadaan]]/Table1[[#This Row],[Nilai RAB Jaringan
(Exclude Ppn)]]</f>
        <v>0.21983308155628353</v>
      </c>
      <c r="AL278" s="495">
        <f>Table1[[#This Row],[RAB Perizinan]]/Table1[[#This Row],[Nilai RAB Jaringan
(Exclude Ppn)]]</f>
        <v>6.6117167842943787E-3</v>
      </c>
      <c r="AM278" s="47"/>
      <c r="AN278" s="376">
        <v>0</v>
      </c>
      <c r="AO278" s="376">
        <f>SUM(Table1[[#This Row],[Pipa 63 mm]:[Pipa 1,800 mm]])</f>
        <v>0</v>
      </c>
      <c r="AP278" s="376"/>
      <c r="AQ278" s="376"/>
      <c r="AR278" s="376"/>
      <c r="AS278" s="376"/>
      <c r="AT278" s="376"/>
      <c r="AU278" s="376"/>
      <c r="AV278" s="376"/>
      <c r="AW278" s="376"/>
      <c r="AX278" s="376"/>
      <c r="AY278" s="376"/>
      <c r="AZ278" s="376"/>
      <c r="BA278" s="376"/>
      <c r="BB278" s="376"/>
      <c r="BC278" s="376"/>
      <c r="BD278" s="376"/>
      <c r="BE278" s="376"/>
      <c r="BF278" s="376"/>
      <c r="BG278" s="376"/>
      <c r="BH278" s="376"/>
      <c r="BI278" s="376"/>
      <c r="BJ278" s="377">
        <f>SUM(Table1[[#This Row],[Pipa 63 mm2]:[Pipa 1,800 mm21]])</f>
        <v>0</v>
      </c>
      <c r="BK278" s="378"/>
      <c r="BL278" s="378"/>
      <c r="BM278" s="378"/>
      <c r="BN278" s="378"/>
      <c r="BO278" s="378"/>
      <c r="BP278" s="378"/>
      <c r="BQ278" s="378"/>
      <c r="BR278" s="378"/>
      <c r="BS278" s="378"/>
      <c r="BT278" s="378"/>
      <c r="BU278" s="378"/>
      <c r="BV278" s="378"/>
      <c r="BW278" s="378"/>
      <c r="BX278" s="378"/>
      <c r="BY278" s="378"/>
      <c r="BZ278" s="378"/>
      <c r="CA278" s="378"/>
      <c r="CB278" s="378"/>
      <c r="CC278" s="378"/>
      <c r="CD278" s="378"/>
      <c r="CE278" s="378">
        <v>0</v>
      </c>
      <c r="CF278" s="378"/>
      <c r="CG278" s="378"/>
      <c r="CH278" s="378"/>
      <c r="CI278" s="378">
        <f t="shared" si="13"/>
        <v>0</v>
      </c>
      <c r="CJ278" s="440">
        <f>IF((Table1[[#This Row],["Volume
BA MC-0"]]-Table1[[#This Row],[Total Panjang Pipa Aktual
(Sum-&gt;)3]]-Table1[[#This Row],[Total Volume
tidak dapat dipasang]])&gt;=0,Table1[[#This Row],["Volume
BA MC-0"]]-Table1[[#This Row],[Total Panjang Pipa Aktual
(Sum-&gt;)3]]-Table1[[#This Row],[Total Volume
tidak dapat dipasang]],0)</f>
        <v>0</v>
      </c>
      <c r="CK278" s="47"/>
      <c r="CL278" s="496" t="s">
        <v>1821</v>
      </c>
      <c r="CM278" s="489" t="s">
        <v>1821</v>
      </c>
      <c r="CN278" s="496" t="s">
        <v>1821</v>
      </c>
      <c r="CO278" s="496" t="s">
        <v>1821</v>
      </c>
      <c r="CP278"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78" s="380">
        <f>IFERROR(Table1[[#This Row],[Progres Keg. Umum
(%)]]*Table1[[#This Row],[Nilai RAB Jaringan
(file pa aji)]],0)</f>
        <v>0</v>
      </c>
      <c r="CR278" s="380">
        <f>IFERROR(Table1[[#This Row],[Progres MOS
(%)]]*Table1[[#This Row],[Nilai RAB Jaringan
(file pa aji)]],0)</f>
        <v>0</v>
      </c>
      <c r="CS278" s="380">
        <f>IFERROR(Table1[[#This Row],[Progres Pemasangan
(%)]]*Table1[[#This Row],[Nilai RAB Jaringan
(file pa aji)]],0)</f>
        <v>0</v>
      </c>
      <c r="CT278" s="380">
        <f>IFERROR(Table1[[#This Row],[Progres Perizinan
(%)]]*Table1[[#This Row],[Nilai RAB Jaringan
(file pa aji)]],0)</f>
        <v>0</v>
      </c>
      <c r="CU278" s="329">
        <v>0</v>
      </c>
      <c r="CV278" s="329">
        <v>0</v>
      </c>
      <c r="CW278" s="582">
        <v>0</v>
      </c>
      <c r="CX278" s="329">
        <v>0</v>
      </c>
      <c r="CY278" s="47"/>
      <c r="CZ278" s="386">
        <v>45838</v>
      </c>
      <c r="DA278" s="386">
        <v>45865</v>
      </c>
      <c r="DB278" s="388">
        <v>45782</v>
      </c>
      <c r="DC278" s="367" t="s">
        <v>2187</v>
      </c>
      <c r="DD278" s="375">
        <v>235229615</v>
      </c>
      <c r="DE27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8" s="388">
        <v>45783</v>
      </c>
      <c r="DG278" s="367" t="s">
        <v>2188</v>
      </c>
      <c r="DH278" s="375">
        <v>235229615</v>
      </c>
      <c r="DI278" s="367"/>
      <c r="DJ278" s="386">
        <v>45866</v>
      </c>
      <c r="DK278" s="386">
        <v>45928</v>
      </c>
      <c r="DL278" s="388">
        <v>45839</v>
      </c>
      <c r="DM278" s="367" t="s">
        <v>2189</v>
      </c>
      <c r="DN278" s="382"/>
      <c r="DO278" s="388">
        <v>45888</v>
      </c>
      <c r="DP278" s="367" t="s">
        <v>2190</v>
      </c>
      <c r="DQ278" s="366" t="s">
        <v>312</v>
      </c>
      <c r="DR278" s="382"/>
      <c r="DS278" s="386">
        <v>45866</v>
      </c>
      <c r="DT278" s="386" t="e">
        <v>#N/A</v>
      </c>
      <c r="DU278" s="386">
        <v>45907</v>
      </c>
      <c r="DV278" s="386" t="e">
        <v>#N/A</v>
      </c>
      <c r="DW278" s="388">
        <v>45836</v>
      </c>
      <c r="DX278" s="496" t="s">
        <v>2191</v>
      </c>
      <c r="DY278" s="442"/>
      <c r="DZ278" s="442"/>
      <c r="EA278" s="382"/>
      <c r="EB278" s="388"/>
      <c r="EC278" s="442"/>
      <c r="ED278" s="442"/>
      <c r="EE278" s="386"/>
      <c r="EF278" s="371"/>
      <c r="EG278" s="371"/>
      <c r="EH278" s="367"/>
      <c r="EI278"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8" s="386">
        <v>45908</v>
      </c>
      <c r="EK278" s="386" t="e">
        <v>#N/A</v>
      </c>
      <c r="EL278" s="386">
        <v>45956</v>
      </c>
      <c r="EM278" s="386" t="e">
        <v>#N/A</v>
      </c>
      <c r="EN278" s="388"/>
      <c r="EO278" s="442"/>
      <c r="EP278" s="367"/>
      <c r="EQ278" s="371"/>
      <c r="ER278" s="371"/>
      <c r="ES278" s="367"/>
      <c r="ET27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8" s="47"/>
      <c r="EV278" s="386">
        <v>45866</v>
      </c>
      <c r="EW278" s="386" t="e">
        <v>#N/A</v>
      </c>
      <c r="EX278" s="386">
        <v>45956</v>
      </c>
      <c r="EY278" s="386" t="e">
        <v>#N/A</v>
      </c>
      <c r="EZ278" s="384" t="s">
        <v>298</v>
      </c>
      <c r="FA278" s="385" t="s">
        <v>389</v>
      </c>
      <c r="FB278" s="386" t="s">
        <v>260</v>
      </c>
      <c r="FC278" s="330">
        <v>45866</v>
      </c>
      <c r="FD278" s="386" t="s">
        <v>260</v>
      </c>
      <c r="FE278" s="386">
        <v>45895</v>
      </c>
      <c r="FF278" s="386">
        <v>45971</v>
      </c>
      <c r="FG278" s="386" t="s">
        <v>260</v>
      </c>
      <c r="FH278" s="386" t="s">
        <v>260</v>
      </c>
      <c r="FI278" s="386">
        <v>46013</v>
      </c>
      <c r="FJ278" s="386" t="s">
        <v>260</v>
      </c>
      <c r="FK278" s="386">
        <v>46142</v>
      </c>
      <c r="FL278" s="443" t="s">
        <v>298</v>
      </c>
      <c r="FM278" s="443"/>
      <c r="FN278" s="365" t="str">
        <f>IF(Table1[[#This Row],[Tanggal Pengajuan Dokumen]]="","",Table1[[#This Row],[PLAN PERMIT
start]]-Table1[[#This Row],[Tanggal Pengajuan Dokumen]])</f>
        <v/>
      </c>
      <c r="FO278" s="444">
        <v>46086</v>
      </c>
      <c r="FP278" s="367"/>
      <c r="FQ278" s="366"/>
      <c r="FR278" s="366"/>
      <c r="FS278" s="366" t="str">
        <f t="shared" si="14"/>
        <v>On Going</v>
      </c>
      <c r="FT278"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8" s="387">
        <f ca="1">IF(Table1[[#This Row],[Status Izin]]="Selesai",Table1[[#This Row],[PLAN PERMIT
finish]]-Table1[[#This Row],[Tanggal Terbit/ Target Izin Terbit]],ROUNDUP(Table1[[#This Row],[PLAN PERMIT
finish]]-NOW(),0))</f>
        <v>-235</v>
      </c>
      <c r="FV278"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8" s="387"/>
      <c r="FX278" s="47"/>
      <c r="FY278" s="340"/>
      <c r="FZ278" s="341"/>
      <c r="GA27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8" s="386">
        <v>45930</v>
      </c>
      <c r="GC278" s="497">
        <v>45961</v>
      </c>
      <c r="GD278"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8" s="386">
        <v>45937</v>
      </c>
      <c r="GF278" s="497">
        <v>45961</v>
      </c>
      <c r="GG278"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8" s="386">
        <v>45943</v>
      </c>
      <c r="GI278" s="386">
        <v>45949</v>
      </c>
      <c r="GJ278" s="384">
        <v>45975</v>
      </c>
      <c r="GK278"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8" s="386">
        <v>45957</v>
      </c>
      <c r="GM278" s="386" t="e">
        <v>#N/A</v>
      </c>
      <c r="GN278" s="386">
        <v>45977</v>
      </c>
      <c r="GO278" s="386" t="e">
        <v>#N/A</v>
      </c>
      <c r="GP278" s="386"/>
      <c r="GQ278"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8" s="386" t="s">
        <v>261</v>
      </c>
      <c r="GS278" s="386" t="s">
        <v>261</v>
      </c>
      <c r="GT278" s="390"/>
      <c r="GU278" s="387" t="str">
        <f>IF(Table1[[#This Row],[Hydro Tes Actual
(tanggal)]]&lt;&gt;"","Sudah","Belum")</f>
        <v>Belum</v>
      </c>
      <c r="GV278" s="386" t="s">
        <v>261</v>
      </c>
      <c r="GW278" s="386" t="s">
        <v>261</v>
      </c>
      <c r="GX278" s="388"/>
      <c r="GY278" s="387" t="str">
        <f>IF(Table1[[#This Row],[Interkoneksi Actual
(tanggal)]]&lt;&gt;"","Sudah","Belum")</f>
        <v>Belum</v>
      </c>
      <c r="GZ278" s="386" t="s">
        <v>261</v>
      </c>
      <c r="HA278" s="386" t="s">
        <v>261</v>
      </c>
      <c r="HB278" s="388"/>
      <c r="HC278" s="387" t="str">
        <f>IF(Table1[[#This Row],[Flushing Actual
(tanggal)]]&lt;&gt;"","Sudah","Belum")</f>
        <v>Belum</v>
      </c>
      <c r="HD278" s="386">
        <v>45964</v>
      </c>
      <c r="HE278" s="386" t="e">
        <v>#N/A</v>
      </c>
      <c r="HF278" s="386">
        <v>45977</v>
      </c>
      <c r="HG278" s="384"/>
      <c r="HH278"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8" s="386" t="s">
        <v>261</v>
      </c>
      <c r="HJ278" s="386" t="s">
        <v>261</v>
      </c>
      <c r="HK278" s="388"/>
      <c r="HL278" s="367"/>
      <c r="HM278" s="386">
        <v>45982</v>
      </c>
      <c r="HN278" s="386">
        <v>45982</v>
      </c>
      <c r="HO278" s="386" t="e">
        <v>#N/A</v>
      </c>
      <c r="HP278" s="388"/>
      <c r="HQ278"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78" s="386">
        <v>45989</v>
      </c>
      <c r="HS278" s="386"/>
      <c r="HT278" s="386">
        <v>45989</v>
      </c>
      <c r="HU278" s="386"/>
      <c r="HV278" s="388"/>
      <c r="HW278"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78" s="47"/>
      <c r="HY278" s="384"/>
      <c r="HZ278" s="384"/>
      <c r="IB278" s="618">
        <f>IFERROR(ROUND((Table1[[#This Row],[PLAN TC
finish]]-Table1[[#This Row],[PLAN MC-0
start]])/30,2),"")</f>
        <v>1.1299999999999999</v>
      </c>
      <c r="IC278">
        <f>DATEDIF(Table1[[#This Row],[PLAN MC-0
start]],Table1[[#This Row],[PLAN TC
finish]],"m")</f>
        <v>1</v>
      </c>
    </row>
    <row r="279" spans="1:237" s="4" customFormat="1" ht="15" hidden="1" customHeight="1" x14ac:dyDescent="0.2">
      <c r="B279" s="311">
        <f>SUBTOTAL(3,$D$5:D279)</f>
        <v>84</v>
      </c>
      <c r="C279" s="316">
        <v>275</v>
      </c>
      <c r="D279" s="338" t="s">
        <v>244</v>
      </c>
      <c r="E279" s="338" t="s">
        <v>2192</v>
      </c>
      <c r="F279" s="338" t="s">
        <v>2193</v>
      </c>
      <c r="G279" s="349">
        <v>46117</v>
      </c>
      <c r="H279" s="338" t="s">
        <v>681</v>
      </c>
      <c r="I279" s="338" t="s">
        <v>278</v>
      </c>
      <c r="J279" s="480" t="s">
        <v>1818</v>
      </c>
      <c r="K279" s="338" t="s">
        <v>1165</v>
      </c>
      <c r="L279" s="316" t="s">
        <v>250</v>
      </c>
      <c r="M279" s="355" t="s">
        <v>269</v>
      </c>
      <c r="N279" s="107">
        <v>163</v>
      </c>
      <c r="O279" s="31" t="s">
        <v>252</v>
      </c>
      <c r="P27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79" s="35">
        <v>0.99999999999999978</v>
      </c>
      <c r="S279" s="34">
        <v>1</v>
      </c>
      <c r="T279" s="34">
        <f>Table1[[#This Row],[Progres Total Aktual
(%)]]</f>
        <v>0.72493115634893013</v>
      </c>
      <c r="U279" s="98">
        <f>Table1[[#This Row],[Progres Aktual
(%)]]-Table1[[#This Row],[Target Progres
(%)]]</f>
        <v>-0.27506884365106987</v>
      </c>
      <c r="V279" s="80">
        <f>Table1[[#This Row],["Volume
BA MC-0"]]</f>
        <v>245.3</v>
      </c>
      <c r="W279" s="46">
        <f>Table1[[#This Row],[Total Panjang Pipa Aktual
(Sum-&gt;)3]]</f>
        <v>207</v>
      </c>
      <c r="X279" s="47"/>
      <c r="Y279" s="67" t="s">
        <v>2194</v>
      </c>
      <c r="Z279" s="67">
        <v>216162043</v>
      </c>
      <c r="AA279" s="67">
        <f>ROUND((Table1[[#This Row],[Nilai RAB Jaringan
(Exclude Ppn)]]-Table1[[#This Row],[RAB Perizinan]])*1.11+Table1[[#This Row],[RAB Perizinan]],0)</f>
        <v>216162042</v>
      </c>
      <c r="AB279" s="486">
        <f>SUM(Table1[[#This Row],[RAB Kegiatan Umum]:[RAB Perizinan]])</f>
        <v>194902110</v>
      </c>
      <c r="AC279" s="436">
        <v>15974277</v>
      </c>
      <c r="AD279" s="436">
        <v>159742761</v>
      </c>
      <c r="AE279" s="436">
        <v>17555072</v>
      </c>
      <c r="AF279" s="436">
        <v>1630000</v>
      </c>
      <c r="AG279" s="483">
        <v>2107039</v>
      </c>
      <c r="AH279" s="33">
        <f>SUM(Table1[[#This Row],[Bobot Keg Umum]:[Bobot Perizinan]])</f>
        <v>1</v>
      </c>
      <c r="AI279" s="33">
        <f>Table1[[#This Row],[RAB Kegiatan Umum]]/Table1[[#This Row],[Nilai RAB Jaringan
(Exclude Ppn)]]</f>
        <v>8.1960513408500302E-2</v>
      </c>
      <c r="AJ279" s="33">
        <f>Table1[[#This Row],[RAB Pemasangan]]/Table1[[#This Row],[Nilai RAB Jaringan
(Exclude Ppn)]]</f>
        <v>0.81960508790797593</v>
      </c>
      <c r="AK279" s="33">
        <f>Table1[[#This Row],[RAB Pengadaan]]/Table1[[#This Row],[Nilai RAB Jaringan
(Exclude Ppn)]]</f>
        <v>9.0071226011868219E-2</v>
      </c>
      <c r="AL279" s="33">
        <f>Table1[[#This Row],[RAB Perizinan]]/Table1[[#This Row],[Nilai RAB Jaringan
(Exclude Ppn)]]</f>
        <v>8.3631726716555301E-3</v>
      </c>
      <c r="AM279" s="47"/>
      <c r="AN279" s="285">
        <f>222.8+22.5</f>
        <v>245.3</v>
      </c>
      <c r="AO279" s="285">
        <f>SUM(Table1[[#This Row],[Pipa 63 mm]:[Pipa 1,800 mm]])</f>
        <v>0</v>
      </c>
      <c r="AP279" s="285"/>
      <c r="AQ279" s="285"/>
      <c r="AR279" s="285"/>
      <c r="AS279" s="285"/>
      <c r="AT279" s="285"/>
      <c r="AU279" s="285"/>
      <c r="AV279" s="285"/>
      <c r="AW279" s="285"/>
      <c r="AX279" s="285"/>
      <c r="AY279" s="285"/>
      <c r="AZ279" s="285"/>
      <c r="BA279" s="285"/>
      <c r="BB279" s="285"/>
      <c r="BC279" s="285"/>
      <c r="BD279" s="285"/>
      <c r="BE279" s="285"/>
      <c r="BF279" s="285"/>
      <c r="BG279" s="285"/>
      <c r="BH279" s="285"/>
      <c r="BI279" s="285"/>
      <c r="BJ279" s="36">
        <f>SUM(Table1[[#This Row],[Pipa 63 mm2]:[Pipa 1,800 mm21]])</f>
        <v>207</v>
      </c>
      <c r="BK279" s="32">
        <v>207</v>
      </c>
      <c r="BL279" s="32"/>
      <c r="BM279" s="32"/>
      <c r="BN279" s="32"/>
      <c r="BO279" s="32"/>
      <c r="BP279" s="32"/>
      <c r="BQ279" s="32"/>
      <c r="BR279" s="32"/>
      <c r="BS279" s="32"/>
      <c r="BT279" s="32"/>
      <c r="BU279" s="32"/>
      <c r="BV279" s="32"/>
      <c r="BW279" s="32"/>
      <c r="BX279" s="32"/>
      <c r="BY279" s="32"/>
      <c r="BZ279" s="32"/>
      <c r="CA279" s="32"/>
      <c r="CB279" s="32"/>
      <c r="CC279" s="32"/>
      <c r="CD279" s="32"/>
      <c r="CE279" s="32">
        <v>0</v>
      </c>
      <c r="CF279" s="32"/>
      <c r="CG279" s="32"/>
      <c r="CH279" s="32"/>
      <c r="CI279" s="32">
        <f t="shared" si="13"/>
        <v>0</v>
      </c>
      <c r="CJ279" s="65">
        <f>IF((Table1[[#This Row],["Volume
BA MC-0"]]-Table1[[#This Row],[Total Panjang Pipa Aktual
(Sum-&gt;)3]]-Table1[[#This Row],[Total Volume
tidak dapat dipasang]])&gt;=0,Table1[[#This Row],["Volume
BA MC-0"]]-Table1[[#This Row],[Total Panjang Pipa Aktual
(Sum-&gt;)3]]-Table1[[#This Row],[Total Volume
tidak dapat dipasang]],0)</f>
        <v>38.300000000000011</v>
      </c>
      <c r="CK279" s="47"/>
      <c r="CL279" s="35" t="s">
        <v>1821</v>
      </c>
      <c r="CM279" s="35" t="s">
        <v>1821</v>
      </c>
      <c r="CN279" s="35" t="s">
        <v>1821</v>
      </c>
      <c r="CO279" s="35" t="s">
        <v>1821</v>
      </c>
      <c r="CP27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0.72493115634893013</v>
      </c>
      <c r="CQ279" s="66">
        <f>IFERROR(Table1[[#This Row],[Progres Keg. Umum
(%)]]*Table1[[#This Row],[Nilai RAB Jaringan
(file pa aji)]],0)</f>
        <v>0</v>
      </c>
      <c r="CR279" s="66">
        <f>IFERROR(Table1[[#This Row],[Progres MOS
(%)]]*Table1[[#This Row],[Nilai RAB Jaringan
(file pa aji)]],0)</f>
        <v>0</v>
      </c>
      <c r="CS279" s="66">
        <f>IFERROR(Table1[[#This Row],[Progres Pemasangan
(%)]]*Table1[[#This Row],[Nilai RAB Jaringan
(file pa aji)]],0)</f>
        <v>0</v>
      </c>
      <c r="CT279" s="66">
        <f>IFERROR(Table1[[#This Row],[Progres Perizinan
(%)]]*Table1[[#This Row],[Nilai RAB Jaringan
(file pa aji)]],0)</f>
        <v>0</v>
      </c>
      <c r="CU279" s="329">
        <v>156702599.065806</v>
      </c>
      <c r="CV279" s="329">
        <v>156702599.065806</v>
      </c>
      <c r="CW279" s="583">
        <v>0</v>
      </c>
      <c r="CX279" s="329">
        <v>0</v>
      </c>
      <c r="CY279" s="47"/>
      <c r="CZ279" s="330">
        <v>45838</v>
      </c>
      <c r="DA279" s="330">
        <v>45865</v>
      </c>
      <c r="DB279" s="331">
        <v>45782</v>
      </c>
      <c r="DC279" s="316" t="s">
        <v>2195</v>
      </c>
      <c r="DD279" s="67">
        <v>216162043</v>
      </c>
      <c r="DE27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9" s="331">
        <v>45799</v>
      </c>
      <c r="DG279" s="316" t="s">
        <v>2196</v>
      </c>
      <c r="DH279" s="67">
        <v>216162043</v>
      </c>
      <c r="DI27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9" s="330">
        <v>45866</v>
      </c>
      <c r="DK279" s="330">
        <v>45928</v>
      </c>
      <c r="DL279" s="331">
        <v>45825</v>
      </c>
      <c r="DM279" s="316" t="s">
        <v>2197</v>
      </c>
      <c r="DN27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9" s="331">
        <v>45876</v>
      </c>
      <c r="DP279" s="316" t="s">
        <v>2198</v>
      </c>
      <c r="DQ279" s="338" t="s">
        <v>371</v>
      </c>
      <c r="DR27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9" s="330">
        <v>45866</v>
      </c>
      <c r="DT279" s="330" t="e">
        <v>#N/A</v>
      </c>
      <c r="DU279" s="330">
        <v>45907</v>
      </c>
      <c r="DV279" s="330" t="e">
        <v>#N/A</v>
      </c>
      <c r="DW279" s="331">
        <v>45825</v>
      </c>
      <c r="DX279" s="484" t="s">
        <v>2199</v>
      </c>
      <c r="DY279" s="334">
        <v>12</v>
      </c>
      <c r="DZ279" s="334">
        <v>12</v>
      </c>
      <c r="EA27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9" s="331">
        <v>46006</v>
      </c>
      <c r="EC279" s="332">
        <v>12</v>
      </c>
      <c r="ED279" s="332">
        <v>12</v>
      </c>
      <c r="EE279" s="330" t="s">
        <v>2200</v>
      </c>
      <c r="EF279" s="35">
        <v>1</v>
      </c>
      <c r="EG279" s="35">
        <f>Table1[[#This Row],[Line PO (kolom  bantu)2]]/Table1[[#This Row],[Line PR]]</f>
        <v>1</v>
      </c>
      <c r="EH279" s="316" t="str">
        <f>IF(Table1[[#This Row],[PO Material Aktual 
(%)]]&gt;=100%,"Selesai PO = 100%",IF(Table1[[#This Row],[PO Material Aktual 
(%)]]&gt;=50%,"Proses PO &gt; 100%",IF(Table1[[#This Row],[PO Material Aktual 
(%)]]&gt;0%,"Proses PO &gt; 50%",IF(Table1[[#This Row],[PO Material Aktual 
(%)]]=0,"Belum PO = 0%"))))</f>
        <v>Selesai PO = 100%</v>
      </c>
      <c r="EI27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9" s="330">
        <v>45908</v>
      </c>
      <c r="EK279" s="330" t="e">
        <v>#N/A</v>
      </c>
      <c r="EL279" s="330">
        <v>45956</v>
      </c>
      <c r="EM279" s="330" t="e">
        <v>#N/A</v>
      </c>
      <c r="EN279" s="331"/>
      <c r="EO279" s="332">
        <v>12</v>
      </c>
      <c r="EP279" s="316">
        <v>12</v>
      </c>
      <c r="EQ279" s="35">
        <v>1</v>
      </c>
      <c r="ER279" s="35">
        <f>Table1[[#This Row],[Line MOS]]/Table1[[#This Row],[Line PR]]</f>
        <v>1</v>
      </c>
      <c r="ES279" s="316" t="str">
        <f>IF(Table1[[#This Row],[Progres MOS]]&gt;=100%,"Selesai MOS = 100%",IF(Table1[[#This Row],[Progres MOS]]&gt;=50%,"Proses MOS &gt; 100%",IF(Table1[[#This Row],[Progres MOS]]&gt;0%,"Proses MOS &gt; 50%",IF(Table1[[#This Row],[Progres MOS]]=0,"Belum MOS = 0%"))))</f>
        <v>Selesai MOS = 100%</v>
      </c>
      <c r="ET27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9" s="47"/>
      <c r="EV279" s="330">
        <v>45866</v>
      </c>
      <c r="EW279" s="330" t="e">
        <v>#N/A</v>
      </c>
      <c r="EX279" s="330">
        <v>45956</v>
      </c>
      <c r="EY279" s="330" t="e">
        <v>#N/A</v>
      </c>
      <c r="EZ279" s="352" t="s">
        <v>298</v>
      </c>
      <c r="FA279" s="336" t="s">
        <v>298</v>
      </c>
      <c r="FB279" s="330" t="s">
        <v>260</v>
      </c>
      <c r="FC279" s="330"/>
      <c r="FD279" s="330" t="s">
        <v>260</v>
      </c>
      <c r="FE279" s="330">
        <v>45882</v>
      </c>
      <c r="FF279" s="330">
        <v>45958</v>
      </c>
      <c r="FG279" s="330" t="s">
        <v>260</v>
      </c>
      <c r="FH279" s="330" t="s">
        <v>260</v>
      </c>
      <c r="FI279" s="330">
        <v>46003</v>
      </c>
      <c r="FJ279" s="330" t="s">
        <v>260</v>
      </c>
      <c r="FK279" s="330"/>
      <c r="FL279" s="336" t="s">
        <v>298</v>
      </c>
      <c r="FM279" s="336"/>
      <c r="FN279" s="314" t="str">
        <f>IF(Table1[[#This Row],[Tanggal Pengajuan Dokumen]]="","",Table1[[#This Row],[PLAN PERMIT
start]]-Table1[[#This Row],[Tanggal Pengajuan Dokumen]])</f>
        <v/>
      </c>
      <c r="FO279" s="437">
        <v>46086</v>
      </c>
      <c r="FP279" s="316"/>
      <c r="FQ279" s="338"/>
      <c r="FR279" s="338"/>
      <c r="FS279" s="338" t="str">
        <f t="shared" si="14"/>
        <v>On Going</v>
      </c>
      <c r="FT27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9" s="344">
        <f ca="1">IF(Table1[[#This Row],[Status Izin]]="Selesai",Table1[[#This Row],[PLAN PERMIT
finish]]-Table1[[#This Row],[Tanggal Terbit/ Target Izin Terbit]],ROUNDUP(Table1[[#This Row],[PLAN PERMIT
finish]]-NOW(),0))</f>
        <v>-235</v>
      </c>
      <c r="FV27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9" s="344"/>
      <c r="FX279" s="47"/>
      <c r="FY279" s="340"/>
      <c r="FZ279" s="341"/>
      <c r="GA27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9" s="330">
        <v>45930</v>
      </c>
      <c r="GC279" s="438">
        <v>45961</v>
      </c>
      <c r="GD27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9" s="330">
        <v>45937</v>
      </c>
      <c r="GF279" s="438">
        <v>45961</v>
      </c>
      <c r="GG27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9" s="330">
        <v>45943</v>
      </c>
      <c r="GI279" s="330">
        <v>45949</v>
      </c>
      <c r="GJ279" s="352">
        <v>45975</v>
      </c>
      <c r="GK27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9" s="330">
        <v>45957</v>
      </c>
      <c r="GM279" s="330" t="e">
        <v>#N/A</v>
      </c>
      <c r="GN279" s="330">
        <v>45977</v>
      </c>
      <c r="GO279" s="330" t="e">
        <v>#N/A</v>
      </c>
      <c r="GP279" s="330"/>
      <c r="GQ27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9" s="330" t="s">
        <v>261</v>
      </c>
      <c r="GS279" s="330" t="s">
        <v>261</v>
      </c>
      <c r="GT279" s="354">
        <v>46147</v>
      </c>
      <c r="GU279" s="344" t="str">
        <f>IF(Table1[[#This Row],[Hydro Tes Actual
(tanggal)]]&lt;&gt;"","Sudah","Belum")</f>
        <v>Sudah</v>
      </c>
      <c r="GV279" s="330" t="s">
        <v>261</v>
      </c>
      <c r="GW279" s="330" t="s">
        <v>261</v>
      </c>
      <c r="GX279" s="331">
        <v>46155</v>
      </c>
      <c r="GY279" s="344" t="str">
        <f>IF(Table1[[#This Row],[Interkoneksi Actual
(tanggal)]]&lt;&gt;"","Sudah","Belum")</f>
        <v>Sudah</v>
      </c>
      <c r="GZ279" s="330" t="s">
        <v>261</v>
      </c>
      <c r="HA279" s="330" t="s">
        <v>261</v>
      </c>
      <c r="HB279" s="331">
        <v>46150</v>
      </c>
      <c r="HC279" s="344" t="str">
        <f>IF(Table1[[#This Row],[Flushing Actual
(tanggal)]]&lt;&gt;"","Sudah","Belum")</f>
        <v>Sudah</v>
      </c>
      <c r="HD279" s="330">
        <v>45964</v>
      </c>
      <c r="HE279" s="330" t="e">
        <v>#N/A</v>
      </c>
      <c r="HF279" s="330">
        <v>45977</v>
      </c>
      <c r="HG279" s="352">
        <v>46162</v>
      </c>
      <c r="HH27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9" s="330" t="s">
        <v>261</v>
      </c>
      <c r="HJ279" s="330" t="s">
        <v>261</v>
      </c>
      <c r="HK279" s="331"/>
      <c r="HL279" s="316"/>
      <c r="HM279" s="330">
        <v>45982</v>
      </c>
      <c r="HN279" s="330">
        <v>45982</v>
      </c>
      <c r="HO279" s="330" t="e">
        <v>#N/A</v>
      </c>
      <c r="HP279" s="331"/>
      <c r="HQ279"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79" s="330">
        <v>45989</v>
      </c>
      <c r="HS279" s="330"/>
      <c r="HT279" s="330">
        <v>45989</v>
      </c>
      <c r="HU279" s="330"/>
      <c r="HV279" s="331"/>
      <c r="HW27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79" s="47"/>
      <c r="HY279" s="352"/>
      <c r="HZ279" s="352"/>
      <c r="IB279" s="618">
        <f>IFERROR(ROUND((Table1[[#This Row],[PLAN TC
finish]]-Table1[[#This Row],[PLAN MC-0
start]])/30,2),"")</f>
        <v>1.1299999999999999</v>
      </c>
      <c r="IC279">
        <f>DATEDIF(Table1[[#This Row],[PLAN MC-0
start]],Table1[[#This Row],[PLAN TC
finish]],"m")</f>
        <v>1</v>
      </c>
    </row>
    <row r="280" spans="1:237" s="4" customFormat="1" ht="15" hidden="1" customHeight="1" x14ac:dyDescent="0.2">
      <c r="B280" s="311">
        <f>SUBTOTAL(3,$D$5:D280)</f>
        <v>84</v>
      </c>
      <c r="C280" s="316">
        <v>276</v>
      </c>
      <c r="D280" s="338" t="s">
        <v>244</v>
      </c>
      <c r="E280" s="338" t="s">
        <v>2201</v>
      </c>
      <c r="F280" s="338" t="s">
        <v>2202</v>
      </c>
      <c r="G280" s="349">
        <v>46117</v>
      </c>
      <c r="H280" s="338" t="s">
        <v>681</v>
      </c>
      <c r="I280" s="338" t="s">
        <v>278</v>
      </c>
      <c r="J280" s="480" t="s">
        <v>1818</v>
      </c>
      <c r="K280" s="338" t="s">
        <v>1165</v>
      </c>
      <c r="L280" s="316" t="s">
        <v>250</v>
      </c>
      <c r="M280" s="355" t="s">
        <v>269</v>
      </c>
      <c r="N280" s="107">
        <v>446</v>
      </c>
      <c r="O280" s="31" t="s">
        <v>252</v>
      </c>
      <c r="P28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80" s="35">
        <v>0.99999999999999967</v>
      </c>
      <c r="S280" s="34">
        <v>1</v>
      </c>
      <c r="T280" s="34">
        <f>Table1[[#This Row],[Progres Total Aktual
(%)]]</f>
        <v>0.78616415985481292</v>
      </c>
      <c r="U280" s="98">
        <f>Table1[[#This Row],[Progres Aktual
(%)]]-Table1[[#This Row],[Target Progres
(%)]]</f>
        <v>-0.21383584014518708</v>
      </c>
      <c r="V280" s="80">
        <f>Table1[[#This Row],["Volume
BA MC-0"]]</f>
        <v>495</v>
      </c>
      <c r="W280" s="46">
        <f>Table1[[#This Row],[Total Panjang Pipa Aktual
(Sum-&gt;)3]]</f>
        <v>480</v>
      </c>
      <c r="X280" s="47"/>
      <c r="Y280" s="67" t="s">
        <v>2203</v>
      </c>
      <c r="Z280" s="67">
        <v>636530022</v>
      </c>
      <c r="AA280" s="67">
        <f>ROUND((Table1[[#This Row],[Nilai RAB Jaringan
(Exclude Ppn)]]-Table1[[#This Row],[RAB Perizinan]])*1.11+Table1[[#This Row],[RAB Perizinan]],0)</f>
        <v>624910487</v>
      </c>
      <c r="AB280" s="486">
        <f>SUM(Table1[[#This Row],[RAB Kegiatan Umum]:[RAB Perizinan]])</f>
        <v>563424403</v>
      </c>
      <c r="AC280" s="436">
        <v>42822302</v>
      </c>
      <c r="AD280" s="436">
        <v>428223018</v>
      </c>
      <c r="AE280" s="436">
        <v>87919083</v>
      </c>
      <c r="AF280" s="436">
        <v>4460000</v>
      </c>
      <c r="AG280" s="483">
        <v>42140773</v>
      </c>
      <c r="AH280" s="33">
        <f>SUM(Table1[[#This Row],[Bobot Keg Umum]:[Bobot Perizinan]])</f>
        <v>0.99999999999999989</v>
      </c>
      <c r="AI280" s="33">
        <f>Table1[[#This Row],[RAB Kegiatan Umum]]/Table1[[#This Row],[Nilai RAB Jaringan
(Exclude Ppn)]]</f>
        <v>7.6003633800717715E-2</v>
      </c>
      <c r="AJ280" s="33">
        <f>Table1[[#This Row],[RAB Pemasangan]]/Table1[[#This Row],[Nilai RAB Jaringan
(Exclude Ppn)]]</f>
        <v>0.76003633445745511</v>
      </c>
      <c r="AK280" s="33">
        <f>Table1[[#This Row],[RAB Pengadaan]]/Table1[[#This Row],[Nilai RAB Jaringan
(Exclude Ppn)]]</f>
        <v>0.15604415167654709</v>
      </c>
      <c r="AL280" s="33">
        <f>Table1[[#This Row],[RAB Perizinan]]/Table1[[#This Row],[Nilai RAB Jaringan
(Exclude Ppn)]]</f>
        <v>7.9158800652800263E-3</v>
      </c>
      <c r="AM280" s="47"/>
      <c r="AN280" s="285">
        <v>495</v>
      </c>
      <c r="AO280" s="285">
        <f>SUM(Table1[[#This Row],[Pipa 63 mm]:[Pipa 1,800 mm]])</f>
        <v>0</v>
      </c>
      <c r="AP280" s="285"/>
      <c r="AQ280" s="285"/>
      <c r="AR280" s="285"/>
      <c r="AS280" s="285"/>
      <c r="AT280" s="285"/>
      <c r="AU280" s="285"/>
      <c r="AV280" s="285"/>
      <c r="AW280" s="285"/>
      <c r="AX280" s="285"/>
      <c r="AY280" s="285"/>
      <c r="AZ280" s="285"/>
      <c r="BA280" s="285"/>
      <c r="BB280" s="285"/>
      <c r="BC280" s="285"/>
      <c r="BD280" s="285"/>
      <c r="BE280" s="285"/>
      <c r="BF280" s="285"/>
      <c r="BG280" s="285"/>
      <c r="BH280" s="285"/>
      <c r="BI280" s="285"/>
      <c r="BJ280" s="36">
        <f>SUM(Table1[[#This Row],[Pipa 63 mm2]:[Pipa 1,800 mm21]])</f>
        <v>480</v>
      </c>
      <c r="BK280" s="32">
        <v>480</v>
      </c>
      <c r="BL280" s="32"/>
      <c r="BM280" s="32"/>
      <c r="BN280" s="32"/>
      <c r="BO280" s="32"/>
      <c r="BP280" s="32"/>
      <c r="BQ280" s="32"/>
      <c r="BR280" s="32"/>
      <c r="BS280" s="32"/>
      <c r="BT280" s="32"/>
      <c r="BU280" s="32"/>
      <c r="BV280" s="32"/>
      <c r="BW280" s="32"/>
      <c r="BX280" s="32"/>
      <c r="BY280" s="32"/>
      <c r="BZ280" s="32"/>
      <c r="CA280" s="32"/>
      <c r="CB280" s="32"/>
      <c r="CC280" s="32"/>
      <c r="CD280" s="32"/>
      <c r="CE280" s="32">
        <v>0</v>
      </c>
      <c r="CF280" s="32"/>
      <c r="CG280" s="32"/>
      <c r="CH280" s="32"/>
      <c r="CI280" s="32">
        <f t="shared" si="13"/>
        <v>0</v>
      </c>
      <c r="CJ280" s="65">
        <f>IF((Table1[[#This Row],["Volume
BA MC-0"]]-Table1[[#This Row],[Total Panjang Pipa Aktual
(Sum-&gt;)3]]-Table1[[#This Row],[Total Volume
tidak dapat dipasang]])&gt;=0,Table1[[#This Row],["Volume
BA MC-0"]]-Table1[[#This Row],[Total Panjang Pipa Aktual
(Sum-&gt;)3]]-Table1[[#This Row],[Total Volume
tidak dapat dipasang]],0)</f>
        <v>15</v>
      </c>
      <c r="CK280" s="47"/>
      <c r="CL280" s="484" t="s">
        <v>1821</v>
      </c>
      <c r="CM280" s="34" t="s">
        <v>1821</v>
      </c>
      <c r="CN280" s="484" t="s">
        <v>1821</v>
      </c>
      <c r="CO280" s="484" t="s">
        <v>1821</v>
      </c>
      <c r="CP28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0.78616415985481292</v>
      </c>
      <c r="CQ280" s="66">
        <f>IFERROR(Table1[[#This Row],[Progres Keg. Umum
(%)]]*Table1[[#This Row],[Nilai RAB Jaringan
(file pa aji)]],0)</f>
        <v>0</v>
      </c>
      <c r="CR280" s="66">
        <f>IFERROR(Table1[[#This Row],[Progres MOS
(%)]]*Table1[[#This Row],[Nilai RAB Jaringan
(file pa aji)]],0)</f>
        <v>0</v>
      </c>
      <c r="CS280" s="66">
        <f>IFERROR(Table1[[#This Row],[Progres Pemasangan
(%)]]*Table1[[#This Row],[Nilai RAB Jaringan
(file pa aji)]],0)</f>
        <v>0</v>
      </c>
      <c r="CT280" s="66">
        <f>IFERROR(Table1[[#This Row],[Progres Perizinan
(%)]]*Table1[[#This Row],[Nilai RAB Jaringan
(file pa aji)]],0)</f>
        <v>0</v>
      </c>
      <c r="CU280" s="329">
        <v>491282227.99681699</v>
      </c>
      <c r="CV280" s="329">
        <v>491282227.99681699</v>
      </c>
      <c r="CW280" s="583">
        <v>0</v>
      </c>
      <c r="CX280" s="329">
        <v>0</v>
      </c>
      <c r="CY280" s="47"/>
      <c r="CZ280" s="330">
        <v>45838</v>
      </c>
      <c r="DA280" s="330">
        <v>45865</v>
      </c>
      <c r="DB280" s="331">
        <v>45782</v>
      </c>
      <c r="DC280" s="316" t="s">
        <v>2204</v>
      </c>
      <c r="DD280" s="67">
        <v>636530023</v>
      </c>
      <c r="DE28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0" s="331">
        <v>45803</v>
      </c>
      <c r="DG280" s="316" t="s">
        <v>2205</v>
      </c>
      <c r="DH280" s="67">
        <v>636530023</v>
      </c>
      <c r="DI28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0" s="330">
        <v>45866</v>
      </c>
      <c r="DK280" s="330">
        <v>45928</v>
      </c>
      <c r="DL280" s="331">
        <v>45832</v>
      </c>
      <c r="DM280" s="316" t="s">
        <v>2206</v>
      </c>
      <c r="DN28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0" s="331">
        <v>45876</v>
      </c>
      <c r="DP280" s="316" t="s">
        <v>2207</v>
      </c>
      <c r="DQ280" s="338" t="s">
        <v>371</v>
      </c>
      <c r="DR28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0" s="330">
        <v>45866</v>
      </c>
      <c r="DT280" s="330" t="e">
        <v>#N/A</v>
      </c>
      <c r="DU280" s="330">
        <v>45907</v>
      </c>
      <c r="DV280" s="330" t="e">
        <v>#N/A</v>
      </c>
      <c r="DW280" s="331">
        <v>45832</v>
      </c>
      <c r="DX280" s="316" t="s">
        <v>2208</v>
      </c>
      <c r="DY280" s="334">
        <v>24</v>
      </c>
      <c r="DZ280" s="334">
        <v>24</v>
      </c>
      <c r="EA28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0" s="331"/>
      <c r="EC280" s="332">
        <v>21</v>
      </c>
      <c r="ED280" s="332">
        <v>21</v>
      </c>
      <c r="EE280" s="330"/>
      <c r="EF280" s="35">
        <v>0.875</v>
      </c>
      <c r="EG280" s="35">
        <f>Table1[[#This Row],[Line PO (kolom  bantu)2]]/Table1[[#This Row],[Line PR]]</f>
        <v>0.875</v>
      </c>
      <c r="EH280" s="316" t="str">
        <f>IF(Table1[[#This Row],[PO Material Aktual 
(%)]]&gt;=100%,"Selesai PO = 100%",IF(Table1[[#This Row],[PO Material Aktual 
(%)]]&gt;=50%,"Proses PO &gt; 100%",IF(Table1[[#This Row],[PO Material Aktual 
(%)]]&gt;0%,"Proses PO &gt; 50%",IF(Table1[[#This Row],[PO Material Aktual 
(%)]]=0,"Belum PO = 0%"))))</f>
        <v>Proses PO &gt; 100%</v>
      </c>
      <c r="EI28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0" s="330">
        <v>45908</v>
      </c>
      <c r="EK280" s="330" t="e">
        <v>#N/A</v>
      </c>
      <c r="EL280" s="330">
        <v>45956</v>
      </c>
      <c r="EM280" s="330" t="e">
        <v>#N/A</v>
      </c>
      <c r="EN280" s="331"/>
      <c r="EO280" s="332">
        <v>21</v>
      </c>
      <c r="EP280" s="316">
        <v>21</v>
      </c>
      <c r="EQ280" s="35">
        <v>0.875</v>
      </c>
      <c r="ER280" s="35">
        <f>Table1[[#This Row],[Line MOS]]/Table1[[#This Row],[Line PR]]</f>
        <v>0.875</v>
      </c>
      <c r="ES280" s="316" t="str">
        <f>IF(Table1[[#This Row],[Progres MOS]]&gt;=100%,"Selesai MOS = 100%",IF(Table1[[#This Row],[Progres MOS]]&gt;=50%,"Proses MOS &gt; 100%",IF(Table1[[#This Row],[Progres MOS]]&gt;0%,"Proses MOS &gt; 50%",IF(Table1[[#This Row],[Progres MOS]]=0,"Belum MOS = 0%"))))</f>
        <v>Proses MOS &gt; 100%</v>
      </c>
      <c r="ET28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0" s="47"/>
      <c r="EV280" s="330">
        <v>45866</v>
      </c>
      <c r="EW280" s="330" t="e">
        <v>#N/A</v>
      </c>
      <c r="EX280" s="330">
        <v>45956</v>
      </c>
      <c r="EY280" s="330" t="e">
        <v>#N/A</v>
      </c>
      <c r="EZ280" s="352" t="s">
        <v>298</v>
      </c>
      <c r="FA280" s="336" t="s">
        <v>259</v>
      </c>
      <c r="FB280" s="330" t="s">
        <v>260</v>
      </c>
      <c r="FC280" s="330">
        <v>45839</v>
      </c>
      <c r="FD280" s="330" t="s">
        <v>260</v>
      </c>
      <c r="FE280" s="330">
        <v>45898</v>
      </c>
      <c r="FF280" s="330">
        <v>45944</v>
      </c>
      <c r="FG280" s="330" t="s">
        <v>260</v>
      </c>
      <c r="FH280" s="330" t="s">
        <v>260</v>
      </c>
      <c r="FI280" s="330">
        <v>46003</v>
      </c>
      <c r="FJ280" s="330" t="s">
        <v>260</v>
      </c>
      <c r="FK280" s="330">
        <v>46134</v>
      </c>
      <c r="FL280" s="336" t="s">
        <v>298</v>
      </c>
      <c r="FM280" s="352">
        <v>45839</v>
      </c>
      <c r="FN280" s="338">
        <f>IF(Table1[[#This Row],[Tanggal Pengajuan Dokumen]]="","",Table1[[#This Row],[PLAN PERMIT
start]]-Table1[[#This Row],[Tanggal Pengajuan Dokumen]])</f>
        <v>27</v>
      </c>
      <c r="FO280" s="437">
        <v>46086</v>
      </c>
      <c r="FP280" s="316"/>
      <c r="FQ280" s="338"/>
      <c r="FR280" s="338"/>
      <c r="FS280" s="338" t="str">
        <f t="shared" si="14"/>
        <v>Sudah Terbit</v>
      </c>
      <c r="FT28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0" s="344">
        <f ca="1">IF(Table1[[#This Row],[Status Izin]]="Selesai",Table1[[#This Row],[PLAN PERMIT
finish]]-Table1[[#This Row],[Tanggal Terbit/ Target Izin Terbit]],ROUNDUP(Table1[[#This Row],[PLAN PERMIT
finish]]-NOW(),0))</f>
        <v>-130</v>
      </c>
      <c r="FV28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0" s="344"/>
      <c r="FX280" s="47"/>
      <c r="FY280" s="340"/>
      <c r="FZ280" s="341"/>
      <c r="GA28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0" s="330">
        <v>45930</v>
      </c>
      <c r="GC280" s="352">
        <v>45896</v>
      </c>
      <c r="GD28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0" s="330">
        <v>45937</v>
      </c>
      <c r="GF280" s="352">
        <v>45896</v>
      </c>
      <c r="GG28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0" s="330">
        <v>45943</v>
      </c>
      <c r="GI280" s="330">
        <v>45949</v>
      </c>
      <c r="GJ280" s="352">
        <v>45909</v>
      </c>
      <c r="GK28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0" s="330">
        <v>45957</v>
      </c>
      <c r="GM280" s="330" t="e">
        <v>#N/A</v>
      </c>
      <c r="GN280" s="330">
        <v>46005</v>
      </c>
      <c r="GO280" s="330" t="e">
        <v>#N/A</v>
      </c>
      <c r="GP280" s="330"/>
      <c r="GQ28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0" s="330" t="s">
        <v>261</v>
      </c>
      <c r="GS280" s="330" t="s">
        <v>261</v>
      </c>
      <c r="GT280" s="354">
        <v>46139</v>
      </c>
      <c r="GU280" s="344" t="str">
        <f>IF(Table1[[#This Row],[Hydro Tes Actual
(tanggal)]]&lt;&gt;"","Sudah","Belum")</f>
        <v>Sudah</v>
      </c>
      <c r="GV280" s="330" t="s">
        <v>261</v>
      </c>
      <c r="GW280" s="330" t="s">
        <v>261</v>
      </c>
      <c r="GX280" s="331">
        <v>46139</v>
      </c>
      <c r="GY280" s="344" t="str">
        <f>IF(Table1[[#This Row],[Interkoneksi Actual
(tanggal)]]&lt;&gt;"","Sudah","Belum")</f>
        <v>Sudah</v>
      </c>
      <c r="GZ280" s="330" t="s">
        <v>261</v>
      </c>
      <c r="HA280" s="330" t="s">
        <v>261</v>
      </c>
      <c r="HB280" s="331">
        <v>46139</v>
      </c>
      <c r="HC280" s="344" t="str">
        <f>IF(Table1[[#This Row],[Flushing Actual
(tanggal)]]&lt;&gt;"","Sudah","Belum")</f>
        <v>Sudah</v>
      </c>
      <c r="HD280" s="330">
        <v>45985</v>
      </c>
      <c r="HE280" s="330" t="e">
        <v>#N/A</v>
      </c>
      <c r="HF280" s="330">
        <v>45998</v>
      </c>
      <c r="HG280" s="352">
        <v>46162</v>
      </c>
      <c r="HH28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0" s="330" t="s">
        <v>261</v>
      </c>
      <c r="HJ280" s="330" t="s">
        <v>261</v>
      </c>
      <c r="HK280" s="331"/>
      <c r="HL280" s="316"/>
      <c r="HM280" s="330">
        <v>46010</v>
      </c>
      <c r="HN280" s="330">
        <v>46010</v>
      </c>
      <c r="HO280" s="330" t="e">
        <v>#N/A</v>
      </c>
      <c r="HP280" s="331"/>
      <c r="HQ280"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80" s="330">
        <v>46017</v>
      </c>
      <c r="HS280" s="330"/>
      <c r="HT280" s="330">
        <v>46017</v>
      </c>
      <c r="HU280" s="330"/>
      <c r="HV280" s="331"/>
      <c r="HW28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80" s="47"/>
      <c r="HY280" s="352"/>
      <c r="HZ280" s="352"/>
      <c r="IB280" s="618">
        <f>IFERROR(ROUND((Table1[[#This Row],[PLAN TC
finish]]-Table1[[#This Row],[PLAN MC-0
start]])/30,2),"")</f>
        <v>1.83</v>
      </c>
      <c r="IC280">
        <f>DATEDIF(Table1[[#This Row],[PLAN MC-0
start]],Table1[[#This Row],[PLAN TC
finish]],"m")</f>
        <v>1</v>
      </c>
    </row>
    <row r="281" spans="1:237" s="4" customFormat="1" ht="15" hidden="1" customHeight="1" x14ac:dyDescent="0.2">
      <c r="B281" s="311">
        <f>SUBTOTAL(3,$D$5:D281)</f>
        <v>84</v>
      </c>
      <c r="C281" s="316">
        <v>277</v>
      </c>
      <c r="D281" s="338" t="s">
        <v>244</v>
      </c>
      <c r="E281" s="338" t="s">
        <v>2209</v>
      </c>
      <c r="F281" s="338" t="s">
        <v>2210</v>
      </c>
      <c r="G281" s="349">
        <v>46117</v>
      </c>
      <c r="H281" s="338" t="s">
        <v>681</v>
      </c>
      <c r="I281" s="338" t="s">
        <v>278</v>
      </c>
      <c r="J281" s="480" t="s">
        <v>1830</v>
      </c>
      <c r="K281" s="338" t="s">
        <v>1165</v>
      </c>
      <c r="L281" s="316" t="s">
        <v>250</v>
      </c>
      <c r="M281" s="355" t="s">
        <v>269</v>
      </c>
      <c r="N281" s="107">
        <v>434</v>
      </c>
      <c r="O281" s="31" t="s">
        <v>252</v>
      </c>
      <c r="P28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1" s="35">
        <v>1.0000000000000002</v>
      </c>
      <c r="S281" s="34">
        <v>1</v>
      </c>
      <c r="T281" s="34">
        <f>Table1[[#This Row],[Progres Total Aktual
(%)]]</f>
        <v>1</v>
      </c>
      <c r="U281" s="98">
        <f>Table1[[#This Row],[Progres Aktual
(%)]]-Table1[[#This Row],[Target Progres
(%)]]</f>
        <v>0</v>
      </c>
      <c r="V281" s="80">
        <f>Table1[[#This Row],["Volume
BA MC-0"]]</f>
        <v>435</v>
      </c>
      <c r="W281" s="46">
        <f>Table1[[#This Row],[Total Panjang Pipa Aktual
(Sum-&gt;)3]]</f>
        <v>427</v>
      </c>
      <c r="X281" s="47"/>
      <c r="Y281" s="67" t="s">
        <v>2211</v>
      </c>
      <c r="Z281" s="67">
        <v>817960225</v>
      </c>
      <c r="AA281" s="67">
        <f>ROUND((Table1[[#This Row],[Nilai RAB Jaringan
(Exclude Ppn)]]-Table1[[#This Row],[RAB Perizinan]])*1.11+Table1[[#This Row],[RAB Perizinan]],0)</f>
        <v>817960225</v>
      </c>
      <c r="AB281" s="486">
        <f>SUM(Table1[[#This Row],[RAB Kegiatan Umum]:[RAB Perizinan]])</f>
        <v>737331194</v>
      </c>
      <c r="AC281" s="436">
        <v>57104442</v>
      </c>
      <c r="AD281" s="436">
        <v>571044416</v>
      </c>
      <c r="AE281" s="436">
        <v>104842336</v>
      </c>
      <c r="AF281" s="436">
        <v>4340000</v>
      </c>
      <c r="AG281" s="483">
        <v>27391503</v>
      </c>
      <c r="AH281" s="33">
        <f>SUM(Table1[[#This Row],[Bobot Keg Umum]:[Bobot Perizinan]])</f>
        <v>1</v>
      </c>
      <c r="AI281" s="33">
        <f>Table1[[#This Row],[RAB Kegiatan Umum]]/Table1[[#This Row],[Nilai RAB Jaringan
(Exclude Ppn)]]</f>
        <v>7.7447478778444309E-2</v>
      </c>
      <c r="AJ281" s="33">
        <f>Table1[[#This Row],[RAB Pemasangan]]/Table1[[#This Row],[Nilai RAB Jaringan
(Exclude Ppn)]]</f>
        <v>0.77447478235947254</v>
      </c>
      <c r="AK281" s="33">
        <f>Table1[[#This Row],[RAB Pengadaan]]/Table1[[#This Row],[Nilai RAB Jaringan
(Exclude Ppn)]]</f>
        <v>0.14219164583453117</v>
      </c>
      <c r="AL281" s="33">
        <f>Table1[[#This Row],[RAB Perizinan]]/Table1[[#This Row],[Nilai RAB Jaringan
(Exclude Ppn)]]</f>
        <v>5.8860930275520121E-3</v>
      </c>
      <c r="AM281" s="47"/>
      <c r="AN281" s="285">
        <v>435</v>
      </c>
      <c r="AO281" s="285">
        <f>SUM(Table1[[#This Row],[Pipa 63 mm]:[Pipa 1,800 mm]])</f>
        <v>0</v>
      </c>
      <c r="AP281" s="285"/>
      <c r="AQ281" s="285"/>
      <c r="AR281" s="285"/>
      <c r="AS281" s="285"/>
      <c r="AT281" s="285"/>
      <c r="AU281" s="285"/>
      <c r="AV281" s="285"/>
      <c r="AW281" s="285"/>
      <c r="AX281" s="285"/>
      <c r="AY281" s="285"/>
      <c r="AZ281" s="285"/>
      <c r="BA281" s="285"/>
      <c r="BB281" s="285"/>
      <c r="BC281" s="285"/>
      <c r="BD281" s="285"/>
      <c r="BE281" s="285"/>
      <c r="BF281" s="285"/>
      <c r="BG281" s="285"/>
      <c r="BH281" s="285"/>
      <c r="BI281" s="285"/>
      <c r="BJ281" s="36">
        <f>SUM(Table1[[#This Row],[Pipa 63 mm2]:[Pipa 1,800 mm21]])</f>
        <v>427</v>
      </c>
      <c r="BK281" s="32"/>
      <c r="BL281" s="32">
        <v>427</v>
      </c>
      <c r="BM281" s="32"/>
      <c r="BN281" s="32"/>
      <c r="BO281" s="32"/>
      <c r="BP281" s="32"/>
      <c r="BQ281" s="32"/>
      <c r="BR281" s="32"/>
      <c r="BS281" s="32"/>
      <c r="BT281" s="32"/>
      <c r="BU281" s="32"/>
      <c r="BV281" s="32"/>
      <c r="BW281" s="32"/>
      <c r="BX281" s="32"/>
      <c r="BY281" s="32"/>
      <c r="BZ281" s="32"/>
      <c r="CA281" s="32"/>
      <c r="CB281" s="32"/>
      <c r="CC281" s="32"/>
      <c r="CD281" s="32"/>
      <c r="CE281" s="32">
        <v>0</v>
      </c>
      <c r="CF281" s="32"/>
      <c r="CG281" s="32"/>
      <c r="CH281" s="32"/>
      <c r="CI281" s="32">
        <f t="shared" si="13"/>
        <v>0</v>
      </c>
      <c r="CJ281" s="65">
        <f>IF((Table1[[#This Row],["Volume
BA MC-0"]]-Table1[[#This Row],[Total Panjang Pipa Aktual
(Sum-&gt;)3]]-Table1[[#This Row],[Total Volume
tidak dapat dipasang]])&gt;=0,Table1[[#This Row],["Volume
BA MC-0"]]-Table1[[#This Row],[Total Panjang Pipa Aktual
(Sum-&gt;)3]]-Table1[[#This Row],[Total Volume
tidak dapat dipasang]],0)</f>
        <v>8</v>
      </c>
      <c r="CK281" s="47"/>
      <c r="CL281" s="35" t="s">
        <v>1821</v>
      </c>
      <c r="CM281" s="35" t="s">
        <v>1821</v>
      </c>
      <c r="CN281" s="35" t="s">
        <v>1821</v>
      </c>
      <c r="CO281" s="35" t="s">
        <v>1821</v>
      </c>
      <c r="CP28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1" s="66">
        <f>IFERROR(Table1[[#This Row],[Progres Keg. Umum
(%)]]*Table1[[#This Row],[Nilai RAB Jaringan
(file pa aji)]],0)</f>
        <v>0</v>
      </c>
      <c r="CR281" s="66">
        <f>IFERROR(Table1[[#This Row],[Progres MOS
(%)]]*Table1[[#This Row],[Nilai RAB Jaringan
(file pa aji)]],0)</f>
        <v>0</v>
      </c>
      <c r="CS281" s="66">
        <f>IFERROR(Table1[[#This Row],[Progres Pemasangan
(%)]]*Table1[[#This Row],[Nilai RAB Jaringan
(file pa aji)]],0)</f>
        <v>0</v>
      </c>
      <c r="CT281" s="66">
        <f>IFERROR(Table1[[#This Row],[Progres Perizinan
(%)]]*Table1[[#This Row],[Nilai RAB Jaringan
(file pa aji)]],0)</f>
        <v>0</v>
      </c>
      <c r="CU281" s="329">
        <v>1767677933</v>
      </c>
      <c r="CV281" s="329">
        <v>1767677933</v>
      </c>
      <c r="CW281" s="583">
        <v>1767677933</v>
      </c>
      <c r="CX281" s="329">
        <v>1767677933</v>
      </c>
      <c r="CY281" s="47"/>
      <c r="CZ281" s="330">
        <v>45838</v>
      </c>
      <c r="DA281" s="330">
        <v>45865</v>
      </c>
      <c r="DB281" s="331">
        <v>45782</v>
      </c>
      <c r="DC281" s="316" t="s">
        <v>2212</v>
      </c>
      <c r="DD281" s="67">
        <v>817960225</v>
      </c>
      <c r="DE28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1" s="331">
        <v>45799</v>
      </c>
      <c r="DG281" s="316" t="s">
        <v>2213</v>
      </c>
      <c r="DH281" s="67">
        <v>817960225</v>
      </c>
      <c r="DI28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1" s="330">
        <v>45866</v>
      </c>
      <c r="DK281" s="330">
        <v>45928</v>
      </c>
      <c r="DL281" s="331">
        <v>45825</v>
      </c>
      <c r="DM281" s="316" t="s">
        <v>2214</v>
      </c>
      <c r="DN28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1" s="331">
        <v>45880</v>
      </c>
      <c r="DP281" s="316" t="s">
        <v>2215</v>
      </c>
      <c r="DQ281" s="338" t="s">
        <v>371</v>
      </c>
      <c r="DR28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1" s="330">
        <v>45866</v>
      </c>
      <c r="DT281" s="330" t="e">
        <v>#N/A</v>
      </c>
      <c r="DU281" s="330">
        <v>45907</v>
      </c>
      <c r="DV281" s="330" t="e">
        <v>#N/A</v>
      </c>
      <c r="DW281" s="331">
        <v>45825</v>
      </c>
      <c r="DX281" s="316" t="s">
        <v>2216</v>
      </c>
      <c r="DY281" s="332">
        <v>25</v>
      </c>
      <c r="DZ281" s="334">
        <v>25</v>
      </c>
      <c r="EA28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1" s="331">
        <v>46006</v>
      </c>
      <c r="EC281" s="332">
        <v>23</v>
      </c>
      <c r="ED281" s="332">
        <v>23</v>
      </c>
      <c r="EE281" s="425" t="s">
        <v>2217</v>
      </c>
      <c r="EF281" s="35">
        <v>1</v>
      </c>
      <c r="EG281" s="337">
        <v>1</v>
      </c>
      <c r="EH281" s="316" t="str">
        <f>IF(Table1[[#This Row],[PO Material Aktual 
(%)]]&gt;=100%,"Selesai PO = 100%",IF(Table1[[#This Row],[PO Material Aktual 
(%)]]&gt;=50%,"Proses PO &gt; 100%",IF(Table1[[#This Row],[PO Material Aktual 
(%)]]&gt;0%,"Proses PO &gt; 50%",IF(Table1[[#This Row],[PO Material Aktual 
(%)]]=0,"Belum PO = 0%"))))</f>
        <v>Selesai PO = 100%</v>
      </c>
      <c r="EI28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1" s="330">
        <v>45908</v>
      </c>
      <c r="EK281" s="330" t="e">
        <v>#N/A</v>
      </c>
      <c r="EL281" s="330">
        <v>45956</v>
      </c>
      <c r="EM281" s="330" t="e">
        <v>#N/A</v>
      </c>
      <c r="EN281" s="331">
        <v>46052</v>
      </c>
      <c r="EO281" s="332">
        <f>Table1[[#This Row],[Line PO]]</f>
        <v>23</v>
      </c>
      <c r="EP281" s="316">
        <v>23</v>
      </c>
      <c r="EQ281" s="35">
        <v>0.92</v>
      </c>
      <c r="ER281" s="35">
        <f>Table1[[#This Row],[Line MOS]]/Table1[[#This Row],[Line PR]]</f>
        <v>0.92</v>
      </c>
      <c r="ES281" s="316" t="str">
        <f>IF(Table1[[#This Row],[Progres MOS]]&gt;=100%,"Selesai MOS = 100%",IF(Table1[[#This Row],[Progres MOS]]&gt;=50%,"Proses MOS &gt; 100%",IF(Table1[[#This Row],[Progres MOS]]&gt;0%,"Proses MOS &gt; 50%",IF(Table1[[#This Row],[Progres MOS]]=0,"Belum MOS = 0%"))))</f>
        <v>Proses MOS &gt; 100%</v>
      </c>
      <c r="ET28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1" s="47"/>
      <c r="EV281" s="330">
        <v>45866</v>
      </c>
      <c r="EW281" s="330" t="e">
        <v>#N/A</v>
      </c>
      <c r="EX281" s="330">
        <v>45956</v>
      </c>
      <c r="EY281" s="330" t="e">
        <v>#N/A</v>
      </c>
      <c r="EZ281" s="352" t="s">
        <v>298</v>
      </c>
      <c r="FA281" s="336" t="s">
        <v>259</v>
      </c>
      <c r="FB281" s="330" t="s">
        <v>260</v>
      </c>
      <c r="FC281" s="330">
        <v>45839</v>
      </c>
      <c r="FD281" s="330" t="s">
        <v>260</v>
      </c>
      <c r="FE281" s="330">
        <v>45898</v>
      </c>
      <c r="FF281" s="330">
        <v>45944</v>
      </c>
      <c r="FG281" s="330" t="s">
        <v>260</v>
      </c>
      <c r="FH281" s="330" t="s">
        <v>260</v>
      </c>
      <c r="FI281" s="330">
        <v>46003</v>
      </c>
      <c r="FJ281" s="330" t="s">
        <v>260</v>
      </c>
      <c r="FK281" s="330">
        <v>46134</v>
      </c>
      <c r="FL281" s="336" t="s">
        <v>298</v>
      </c>
      <c r="FM281" s="352">
        <v>45839</v>
      </c>
      <c r="FN281" s="338">
        <f>IF(Table1[[#This Row],[Tanggal Pengajuan Dokumen]]="","",Table1[[#This Row],[PLAN PERMIT
start]]-Table1[[#This Row],[Tanggal Pengajuan Dokumen]])</f>
        <v>27</v>
      </c>
      <c r="FO281" s="437">
        <v>46086</v>
      </c>
      <c r="FP281" s="316"/>
      <c r="FQ281" s="338"/>
      <c r="FR281" s="338"/>
      <c r="FS281" s="338" t="str">
        <f t="shared" si="14"/>
        <v>Sudah Terbit</v>
      </c>
      <c r="FT28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1" s="344">
        <f ca="1">IF(Table1[[#This Row],[Status Izin]]="Selesai",Table1[[#This Row],[PLAN PERMIT
finish]]-Table1[[#This Row],[Tanggal Terbit/ Target Izin Terbit]],ROUNDUP(Table1[[#This Row],[PLAN PERMIT
finish]]-NOW(),0))</f>
        <v>-130</v>
      </c>
      <c r="FV28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1" s="344"/>
      <c r="FX281" s="47"/>
      <c r="FY281" s="340"/>
      <c r="FZ281" s="341"/>
      <c r="GA28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1" s="330">
        <v>45930</v>
      </c>
      <c r="GC281" s="352">
        <v>45922</v>
      </c>
      <c r="GD28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1" s="330">
        <v>45937</v>
      </c>
      <c r="GF281" s="352">
        <v>45922</v>
      </c>
      <c r="GG28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1" s="330">
        <v>45943</v>
      </c>
      <c r="GI281" s="330">
        <v>45949</v>
      </c>
      <c r="GJ281" s="352">
        <v>45903</v>
      </c>
      <c r="GK28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1" s="330">
        <v>45957</v>
      </c>
      <c r="GM281" s="330" t="e">
        <v>#N/A</v>
      </c>
      <c r="GN281" s="330">
        <v>46005</v>
      </c>
      <c r="GO281" s="330" t="e">
        <v>#N/A</v>
      </c>
      <c r="GP281" s="330"/>
      <c r="GQ28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1" s="330" t="s">
        <v>261</v>
      </c>
      <c r="GS281" s="330" t="s">
        <v>261</v>
      </c>
      <c r="GT281" s="354">
        <v>45986</v>
      </c>
      <c r="GU281" s="344" t="str">
        <f>IF(Table1[[#This Row],[Hydro Tes Actual
(tanggal)]]&lt;&gt;"","Sudah","Belum")</f>
        <v>Sudah</v>
      </c>
      <c r="GV281" s="330" t="s">
        <v>261</v>
      </c>
      <c r="GW281" s="330" t="s">
        <v>261</v>
      </c>
      <c r="GX281" s="331">
        <v>46020</v>
      </c>
      <c r="GY281" s="344" t="str">
        <f>IF(Table1[[#This Row],[Interkoneksi Actual
(tanggal)]]&lt;&gt;"","Sudah","Belum")</f>
        <v>Sudah</v>
      </c>
      <c r="GZ281" s="330" t="s">
        <v>261</v>
      </c>
      <c r="HA281" s="330" t="s">
        <v>261</v>
      </c>
      <c r="HB281" s="331">
        <v>46029</v>
      </c>
      <c r="HC281" s="344" t="str">
        <f>IF(Table1[[#This Row],[Flushing Actual
(tanggal)]]&lt;&gt;"","Sudah","Belum")</f>
        <v>Sudah</v>
      </c>
      <c r="HD281" s="330">
        <v>45985</v>
      </c>
      <c r="HE281" s="330" t="e">
        <v>#N/A</v>
      </c>
      <c r="HF281" s="330">
        <v>45998</v>
      </c>
      <c r="HG281" s="352">
        <v>46035</v>
      </c>
      <c r="HH28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1" s="330" t="s">
        <v>261</v>
      </c>
      <c r="HJ281" s="330" t="s">
        <v>261</v>
      </c>
      <c r="HK281" s="331"/>
      <c r="HL281" s="316"/>
      <c r="HM281" s="330">
        <v>46010</v>
      </c>
      <c r="HN281" s="330">
        <v>46010</v>
      </c>
      <c r="HO281" s="330" t="e">
        <v>#N/A</v>
      </c>
      <c r="HP281" s="331">
        <v>46098</v>
      </c>
      <c r="HQ281"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81" s="330">
        <v>46017</v>
      </c>
      <c r="HS281" s="330"/>
      <c r="HT281" s="330">
        <v>46017</v>
      </c>
      <c r="HU281" s="330"/>
      <c r="HV281" s="331">
        <v>46099</v>
      </c>
      <c r="HW28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81" s="47"/>
      <c r="HY281" s="352"/>
      <c r="HZ281" s="352"/>
      <c r="IB281" s="618">
        <f>IFERROR(ROUND((Table1[[#This Row],[PLAN TC
finish]]-Table1[[#This Row],[PLAN MC-0
start]])/30,2),"")</f>
        <v>1.83</v>
      </c>
      <c r="IC281">
        <f>DATEDIF(Table1[[#This Row],[PLAN MC-0
start]],Table1[[#This Row],[PLAN TC
finish]],"m")</f>
        <v>1</v>
      </c>
    </row>
    <row r="282" spans="1:237" s="30" customFormat="1" ht="15" hidden="1" customHeight="1" x14ac:dyDescent="0.2">
      <c r="A282" s="77"/>
      <c r="B282" s="311">
        <f>SUBTOTAL(3,$D$5:D282)</f>
        <v>84</v>
      </c>
      <c r="C282" s="367">
        <v>278</v>
      </c>
      <c r="D282" s="366" t="s">
        <v>244</v>
      </c>
      <c r="E282" s="366" t="s">
        <v>2218</v>
      </c>
      <c r="F282" s="366" t="s">
        <v>2219</v>
      </c>
      <c r="G282" s="364">
        <v>46117</v>
      </c>
      <c r="H282" s="366" t="s">
        <v>681</v>
      </c>
      <c r="I282" s="366" t="s">
        <v>278</v>
      </c>
      <c r="J282" s="385" t="s">
        <v>389</v>
      </c>
      <c r="K282" s="366" t="s">
        <v>1165</v>
      </c>
      <c r="L282" s="367" t="s">
        <v>250</v>
      </c>
      <c r="M282" s="392" t="s">
        <v>269</v>
      </c>
      <c r="N282" s="368">
        <v>68</v>
      </c>
      <c r="O282" s="369" t="s">
        <v>252</v>
      </c>
      <c r="P282"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2" s="385" t="s">
        <v>389</v>
      </c>
      <c r="R282" s="371">
        <v>1</v>
      </c>
      <c r="S282" s="34">
        <v>1</v>
      </c>
      <c r="T282" s="489">
        <f>Table1[[#This Row],[Progres Total Aktual
(%)]]</f>
        <v>0</v>
      </c>
      <c r="U282" s="490">
        <f>Table1[[#This Row],[Progres Aktual
(%)]]-Table1[[#This Row],[Target Progres
(%)]]</f>
        <v>-1</v>
      </c>
      <c r="V282" s="491">
        <f>Table1[[#This Row],["Volume
BA MC-0"]]</f>
        <v>66.400000000000006</v>
      </c>
      <c r="W282" s="492">
        <f>Table1[[#This Row],[Total Panjang Pipa Aktual
(Sum-&gt;)3]]</f>
        <v>0</v>
      </c>
      <c r="X282" s="47"/>
      <c r="Y282" s="375" t="s">
        <v>2220</v>
      </c>
      <c r="Z282" s="375">
        <v>170357072</v>
      </c>
      <c r="AA282" s="375">
        <f>ROUND((Table1[[#This Row],[Nilai RAB Jaringan
(Exclude Ppn)]]-Table1[[#This Row],[RAB Perizinan]])*1.11+Table1[[#This Row],[RAB Perizinan]],0)</f>
        <v>170357072</v>
      </c>
      <c r="AB282" s="493">
        <f>SUM(Table1[[#This Row],[RAB Kegiatan Umum]:[RAB Perizinan]])</f>
        <v>153542227</v>
      </c>
      <c r="AC282" s="439">
        <v>10319263</v>
      </c>
      <c r="AD282" s="439">
        <v>103192630</v>
      </c>
      <c r="AE282" s="439">
        <v>39350334</v>
      </c>
      <c r="AF282" s="439">
        <v>680000</v>
      </c>
      <c r="AG282" s="494">
        <v>21070387</v>
      </c>
      <c r="AH282" s="495">
        <f>SUM(Table1[[#This Row],[Bobot Keg Umum]:[Bobot Perizinan]])</f>
        <v>1</v>
      </c>
      <c r="AI282" s="495">
        <f>Table1[[#This Row],[RAB Kegiatan Umum]]/Table1[[#This Row],[Nilai RAB Jaringan
(Exclude Ppn)]]</f>
        <v>6.7207980512097171E-2</v>
      </c>
      <c r="AJ282" s="495">
        <f>Table1[[#This Row],[RAB Pemasangan]]/Table1[[#This Row],[Nilai RAB Jaringan
(Exclude Ppn)]]</f>
        <v>0.67207980512097165</v>
      </c>
      <c r="AK282" s="495">
        <f>Table1[[#This Row],[RAB Pengadaan]]/Table1[[#This Row],[Nilai RAB Jaringan
(Exclude Ppn)]]</f>
        <v>0.25628346526457507</v>
      </c>
      <c r="AL282" s="495">
        <f>Table1[[#This Row],[RAB Perizinan]]/Table1[[#This Row],[Nilai RAB Jaringan
(Exclude Ppn)]]</f>
        <v>4.4287491023560577E-3</v>
      </c>
      <c r="AM282" s="47"/>
      <c r="AN282" s="376">
        <v>66.400000000000006</v>
      </c>
      <c r="AO282" s="376">
        <f>SUM(Table1[[#This Row],[Pipa 63 mm]:[Pipa 1,800 mm]])</f>
        <v>0</v>
      </c>
      <c r="AP282" s="376"/>
      <c r="AQ282" s="376"/>
      <c r="AR282" s="376"/>
      <c r="AS282" s="376"/>
      <c r="AT282" s="376"/>
      <c r="AU282" s="376"/>
      <c r="AV282" s="376"/>
      <c r="AW282" s="376"/>
      <c r="AX282" s="376"/>
      <c r="AY282" s="376"/>
      <c r="AZ282" s="376"/>
      <c r="BA282" s="376"/>
      <c r="BB282" s="376"/>
      <c r="BC282" s="376"/>
      <c r="BD282" s="376"/>
      <c r="BE282" s="376"/>
      <c r="BF282" s="376"/>
      <c r="BG282" s="376"/>
      <c r="BH282" s="376"/>
      <c r="BI282" s="376"/>
      <c r="BJ282" s="377">
        <f>SUM(Table1[[#This Row],[Pipa 63 mm2]:[Pipa 1,800 mm21]])</f>
        <v>0</v>
      </c>
      <c r="BK282" s="378"/>
      <c r="BL282" s="378"/>
      <c r="BM282" s="378"/>
      <c r="BN282" s="378"/>
      <c r="BO282" s="378"/>
      <c r="BP282" s="378"/>
      <c r="BQ282" s="378"/>
      <c r="BR282" s="378"/>
      <c r="BS282" s="378"/>
      <c r="BT282" s="378"/>
      <c r="BU282" s="378"/>
      <c r="BV282" s="378"/>
      <c r="BW282" s="378"/>
      <c r="BX282" s="378"/>
      <c r="BY282" s="378"/>
      <c r="BZ282" s="378"/>
      <c r="CA282" s="378"/>
      <c r="CB282" s="378"/>
      <c r="CC282" s="378"/>
      <c r="CD282" s="378"/>
      <c r="CE282" s="378">
        <v>68</v>
      </c>
      <c r="CF282" s="378"/>
      <c r="CG282" s="378"/>
      <c r="CH282" s="378"/>
      <c r="CI282" s="378">
        <f t="shared" si="13"/>
        <v>68</v>
      </c>
      <c r="CJ282" s="440">
        <f>IF((Table1[[#This Row],["Volume
BA MC-0"]]-Table1[[#This Row],[Total Panjang Pipa Aktual
(Sum-&gt;)3]]-Table1[[#This Row],[Total Volume
tidak dapat dipasang]])&gt;=0,Table1[[#This Row],["Volume
BA MC-0"]]-Table1[[#This Row],[Total Panjang Pipa Aktual
(Sum-&gt;)3]]-Table1[[#This Row],[Total Volume
tidak dapat dipasang]],0)</f>
        <v>0</v>
      </c>
      <c r="CK282" s="47"/>
      <c r="CL282" s="496" t="s">
        <v>1821</v>
      </c>
      <c r="CM282" s="489" t="s">
        <v>1821</v>
      </c>
      <c r="CN282" s="496" t="s">
        <v>1821</v>
      </c>
      <c r="CO282" s="496" t="s">
        <v>1821</v>
      </c>
      <c r="CP282"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82" s="380">
        <f>IFERROR(Table1[[#This Row],[Progres Keg. Umum
(%)]]*Table1[[#This Row],[Nilai RAB Jaringan
(file pa aji)]],0)</f>
        <v>0</v>
      </c>
      <c r="CR282" s="380">
        <f>IFERROR(Table1[[#This Row],[Progres MOS
(%)]]*Table1[[#This Row],[Nilai RAB Jaringan
(file pa aji)]],0)</f>
        <v>0</v>
      </c>
      <c r="CS282" s="380">
        <f>IFERROR(Table1[[#This Row],[Progres Pemasangan
(%)]]*Table1[[#This Row],[Nilai RAB Jaringan
(file pa aji)]],0)</f>
        <v>0</v>
      </c>
      <c r="CT282" s="380">
        <f>IFERROR(Table1[[#This Row],[Progres Perizinan
(%)]]*Table1[[#This Row],[Nilai RAB Jaringan
(file pa aji)]],0)</f>
        <v>0</v>
      </c>
      <c r="CU282" s="329">
        <v>0</v>
      </c>
      <c r="CV282" s="329">
        <v>0</v>
      </c>
      <c r="CW282" s="582">
        <v>0</v>
      </c>
      <c r="CX282" s="329">
        <v>0</v>
      </c>
      <c r="CY282" s="47"/>
      <c r="CZ282" s="386">
        <v>45838</v>
      </c>
      <c r="DA282" s="386">
        <v>45865</v>
      </c>
      <c r="DB282" s="388">
        <v>45782</v>
      </c>
      <c r="DC282" s="367" t="s">
        <v>2221</v>
      </c>
      <c r="DD282" s="375">
        <v>170357072</v>
      </c>
      <c r="DE28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2" s="388">
        <v>45799</v>
      </c>
      <c r="DG282" s="367" t="s">
        <v>2222</v>
      </c>
      <c r="DH282" s="375">
        <v>170357072</v>
      </c>
      <c r="DI282" s="367"/>
      <c r="DJ282" s="386">
        <v>45866</v>
      </c>
      <c r="DK282" s="386">
        <v>45928</v>
      </c>
      <c r="DL282" s="388">
        <v>45825</v>
      </c>
      <c r="DM282" s="367" t="s">
        <v>2223</v>
      </c>
      <c r="DN282" s="382"/>
      <c r="DO282" s="388">
        <v>45876</v>
      </c>
      <c r="DP282" s="367" t="s">
        <v>2224</v>
      </c>
      <c r="DQ282" s="366" t="s">
        <v>371</v>
      </c>
      <c r="DR282" s="382"/>
      <c r="DS282" s="386">
        <v>45866</v>
      </c>
      <c r="DT282" s="386" t="e">
        <v>#N/A</v>
      </c>
      <c r="DU282" s="386">
        <v>45907</v>
      </c>
      <c r="DV282" s="386" t="e">
        <v>#N/A</v>
      </c>
      <c r="DW282" s="388">
        <v>45825</v>
      </c>
      <c r="DX282" s="496" t="s">
        <v>2225</v>
      </c>
      <c r="DY282" s="442"/>
      <c r="DZ282" s="442"/>
      <c r="EA282" s="382"/>
      <c r="EB282" s="388"/>
      <c r="EC282" s="442"/>
      <c r="ED282" s="442"/>
      <c r="EE282" s="386"/>
      <c r="EF282" s="371"/>
      <c r="EG282" s="371"/>
      <c r="EH282" s="367"/>
      <c r="EI282"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2" s="386">
        <v>45908</v>
      </c>
      <c r="EK282" s="386" t="e">
        <v>#N/A</v>
      </c>
      <c r="EL282" s="386">
        <v>45956</v>
      </c>
      <c r="EM282" s="386" t="e">
        <v>#N/A</v>
      </c>
      <c r="EN282" s="388"/>
      <c r="EO282" s="442"/>
      <c r="EP282" s="367"/>
      <c r="EQ282" s="371"/>
      <c r="ER282" s="371"/>
      <c r="ES282" s="367"/>
      <c r="ET28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2" s="47"/>
      <c r="EV282" s="386">
        <v>45866</v>
      </c>
      <c r="EW282" s="386" t="e">
        <v>#N/A</v>
      </c>
      <c r="EX282" s="386">
        <v>45956</v>
      </c>
      <c r="EY282" s="386" t="e">
        <v>#N/A</v>
      </c>
      <c r="EZ282" s="384" t="s">
        <v>298</v>
      </c>
      <c r="FA282" s="385" t="s">
        <v>389</v>
      </c>
      <c r="FB282" s="386" t="s">
        <v>260</v>
      </c>
      <c r="FC282" s="330">
        <v>45839</v>
      </c>
      <c r="FD282" s="386" t="s">
        <v>260</v>
      </c>
      <c r="FE282" s="386">
        <v>45898</v>
      </c>
      <c r="FF282" s="386">
        <v>45944</v>
      </c>
      <c r="FG282" s="386" t="s">
        <v>260</v>
      </c>
      <c r="FH282" s="386" t="s">
        <v>260</v>
      </c>
      <c r="FI282" s="386">
        <v>46003</v>
      </c>
      <c r="FJ282" s="386" t="s">
        <v>260</v>
      </c>
      <c r="FK282" s="386">
        <v>46134</v>
      </c>
      <c r="FL282" s="443" t="s">
        <v>298</v>
      </c>
      <c r="FM282" s="384">
        <v>45839</v>
      </c>
      <c r="FN282" s="366">
        <f>IF(Table1[[#This Row],[Tanggal Pengajuan Dokumen]]="","",Table1[[#This Row],[PLAN PERMIT
start]]-Table1[[#This Row],[Tanggal Pengajuan Dokumen]])</f>
        <v>27</v>
      </c>
      <c r="FO282" s="444">
        <v>46086</v>
      </c>
      <c r="FP282" s="367"/>
      <c r="FQ282" s="366"/>
      <c r="FR282" s="366"/>
      <c r="FS282" s="366" t="str">
        <f t="shared" si="14"/>
        <v>On Going</v>
      </c>
      <c r="FT282"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82" s="387">
        <f ca="1">IF(Table1[[#This Row],[Status Izin]]="Selesai",Table1[[#This Row],[PLAN PERMIT
finish]]-Table1[[#This Row],[Tanggal Terbit/ Target Izin Terbit]],ROUNDUP(Table1[[#This Row],[PLAN PERMIT
finish]]-NOW(),0))</f>
        <v>-235</v>
      </c>
      <c r="FV282"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2" s="387"/>
      <c r="FX282" s="47"/>
      <c r="FY282" s="340"/>
      <c r="FZ282" s="341"/>
      <c r="GA28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2" s="386">
        <v>45930</v>
      </c>
      <c r="GC282" s="497">
        <v>45961</v>
      </c>
      <c r="GD282"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2" s="386">
        <v>45937</v>
      </c>
      <c r="GF282" s="497">
        <v>45961</v>
      </c>
      <c r="GG282"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82" s="386">
        <v>45943</v>
      </c>
      <c r="GI282" s="386">
        <v>45949</v>
      </c>
      <c r="GJ282" s="384">
        <v>45975</v>
      </c>
      <c r="GK282"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82" s="386">
        <v>45957</v>
      </c>
      <c r="GM282" s="386" t="e">
        <v>#N/A</v>
      </c>
      <c r="GN282" s="386">
        <v>45977</v>
      </c>
      <c r="GO282" s="386" t="e">
        <v>#N/A</v>
      </c>
      <c r="GP282" s="386"/>
      <c r="GQ282"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2" s="386" t="s">
        <v>261</v>
      </c>
      <c r="GS282" s="386" t="s">
        <v>261</v>
      </c>
      <c r="GT282" s="390"/>
      <c r="GU282" s="387" t="str">
        <f>IF(Table1[[#This Row],[Hydro Tes Actual
(tanggal)]]&lt;&gt;"","Sudah","Belum")</f>
        <v>Belum</v>
      </c>
      <c r="GV282" s="386" t="s">
        <v>261</v>
      </c>
      <c r="GW282" s="386" t="s">
        <v>261</v>
      </c>
      <c r="GX282" s="388"/>
      <c r="GY282" s="387" t="str">
        <f>IF(Table1[[#This Row],[Interkoneksi Actual
(tanggal)]]&lt;&gt;"","Sudah","Belum")</f>
        <v>Belum</v>
      </c>
      <c r="GZ282" s="386" t="s">
        <v>261</v>
      </c>
      <c r="HA282" s="386" t="s">
        <v>261</v>
      </c>
      <c r="HB282" s="388"/>
      <c r="HC282" s="387" t="str">
        <f>IF(Table1[[#This Row],[Flushing Actual
(tanggal)]]&lt;&gt;"","Sudah","Belum")</f>
        <v>Belum</v>
      </c>
      <c r="HD282" s="386">
        <v>45964</v>
      </c>
      <c r="HE282" s="386" t="e">
        <v>#N/A</v>
      </c>
      <c r="HF282" s="386">
        <v>45977</v>
      </c>
      <c r="HG282" s="384"/>
      <c r="HH282"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82" s="386" t="s">
        <v>261</v>
      </c>
      <c r="HJ282" s="386" t="s">
        <v>261</v>
      </c>
      <c r="HK282" s="388"/>
      <c r="HL282" s="367"/>
      <c r="HM282" s="386">
        <v>45982</v>
      </c>
      <c r="HN282" s="386">
        <v>45982</v>
      </c>
      <c r="HO282" s="386" t="e">
        <v>#N/A</v>
      </c>
      <c r="HP282" s="388"/>
      <c r="HQ282"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82" s="386">
        <v>45989</v>
      </c>
      <c r="HS282" s="386"/>
      <c r="HT282" s="386">
        <v>45989</v>
      </c>
      <c r="HU282" s="386"/>
      <c r="HV282" s="388"/>
      <c r="HW282"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82" s="47"/>
      <c r="HY282" s="384"/>
      <c r="HZ282" s="384"/>
      <c r="IB282" s="618">
        <f>IFERROR(ROUND((Table1[[#This Row],[PLAN TC
finish]]-Table1[[#This Row],[PLAN MC-0
start]])/30,2),"")</f>
        <v>1.1299999999999999</v>
      </c>
      <c r="IC282">
        <f>DATEDIF(Table1[[#This Row],[PLAN MC-0
start]],Table1[[#This Row],[PLAN TC
finish]],"m")</f>
        <v>1</v>
      </c>
    </row>
    <row r="283" spans="1:237" s="4" customFormat="1" ht="15" hidden="1" customHeight="1" x14ac:dyDescent="0.2">
      <c r="B283" s="311">
        <f>SUBTOTAL(3,$D$5:D283)</f>
        <v>84</v>
      </c>
      <c r="C283" s="316">
        <v>279</v>
      </c>
      <c r="D283" s="338" t="s">
        <v>244</v>
      </c>
      <c r="E283" s="338" t="s">
        <v>2226</v>
      </c>
      <c r="F283" s="338" t="s">
        <v>2227</v>
      </c>
      <c r="G283" s="349">
        <v>46117</v>
      </c>
      <c r="H283" s="338" t="s">
        <v>681</v>
      </c>
      <c r="I283" s="338" t="s">
        <v>278</v>
      </c>
      <c r="J283" s="480" t="s">
        <v>1818</v>
      </c>
      <c r="K283" s="338" t="s">
        <v>1165</v>
      </c>
      <c r="L283" s="316" t="s">
        <v>250</v>
      </c>
      <c r="M283" s="355" t="s">
        <v>269</v>
      </c>
      <c r="N283" s="107">
        <v>218</v>
      </c>
      <c r="O283" s="31" t="s">
        <v>252</v>
      </c>
      <c r="P28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283" s="35">
        <v>1</v>
      </c>
      <c r="S283" s="34">
        <v>1</v>
      </c>
      <c r="T283" s="34">
        <f>Table1[[#This Row],[Progres Total Aktual
(%)]]</f>
        <v>8.0431488699534023E-2</v>
      </c>
      <c r="U283" s="98">
        <f>Table1[[#This Row],[Progres Aktual
(%)]]-Table1[[#This Row],[Target Progres
(%)]]</f>
        <v>-0.91956851130046602</v>
      </c>
      <c r="V283" s="80">
        <f>Table1[[#This Row],["Volume
BA MC-0"]]</f>
        <v>217</v>
      </c>
      <c r="W283" s="46">
        <f>Table1[[#This Row],[Total Panjang Pipa Aktual
(Sum-&gt;)3]]</f>
        <v>0</v>
      </c>
      <c r="X283" s="47"/>
      <c r="Y283" s="67" t="s">
        <v>2228</v>
      </c>
      <c r="Z283" s="67">
        <v>347707099</v>
      </c>
      <c r="AA283" s="67">
        <f>ROUND((Table1[[#This Row],[Nilai RAB Jaringan
(Exclude Ppn)]]-Table1[[#This Row],[RAB Perizinan]])*1.11+Table1[[#This Row],[RAB Perizinan]],0)</f>
        <v>347707098</v>
      </c>
      <c r="AB283" s="486">
        <f>SUM(Table1[[#This Row],[RAB Kegiatan Umum]:[RAB Perizinan]])</f>
        <v>313465674</v>
      </c>
      <c r="AC283" s="436">
        <v>24381223</v>
      </c>
      <c r="AD283" s="436">
        <v>243812233</v>
      </c>
      <c r="AE283" s="436">
        <v>43092218</v>
      </c>
      <c r="AF283" s="436">
        <v>2180000</v>
      </c>
      <c r="AG283" s="483">
        <v>2107039</v>
      </c>
      <c r="AH283" s="33">
        <f>SUM(Table1[[#This Row],[Bobot Keg Umum]:[Bobot Perizinan]])</f>
        <v>1</v>
      </c>
      <c r="AI283" s="33">
        <f>Table1[[#This Row],[RAB Kegiatan Umum]]/Table1[[#This Row],[Nilai RAB Jaringan
(Exclude Ppn)]]</f>
        <v>7.777956255586696E-2</v>
      </c>
      <c r="AJ283" s="33">
        <f>Table1[[#This Row],[RAB Pemasangan]]/Table1[[#This Row],[Nilai RAB Jaringan
(Exclude Ppn)]]</f>
        <v>0.77779563512909555</v>
      </c>
      <c r="AK283" s="33">
        <f>Table1[[#This Row],[RAB Pengadaan]]/Table1[[#This Row],[Nilai RAB Jaringan
(Exclude Ppn)]]</f>
        <v>0.13747029283978315</v>
      </c>
      <c r="AL283" s="33">
        <f>Table1[[#This Row],[RAB Perizinan]]/Table1[[#This Row],[Nilai RAB Jaringan
(Exclude Ppn)]]</f>
        <v>6.9545094752543786E-3</v>
      </c>
      <c r="AM283" s="47"/>
      <c r="AN283" s="285">
        <v>217</v>
      </c>
      <c r="AO283" s="285">
        <f>SUM(Table1[[#This Row],[Pipa 63 mm]:[Pipa 1,800 mm]])</f>
        <v>0</v>
      </c>
      <c r="AP283" s="285"/>
      <c r="AQ283" s="285"/>
      <c r="AR283" s="285"/>
      <c r="AS283" s="285"/>
      <c r="AT283" s="285"/>
      <c r="AU283" s="285"/>
      <c r="AV283" s="285"/>
      <c r="AW283" s="285"/>
      <c r="AX283" s="285"/>
      <c r="AY283" s="285"/>
      <c r="AZ283" s="285"/>
      <c r="BA283" s="285"/>
      <c r="BB283" s="285"/>
      <c r="BC283" s="285"/>
      <c r="BD283" s="285"/>
      <c r="BE283" s="285"/>
      <c r="BF283" s="285"/>
      <c r="BG283" s="285"/>
      <c r="BH283" s="285"/>
      <c r="BI283" s="285"/>
      <c r="BJ283" s="36">
        <f>SUM(Table1[[#This Row],[Pipa 63 mm2]:[Pipa 1,800 mm21]])</f>
        <v>0</v>
      </c>
      <c r="BK283" s="32"/>
      <c r="BL283" s="32"/>
      <c r="BM283" s="32"/>
      <c r="BN283" s="32"/>
      <c r="BO283" s="32"/>
      <c r="BP283" s="32"/>
      <c r="BQ283" s="32"/>
      <c r="BR283" s="32"/>
      <c r="BS283" s="32"/>
      <c r="BT283" s="32"/>
      <c r="BU283" s="32"/>
      <c r="BV283" s="32"/>
      <c r="BW283" s="32"/>
      <c r="BX283" s="32"/>
      <c r="BY283" s="32"/>
      <c r="BZ283" s="32"/>
      <c r="CA283" s="32"/>
      <c r="CB283" s="32"/>
      <c r="CC283" s="32"/>
      <c r="CD283" s="32"/>
      <c r="CE283" s="32">
        <v>0</v>
      </c>
      <c r="CF283" s="32"/>
      <c r="CG283" s="32"/>
      <c r="CH283" s="32"/>
      <c r="CI283" s="32">
        <f t="shared" si="13"/>
        <v>0</v>
      </c>
      <c r="CJ283" s="65">
        <f>IF((Table1[[#This Row],["Volume
BA MC-0"]]-Table1[[#This Row],[Total Panjang Pipa Aktual
(Sum-&gt;)3]]-Table1[[#This Row],[Total Volume
tidak dapat dipasang]])&gt;=0,Table1[[#This Row],["Volume
BA MC-0"]]-Table1[[#This Row],[Total Panjang Pipa Aktual
(Sum-&gt;)3]]-Table1[[#This Row],[Total Volume
tidak dapat dipasang]],0)</f>
        <v>217</v>
      </c>
      <c r="CK283" s="47"/>
      <c r="CL283" s="35" t="s">
        <v>1821</v>
      </c>
      <c r="CM283" s="35" t="s">
        <v>1821</v>
      </c>
      <c r="CN283" s="35" t="s">
        <v>1821</v>
      </c>
      <c r="CO283" s="35" t="s">
        <v>1821</v>
      </c>
      <c r="CP28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8.0431488699534023E-2</v>
      </c>
      <c r="CQ283" s="66">
        <f>IFERROR(Table1[[#This Row],[Progres Keg. Umum
(%)]]*Table1[[#This Row],[Nilai RAB Jaringan
(file pa aji)]],0)</f>
        <v>0</v>
      </c>
      <c r="CR283" s="66">
        <f>IFERROR(Table1[[#This Row],[Progres MOS
(%)]]*Table1[[#This Row],[Nilai RAB Jaringan
(file pa aji)]],0)</f>
        <v>0</v>
      </c>
      <c r="CS283" s="66">
        <f>IFERROR(Table1[[#This Row],[Progres Pemasangan
(%)]]*Table1[[#This Row],[Nilai RAB Jaringan
(file pa aji)]],0)</f>
        <v>0</v>
      </c>
      <c r="CT283" s="66">
        <f>IFERROR(Table1[[#This Row],[Progres Perizinan
(%)]]*Table1[[#This Row],[Nilai RAB Jaringan
(file pa aji)]],0)</f>
        <v>0</v>
      </c>
      <c r="CU283" s="329">
        <v>27966599.523534771</v>
      </c>
      <c r="CV283" s="329">
        <v>27966599.523534771</v>
      </c>
      <c r="CW283" s="583">
        <v>0</v>
      </c>
      <c r="CX283" s="329">
        <v>0</v>
      </c>
      <c r="CY283" s="47"/>
      <c r="CZ283" s="330">
        <v>45866</v>
      </c>
      <c r="DA283" s="330">
        <v>45893</v>
      </c>
      <c r="DB283" s="331">
        <v>45783</v>
      </c>
      <c r="DC283" s="316" t="s">
        <v>2229</v>
      </c>
      <c r="DD283" s="67">
        <v>347707098</v>
      </c>
      <c r="DE28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3" s="331">
        <v>45799</v>
      </c>
      <c r="DG283" s="316" t="s">
        <v>2230</v>
      </c>
      <c r="DH283" s="67">
        <v>347707098</v>
      </c>
      <c r="DI28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3" s="330">
        <v>45894</v>
      </c>
      <c r="DK283" s="330">
        <v>45956</v>
      </c>
      <c r="DL283" s="331">
        <v>45825</v>
      </c>
      <c r="DM283" s="316" t="s">
        <v>2231</v>
      </c>
      <c r="DN28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3" s="331">
        <v>45876</v>
      </c>
      <c r="DP283" s="316" t="s">
        <v>2232</v>
      </c>
      <c r="DQ283" s="338" t="s">
        <v>371</v>
      </c>
      <c r="DR28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3" s="330">
        <v>45894</v>
      </c>
      <c r="DT283" s="330" t="e">
        <v>#N/A</v>
      </c>
      <c r="DU283" s="330">
        <v>45935</v>
      </c>
      <c r="DV283" s="330" t="e">
        <v>#N/A</v>
      </c>
      <c r="DW283" s="331">
        <v>45825</v>
      </c>
      <c r="DX283" s="484" t="s">
        <v>2233</v>
      </c>
      <c r="DY283" s="334">
        <v>18</v>
      </c>
      <c r="DZ283" s="334">
        <v>18</v>
      </c>
      <c r="EA28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3" s="331"/>
      <c r="EC283" s="332">
        <v>17</v>
      </c>
      <c r="ED283" s="332">
        <v>17</v>
      </c>
      <c r="EE283" s="330"/>
      <c r="EF283" s="35">
        <v>0.94444444444444442</v>
      </c>
      <c r="EG283" s="35">
        <f>Table1[[#This Row],[Line PO (kolom  bantu)2]]/Table1[[#This Row],[Line PR]]</f>
        <v>0.94444444444444442</v>
      </c>
      <c r="EH283" s="316" t="str">
        <f>IF(Table1[[#This Row],[PO Material Aktual 
(%)]]&gt;=100%,"Selesai PO = 100%",IF(Table1[[#This Row],[PO Material Aktual 
(%)]]&gt;=50%,"Proses PO &gt; 100%",IF(Table1[[#This Row],[PO Material Aktual 
(%)]]&gt;0%,"Proses PO &gt; 50%",IF(Table1[[#This Row],[PO Material Aktual 
(%)]]=0,"Belum PO = 0%"))))</f>
        <v>Proses PO &gt; 100%</v>
      </c>
      <c r="EI28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3" s="330">
        <v>45936</v>
      </c>
      <c r="EK283" s="330" t="e">
        <v>#N/A</v>
      </c>
      <c r="EL283" s="330">
        <v>45984</v>
      </c>
      <c r="EM283" s="330" t="e">
        <v>#N/A</v>
      </c>
      <c r="EN283" s="331"/>
      <c r="EO283" s="332">
        <v>16</v>
      </c>
      <c r="EP283" s="316">
        <v>16</v>
      </c>
      <c r="EQ283" s="35">
        <v>0.88888888888888884</v>
      </c>
      <c r="ER283" s="35">
        <f>Table1[[#This Row],[Line MOS]]/Table1[[#This Row],[Line PR]]</f>
        <v>0.88888888888888884</v>
      </c>
      <c r="ES283" s="316" t="str">
        <f>IF(Table1[[#This Row],[Progres MOS]]&gt;=100%,"Selesai MOS = 100%",IF(Table1[[#This Row],[Progres MOS]]&gt;=50%,"Proses MOS &gt; 100%",IF(Table1[[#This Row],[Progres MOS]]&gt;0%,"Proses MOS &gt; 50%",IF(Table1[[#This Row],[Progres MOS]]=0,"Belum MOS = 0%"))))</f>
        <v>Proses MOS &gt; 100%</v>
      </c>
      <c r="ET28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3" s="47"/>
      <c r="EV283" s="330">
        <v>45894</v>
      </c>
      <c r="EW283" s="330" t="e">
        <v>#N/A</v>
      </c>
      <c r="EX283" s="330">
        <v>45984</v>
      </c>
      <c r="EY283" s="330" t="e">
        <v>#N/A</v>
      </c>
      <c r="EZ283" s="352" t="s">
        <v>298</v>
      </c>
      <c r="FA283" s="336" t="s">
        <v>259</v>
      </c>
      <c r="FB283" s="330" t="s">
        <v>260</v>
      </c>
      <c r="FC283" s="330"/>
      <c r="FD283" s="330" t="s">
        <v>260</v>
      </c>
      <c r="FE283" s="330">
        <v>45895</v>
      </c>
      <c r="FF283" s="330">
        <v>45919</v>
      </c>
      <c r="FG283" s="330" t="s">
        <v>260</v>
      </c>
      <c r="FH283" s="330" t="s">
        <v>260</v>
      </c>
      <c r="FI283" s="330">
        <v>46010</v>
      </c>
      <c r="FJ283" s="330" t="s">
        <v>260</v>
      </c>
      <c r="FK283" s="330">
        <v>46112</v>
      </c>
      <c r="FL283" s="336" t="s">
        <v>298</v>
      </c>
      <c r="FM283" s="336"/>
      <c r="FN283" s="314" t="str">
        <f>IF(Table1[[#This Row],[Tanggal Pengajuan Dokumen]]="","",Table1[[#This Row],[PLAN PERMIT
start]]-Table1[[#This Row],[Tanggal Pengajuan Dokumen]])</f>
        <v/>
      </c>
      <c r="FO283" s="437">
        <v>46086</v>
      </c>
      <c r="FP283" s="316"/>
      <c r="FQ283" s="338"/>
      <c r="FR283" s="338"/>
      <c r="FS283" s="338" t="str">
        <f t="shared" si="14"/>
        <v>Sudah Terbit</v>
      </c>
      <c r="FT28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3" s="344">
        <f ca="1">IF(Table1[[#This Row],[Status Izin]]="Selesai",Table1[[#This Row],[PLAN PERMIT
finish]]-Table1[[#This Row],[Tanggal Terbit/ Target Izin Terbit]],ROUNDUP(Table1[[#This Row],[PLAN PERMIT
finish]]-NOW(),0))</f>
        <v>-102</v>
      </c>
      <c r="FV28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3" s="344"/>
      <c r="FX283" s="47"/>
      <c r="FY283" s="340"/>
      <c r="FZ283" s="341"/>
      <c r="GA28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3" s="330">
        <v>45958</v>
      </c>
      <c r="GC283" s="438">
        <v>45961</v>
      </c>
      <c r="GD28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3" s="330">
        <v>45965</v>
      </c>
      <c r="GF283" s="438">
        <v>45961</v>
      </c>
      <c r="GG28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3" s="330">
        <v>45971</v>
      </c>
      <c r="GI283" s="330">
        <v>45977</v>
      </c>
      <c r="GJ283" s="352">
        <v>45975</v>
      </c>
      <c r="GK28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3" s="330">
        <v>45985</v>
      </c>
      <c r="GM283" s="330" t="e">
        <v>#N/A</v>
      </c>
      <c r="GN283" s="330">
        <v>46005</v>
      </c>
      <c r="GO283" s="330" t="e">
        <v>#N/A</v>
      </c>
      <c r="GP283" s="330"/>
      <c r="GQ28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3" s="330" t="s">
        <v>261</v>
      </c>
      <c r="GS283" s="330" t="s">
        <v>261</v>
      </c>
      <c r="GT283" s="354"/>
      <c r="GU283" s="344" t="str">
        <f>IF(Table1[[#This Row],[Hydro Tes Actual
(tanggal)]]&lt;&gt;"","Sudah","Belum")</f>
        <v>Belum</v>
      </c>
      <c r="GV283" s="330" t="s">
        <v>261</v>
      </c>
      <c r="GW283" s="330" t="s">
        <v>261</v>
      </c>
      <c r="GX283" s="331"/>
      <c r="GY283" s="344" t="str">
        <f>IF(Table1[[#This Row],[Interkoneksi Actual
(tanggal)]]&lt;&gt;"","Sudah","Belum")</f>
        <v>Belum</v>
      </c>
      <c r="GZ283" s="330" t="s">
        <v>261</v>
      </c>
      <c r="HA283" s="330" t="s">
        <v>261</v>
      </c>
      <c r="HB283" s="331"/>
      <c r="HC283" s="344" t="str">
        <f>IF(Table1[[#This Row],[Flushing Actual
(tanggal)]]&lt;&gt;"","Sudah","Belum")</f>
        <v>Belum</v>
      </c>
      <c r="HD283" s="330">
        <v>45992</v>
      </c>
      <c r="HE283" s="330" t="e">
        <v>#N/A</v>
      </c>
      <c r="HF283" s="330">
        <v>46005</v>
      </c>
      <c r="HG283" s="352"/>
      <c r="HH28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83" s="330" t="s">
        <v>261</v>
      </c>
      <c r="HJ283" s="330" t="s">
        <v>261</v>
      </c>
      <c r="HK283" s="331"/>
      <c r="HL283" s="316"/>
      <c r="HM283" s="330">
        <v>46010</v>
      </c>
      <c r="HN283" s="330">
        <v>46010</v>
      </c>
      <c r="HO283" s="330" t="e">
        <v>#N/A</v>
      </c>
      <c r="HP283" s="331"/>
      <c r="HQ28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83" s="330">
        <v>46017</v>
      </c>
      <c r="HS283" s="330"/>
      <c r="HT283" s="330">
        <v>46017</v>
      </c>
      <c r="HU283" s="330"/>
      <c r="HV283" s="331"/>
      <c r="HW28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83" s="47"/>
      <c r="HY283" s="352"/>
      <c r="HZ283" s="352"/>
      <c r="IB283" s="618">
        <f>IFERROR(ROUND((Table1[[#This Row],[PLAN TC
finish]]-Table1[[#This Row],[PLAN MC-0
start]])/30,2),"")</f>
        <v>1.1299999999999999</v>
      </c>
      <c r="IC283">
        <f>DATEDIF(Table1[[#This Row],[PLAN MC-0
start]],Table1[[#This Row],[PLAN TC
finish]],"m")</f>
        <v>1</v>
      </c>
    </row>
    <row r="284" spans="1:237" s="4" customFormat="1" ht="15" hidden="1" customHeight="1" x14ac:dyDescent="0.2">
      <c r="B284" s="311">
        <f>SUBTOTAL(3,$D$5:D284)</f>
        <v>84</v>
      </c>
      <c r="C284" s="316">
        <v>280</v>
      </c>
      <c r="D284" s="338" t="s">
        <v>244</v>
      </c>
      <c r="E284" s="338" t="s">
        <v>2234</v>
      </c>
      <c r="F284" s="338" t="s">
        <v>2235</v>
      </c>
      <c r="G284" s="349">
        <v>46117</v>
      </c>
      <c r="H284" s="338" t="s">
        <v>681</v>
      </c>
      <c r="I284" s="338" t="s">
        <v>278</v>
      </c>
      <c r="J284" s="480" t="s">
        <v>1818</v>
      </c>
      <c r="K284" s="338" t="s">
        <v>1165</v>
      </c>
      <c r="L284" s="316" t="s">
        <v>250</v>
      </c>
      <c r="M284" s="355" t="s">
        <v>269</v>
      </c>
      <c r="N284" s="107">
        <v>52</v>
      </c>
      <c r="O284" s="31" t="s">
        <v>252</v>
      </c>
      <c r="P28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84" s="35">
        <v>0.99999999999999967</v>
      </c>
      <c r="S284" s="34">
        <v>1</v>
      </c>
      <c r="T284" s="34">
        <f>Table1[[#This Row],[Progres Total Aktual
(%)]]</f>
        <v>0.80698473600977161</v>
      </c>
      <c r="U284" s="98">
        <f>Table1[[#This Row],[Progres Aktual
(%)]]-Table1[[#This Row],[Target Progres
(%)]]</f>
        <v>-0.19301526399022839</v>
      </c>
      <c r="V284" s="80">
        <f>Table1[[#This Row],["Volume
BA MC-0"]]</f>
        <v>55</v>
      </c>
      <c r="W284" s="46">
        <f>Table1[[#This Row],[Total Panjang Pipa Aktual
(Sum-&gt;)3]]</f>
        <v>71</v>
      </c>
      <c r="X284" s="47"/>
      <c r="Y284" s="67" t="s">
        <v>2236</v>
      </c>
      <c r="Z284" s="67">
        <v>158937786</v>
      </c>
      <c r="AA284" s="67">
        <f>ROUND((Table1[[#This Row],[Nilai RAB Jaringan
(Exclude Ppn)]]-Table1[[#This Row],[RAB Perizinan]])*1.11+Table1[[#This Row],[RAB Perizinan]],0)</f>
        <v>190642074</v>
      </c>
      <c r="AB284" s="486">
        <f>SUM(Table1[[#This Row],[RAB Kegiatan Umum]:[RAB Perizinan]])</f>
        <v>171801148</v>
      </c>
      <c r="AC284" s="436">
        <v>10812244</v>
      </c>
      <c r="AD284" s="436">
        <v>108122437</v>
      </c>
      <c r="AE284" s="436">
        <v>52346467</v>
      </c>
      <c r="AF284" s="436">
        <v>520000</v>
      </c>
      <c r="AG284" s="483">
        <v>2107039</v>
      </c>
      <c r="AH284" s="33">
        <f>SUM(Table1[[#This Row],[Bobot Keg Umum]:[Bobot Perizinan]])</f>
        <v>1</v>
      </c>
      <c r="AI284" s="33">
        <f>Table1[[#This Row],[RAB Kegiatan Umum]]/Table1[[#This Row],[Nilai RAB Jaringan
(Exclude Ppn)]]</f>
        <v>6.2934643486782751E-2</v>
      </c>
      <c r="AJ284" s="33">
        <f>Table1[[#This Row],[RAB Pemasangan]]/Table1[[#This Row],[Nilai RAB Jaringan
(Exclude Ppn)]]</f>
        <v>0.6293464174057789</v>
      </c>
      <c r="AK284" s="33">
        <f>Table1[[#This Row],[RAB Pengadaan]]/Table1[[#This Row],[Nilai RAB Jaringan
(Exclude Ppn)]]</f>
        <v>0.30469218401264697</v>
      </c>
      <c r="AL284" s="33">
        <f>Table1[[#This Row],[RAB Perizinan]]/Table1[[#This Row],[Nilai RAB Jaringan
(Exclude Ppn)]]</f>
        <v>3.026755094791334E-3</v>
      </c>
      <c r="AM284" s="47"/>
      <c r="AN284" s="285">
        <v>55</v>
      </c>
      <c r="AO284" s="285">
        <f>SUM(Table1[[#This Row],[Pipa 63 mm]:[Pipa 1,800 mm]])</f>
        <v>0</v>
      </c>
      <c r="AP284" s="285"/>
      <c r="AQ284" s="285"/>
      <c r="AR284" s="285"/>
      <c r="AS284" s="285"/>
      <c r="AT284" s="285"/>
      <c r="AU284" s="285"/>
      <c r="AV284" s="285"/>
      <c r="AW284" s="285"/>
      <c r="AX284" s="285"/>
      <c r="AY284" s="285"/>
      <c r="AZ284" s="285"/>
      <c r="BA284" s="285"/>
      <c r="BB284" s="285"/>
      <c r="BC284" s="285"/>
      <c r="BD284" s="285"/>
      <c r="BE284" s="285"/>
      <c r="BF284" s="285"/>
      <c r="BG284" s="285"/>
      <c r="BH284" s="285"/>
      <c r="BI284" s="285"/>
      <c r="BJ284" s="36">
        <f>SUM(Table1[[#This Row],[Pipa 63 mm2]:[Pipa 1,800 mm21]])</f>
        <v>71</v>
      </c>
      <c r="BK284" s="32"/>
      <c r="BL284" s="32"/>
      <c r="BM284" s="32"/>
      <c r="BN284" s="32">
        <v>71</v>
      </c>
      <c r="BO284" s="32"/>
      <c r="BP284" s="32"/>
      <c r="BQ284" s="32"/>
      <c r="BR284" s="32"/>
      <c r="BS284" s="32"/>
      <c r="BT284" s="32"/>
      <c r="BU284" s="32"/>
      <c r="BV284" s="32"/>
      <c r="BW284" s="32"/>
      <c r="BX284" s="32"/>
      <c r="BY284" s="32"/>
      <c r="BZ284" s="32"/>
      <c r="CA284" s="32"/>
      <c r="CB284" s="32"/>
      <c r="CC284" s="32"/>
      <c r="CD284" s="32"/>
      <c r="CE284" s="32">
        <v>0</v>
      </c>
      <c r="CF284" s="32"/>
      <c r="CG284" s="32"/>
      <c r="CH284" s="32"/>
      <c r="CI284" s="32">
        <f t="shared" si="13"/>
        <v>0</v>
      </c>
      <c r="CJ284" s="65">
        <f>IF((Table1[[#This Row],["Volume
BA MC-0"]]-Table1[[#This Row],[Total Panjang Pipa Aktual
(Sum-&gt;)3]]-Table1[[#This Row],[Total Volume
tidak dapat dipasang]])&gt;=0,Table1[[#This Row],["Volume
BA MC-0"]]-Table1[[#This Row],[Total Panjang Pipa Aktual
(Sum-&gt;)3]]-Table1[[#This Row],[Total Volume
tidak dapat dipasang]],0)</f>
        <v>0</v>
      </c>
      <c r="CK284" s="47"/>
      <c r="CL284" s="484" t="s">
        <v>1821</v>
      </c>
      <c r="CM284" s="34" t="s">
        <v>1821</v>
      </c>
      <c r="CN284" s="484" t="s">
        <v>1821</v>
      </c>
      <c r="CO284" s="484" t="s">
        <v>1821</v>
      </c>
      <c r="CP28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0.80698473600977161</v>
      </c>
      <c r="CQ284" s="66">
        <f>IFERROR(Table1[[#This Row],[Progres Keg. Umum
(%)]]*Table1[[#This Row],[Nilai RAB Jaringan
(file pa aji)]],0)</f>
        <v>0</v>
      </c>
      <c r="CR284" s="66">
        <f>IFERROR(Table1[[#This Row],[Progres MOS
(%)]]*Table1[[#This Row],[Nilai RAB Jaringan
(file pa aji)]],0)</f>
        <v>0</v>
      </c>
      <c r="CS284" s="66">
        <f>IFERROR(Table1[[#This Row],[Progres Pemasangan
(%)]]*Table1[[#This Row],[Nilai RAB Jaringan
(file pa aji)]],0)</f>
        <v>0</v>
      </c>
      <c r="CT284" s="66">
        <f>IFERROR(Table1[[#This Row],[Progres Perizinan
(%)]]*Table1[[#This Row],[Nilai RAB Jaringan
(file pa aji)]],0)</f>
        <v>0</v>
      </c>
      <c r="CU284" s="329">
        <v>153845243.75924534</v>
      </c>
      <c r="CV284" s="329">
        <v>153845243.75924534</v>
      </c>
      <c r="CW284" s="583">
        <v>0</v>
      </c>
      <c r="CX284" s="329">
        <v>0</v>
      </c>
      <c r="CY284" s="47"/>
      <c r="CZ284" s="330">
        <v>45866</v>
      </c>
      <c r="DA284" s="330">
        <v>45893</v>
      </c>
      <c r="DB284" s="331">
        <v>45783</v>
      </c>
      <c r="DC284" s="316" t="s">
        <v>2237</v>
      </c>
      <c r="DD284" s="67">
        <v>190642074</v>
      </c>
      <c r="DE28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4" s="331">
        <v>45803</v>
      </c>
      <c r="DG284" s="316" t="s">
        <v>2238</v>
      </c>
      <c r="DH284" s="67">
        <v>190642074</v>
      </c>
      <c r="DI28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4" s="330">
        <v>45894</v>
      </c>
      <c r="DK284" s="330">
        <v>45956</v>
      </c>
      <c r="DL284" s="331">
        <v>45832</v>
      </c>
      <c r="DM284" s="316" t="s">
        <v>2239</v>
      </c>
      <c r="DN28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4" s="331">
        <v>45876</v>
      </c>
      <c r="DP284" s="316" t="s">
        <v>2240</v>
      </c>
      <c r="DQ284" s="338" t="s">
        <v>371</v>
      </c>
      <c r="DR28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4" s="330">
        <v>45894</v>
      </c>
      <c r="DT284" s="330" t="e">
        <v>#N/A</v>
      </c>
      <c r="DU284" s="330">
        <v>45935</v>
      </c>
      <c r="DV284" s="330" t="e">
        <v>#N/A</v>
      </c>
      <c r="DW284" s="331">
        <v>45832</v>
      </c>
      <c r="DX284" s="484" t="s">
        <v>2241</v>
      </c>
      <c r="DY284" s="334">
        <v>19</v>
      </c>
      <c r="DZ284" s="334">
        <v>19</v>
      </c>
      <c r="EA28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4" s="331"/>
      <c r="EC284" s="332">
        <v>16</v>
      </c>
      <c r="ED284" s="332">
        <v>16</v>
      </c>
      <c r="EE284" s="330"/>
      <c r="EF284" s="35">
        <v>0.84210526315789469</v>
      </c>
      <c r="EG284" s="35">
        <f>Table1[[#This Row],[Line PO (kolom  bantu)2]]/Table1[[#This Row],[Line PR]]</f>
        <v>0.84210526315789469</v>
      </c>
      <c r="EH284" s="316" t="str">
        <f>IF(Table1[[#This Row],[PO Material Aktual 
(%)]]&gt;=100%,"Selesai PO = 100%",IF(Table1[[#This Row],[PO Material Aktual 
(%)]]&gt;=50%,"Proses PO &gt; 100%",IF(Table1[[#This Row],[PO Material Aktual 
(%)]]&gt;0%,"Proses PO &gt; 50%",IF(Table1[[#This Row],[PO Material Aktual 
(%)]]=0,"Belum PO = 0%"))))</f>
        <v>Proses PO &gt; 100%</v>
      </c>
      <c r="EI28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4" s="330">
        <v>45936</v>
      </c>
      <c r="EK284" s="330" t="e">
        <v>#N/A</v>
      </c>
      <c r="EL284" s="330">
        <v>45984</v>
      </c>
      <c r="EM284" s="330" t="e">
        <v>#N/A</v>
      </c>
      <c r="EN284" s="331"/>
      <c r="EO284" s="332">
        <v>16</v>
      </c>
      <c r="EP284" s="316">
        <v>16</v>
      </c>
      <c r="EQ284" s="35">
        <v>0.84210526315789469</v>
      </c>
      <c r="ER284" s="35">
        <f>Table1[[#This Row],[Line MOS]]/Table1[[#This Row],[Line PR]]</f>
        <v>0.84210526315789469</v>
      </c>
      <c r="ES284" s="316" t="str">
        <f>IF(Table1[[#This Row],[Progres MOS]]&gt;=100%,"Selesai MOS = 100%",IF(Table1[[#This Row],[Progres MOS]]&gt;=50%,"Proses MOS &gt; 100%",IF(Table1[[#This Row],[Progres MOS]]&gt;0%,"Proses MOS &gt; 50%",IF(Table1[[#This Row],[Progres MOS]]=0,"Belum MOS = 0%"))))</f>
        <v>Proses MOS &gt; 100%</v>
      </c>
      <c r="ET28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4" s="47"/>
      <c r="EV284" s="330">
        <v>45894</v>
      </c>
      <c r="EW284" s="330" t="e">
        <v>#N/A</v>
      </c>
      <c r="EX284" s="330">
        <v>45984</v>
      </c>
      <c r="EY284" s="330" t="e">
        <v>#N/A</v>
      </c>
      <c r="EZ284" s="352" t="s">
        <v>298</v>
      </c>
      <c r="FA284" s="336" t="s">
        <v>259</v>
      </c>
      <c r="FB284" s="330" t="s">
        <v>260</v>
      </c>
      <c r="FC284" s="330"/>
      <c r="FD284" s="330" t="s">
        <v>260</v>
      </c>
      <c r="FE284" s="330">
        <v>45895</v>
      </c>
      <c r="FF284" s="330">
        <v>45929</v>
      </c>
      <c r="FG284" s="330" t="s">
        <v>260</v>
      </c>
      <c r="FH284" s="330" t="s">
        <v>260</v>
      </c>
      <c r="FI284" s="330">
        <v>46010</v>
      </c>
      <c r="FJ284" s="330" t="s">
        <v>260</v>
      </c>
      <c r="FK284" s="330">
        <v>46093</v>
      </c>
      <c r="FL284" s="336" t="s">
        <v>298</v>
      </c>
      <c r="FM284" s="336"/>
      <c r="FN284" s="314" t="str">
        <f>IF(Table1[[#This Row],[Tanggal Pengajuan Dokumen]]="","",Table1[[#This Row],[PLAN PERMIT
start]]-Table1[[#This Row],[Tanggal Pengajuan Dokumen]])</f>
        <v/>
      </c>
      <c r="FO284" s="437">
        <v>46086</v>
      </c>
      <c r="FP284" s="316"/>
      <c r="FQ284" s="338"/>
      <c r="FR284" s="338"/>
      <c r="FS284" s="338" t="str">
        <f t="shared" si="14"/>
        <v>Sudah Terbit</v>
      </c>
      <c r="FT28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4" s="344">
        <f ca="1">IF(Table1[[#This Row],[Status Izin]]="Selesai",Table1[[#This Row],[PLAN PERMIT
finish]]-Table1[[#This Row],[Tanggal Terbit/ Target Izin Terbit]],ROUNDUP(Table1[[#This Row],[PLAN PERMIT
finish]]-NOW(),0))</f>
        <v>-102</v>
      </c>
      <c r="FV28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4" s="344"/>
      <c r="FX284" s="47"/>
      <c r="FY284" s="340"/>
      <c r="FZ284" s="341"/>
      <c r="GA28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4" s="330">
        <v>45958</v>
      </c>
      <c r="GC284" s="438">
        <v>45959</v>
      </c>
      <c r="GD28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4" s="330">
        <v>45965</v>
      </c>
      <c r="GF284" s="438">
        <v>45959</v>
      </c>
      <c r="GG28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4" s="330">
        <v>45971</v>
      </c>
      <c r="GI284" s="330">
        <v>45977</v>
      </c>
      <c r="GJ284" s="352">
        <v>45965</v>
      </c>
      <c r="GK28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4" s="330">
        <v>45985</v>
      </c>
      <c r="GM284" s="330" t="e">
        <v>#N/A</v>
      </c>
      <c r="GN284" s="330">
        <v>46005</v>
      </c>
      <c r="GO284" s="330" t="e">
        <v>#N/A</v>
      </c>
      <c r="GP284" s="330"/>
      <c r="GQ28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4" s="330" t="s">
        <v>261</v>
      </c>
      <c r="GS284" s="330" t="s">
        <v>261</v>
      </c>
      <c r="GT284" s="354">
        <v>46087</v>
      </c>
      <c r="GU284" s="344" t="str">
        <f>IF(Table1[[#This Row],[Hydro Tes Actual
(tanggal)]]&lt;&gt;"","Sudah","Belum")</f>
        <v>Sudah</v>
      </c>
      <c r="GV284" s="330" t="s">
        <v>261</v>
      </c>
      <c r="GW284" s="330" t="s">
        <v>261</v>
      </c>
      <c r="GX284" s="331">
        <v>46118</v>
      </c>
      <c r="GY284" s="344" t="str">
        <f>IF(Table1[[#This Row],[Interkoneksi Actual
(tanggal)]]&lt;&gt;"","Sudah","Belum")</f>
        <v>Sudah</v>
      </c>
      <c r="GZ284" s="330" t="s">
        <v>261</v>
      </c>
      <c r="HA284" s="330" t="s">
        <v>261</v>
      </c>
      <c r="HB284" s="331">
        <v>46121</v>
      </c>
      <c r="HC284" s="344" t="str">
        <f>IF(Table1[[#This Row],[Flushing Actual
(tanggal)]]&lt;&gt;"","Sudah","Belum")</f>
        <v>Sudah</v>
      </c>
      <c r="HD284" s="330">
        <v>45992</v>
      </c>
      <c r="HE284" s="330" t="e">
        <v>#N/A</v>
      </c>
      <c r="HF284" s="330">
        <v>46005</v>
      </c>
      <c r="HG284" s="352">
        <v>46129</v>
      </c>
      <c r="HH28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4" s="330" t="s">
        <v>261</v>
      </c>
      <c r="HJ284" s="330" t="s">
        <v>261</v>
      </c>
      <c r="HK284" s="331"/>
      <c r="HL284" s="316"/>
      <c r="HM284" s="330">
        <v>46010</v>
      </c>
      <c r="HN284" s="330">
        <v>46010</v>
      </c>
      <c r="HO284" s="330" t="e">
        <v>#N/A</v>
      </c>
      <c r="HP284" s="331"/>
      <c r="HQ284"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84" s="330">
        <v>46017</v>
      </c>
      <c r="HS284" s="330"/>
      <c r="HT284" s="330">
        <v>46017</v>
      </c>
      <c r="HU284" s="330"/>
      <c r="HV284" s="331"/>
      <c r="HW28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84" s="47"/>
      <c r="HY284" s="352"/>
      <c r="HZ284" s="352"/>
      <c r="IB284" s="618">
        <f>IFERROR(ROUND((Table1[[#This Row],[PLAN TC
finish]]-Table1[[#This Row],[PLAN MC-0
start]])/30,2),"")</f>
        <v>1.1299999999999999</v>
      </c>
      <c r="IC284">
        <f>DATEDIF(Table1[[#This Row],[PLAN MC-0
start]],Table1[[#This Row],[PLAN TC
finish]],"m")</f>
        <v>1</v>
      </c>
    </row>
    <row r="285" spans="1:237" s="4" customFormat="1" ht="15" hidden="1" customHeight="1" x14ac:dyDescent="0.2">
      <c r="B285" s="311">
        <f>SUBTOTAL(3,$D$5:D285)</f>
        <v>84</v>
      </c>
      <c r="C285" s="316">
        <v>281</v>
      </c>
      <c r="D285" s="338" t="s">
        <v>244</v>
      </c>
      <c r="E285" s="338" t="s">
        <v>2242</v>
      </c>
      <c r="F285" s="338" t="s">
        <v>2243</v>
      </c>
      <c r="G285" s="349">
        <v>46117</v>
      </c>
      <c r="H285" s="338" t="s">
        <v>681</v>
      </c>
      <c r="I285" s="338" t="s">
        <v>278</v>
      </c>
      <c r="J285" s="480" t="s">
        <v>1830</v>
      </c>
      <c r="K285" s="338" t="s">
        <v>1165</v>
      </c>
      <c r="L285" s="316" t="s">
        <v>250</v>
      </c>
      <c r="M285" s="355" t="s">
        <v>269</v>
      </c>
      <c r="N285" s="107">
        <v>96</v>
      </c>
      <c r="O285" s="31" t="s">
        <v>252</v>
      </c>
      <c r="P28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5" s="35">
        <v>1</v>
      </c>
      <c r="S285" s="34">
        <v>1</v>
      </c>
      <c r="T285" s="34">
        <f>Table1[[#This Row],[Progres Total Aktual
(%)]]</f>
        <v>1</v>
      </c>
      <c r="U285" s="98">
        <f>Table1[[#This Row],[Progres Aktual
(%)]]-Table1[[#This Row],[Target Progres
(%)]]</f>
        <v>0</v>
      </c>
      <c r="V285" s="80">
        <f>Table1[[#This Row],["Volume
BA MC-0"]]</f>
        <v>98.4</v>
      </c>
      <c r="W285" s="46">
        <f>Table1[[#This Row],[Total Panjang Pipa Aktual
(Sum-&gt;)3]]</f>
        <v>90</v>
      </c>
      <c r="X285" s="47"/>
      <c r="Y285" s="67" t="s">
        <v>2244</v>
      </c>
      <c r="Z285" s="67">
        <v>184312464</v>
      </c>
      <c r="AA285" s="67">
        <f>ROUND((Table1[[#This Row],[Nilai RAB Jaringan
(Exclude Ppn)]]-Table1[[#This Row],[RAB Perizinan]])*1.11+Table1[[#This Row],[RAB Perizinan]],0)</f>
        <v>184312464</v>
      </c>
      <c r="AB285" s="486">
        <f>SUM(Table1[[#This Row],[RAB Kegiatan Umum]:[RAB Perizinan]])</f>
        <v>166142400</v>
      </c>
      <c r="AC285" s="436">
        <v>11409377</v>
      </c>
      <c r="AD285" s="436">
        <v>114093770</v>
      </c>
      <c r="AE285" s="436">
        <v>39679253</v>
      </c>
      <c r="AF285" s="436">
        <v>960000</v>
      </c>
      <c r="AG285" s="483">
        <v>18963348</v>
      </c>
      <c r="AH285" s="33">
        <f>SUM(Table1[[#This Row],[Bobot Keg Umum]:[Bobot Perizinan]])</f>
        <v>0.99999999999999989</v>
      </c>
      <c r="AI285" s="33">
        <f>Table1[[#This Row],[RAB Kegiatan Umum]]/Table1[[#This Row],[Nilai RAB Jaringan
(Exclude Ppn)]]</f>
        <v>6.8672277516154817E-2</v>
      </c>
      <c r="AJ285" s="33">
        <f>Table1[[#This Row],[RAB Pemasangan]]/Table1[[#This Row],[Nilai RAB Jaringan
(Exclude Ppn)]]</f>
        <v>0.68672277516154812</v>
      </c>
      <c r="AK285" s="33">
        <f>Table1[[#This Row],[RAB Pengadaan]]/Table1[[#This Row],[Nilai RAB Jaringan
(Exclude Ppn)]]</f>
        <v>0.23882677149240653</v>
      </c>
      <c r="AL285" s="33">
        <f>Table1[[#This Row],[RAB Perizinan]]/Table1[[#This Row],[Nilai RAB Jaringan
(Exclude Ppn)]]</f>
        <v>5.7781758298905035E-3</v>
      </c>
      <c r="AM285" s="47"/>
      <c r="AN285" s="285">
        <v>98.4</v>
      </c>
      <c r="AO285" s="285">
        <f>SUM(Table1[[#This Row],[Pipa 63 mm]:[Pipa 1,800 mm]])</f>
        <v>0</v>
      </c>
      <c r="AP285" s="285"/>
      <c r="AQ285" s="285"/>
      <c r="AR285" s="285"/>
      <c r="AS285" s="285"/>
      <c r="AT285" s="285"/>
      <c r="AU285" s="285"/>
      <c r="AV285" s="285"/>
      <c r="AW285" s="285"/>
      <c r="AX285" s="285"/>
      <c r="AY285" s="285"/>
      <c r="AZ285" s="285"/>
      <c r="BA285" s="285"/>
      <c r="BB285" s="285"/>
      <c r="BC285" s="285"/>
      <c r="BD285" s="285"/>
      <c r="BE285" s="285"/>
      <c r="BF285" s="285"/>
      <c r="BG285" s="285"/>
      <c r="BH285" s="285"/>
      <c r="BI285" s="285"/>
      <c r="BJ285" s="36">
        <f>SUM(Table1[[#This Row],[Pipa 63 mm2]:[Pipa 1,800 mm21]])</f>
        <v>90</v>
      </c>
      <c r="BK285" s="32">
        <v>90</v>
      </c>
      <c r="BL285" s="32"/>
      <c r="BM285" s="32"/>
      <c r="BN285" s="32"/>
      <c r="BO285" s="32"/>
      <c r="BP285" s="32"/>
      <c r="BQ285" s="32"/>
      <c r="BR285" s="32"/>
      <c r="BS285" s="32"/>
      <c r="BT285" s="32"/>
      <c r="BU285" s="32"/>
      <c r="BV285" s="32"/>
      <c r="BW285" s="32"/>
      <c r="BX285" s="32"/>
      <c r="BY285" s="32"/>
      <c r="BZ285" s="32"/>
      <c r="CA285" s="32"/>
      <c r="CB285" s="32"/>
      <c r="CC285" s="32"/>
      <c r="CD285" s="32"/>
      <c r="CE285" s="32">
        <v>0</v>
      </c>
      <c r="CF285" s="32"/>
      <c r="CG285" s="32"/>
      <c r="CH285" s="32"/>
      <c r="CI285" s="32">
        <f t="shared" si="13"/>
        <v>0</v>
      </c>
      <c r="CJ285" s="65">
        <f>IF((Table1[[#This Row],["Volume
BA MC-0"]]-Table1[[#This Row],[Total Panjang Pipa Aktual
(Sum-&gt;)3]]-Table1[[#This Row],[Total Volume
tidak dapat dipasang]])&gt;=0,Table1[[#This Row],["Volume
BA MC-0"]]-Table1[[#This Row],[Total Panjang Pipa Aktual
(Sum-&gt;)3]]-Table1[[#This Row],[Total Volume
tidak dapat dipasang]],0)</f>
        <v>8.4000000000000057</v>
      </c>
      <c r="CK285" s="47"/>
      <c r="CL285" s="35" t="s">
        <v>1821</v>
      </c>
      <c r="CM285" s="35" t="s">
        <v>1821</v>
      </c>
      <c r="CN285" s="35" t="s">
        <v>1821</v>
      </c>
      <c r="CO285" s="35" t="s">
        <v>1821</v>
      </c>
      <c r="CP28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5" s="66">
        <f>IFERROR(Table1[[#This Row],[Progres Keg. Umum
(%)]]*Table1[[#This Row],[Nilai RAB Jaringan
(file pa aji)]],0)</f>
        <v>0</v>
      </c>
      <c r="CR285" s="66">
        <f>IFERROR(Table1[[#This Row],[Progres MOS
(%)]]*Table1[[#This Row],[Nilai RAB Jaringan
(file pa aji)]],0)</f>
        <v>0</v>
      </c>
      <c r="CS285" s="66">
        <f>IFERROR(Table1[[#This Row],[Progres Pemasangan
(%)]]*Table1[[#This Row],[Nilai RAB Jaringan
(file pa aji)]],0)</f>
        <v>0</v>
      </c>
      <c r="CT285" s="66">
        <f>IFERROR(Table1[[#This Row],[Progres Perizinan
(%)]]*Table1[[#This Row],[Nilai RAB Jaringan
(file pa aji)]],0)</f>
        <v>0</v>
      </c>
      <c r="CU285" s="329">
        <v>132209159</v>
      </c>
      <c r="CV285" s="329">
        <v>132209159</v>
      </c>
      <c r="CW285" s="583">
        <v>132209159</v>
      </c>
      <c r="CX285" s="329">
        <v>132209159</v>
      </c>
      <c r="CY285" s="47"/>
      <c r="CZ285" s="330">
        <v>45866</v>
      </c>
      <c r="DA285" s="330">
        <v>45893</v>
      </c>
      <c r="DB285" s="331">
        <v>45783</v>
      </c>
      <c r="DC285" s="316" t="s">
        <v>2245</v>
      </c>
      <c r="DD285" s="67">
        <v>184312464</v>
      </c>
      <c r="DE28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5" s="331">
        <v>45799</v>
      </c>
      <c r="DG285" s="316" t="s">
        <v>2246</v>
      </c>
      <c r="DH285" s="67">
        <v>184312464</v>
      </c>
      <c r="DI28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5" s="330">
        <v>45894</v>
      </c>
      <c r="DK285" s="330">
        <v>45956</v>
      </c>
      <c r="DL285" s="331">
        <v>45836</v>
      </c>
      <c r="DM285" s="316" t="s">
        <v>2247</v>
      </c>
      <c r="DN28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5" s="331">
        <v>45876</v>
      </c>
      <c r="DP285" s="316" t="s">
        <v>2248</v>
      </c>
      <c r="DQ285" s="338" t="s">
        <v>371</v>
      </c>
      <c r="DR28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5" s="330">
        <v>45894</v>
      </c>
      <c r="DT285" s="330" t="e">
        <v>#N/A</v>
      </c>
      <c r="DU285" s="330">
        <v>45935</v>
      </c>
      <c r="DV285" s="330" t="e">
        <v>#N/A</v>
      </c>
      <c r="DW285" s="331">
        <v>45836</v>
      </c>
      <c r="DX285" s="484" t="s">
        <v>2249</v>
      </c>
      <c r="DY285" s="332">
        <v>23</v>
      </c>
      <c r="DZ285" s="334">
        <v>23</v>
      </c>
      <c r="EA28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5" s="331">
        <v>46039</v>
      </c>
      <c r="EC285" s="332">
        <v>21</v>
      </c>
      <c r="ED285" s="332">
        <v>21</v>
      </c>
      <c r="EE285" s="425" t="s">
        <v>2250</v>
      </c>
      <c r="EF285" s="35">
        <v>1</v>
      </c>
      <c r="EG285" s="337">
        <v>1</v>
      </c>
      <c r="EH285" s="316" t="str">
        <f>IF(Table1[[#This Row],[PO Material Aktual 
(%)]]&gt;=100%,"Selesai PO = 100%",IF(Table1[[#This Row],[PO Material Aktual 
(%)]]&gt;=50%,"Proses PO &gt; 100%",IF(Table1[[#This Row],[PO Material Aktual 
(%)]]&gt;0%,"Proses PO &gt; 50%",IF(Table1[[#This Row],[PO Material Aktual 
(%)]]=0,"Belum PO = 0%"))))</f>
        <v>Selesai PO = 100%</v>
      </c>
      <c r="EI28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5" s="330">
        <v>45936</v>
      </c>
      <c r="EK285" s="330" t="e">
        <v>#N/A</v>
      </c>
      <c r="EL285" s="330">
        <v>45984</v>
      </c>
      <c r="EM285" s="330" t="e">
        <v>#N/A</v>
      </c>
      <c r="EN285" s="331">
        <v>46091</v>
      </c>
      <c r="EO285" s="332">
        <f>Table1[[#This Row],[Line PO]]</f>
        <v>21</v>
      </c>
      <c r="EP285" s="316">
        <v>21</v>
      </c>
      <c r="EQ285" s="35">
        <v>0.91304347826086951</v>
      </c>
      <c r="ER285" s="35">
        <f>Table1[[#This Row],[Line MOS]]/Table1[[#This Row],[Line PR]]</f>
        <v>0.91304347826086951</v>
      </c>
      <c r="ES285" s="316" t="str">
        <f>IF(Table1[[#This Row],[Progres MOS]]&gt;=100%,"Selesai MOS = 100%",IF(Table1[[#This Row],[Progres MOS]]&gt;=50%,"Proses MOS &gt; 100%",IF(Table1[[#This Row],[Progres MOS]]&gt;0%,"Proses MOS &gt; 50%",IF(Table1[[#This Row],[Progres MOS]]=0,"Belum MOS = 0%"))))</f>
        <v>Proses MOS &gt; 100%</v>
      </c>
      <c r="ET28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5" s="47"/>
      <c r="EV285" s="330">
        <v>45894</v>
      </c>
      <c r="EW285" s="330" t="e">
        <v>#N/A</v>
      </c>
      <c r="EX285" s="330">
        <v>45984</v>
      </c>
      <c r="EY285" s="330" t="e">
        <v>#N/A</v>
      </c>
      <c r="EZ285" s="352" t="s">
        <v>298</v>
      </c>
      <c r="FA285" s="336" t="s">
        <v>259</v>
      </c>
      <c r="FB285" s="330" t="s">
        <v>260</v>
      </c>
      <c r="FC285" s="330"/>
      <c r="FD285" s="330" t="s">
        <v>260</v>
      </c>
      <c r="FE285" s="330">
        <v>45895</v>
      </c>
      <c r="FF285" s="330">
        <v>45929</v>
      </c>
      <c r="FG285" s="330" t="s">
        <v>260</v>
      </c>
      <c r="FH285" s="330" t="s">
        <v>260</v>
      </c>
      <c r="FI285" s="330">
        <v>46010</v>
      </c>
      <c r="FJ285" s="330" t="s">
        <v>260</v>
      </c>
      <c r="FK285" s="330">
        <v>46093</v>
      </c>
      <c r="FL285" s="336" t="s">
        <v>298</v>
      </c>
      <c r="FM285" s="336"/>
      <c r="FN285" s="314" t="str">
        <f>IF(Table1[[#This Row],[Tanggal Pengajuan Dokumen]]="","",Table1[[#This Row],[PLAN PERMIT
start]]-Table1[[#This Row],[Tanggal Pengajuan Dokumen]])</f>
        <v/>
      </c>
      <c r="FO285" s="437">
        <v>46086</v>
      </c>
      <c r="FP285" s="316"/>
      <c r="FQ285" s="338"/>
      <c r="FR285" s="338"/>
      <c r="FS285" s="338" t="str">
        <f t="shared" si="14"/>
        <v>Sudah Terbit</v>
      </c>
      <c r="FT28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5" s="344">
        <f ca="1">IF(Table1[[#This Row],[Status Izin]]="Selesai",Table1[[#This Row],[PLAN PERMIT
finish]]-Table1[[#This Row],[Tanggal Terbit/ Target Izin Terbit]],ROUNDUP(Table1[[#This Row],[PLAN PERMIT
finish]]-NOW(),0))</f>
        <v>-102</v>
      </c>
      <c r="FV28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5" s="344"/>
      <c r="FX285" s="47"/>
      <c r="FY285" s="340"/>
      <c r="FZ285" s="341"/>
      <c r="GA28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5" s="330">
        <v>45958</v>
      </c>
      <c r="GC285" s="438">
        <v>45959</v>
      </c>
      <c r="GD28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5" s="330">
        <v>45965</v>
      </c>
      <c r="GF285" s="438">
        <v>45959</v>
      </c>
      <c r="GG28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5" s="330">
        <v>45971</v>
      </c>
      <c r="GI285" s="330">
        <v>45977</v>
      </c>
      <c r="GJ285" s="352">
        <v>45965</v>
      </c>
      <c r="GK28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5" s="330">
        <v>45985</v>
      </c>
      <c r="GM285" s="330" t="e">
        <v>#N/A</v>
      </c>
      <c r="GN285" s="330">
        <v>46005</v>
      </c>
      <c r="GO285" s="330" t="e">
        <v>#N/A</v>
      </c>
      <c r="GP285" s="330"/>
      <c r="GQ28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5" s="330" t="s">
        <v>261</v>
      </c>
      <c r="GS285" s="330" t="s">
        <v>261</v>
      </c>
      <c r="GT285" s="354">
        <v>45983</v>
      </c>
      <c r="GU285" s="344" t="str">
        <f>IF(Table1[[#This Row],[Hydro Tes Actual
(tanggal)]]&lt;&gt;"","Sudah","Belum")</f>
        <v>Sudah</v>
      </c>
      <c r="GV285" s="330" t="s">
        <v>261</v>
      </c>
      <c r="GW285" s="330" t="s">
        <v>261</v>
      </c>
      <c r="GX285" s="331">
        <v>45983</v>
      </c>
      <c r="GY285" s="344" t="str">
        <f>IF(Table1[[#This Row],[Interkoneksi Actual
(tanggal)]]&lt;&gt;"","Sudah","Belum")</f>
        <v>Sudah</v>
      </c>
      <c r="GZ285" s="330" t="s">
        <v>261</v>
      </c>
      <c r="HA285" s="330" t="s">
        <v>261</v>
      </c>
      <c r="HB285" s="331">
        <v>45984</v>
      </c>
      <c r="HC285" s="344" t="str">
        <f>IF(Table1[[#This Row],[Flushing Actual
(tanggal)]]&lt;&gt;"","Sudah","Belum")</f>
        <v>Sudah</v>
      </c>
      <c r="HD285" s="330">
        <v>45992</v>
      </c>
      <c r="HE285" s="330" t="e">
        <v>#N/A</v>
      </c>
      <c r="HF285" s="330">
        <v>46005</v>
      </c>
      <c r="HG285" s="352">
        <v>46006</v>
      </c>
      <c r="HH28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5" s="330" t="s">
        <v>261</v>
      </c>
      <c r="HJ285" s="330" t="s">
        <v>261</v>
      </c>
      <c r="HK285" s="331"/>
      <c r="HL285" s="316"/>
      <c r="HM285" s="330">
        <v>46010</v>
      </c>
      <c r="HN285" s="330">
        <v>46010</v>
      </c>
      <c r="HO285" s="330" t="e">
        <v>#N/A</v>
      </c>
      <c r="HP285" s="331">
        <v>46057</v>
      </c>
      <c r="HQ285"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85" s="330">
        <v>46017</v>
      </c>
      <c r="HS285" s="330"/>
      <c r="HT285" s="330">
        <v>46017</v>
      </c>
      <c r="HU285" s="330"/>
      <c r="HV285" s="331">
        <v>46064</v>
      </c>
      <c r="HW28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85" s="47"/>
      <c r="HY285" s="352"/>
      <c r="HZ285" s="352"/>
      <c r="IB285" s="618">
        <f>IFERROR(ROUND((Table1[[#This Row],[PLAN TC
finish]]-Table1[[#This Row],[PLAN MC-0
start]])/30,2),"")</f>
        <v>1.1299999999999999</v>
      </c>
      <c r="IC285">
        <f>DATEDIF(Table1[[#This Row],[PLAN MC-0
start]],Table1[[#This Row],[PLAN TC
finish]],"m")</f>
        <v>1</v>
      </c>
    </row>
    <row r="286" spans="1:237" s="4" customFormat="1" ht="15" hidden="1" customHeight="1" x14ac:dyDescent="0.2">
      <c r="B286" s="311">
        <f>SUBTOTAL(3,$D$5:D286)</f>
        <v>84</v>
      </c>
      <c r="C286" s="316">
        <v>282</v>
      </c>
      <c r="D286" s="338" t="s">
        <v>244</v>
      </c>
      <c r="E286" s="338" t="s">
        <v>2251</v>
      </c>
      <c r="F286" s="338" t="s">
        <v>2252</v>
      </c>
      <c r="G286" s="349">
        <v>46117</v>
      </c>
      <c r="H286" s="338" t="s">
        <v>681</v>
      </c>
      <c r="I286" s="338" t="s">
        <v>278</v>
      </c>
      <c r="J286" s="480" t="s">
        <v>1830</v>
      </c>
      <c r="K286" s="338" t="s">
        <v>1165</v>
      </c>
      <c r="L286" s="316" t="s">
        <v>250</v>
      </c>
      <c r="M286" s="355" t="s">
        <v>269</v>
      </c>
      <c r="N286" s="107">
        <v>114</v>
      </c>
      <c r="O286" s="31" t="s">
        <v>252</v>
      </c>
      <c r="P28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6" s="35">
        <v>1</v>
      </c>
      <c r="S286" s="34">
        <v>1</v>
      </c>
      <c r="T286" s="34">
        <f>Table1[[#This Row],[Progres Total Aktual
(%)]]</f>
        <v>1</v>
      </c>
      <c r="U286" s="98">
        <f>Table1[[#This Row],[Progres Aktual
(%)]]-Table1[[#This Row],[Target Progres
(%)]]</f>
        <v>0</v>
      </c>
      <c r="V286" s="80">
        <f>Table1[[#This Row],["Volume
BA MC-0"]]</f>
        <v>70</v>
      </c>
      <c r="W286" s="46">
        <f>Table1[[#This Row],[Total Panjang Pipa Aktual
(Sum-&gt;)3]]</f>
        <v>114</v>
      </c>
      <c r="X286" s="47"/>
      <c r="Y286" s="67" t="s">
        <v>2253</v>
      </c>
      <c r="Z286" s="67">
        <v>151164936</v>
      </c>
      <c r="AA286" s="67">
        <f>ROUND((Table1[[#This Row],[Nilai RAB Jaringan
(Exclude Ppn)]]-Table1[[#This Row],[RAB Perizinan]])*1.11+Table1[[#This Row],[RAB Perizinan]],0)</f>
        <v>190402526</v>
      </c>
      <c r="AB286" s="486">
        <f>SUM(Table1[[#This Row],[RAB Kegiatan Umum]:[RAB Perizinan]])</f>
        <v>171646780</v>
      </c>
      <c r="AC286" s="436">
        <v>12180094</v>
      </c>
      <c r="AD286" s="436">
        <v>121800938</v>
      </c>
      <c r="AE286" s="436">
        <v>36525748</v>
      </c>
      <c r="AF286" s="436">
        <v>1140000</v>
      </c>
      <c r="AG286" s="483">
        <v>25284464</v>
      </c>
      <c r="AH286" s="33">
        <f>SUM(Table1[[#This Row],[Bobot Keg Umum]:[Bobot Perizinan]])</f>
        <v>1</v>
      </c>
      <c r="AI286" s="33">
        <f>Table1[[#This Row],[RAB Kegiatan Umum]]/Table1[[#This Row],[Nilai RAB Jaringan
(Exclude Ppn)]]</f>
        <v>7.0960224246560288E-2</v>
      </c>
      <c r="AJ286" s="33">
        <f>Table1[[#This Row],[RAB Pemasangan]]/Table1[[#This Row],[Nilai RAB Jaringan
(Exclude Ppn)]]</f>
        <v>0.70960223081376772</v>
      </c>
      <c r="AK286" s="33">
        <f>Table1[[#This Row],[RAB Pengadaan]]/Table1[[#This Row],[Nilai RAB Jaringan
(Exclude Ppn)]]</f>
        <v>0.21279599885299333</v>
      </c>
      <c r="AL286" s="33">
        <f>Table1[[#This Row],[RAB Perizinan]]/Table1[[#This Row],[Nilai RAB Jaringan
(Exclude Ppn)]]</f>
        <v>6.6415460866787015E-3</v>
      </c>
      <c r="AM286" s="47"/>
      <c r="AN286" s="285">
        <v>70</v>
      </c>
      <c r="AO286" s="285">
        <f>SUM(Table1[[#This Row],[Pipa 63 mm]:[Pipa 1,800 mm]])</f>
        <v>0</v>
      </c>
      <c r="AP286" s="285"/>
      <c r="AQ286" s="285"/>
      <c r="AR286" s="285"/>
      <c r="AS286" s="285"/>
      <c r="AT286" s="285"/>
      <c r="AU286" s="285"/>
      <c r="AV286" s="285"/>
      <c r="AW286" s="285"/>
      <c r="AX286" s="285"/>
      <c r="AY286" s="285"/>
      <c r="AZ286" s="285"/>
      <c r="BA286" s="285"/>
      <c r="BB286" s="285"/>
      <c r="BC286" s="285"/>
      <c r="BD286" s="285"/>
      <c r="BE286" s="285"/>
      <c r="BF286" s="285"/>
      <c r="BG286" s="285"/>
      <c r="BH286" s="285"/>
      <c r="BI286" s="285"/>
      <c r="BJ286" s="36">
        <f>SUM(Table1[[#This Row],[Pipa 63 mm2]:[Pipa 1,800 mm21]])</f>
        <v>114</v>
      </c>
      <c r="BK286" s="32">
        <v>114</v>
      </c>
      <c r="BL286" s="32"/>
      <c r="BM286" s="32"/>
      <c r="BN286" s="32"/>
      <c r="BO286" s="32"/>
      <c r="BP286" s="32"/>
      <c r="BQ286" s="32"/>
      <c r="BR286" s="32"/>
      <c r="BS286" s="32"/>
      <c r="BT286" s="32"/>
      <c r="BU286" s="32"/>
      <c r="BV286" s="32"/>
      <c r="BW286" s="32"/>
      <c r="BX286" s="32"/>
      <c r="BY286" s="32"/>
      <c r="BZ286" s="32"/>
      <c r="CA286" s="32"/>
      <c r="CB286" s="32"/>
      <c r="CC286" s="32"/>
      <c r="CD286" s="32"/>
      <c r="CE286" s="32">
        <v>0</v>
      </c>
      <c r="CF286" s="32"/>
      <c r="CG286" s="32"/>
      <c r="CH286" s="32"/>
      <c r="CI286" s="32">
        <f t="shared" si="13"/>
        <v>0</v>
      </c>
      <c r="CJ286" s="65">
        <f>IF((Table1[[#This Row],["Volume
BA MC-0"]]-Table1[[#This Row],[Total Panjang Pipa Aktual
(Sum-&gt;)3]]-Table1[[#This Row],[Total Volume
tidak dapat dipasang]])&gt;=0,Table1[[#This Row],["Volume
BA MC-0"]]-Table1[[#This Row],[Total Panjang Pipa Aktual
(Sum-&gt;)3]]-Table1[[#This Row],[Total Volume
tidak dapat dipasang]],0)</f>
        <v>0</v>
      </c>
      <c r="CK286" s="47"/>
      <c r="CL286" s="484" t="s">
        <v>1821</v>
      </c>
      <c r="CM286" s="34" t="s">
        <v>1821</v>
      </c>
      <c r="CN286" s="484" t="s">
        <v>1821</v>
      </c>
      <c r="CO286" s="484" t="s">
        <v>1821</v>
      </c>
      <c r="CP28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6" s="66">
        <f>IFERROR(Table1[[#This Row],[Progres Keg. Umum
(%)]]*Table1[[#This Row],[Nilai RAB Jaringan
(file pa aji)]],0)</f>
        <v>0</v>
      </c>
      <c r="CR286" s="66">
        <f>IFERROR(Table1[[#This Row],[Progres MOS
(%)]]*Table1[[#This Row],[Nilai RAB Jaringan
(file pa aji)]],0)</f>
        <v>0</v>
      </c>
      <c r="CS286" s="66">
        <f>IFERROR(Table1[[#This Row],[Progres Pemasangan
(%)]]*Table1[[#This Row],[Nilai RAB Jaringan
(file pa aji)]],0)</f>
        <v>0</v>
      </c>
      <c r="CT286" s="66">
        <f>IFERROR(Table1[[#This Row],[Progres Perizinan
(%)]]*Table1[[#This Row],[Nilai RAB Jaringan
(file pa aji)]],0)</f>
        <v>0</v>
      </c>
      <c r="CU286" s="329">
        <v>153096185</v>
      </c>
      <c r="CV286" s="329">
        <v>153096185</v>
      </c>
      <c r="CW286" s="583">
        <v>153096185</v>
      </c>
      <c r="CX286" s="329">
        <v>153096185</v>
      </c>
      <c r="CY286" s="47"/>
      <c r="CZ286" s="330">
        <v>45866</v>
      </c>
      <c r="DA286" s="330">
        <v>45893</v>
      </c>
      <c r="DB286" s="331">
        <v>45783</v>
      </c>
      <c r="DC286" s="316" t="s">
        <v>2254</v>
      </c>
      <c r="DD286" s="67">
        <v>190402525</v>
      </c>
      <c r="DE28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6" s="331">
        <v>45799</v>
      </c>
      <c r="DG286" s="316" t="s">
        <v>2255</v>
      </c>
      <c r="DH286" s="67">
        <v>190402525</v>
      </c>
      <c r="DI28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6" s="330">
        <v>45894</v>
      </c>
      <c r="DK286" s="330">
        <v>45956</v>
      </c>
      <c r="DL286" s="331">
        <v>45836</v>
      </c>
      <c r="DM286" s="316" t="s">
        <v>2256</v>
      </c>
      <c r="DN28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6" s="331">
        <v>45876</v>
      </c>
      <c r="DP286" s="316" t="s">
        <v>2257</v>
      </c>
      <c r="DQ286" s="338" t="s">
        <v>371</v>
      </c>
      <c r="DR28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6" s="330">
        <v>45894</v>
      </c>
      <c r="DT286" s="330" t="e">
        <v>#N/A</v>
      </c>
      <c r="DU286" s="330">
        <v>45935</v>
      </c>
      <c r="DV286" s="330" t="e">
        <v>#N/A</v>
      </c>
      <c r="DW286" s="331">
        <v>45890</v>
      </c>
      <c r="DX286" s="484" t="s">
        <v>2258</v>
      </c>
      <c r="DY286" s="332">
        <v>33</v>
      </c>
      <c r="DZ286" s="334">
        <v>33</v>
      </c>
      <c r="EA28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6" s="331">
        <v>46039</v>
      </c>
      <c r="EC286" s="332">
        <v>30</v>
      </c>
      <c r="ED286" s="332">
        <v>30</v>
      </c>
      <c r="EE286" s="425" t="s">
        <v>2259</v>
      </c>
      <c r="EF286" s="35">
        <v>1</v>
      </c>
      <c r="EG286" s="337">
        <v>1</v>
      </c>
      <c r="EH286" s="316" t="str">
        <f>IF(Table1[[#This Row],[PO Material Aktual 
(%)]]&gt;=100%,"Selesai PO = 100%",IF(Table1[[#This Row],[PO Material Aktual 
(%)]]&gt;=50%,"Proses PO &gt; 100%",IF(Table1[[#This Row],[PO Material Aktual 
(%)]]&gt;0%,"Proses PO &gt; 50%",IF(Table1[[#This Row],[PO Material Aktual 
(%)]]=0,"Belum PO = 0%"))))</f>
        <v>Selesai PO = 100%</v>
      </c>
      <c r="EI28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6" s="330">
        <v>45936</v>
      </c>
      <c r="EK286" s="330" t="e">
        <v>#N/A</v>
      </c>
      <c r="EL286" s="330">
        <v>45984</v>
      </c>
      <c r="EM286" s="330" t="e">
        <v>#N/A</v>
      </c>
      <c r="EN286" s="331">
        <v>46091</v>
      </c>
      <c r="EO286" s="332">
        <f>Table1[[#This Row],[Line PO]]</f>
        <v>30</v>
      </c>
      <c r="EP286" s="316">
        <v>30</v>
      </c>
      <c r="EQ286" s="35">
        <v>0.90909090909090906</v>
      </c>
      <c r="ER286" s="35">
        <f>Table1[[#This Row],[Line MOS]]/Table1[[#This Row],[Line PR]]</f>
        <v>0.90909090909090906</v>
      </c>
      <c r="ES286" s="316" t="str">
        <f>IF(Table1[[#This Row],[Progres MOS]]&gt;=100%,"Selesai MOS = 100%",IF(Table1[[#This Row],[Progres MOS]]&gt;=50%,"Proses MOS &gt; 100%",IF(Table1[[#This Row],[Progres MOS]]&gt;0%,"Proses MOS &gt; 50%",IF(Table1[[#This Row],[Progres MOS]]=0,"Belum MOS = 0%"))))</f>
        <v>Proses MOS &gt; 100%</v>
      </c>
      <c r="ET28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6" s="47"/>
      <c r="EV286" s="330">
        <v>45894</v>
      </c>
      <c r="EW286" s="330" t="e">
        <v>#N/A</v>
      </c>
      <c r="EX286" s="330">
        <v>45984</v>
      </c>
      <c r="EY286" s="330" t="e">
        <v>#N/A</v>
      </c>
      <c r="EZ286" s="352" t="s">
        <v>298</v>
      </c>
      <c r="FA286" s="336" t="s">
        <v>298</v>
      </c>
      <c r="FB286" s="330" t="s">
        <v>260</v>
      </c>
      <c r="FC286" s="330"/>
      <c r="FD286" s="330" t="s">
        <v>260</v>
      </c>
      <c r="FE286" s="330">
        <v>45895</v>
      </c>
      <c r="FF286" s="330">
        <v>45919</v>
      </c>
      <c r="FG286" s="330" t="s">
        <v>260</v>
      </c>
      <c r="FH286" s="330" t="s">
        <v>260</v>
      </c>
      <c r="FI286" s="330">
        <v>46010</v>
      </c>
      <c r="FJ286" s="330" t="s">
        <v>260</v>
      </c>
      <c r="FK286" s="330"/>
      <c r="FL286" s="336" t="s">
        <v>298</v>
      </c>
      <c r="FM286" s="336"/>
      <c r="FN286" s="314" t="str">
        <f>IF(Table1[[#This Row],[Tanggal Pengajuan Dokumen]]="","",Table1[[#This Row],[PLAN PERMIT
start]]-Table1[[#This Row],[Tanggal Pengajuan Dokumen]])</f>
        <v/>
      </c>
      <c r="FO286" s="437">
        <v>46086</v>
      </c>
      <c r="FP286" s="316"/>
      <c r="FQ286" s="338"/>
      <c r="FR286" s="338"/>
      <c r="FS286" s="338" t="str">
        <f t="shared" si="14"/>
        <v>On Going</v>
      </c>
      <c r="FT28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86" s="344">
        <f ca="1">IF(Table1[[#This Row],[Status Izin]]="Selesai",Table1[[#This Row],[PLAN PERMIT
finish]]-Table1[[#This Row],[Tanggal Terbit/ Target Izin Terbit]],ROUNDUP(Table1[[#This Row],[PLAN PERMIT
finish]]-NOW(),0))</f>
        <v>-207</v>
      </c>
      <c r="FV28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6" s="344"/>
      <c r="FX286" s="47"/>
      <c r="FY286" s="340"/>
      <c r="FZ286" s="341"/>
      <c r="GA28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6" s="330">
        <v>45958</v>
      </c>
      <c r="GC286" s="352">
        <v>45922</v>
      </c>
      <c r="GD28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6" s="330">
        <v>45965</v>
      </c>
      <c r="GF286" s="352">
        <v>45922</v>
      </c>
      <c r="GG28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6" s="330">
        <v>45971</v>
      </c>
      <c r="GI286" s="330">
        <v>45977</v>
      </c>
      <c r="GJ286" s="438">
        <v>45950</v>
      </c>
      <c r="GK28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6" s="330">
        <v>45985</v>
      </c>
      <c r="GM286" s="330" t="e">
        <v>#N/A</v>
      </c>
      <c r="GN286" s="330">
        <v>46005</v>
      </c>
      <c r="GO286" s="330" t="e">
        <v>#N/A</v>
      </c>
      <c r="GP286" s="330"/>
      <c r="GQ28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6" s="330" t="s">
        <v>261</v>
      </c>
      <c r="GS286" s="330" t="s">
        <v>261</v>
      </c>
      <c r="GT286" s="354">
        <v>46029</v>
      </c>
      <c r="GU286" s="344" t="str">
        <f>IF(Table1[[#This Row],[Hydro Tes Actual
(tanggal)]]&lt;&gt;"","Sudah","Belum")</f>
        <v>Sudah</v>
      </c>
      <c r="GV286" s="330" t="s">
        <v>261</v>
      </c>
      <c r="GW286" s="330" t="s">
        <v>261</v>
      </c>
      <c r="GX286" s="331">
        <v>46028</v>
      </c>
      <c r="GY286" s="344" t="str">
        <f>IF(Table1[[#This Row],[Interkoneksi Actual
(tanggal)]]&lt;&gt;"","Sudah","Belum")</f>
        <v>Sudah</v>
      </c>
      <c r="GZ286" s="330" t="s">
        <v>261</v>
      </c>
      <c r="HA286" s="330" t="s">
        <v>261</v>
      </c>
      <c r="HB286" s="331">
        <v>46034</v>
      </c>
      <c r="HC286" s="344" t="str">
        <f>IF(Table1[[#This Row],[Flushing Actual
(tanggal)]]&lt;&gt;"","Sudah","Belum")</f>
        <v>Sudah</v>
      </c>
      <c r="HD286" s="330">
        <v>45992</v>
      </c>
      <c r="HE286" s="330" t="e">
        <v>#N/A</v>
      </c>
      <c r="HF286" s="330">
        <v>46005</v>
      </c>
      <c r="HG286" s="352">
        <v>46041</v>
      </c>
      <c r="HH28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6" s="330" t="s">
        <v>261</v>
      </c>
      <c r="HJ286" s="330" t="s">
        <v>261</v>
      </c>
      <c r="HK286" s="331"/>
      <c r="HL286" s="316"/>
      <c r="HM286" s="330">
        <v>46010</v>
      </c>
      <c r="HN286" s="330">
        <v>46010</v>
      </c>
      <c r="HO286" s="330" t="e">
        <v>#N/A</v>
      </c>
      <c r="HP286" s="331">
        <v>46106</v>
      </c>
      <c r="HQ286"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86" s="330">
        <v>46017</v>
      </c>
      <c r="HS286" s="330"/>
      <c r="HT286" s="330">
        <v>46017</v>
      </c>
      <c r="HU286" s="330"/>
      <c r="HV286" s="331">
        <v>46107</v>
      </c>
      <c r="HW28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86" s="47"/>
      <c r="HY286" s="352"/>
      <c r="HZ286" s="352"/>
      <c r="IB286" s="618">
        <f>IFERROR(ROUND((Table1[[#This Row],[PLAN TC
finish]]-Table1[[#This Row],[PLAN MC-0
start]])/30,2),"")</f>
        <v>1.1299999999999999</v>
      </c>
      <c r="IC286">
        <f>DATEDIF(Table1[[#This Row],[PLAN MC-0
start]],Table1[[#This Row],[PLAN TC
finish]],"m")</f>
        <v>1</v>
      </c>
    </row>
    <row r="287" spans="1:237" s="4" customFormat="1" ht="15" hidden="1" customHeight="1" x14ac:dyDescent="0.2">
      <c r="B287" s="311">
        <f>SUBTOTAL(3,$D$5:D287)</f>
        <v>84</v>
      </c>
      <c r="C287" s="316">
        <v>283</v>
      </c>
      <c r="D287" s="338" t="s">
        <v>244</v>
      </c>
      <c r="E287" s="338" t="s">
        <v>2260</v>
      </c>
      <c r="F287" s="338" t="s">
        <v>2261</v>
      </c>
      <c r="G287" s="349">
        <v>46117</v>
      </c>
      <c r="H287" s="338" t="s">
        <v>681</v>
      </c>
      <c r="I287" s="338" t="s">
        <v>278</v>
      </c>
      <c r="J287" s="480" t="s">
        <v>1818</v>
      </c>
      <c r="K287" s="338" t="s">
        <v>1165</v>
      </c>
      <c r="L287" s="316" t="s">
        <v>250</v>
      </c>
      <c r="M287" s="355" t="s">
        <v>269</v>
      </c>
      <c r="N287" s="107">
        <v>59</v>
      </c>
      <c r="O287" s="31" t="s">
        <v>252</v>
      </c>
      <c r="P28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87" s="35">
        <v>0.99999999999999978</v>
      </c>
      <c r="S287" s="34">
        <v>1</v>
      </c>
      <c r="T287" s="34">
        <f>Table1[[#This Row],[Progres Total Aktual
(%)]]</f>
        <v>0.37312954611392407</v>
      </c>
      <c r="U287" s="98">
        <f>Table1[[#This Row],[Progres Aktual
(%)]]-Table1[[#This Row],[Target Progres
(%)]]</f>
        <v>-0.62687045388607587</v>
      </c>
      <c r="V287" s="80">
        <f>Table1[[#This Row],["Volume
BA MC-0"]]</f>
        <v>61.3</v>
      </c>
      <c r="W287" s="46">
        <f>Table1[[#This Row],[Total Panjang Pipa Aktual
(Sum-&gt;)3]]</f>
        <v>35</v>
      </c>
      <c r="X287" s="47"/>
      <c r="Y287" s="67" t="s">
        <v>2262</v>
      </c>
      <c r="Z287" s="67">
        <v>106576466</v>
      </c>
      <c r="AA287" s="67">
        <f>ROUND((Table1[[#This Row],[Nilai RAB Jaringan
(Exclude Ppn)]]-Table1[[#This Row],[RAB Perizinan]])*1.11+Table1[[#This Row],[RAB Perizinan]],0)</f>
        <v>106576465</v>
      </c>
      <c r="AB287" s="486">
        <f>SUM(Table1[[#This Row],[RAB Kegiatan Umum]:[RAB Perizinan]])</f>
        <v>96073302</v>
      </c>
      <c r="AC287" s="436">
        <v>6213389</v>
      </c>
      <c r="AD287" s="436">
        <v>62133887</v>
      </c>
      <c r="AE287" s="436">
        <v>27136026</v>
      </c>
      <c r="AF287" s="436">
        <v>590000</v>
      </c>
      <c r="AG287" s="483">
        <v>2107039</v>
      </c>
      <c r="AH287" s="33">
        <f>SUM(Table1[[#This Row],[Bobot Keg Umum]:[Bobot Perizinan]])</f>
        <v>0.99999999999999989</v>
      </c>
      <c r="AI287" s="33">
        <f>Table1[[#This Row],[RAB Kegiatan Umum]]/Table1[[#This Row],[Nilai RAB Jaringan
(Exclude Ppn)]]</f>
        <v>6.4673419885162273E-2</v>
      </c>
      <c r="AJ287" s="33">
        <f>Table1[[#This Row],[RAB Pemasangan]]/Table1[[#This Row],[Nilai RAB Jaringan
(Exclude Ppn)]]</f>
        <v>0.64673416762546576</v>
      </c>
      <c r="AK287" s="33">
        <f>Table1[[#This Row],[RAB Pengadaan]]/Table1[[#This Row],[Nilai RAB Jaringan
(Exclude Ppn)]]</f>
        <v>0.28245126830344602</v>
      </c>
      <c r="AL287" s="33">
        <f>Table1[[#This Row],[RAB Perizinan]]/Table1[[#This Row],[Nilai RAB Jaringan
(Exclude Ppn)]]</f>
        <v>6.141144185925867E-3</v>
      </c>
      <c r="AM287" s="47"/>
      <c r="AN287" s="285">
        <v>61.3</v>
      </c>
      <c r="AO287" s="285">
        <f>SUM(Table1[[#This Row],[Pipa 63 mm]:[Pipa 1,800 mm]])</f>
        <v>0</v>
      </c>
      <c r="AP287" s="285"/>
      <c r="AQ287" s="285"/>
      <c r="AR287" s="285"/>
      <c r="AS287" s="285"/>
      <c r="AT287" s="285"/>
      <c r="AU287" s="285"/>
      <c r="AV287" s="285"/>
      <c r="AW287" s="285"/>
      <c r="AX287" s="285"/>
      <c r="AY287" s="285"/>
      <c r="AZ287" s="285"/>
      <c r="BA287" s="285"/>
      <c r="BB287" s="285"/>
      <c r="BC287" s="285"/>
      <c r="BD287" s="285"/>
      <c r="BE287" s="285"/>
      <c r="BF287" s="285"/>
      <c r="BG287" s="285"/>
      <c r="BH287" s="285"/>
      <c r="BI287" s="285"/>
      <c r="BJ287" s="36">
        <f>SUM(Table1[[#This Row],[Pipa 63 mm2]:[Pipa 1,800 mm21]])</f>
        <v>35</v>
      </c>
      <c r="BK287" s="32">
        <v>35</v>
      </c>
      <c r="BL287" s="32"/>
      <c r="BM287" s="32"/>
      <c r="BN287" s="32"/>
      <c r="BO287" s="32"/>
      <c r="BP287" s="32"/>
      <c r="BQ287" s="32"/>
      <c r="BR287" s="32"/>
      <c r="BS287" s="32"/>
      <c r="BT287" s="32"/>
      <c r="BU287" s="32"/>
      <c r="BV287" s="32"/>
      <c r="BW287" s="32"/>
      <c r="BX287" s="32"/>
      <c r="BY287" s="32"/>
      <c r="BZ287" s="32"/>
      <c r="CA287" s="32"/>
      <c r="CB287" s="32"/>
      <c r="CC287" s="32"/>
      <c r="CD287" s="32"/>
      <c r="CE287" s="32">
        <v>0</v>
      </c>
      <c r="CF287" s="32"/>
      <c r="CG287" s="32"/>
      <c r="CH287" s="32"/>
      <c r="CI287" s="32">
        <f t="shared" ref="CI287:CI312" si="15">SUM(CE287:CH287)</f>
        <v>0</v>
      </c>
      <c r="CJ287" s="65">
        <f>IF((Table1[[#This Row],["Volume
BA MC-0"]]-Table1[[#This Row],[Total Panjang Pipa Aktual
(Sum-&gt;)3]]-Table1[[#This Row],[Total Volume
tidak dapat dipasang]])&gt;=0,Table1[[#This Row],["Volume
BA MC-0"]]-Table1[[#This Row],[Total Panjang Pipa Aktual
(Sum-&gt;)3]]-Table1[[#This Row],[Total Volume
tidak dapat dipasang]],0)</f>
        <v>26.299999999999997</v>
      </c>
      <c r="CK287" s="47"/>
      <c r="CL287" s="35" t="s">
        <v>1821</v>
      </c>
      <c r="CM287" s="35" t="s">
        <v>1821</v>
      </c>
      <c r="CN287" s="35" t="s">
        <v>1821</v>
      </c>
      <c r="CO287" s="35" t="s">
        <v>1821</v>
      </c>
      <c r="CP28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0.37312954611392407</v>
      </c>
      <c r="CQ287" s="66">
        <f>IFERROR(Table1[[#This Row],[Progres Keg. Umum
(%)]]*Table1[[#This Row],[Nilai RAB Jaringan
(file pa aji)]],0)</f>
        <v>0</v>
      </c>
      <c r="CR287" s="66">
        <f>IFERROR(Table1[[#This Row],[Progres MOS
(%)]]*Table1[[#This Row],[Nilai RAB Jaringan
(file pa aji)]],0)</f>
        <v>0</v>
      </c>
      <c r="CS287" s="66">
        <f>IFERROR(Table1[[#This Row],[Progres Pemasangan
(%)]]*Table1[[#This Row],[Nilai RAB Jaringan
(file pa aji)]],0)</f>
        <v>0</v>
      </c>
      <c r="CT287" s="66">
        <f>IFERROR(Table1[[#This Row],[Progres Perizinan
(%)]]*Table1[[#This Row],[Nilai RAB Jaringan
(file pa aji)]],0)</f>
        <v>0</v>
      </c>
      <c r="CU287" s="329">
        <v>39766828.011876516</v>
      </c>
      <c r="CV287" s="329">
        <v>39766828.011876516</v>
      </c>
      <c r="CW287" s="583">
        <v>0</v>
      </c>
      <c r="CX287" s="329">
        <v>0</v>
      </c>
      <c r="CY287" s="47"/>
      <c r="CZ287" s="330">
        <v>45866</v>
      </c>
      <c r="DA287" s="330">
        <v>45893</v>
      </c>
      <c r="DB287" s="331">
        <v>45783</v>
      </c>
      <c r="DC287" s="316" t="s">
        <v>2263</v>
      </c>
      <c r="DD287" s="67">
        <v>106576466</v>
      </c>
      <c r="DE28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7" s="331">
        <v>45799</v>
      </c>
      <c r="DG287" s="316" t="s">
        <v>2264</v>
      </c>
      <c r="DH287" s="67">
        <v>106576466</v>
      </c>
      <c r="DI28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7" s="330">
        <v>45894</v>
      </c>
      <c r="DK287" s="330">
        <v>45956</v>
      </c>
      <c r="DL287" s="331">
        <v>45824</v>
      </c>
      <c r="DM287" s="316" t="s">
        <v>1371</v>
      </c>
      <c r="DN28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7" s="331">
        <v>45876</v>
      </c>
      <c r="DP287" s="316" t="s">
        <v>1372</v>
      </c>
      <c r="DQ287" s="338" t="s">
        <v>371</v>
      </c>
      <c r="DR28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7" s="330">
        <v>45894</v>
      </c>
      <c r="DT287" s="330" t="e">
        <v>#N/A</v>
      </c>
      <c r="DU287" s="330">
        <v>45935</v>
      </c>
      <c r="DV287" s="330" t="e">
        <v>#N/A</v>
      </c>
      <c r="DW287" s="331">
        <v>45824</v>
      </c>
      <c r="DX287" s="484" t="s">
        <v>2265</v>
      </c>
      <c r="DY287" s="334">
        <v>17</v>
      </c>
      <c r="DZ287" s="334">
        <v>17</v>
      </c>
      <c r="EA28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7" s="331"/>
      <c r="EC287" s="332">
        <v>16</v>
      </c>
      <c r="ED287" s="332">
        <v>16</v>
      </c>
      <c r="EE287" s="330"/>
      <c r="EF287" s="35">
        <v>0.94117647058823528</v>
      </c>
      <c r="EG287" s="35">
        <f>Table1[[#This Row],[Line PO (kolom  bantu)2]]/Table1[[#This Row],[Line PR]]</f>
        <v>0.94117647058823528</v>
      </c>
      <c r="EH287" s="316" t="str">
        <f>IF(Table1[[#This Row],[PO Material Aktual 
(%)]]&gt;=100%,"Selesai PO = 100%",IF(Table1[[#This Row],[PO Material Aktual 
(%)]]&gt;=50%,"Proses PO &gt; 100%",IF(Table1[[#This Row],[PO Material Aktual 
(%)]]&gt;0%,"Proses PO &gt; 50%",IF(Table1[[#This Row],[PO Material Aktual 
(%)]]=0,"Belum PO = 0%"))))</f>
        <v>Proses PO &gt; 100%</v>
      </c>
      <c r="EI28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7" s="330">
        <v>45936</v>
      </c>
      <c r="EK287" s="330" t="e">
        <v>#N/A</v>
      </c>
      <c r="EL287" s="330">
        <v>45984</v>
      </c>
      <c r="EM287" s="330" t="e">
        <v>#N/A</v>
      </c>
      <c r="EN287" s="331"/>
      <c r="EO287" s="332">
        <v>16</v>
      </c>
      <c r="EP287" s="316">
        <v>16</v>
      </c>
      <c r="EQ287" s="35">
        <v>0.94117647058823528</v>
      </c>
      <c r="ER287" s="35">
        <f>Table1[[#This Row],[Line MOS]]/Table1[[#This Row],[Line PR]]</f>
        <v>0.94117647058823528</v>
      </c>
      <c r="ES287" s="316" t="str">
        <f>IF(Table1[[#This Row],[Progres MOS]]&gt;=100%,"Selesai MOS = 100%",IF(Table1[[#This Row],[Progres MOS]]&gt;=50%,"Proses MOS &gt; 100%",IF(Table1[[#This Row],[Progres MOS]]&gt;0%,"Proses MOS &gt; 50%",IF(Table1[[#This Row],[Progres MOS]]=0,"Belum MOS = 0%"))))</f>
        <v>Proses MOS &gt; 100%</v>
      </c>
      <c r="ET28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7" s="47"/>
      <c r="EV287" s="330">
        <v>45894</v>
      </c>
      <c r="EW287" s="330" t="e">
        <v>#N/A</v>
      </c>
      <c r="EX287" s="330">
        <v>45984</v>
      </c>
      <c r="EY287" s="330" t="e">
        <v>#N/A</v>
      </c>
      <c r="EZ287" s="352" t="s">
        <v>298</v>
      </c>
      <c r="FA287" s="336" t="s">
        <v>259</v>
      </c>
      <c r="FB287" s="330" t="s">
        <v>260</v>
      </c>
      <c r="FC287" s="330"/>
      <c r="FD287" s="330" t="s">
        <v>260</v>
      </c>
      <c r="FE287" s="330">
        <v>45895</v>
      </c>
      <c r="FF287" s="330">
        <v>45929</v>
      </c>
      <c r="FG287" s="330" t="s">
        <v>260</v>
      </c>
      <c r="FH287" s="330" t="s">
        <v>260</v>
      </c>
      <c r="FI287" s="330">
        <v>46010</v>
      </c>
      <c r="FJ287" s="330" t="s">
        <v>260</v>
      </c>
      <c r="FK287" s="330">
        <v>46093</v>
      </c>
      <c r="FL287" s="336" t="s">
        <v>298</v>
      </c>
      <c r="FM287" s="336"/>
      <c r="FN287" s="314" t="str">
        <f>IF(Table1[[#This Row],[Tanggal Pengajuan Dokumen]]="","",Table1[[#This Row],[PLAN PERMIT
start]]-Table1[[#This Row],[Tanggal Pengajuan Dokumen]])</f>
        <v/>
      </c>
      <c r="FO287" s="437">
        <v>46086</v>
      </c>
      <c r="FP287" s="316"/>
      <c r="FQ287" s="338"/>
      <c r="FR287" s="338"/>
      <c r="FS287" s="338" t="str">
        <f t="shared" si="14"/>
        <v>Sudah Terbit</v>
      </c>
      <c r="FT28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7" s="344">
        <f ca="1">IF(Table1[[#This Row],[Status Izin]]="Selesai",Table1[[#This Row],[PLAN PERMIT
finish]]-Table1[[#This Row],[Tanggal Terbit/ Target Izin Terbit]],ROUNDUP(Table1[[#This Row],[PLAN PERMIT
finish]]-NOW(),0))</f>
        <v>-102</v>
      </c>
      <c r="FV28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7" s="344"/>
      <c r="FX287" s="47"/>
      <c r="FY287" s="340"/>
      <c r="FZ287" s="341"/>
      <c r="GA28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7" s="330">
        <v>45958</v>
      </c>
      <c r="GC287" s="438">
        <v>45959</v>
      </c>
      <c r="GD28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7" s="330">
        <v>45965</v>
      </c>
      <c r="GF287" s="438">
        <v>45959</v>
      </c>
      <c r="GG28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7" s="330">
        <v>45971</v>
      </c>
      <c r="GI287" s="330">
        <v>45977</v>
      </c>
      <c r="GJ287" s="352">
        <v>45964</v>
      </c>
      <c r="GK28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7" s="330">
        <v>45985</v>
      </c>
      <c r="GM287" s="330" t="e">
        <v>#N/A</v>
      </c>
      <c r="GN287" s="330">
        <v>46005</v>
      </c>
      <c r="GO287" s="330" t="e">
        <v>#N/A</v>
      </c>
      <c r="GP287" s="330"/>
      <c r="GQ28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7" s="330" t="s">
        <v>261</v>
      </c>
      <c r="GS287" s="330" t="s">
        <v>261</v>
      </c>
      <c r="GT287" s="354">
        <v>46148</v>
      </c>
      <c r="GU287" s="344" t="str">
        <f>IF(Table1[[#This Row],[Hydro Tes Actual
(tanggal)]]&lt;&gt;"","Sudah","Belum")</f>
        <v>Sudah</v>
      </c>
      <c r="GV287" s="330" t="s">
        <v>261</v>
      </c>
      <c r="GW287" s="330" t="s">
        <v>261</v>
      </c>
      <c r="GX287" s="331">
        <v>46148</v>
      </c>
      <c r="GY287" s="344" t="str">
        <f>IF(Table1[[#This Row],[Interkoneksi Actual
(tanggal)]]&lt;&gt;"","Sudah","Belum")</f>
        <v>Sudah</v>
      </c>
      <c r="GZ287" s="330" t="s">
        <v>261</v>
      </c>
      <c r="HA287" s="330" t="s">
        <v>261</v>
      </c>
      <c r="HB287" s="331">
        <v>46148</v>
      </c>
      <c r="HC287" s="344" t="str">
        <f>IF(Table1[[#This Row],[Flushing Actual
(tanggal)]]&lt;&gt;"","Sudah","Belum")</f>
        <v>Sudah</v>
      </c>
      <c r="HD287" s="330">
        <v>45992</v>
      </c>
      <c r="HE287" s="330" t="e">
        <v>#N/A</v>
      </c>
      <c r="HF287" s="330">
        <v>46005</v>
      </c>
      <c r="HG287" s="352">
        <v>46155</v>
      </c>
      <c r="HH28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7" s="330" t="s">
        <v>261</v>
      </c>
      <c r="HJ287" s="330" t="s">
        <v>261</v>
      </c>
      <c r="HK287" s="331"/>
      <c r="HL287" s="316"/>
      <c r="HM287" s="330">
        <v>46010</v>
      </c>
      <c r="HN287" s="330">
        <v>46010</v>
      </c>
      <c r="HO287" s="330" t="e">
        <v>#N/A</v>
      </c>
      <c r="HP287" s="331"/>
      <c r="HQ287"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87" s="330">
        <v>46017</v>
      </c>
      <c r="HS287" s="330"/>
      <c r="HT287" s="330">
        <v>46017</v>
      </c>
      <c r="HU287" s="330"/>
      <c r="HV287" s="331"/>
      <c r="HW28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87" s="47"/>
      <c r="HY287" s="352"/>
      <c r="HZ287" s="352"/>
      <c r="IB287" s="618">
        <f>IFERROR(ROUND((Table1[[#This Row],[PLAN TC
finish]]-Table1[[#This Row],[PLAN MC-0
start]])/30,2),"")</f>
        <v>1.1299999999999999</v>
      </c>
      <c r="IC287">
        <f>DATEDIF(Table1[[#This Row],[PLAN MC-0
start]],Table1[[#This Row],[PLAN TC
finish]],"m")</f>
        <v>1</v>
      </c>
    </row>
    <row r="288" spans="1:237" s="4" customFormat="1" ht="15" hidden="1" customHeight="1" x14ac:dyDescent="0.2">
      <c r="B288" s="311">
        <f>SUBTOTAL(3,$D$5:D288)</f>
        <v>84</v>
      </c>
      <c r="C288" s="316">
        <v>284</v>
      </c>
      <c r="D288" s="338" t="s">
        <v>244</v>
      </c>
      <c r="E288" s="338" t="s">
        <v>2266</v>
      </c>
      <c r="F288" s="338" t="s">
        <v>2267</v>
      </c>
      <c r="G288" s="349">
        <v>46117</v>
      </c>
      <c r="H288" s="338" t="s">
        <v>681</v>
      </c>
      <c r="I288" s="338" t="s">
        <v>278</v>
      </c>
      <c r="J288" s="480" t="s">
        <v>1830</v>
      </c>
      <c r="K288" s="338" t="s">
        <v>1165</v>
      </c>
      <c r="L288" s="316" t="s">
        <v>250</v>
      </c>
      <c r="M288" s="355" t="s">
        <v>269</v>
      </c>
      <c r="N288" s="107">
        <v>537</v>
      </c>
      <c r="O288" s="31" t="s">
        <v>252</v>
      </c>
      <c r="P28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8" s="35">
        <v>1.0000000000000002</v>
      </c>
      <c r="S288" s="34">
        <v>1</v>
      </c>
      <c r="T288" s="34">
        <f>Table1[[#This Row],[Progres Total Aktual
(%)]]</f>
        <v>1</v>
      </c>
      <c r="U288" s="98">
        <f>Table1[[#This Row],[Progres Aktual
(%)]]-Table1[[#This Row],[Target Progres
(%)]]</f>
        <v>0</v>
      </c>
      <c r="V288" s="80">
        <f>Table1[[#This Row],["Volume
BA MC-0"]]</f>
        <v>525</v>
      </c>
      <c r="W288" s="46">
        <f>Table1[[#This Row],[Total Panjang Pipa Aktual
(Sum-&gt;)3]]</f>
        <v>489</v>
      </c>
      <c r="X288" s="47"/>
      <c r="Y288" s="67" t="s">
        <v>2268</v>
      </c>
      <c r="Z288" s="67">
        <v>1054494928</v>
      </c>
      <c r="AA288" s="67">
        <f>ROUND((Table1[[#This Row],[Nilai RAB Jaringan
(Exclude Ppn)]]-Table1[[#This Row],[RAB Perizinan]])*1.11+Table1[[#This Row],[RAB Perizinan]],0)</f>
        <v>1054494927</v>
      </c>
      <c r="AB288" s="486">
        <f>SUM(Table1[[#This Row],[RAB Kegiatan Umum]:[RAB Perizinan]])</f>
        <v>950527592</v>
      </c>
      <c r="AC288" s="436">
        <v>69033826</v>
      </c>
      <c r="AD288" s="436">
        <v>690338257</v>
      </c>
      <c r="AE288" s="436">
        <v>185785509</v>
      </c>
      <c r="AF288" s="436">
        <v>5370000</v>
      </c>
      <c r="AG288" s="483">
        <v>221239057</v>
      </c>
      <c r="AH288" s="33">
        <f>SUM(Table1[[#This Row],[Bobot Keg Umum]:[Bobot Perizinan]])</f>
        <v>1</v>
      </c>
      <c r="AI288" s="33">
        <f>Table1[[#This Row],[RAB Kegiatan Umum]]/Table1[[#This Row],[Nilai RAB Jaringan
(Exclude Ppn)]]</f>
        <v>7.2626851215067095E-2</v>
      </c>
      <c r="AJ288" s="33">
        <f>Table1[[#This Row],[RAB Pemasangan]]/Table1[[#This Row],[Nilai RAB Jaringan
(Exclude Ppn)]]</f>
        <v>0.72626850899452899</v>
      </c>
      <c r="AK288" s="33">
        <f>Table1[[#This Row],[RAB Pengadaan]]/Table1[[#This Row],[Nilai RAB Jaringan
(Exclude Ppn)]]</f>
        <v>0.19545514571448652</v>
      </c>
      <c r="AL288" s="33">
        <f>Table1[[#This Row],[RAB Perizinan]]/Table1[[#This Row],[Nilai RAB Jaringan
(Exclude Ppn)]]</f>
        <v>5.6494940759173667E-3</v>
      </c>
      <c r="AM288" s="47"/>
      <c r="AN288" s="285">
        <v>525</v>
      </c>
      <c r="AO288" s="285">
        <f>SUM(Table1[[#This Row],[Pipa 63 mm]:[Pipa 1,800 mm]])</f>
        <v>0</v>
      </c>
      <c r="AP288" s="285"/>
      <c r="AQ288" s="285"/>
      <c r="AR288" s="285"/>
      <c r="AS288" s="285"/>
      <c r="AT288" s="285"/>
      <c r="AU288" s="285"/>
      <c r="AV288" s="285"/>
      <c r="AW288" s="285"/>
      <c r="AX288" s="285"/>
      <c r="AY288" s="285"/>
      <c r="AZ288" s="285"/>
      <c r="BA288" s="285"/>
      <c r="BB288" s="285"/>
      <c r="BC288" s="285"/>
      <c r="BD288" s="285"/>
      <c r="BE288" s="285"/>
      <c r="BF288" s="285"/>
      <c r="BG288" s="285"/>
      <c r="BH288" s="285"/>
      <c r="BI288" s="285"/>
      <c r="BJ288" s="36">
        <f>SUM(Table1[[#This Row],[Pipa 63 mm2]:[Pipa 1,800 mm21]])</f>
        <v>489</v>
      </c>
      <c r="BK288" s="32">
        <v>273</v>
      </c>
      <c r="BL288" s="32"/>
      <c r="BM288" s="32">
        <v>216</v>
      </c>
      <c r="BN288" s="32"/>
      <c r="BO288" s="32"/>
      <c r="BP288" s="32"/>
      <c r="BQ288" s="32"/>
      <c r="BR288" s="32"/>
      <c r="BS288" s="32"/>
      <c r="BT288" s="32"/>
      <c r="BU288" s="32"/>
      <c r="BV288" s="32"/>
      <c r="BW288" s="32"/>
      <c r="BX288" s="32"/>
      <c r="BY288" s="32"/>
      <c r="BZ288" s="32"/>
      <c r="CA288" s="32"/>
      <c r="CB288" s="32"/>
      <c r="CC288" s="32"/>
      <c r="CD288" s="32"/>
      <c r="CE288" s="32">
        <v>0</v>
      </c>
      <c r="CF288" s="32"/>
      <c r="CG288" s="32"/>
      <c r="CH288" s="32"/>
      <c r="CI288" s="32">
        <f t="shared" si="15"/>
        <v>0</v>
      </c>
      <c r="CJ288" s="65">
        <f>IF((Table1[[#This Row],["Volume
BA MC-0"]]-Table1[[#This Row],[Total Panjang Pipa Aktual
(Sum-&gt;)3]]-Table1[[#This Row],[Total Volume
tidak dapat dipasang]])&gt;=0,Table1[[#This Row],["Volume
BA MC-0"]]-Table1[[#This Row],[Total Panjang Pipa Aktual
(Sum-&gt;)3]]-Table1[[#This Row],[Total Volume
tidak dapat dipasang]],0)</f>
        <v>36</v>
      </c>
      <c r="CK288" s="47"/>
      <c r="CL288" s="484" t="s">
        <v>1821</v>
      </c>
      <c r="CM288" s="34">
        <v>0.53538793491154357</v>
      </c>
      <c r="CN288" s="484" t="s">
        <v>1821</v>
      </c>
      <c r="CO288" s="484" t="s">
        <v>1821</v>
      </c>
      <c r="CP28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8" s="66">
        <f>IFERROR(Table1[[#This Row],[Progres Keg. Umum
(%)]]*Table1[[#This Row],[Nilai RAB Jaringan
(file pa aji)]],0)</f>
        <v>0</v>
      </c>
      <c r="CR288" s="66">
        <f>IFERROR(Table1[[#This Row],[Progres MOS
(%)]]*Table1[[#This Row],[Nilai RAB Jaringan
(file pa aji)]],0)</f>
        <v>564563861.87661684</v>
      </c>
      <c r="CS288" s="66">
        <f>IFERROR(Table1[[#This Row],[Progres Pemasangan
(%)]]*Table1[[#This Row],[Nilai RAB Jaringan
(file pa aji)]],0)</f>
        <v>0</v>
      </c>
      <c r="CT288" s="66">
        <f>IFERROR(Table1[[#This Row],[Progres Perizinan
(%)]]*Table1[[#This Row],[Nilai RAB Jaringan
(file pa aji)]],0)</f>
        <v>0</v>
      </c>
      <c r="CU288" s="329">
        <v>2220124815</v>
      </c>
      <c r="CV288" s="329">
        <v>2220124815</v>
      </c>
      <c r="CW288" s="583">
        <v>2220124815</v>
      </c>
      <c r="CX288" s="329">
        <v>2220124815</v>
      </c>
      <c r="CY288" s="47"/>
      <c r="CZ288" s="330">
        <v>45838</v>
      </c>
      <c r="DA288" s="330">
        <v>45865</v>
      </c>
      <c r="DB288" s="331">
        <v>45820</v>
      </c>
      <c r="DC288" s="316" t="s">
        <v>2269</v>
      </c>
      <c r="DD288" s="67">
        <v>1054494928</v>
      </c>
      <c r="DE28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8" s="331">
        <v>45825</v>
      </c>
      <c r="DG288" s="316" t="s">
        <v>2270</v>
      </c>
      <c r="DH288" s="67">
        <v>1054494928</v>
      </c>
      <c r="DI28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8" s="330">
        <v>45866</v>
      </c>
      <c r="DK288" s="330">
        <v>45928</v>
      </c>
      <c r="DL288" s="331">
        <v>45842</v>
      </c>
      <c r="DM288" s="316" t="s">
        <v>2271</v>
      </c>
      <c r="DN28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8" s="331">
        <v>45880</v>
      </c>
      <c r="DP288" s="316" t="s">
        <v>2272</v>
      </c>
      <c r="DQ288" s="338" t="s">
        <v>312</v>
      </c>
      <c r="DR28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8" s="330">
        <v>45866</v>
      </c>
      <c r="DT288" s="330" t="e">
        <v>#N/A</v>
      </c>
      <c r="DU288" s="330">
        <v>45907</v>
      </c>
      <c r="DV288" s="330" t="e">
        <v>#N/A</v>
      </c>
      <c r="DW288" s="331">
        <v>45842</v>
      </c>
      <c r="DX288" s="484" t="s">
        <v>2273</v>
      </c>
      <c r="DY288" s="332">
        <v>69</v>
      </c>
      <c r="DZ288" s="334">
        <v>69</v>
      </c>
      <c r="EA28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8" s="331">
        <v>46122</v>
      </c>
      <c r="EC288" s="332">
        <v>63</v>
      </c>
      <c r="ED288" s="332">
        <v>63</v>
      </c>
      <c r="EE288" s="425" t="s">
        <v>2274</v>
      </c>
      <c r="EF288" s="35">
        <v>1</v>
      </c>
      <c r="EG288" s="337">
        <v>1</v>
      </c>
      <c r="EH288" s="316" t="str">
        <f>IF(Table1[[#This Row],[PO Material Aktual 
(%)]]&gt;=100%,"Selesai PO = 100%",IF(Table1[[#This Row],[PO Material Aktual 
(%)]]&gt;=50%,"Proses PO &gt; 100%",IF(Table1[[#This Row],[PO Material Aktual 
(%)]]&gt;0%,"Proses PO &gt; 50%",IF(Table1[[#This Row],[PO Material Aktual 
(%)]]=0,"Belum PO = 0%"))))</f>
        <v>Selesai PO = 100%</v>
      </c>
      <c r="EI28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8" s="330">
        <v>45908</v>
      </c>
      <c r="EK288" s="330" t="e">
        <v>#N/A</v>
      </c>
      <c r="EL288" s="330">
        <v>45956</v>
      </c>
      <c r="EM288" s="330" t="e">
        <v>#N/A</v>
      </c>
      <c r="EN288" s="331">
        <v>46148</v>
      </c>
      <c r="EO288" s="332">
        <f>Table1[[#This Row],[Line PO]]</f>
        <v>63</v>
      </c>
      <c r="EP288" s="316">
        <v>63</v>
      </c>
      <c r="EQ288" s="35">
        <v>0.91304347826086951</v>
      </c>
      <c r="ER288" s="35">
        <f>Table1[[#This Row],[Line MOS]]/Table1[[#This Row],[Line PR]]</f>
        <v>0.91304347826086951</v>
      </c>
      <c r="ES288" s="316" t="str">
        <f>IF(Table1[[#This Row],[Progres MOS]]&gt;=100%,"Selesai MOS = 100%",IF(Table1[[#This Row],[Progres MOS]]&gt;=50%,"Proses MOS &gt; 100%",IF(Table1[[#This Row],[Progres MOS]]&gt;0%,"Proses MOS &gt; 50%",IF(Table1[[#This Row],[Progres MOS]]=0,"Belum MOS = 0%"))))</f>
        <v>Proses MOS &gt; 100%</v>
      </c>
      <c r="ET28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8" s="47"/>
      <c r="EV288" s="330">
        <v>45866</v>
      </c>
      <c r="EW288" s="330" t="e">
        <v>#N/A</v>
      </c>
      <c r="EX288" s="330">
        <v>45956</v>
      </c>
      <c r="EY288" s="330" t="e">
        <v>#N/A</v>
      </c>
      <c r="EZ288" s="352" t="s">
        <v>298</v>
      </c>
      <c r="FA288" s="336" t="s">
        <v>259</v>
      </c>
      <c r="FB288" s="330" t="s">
        <v>260</v>
      </c>
      <c r="FC288" s="330">
        <v>45946</v>
      </c>
      <c r="FD288" s="330" t="s">
        <v>260</v>
      </c>
      <c r="FE288" s="330">
        <v>45966</v>
      </c>
      <c r="FF288" s="330">
        <v>45993</v>
      </c>
      <c r="FG288" s="330" t="s">
        <v>260</v>
      </c>
      <c r="FH288" s="330" t="s">
        <v>260</v>
      </c>
      <c r="FI288" s="330">
        <v>46013</v>
      </c>
      <c r="FJ288" s="330" t="s">
        <v>260</v>
      </c>
      <c r="FK288" s="330">
        <v>46135</v>
      </c>
      <c r="FL288" s="336" t="s">
        <v>298</v>
      </c>
      <c r="FM288" s="352">
        <v>45946</v>
      </c>
      <c r="FN288" s="338">
        <f>IF(Table1[[#This Row],[Tanggal Pengajuan Dokumen]]="","",Table1[[#This Row],[PLAN PERMIT
start]]-Table1[[#This Row],[Tanggal Pengajuan Dokumen]])</f>
        <v>-80</v>
      </c>
      <c r="FO288" s="437">
        <v>46097</v>
      </c>
      <c r="FP288" s="316"/>
      <c r="FQ288" s="338"/>
      <c r="FR288" s="338"/>
      <c r="FS288" s="338" t="str">
        <f t="shared" si="14"/>
        <v>Sudah Terbit</v>
      </c>
      <c r="FT28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8" s="344">
        <f ca="1">IF(Table1[[#This Row],[Status Izin]]="Selesai",Table1[[#This Row],[PLAN PERMIT
finish]]-Table1[[#This Row],[Tanggal Terbit/ Target Izin Terbit]],ROUNDUP(Table1[[#This Row],[PLAN PERMIT
finish]]-NOW(),0))</f>
        <v>-141</v>
      </c>
      <c r="FV28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8" s="344"/>
      <c r="FX288" s="47"/>
      <c r="FY288" s="340"/>
      <c r="FZ288" s="341"/>
      <c r="GA28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8" s="330">
        <v>45930</v>
      </c>
      <c r="GC288" s="352">
        <v>45896</v>
      </c>
      <c r="GD28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8" s="330">
        <v>45937</v>
      </c>
      <c r="GF288" s="352">
        <v>45896</v>
      </c>
      <c r="GG28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8" s="330">
        <v>45943</v>
      </c>
      <c r="GI288" s="330">
        <v>45949</v>
      </c>
      <c r="GJ288" s="352">
        <v>45903</v>
      </c>
      <c r="GK28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8" s="330">
        <v>45957</v>
      </c>
      <c r="GM288" s="330" t="e">
        <v>#N/A</v>
      </c>
      <c r="GN288" s="330">
        <v>46005</v>
      </c>
      <c r="GO288" s="330" t="e">
        <v>#N/A</v>
      </c>
      <c r="GP288" s="330"/>
      <c r="GQ28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8" s="330" t="s">
        <v>261</v>
      </c>
      <c r="GS288" s="330" t="s">
        <v>261</v>
      </c>
      <c r="GT288" s="488" t="s">
        <v>2275</v>
      </c>
      <c r="GU288" s="344" t="str">
        <f>IF(Table1[[#This Row],[Hydro Tes Actual
(tanggal)]]&lt;&gt;"","Sudah","Belum")</f>
        <v>Sudah</v>
      </c>
      <c r="GV288" s="330" t="s">
        <v>261</v>
      </c>
      <c r="GW288" s="330" t="s">
        <v>261</v>
      </c>
      <c r="GX288" s="395" t="s">
        <v>2276</v>
      </c>
      <c r="GY288" s="344" t="str">
        <f>IF(Table1[[#This Row],[Interkoneksi Actual
(tanggal)]]&lt;&gt;"","Sudah","Belum")</f>
        <v>Sudah</v>
      </c>
      <c r="GZ288" s="330" t="s">
        <v>261</v>
      </c>
      <c r="HA288" s="330" t="s">
        <v>261</v>
      </c>
      <c r="HB288" s="331">
        <v>46093</v>
      </c>
      <c r="HC288" s="344" t="str">
        <f>IF(Table1[[#This Row],[Flushing Actual
(tanggal)]]&lt;&gt;"","Sudah","Belum")</f>
        <v>Sudah</v>
      </c>
      <c r="HD288" s="330">
        <v>45985</v>
      </c>
      <c r="HE288" s="330" t="e">
        <v>#N/A</v>
      </c>
      <c r="HF288" s="330">
        <v>45998</v>
      </c>
      <c r="HG288" s="352">
        <v>46096</v>
      </c>
      <c r="HH28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8" s="330" t="s">
        <v>261</v>
      </c>
      <c r="HJ288" s="330" t="s">
        <v>261</v>
      </c>
      <c r="HK288" s="331"/>
      <c r="HL288" s="316"/>
      <c r="HM288" s="330">
        <v>46010</v>
      </c>
      <c r="HN288" s="330">
        <v>46010</v>
      </c>
      <c r="HO288" s="330" t="e">
        <v>#N/A</v>
      </c>
      <c r="HP288" s="331">
        <v>46112</v>
      </c>
      <c r="HQ288"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88" s="330">
        <v>46017</v>
      </c>
      <c r="HS288" s="330"/>
      <c r="HT288" s="330">
        <v>46017</v>
      </c>
      <c r="HU288" s="330"/>
      <c r="HV288" s="331">
        <v>46114</v>
      </c>
      <c r="HW28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88" s="47"/>
      <c r="HY288" s="352"/>
      <c r="HZ288" s="352"/>
      <c r="IB288" s="618">
        <f>IFERROR(ROUND((Table1[[#This Row],[PLAN TC
finish]]-Table1[[#This Row],[PLAN MC-0
start]])/30,2),"")</f>
        <v>1.83</v>
      </c>
      <c r="IC288">
        <f>DATEDIF(Table1[[#This Row],[PLAN MC-0
start]],Table1[[#This Row],[PLAN TC
finish]],"m")</f>
        <v>1</v>
      </c>
    </row>
    <row r="289" spans="1:237" s="4" customFormat="1" ht="15" hidden="1" customHeight="1" x14ac:dyDescent="0.2">
      <c r="B289" s="311">
        <f>SUBTOTAL(3,$D$5:D289)</f>
        <v>84</v>
      </c>
      <c r="C289" s="316">
        <v>285</v>
      </c>
      <c r="D289" s="338" t="s">
        <v>244</v>
      </c>
      <c r="E289" s="338" t="s">
        <v>2277</v>
      </c>
      <c r="F289" s="338" t="s">
        <v>2278</v>
      </c>
      <c r="G289" s="349">
        <v>46117</v>
      </c>
      <c r="H289" s="338" t="s">
        <v>681</v>
      </c>
      <c r="I289" s="338" t="s">
        <v>278</v>
      </c>
      <c r="J289" s="480" t="s">
        <v>1818</v>
      </c>
      <c r="K289" s="338" t="s">
        <v>1165</v>
      </c>
      <c r="L289" s="316" t="s">
        <v>250</v>
      </c>
      <c r="M289" s="355" t="s">
        <v>269</v>
      </c>
      <c r="N289" s="107">
        <v>667</v>
      </c>
      <c r="O289" s="31" t="s">
        <v>252</v>
      </c>
      <c r="P28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89" s="35">
        <v>1</v>
      </c>
      <c r="S289" s="34">
        <v>1</v>
      </c>
      <c r="T289" s="34">
        <f>Table1[[#This Row],[Progres Total Aktual
(%)]]</f>
        <v>0.44441597712839143</v>
      </c>
      <c r="U289" s="98">
        <f>Table1[[#This Row],[Progres Aktual
(%)]]-Table1[[#This Row],[Target Progres
(%)]]</f>
        <v>-0.55558402287160857</v>
      </c>
      <c r="V289" s="80">
        <f>Table1[[#This Row],["Volume
BA MC-0"]]</f>
        <v>888.5</v>
      </c>
      <c r="W289" s="46">
        <f>Table1[[#This Row],[Total Panjang Pipa Aktual
(Sum-&gt;)3]]</f>
        <v>574.20000000000005</v>
      </c>
      <c r="X289" s="47"/>
      <c r="Y289" s="67" t="s">
        <v>2279</v>
      </c>
      <c r="Z289" s="67">
        <v>1117663079</v>
      </c>
      <c r="AA289" s="67">
        <f>ROUND((Table1[[#This Row],[Nilai RAB Jaringan
(Exclude Ppn)]]-Table1[[#This Row],[RAB Perizinan]])*1.11+Table1[[#This Row],[RAB Perizinan]],0)</f>
        <v>1117663078</v>
      </c>
      <c r="AB289" s="486">
        <f>SUM(Table1[[#This Row],[RAB Kegiatan Umum]:[RAB Perizinan]])</f>
        <v>1007564665</v>
      </c>
      <c r="AC289" s="436">
        <v>68710655</v>
      </c>
      <c r="AD289" s="436">
        <v>687106548</v>
      </c>
      <c r="AE289" s="436">
        <v>245077462</v>
      </c>
      <c r="AF289" s="436">
        <v>6670000</v>
      </c>
      <c r="AG289" s="483">
        <v>421407726</v>
      </c>
      <c r="AH289" s="33">
        <f>SUM(Table1[[#This Row],[Bobot Keg Umum]:[Bobot Perizinan]])</f>
        <v>1</v>
      </c>
      <c r="AI289" s="33">
        <f>Table1[[#This Row],[RAB Kegiatan Umum]]/Table1[[#This Row],[Nilai RAB Jaringan
(Exclude Ppn)]]</f>
        <v>6.8194784302008052E-2</v>
      </c>
      <c r="AJ289" s="33">
        <f>Table1[[#This Row],[RAB Pemasangan]]/Table1[[#This Row],[Nilai RAB Jaringan
(Exclude Ppn)]]</f>
        <v>0.6819478410350962</v>
      </c>
      <c r="AK289" s="33">
        <f>Table1[[#This Row],[RAB Pengadaan]]/Table1[[#This Row],[Nilai RAB Jaringan
(Exclude Ppn)]]</f>
        <v>0.24323745215896392</v>
      </c>
      <c r="AL289" s="33">
        <f>Table1[[#This Row],[RAB Perizinan]]/Table1[[#This Row],[Nilai RAB Jaringan
(Exclude Ppn)]]</f>
        <v>6.619922503931795E-3</v>
      </c>
      <c r="AM289" s="47"/>
      <c r="AN289" s="285">
        <v>888.5</v>
      </c>
      <c r="AO289" s="285">
        <f>SUM(Table1[[#This Row],[Pipa 63 mm]:[Pipa 1,800 mm]])</f>
        <v>0</v>
      </c>
      <c r="AP289" s="285"/>
      <c r="AQ289" s="285"/>
      <c r="AR289" s="285"/>
      <c r="AS289" s="285"/>
      <c r="AT289" s="285"/>
      <c r="AU289" s="285"/>
      <c r="AV289" s="285"/>
      <c r="AW289" s="285"/>
      <c r="AX289" s="285"/>
      <c r="AY289" s="285"/>
      <c r="AZ289" s="285"/>
      <c r="BA289" s="285"/>
      <c r="BB289" s="285"/>
      <c r="BC289" s="285"/>
      <c r="BD289" s="285"/>
      <c r="BE289" s="285"/>
      <c r="BF289" s="285"/>
      <c r="BG289" s="285"/>
      <c r="BH289" s="285"/>
      <c r="BI289" s="285"/>
      <c r="BJ289" s="36">
        <f>SUM(Table1[[#This Row],[Pipa 63 mm2]:[Pipa 1,800 mm21]])</f>
        <v>574.20000000000005</v>
      </c>
      <c r="BK289" s="32">
        <v>465.7</v>
      </c>
      <c r="BL289" s="32">
        <v>57</v>
      </c>
      <c r="BM289" s="32">
        <v>14</v>
      </c>
      <c r="BN289" s="32">
        <v>37.5</v>
      </c>
      <c r="BO289" s="32"/>
      <c r="BP289" s="32"/>
      <c r="BQ289" s="32"/>
      <c r="BR289" s="32"/>
      <c r="BS289" s="32"/>
      <c r="BT289" s="32"/>
      <c r="BU289" s="32"/>
      <c r="BV289" s="32"/>
      <c r="BW289" s="32"/>
      <c r="BX289" s="32"/>
      <c r="BY289" s="32"/>
      <c r="BZ289" s="32"/>
      <c r="CA289" s="32"/>
      <c r="CB289" s="32"/>
      <c r="CC289" s="32"/>
      <c r="CD289" s="32"/>
      <c r="CE289" s="32">
        <v>0</v>
      </c>
      <c r="CF289" s="32"/>
      <c r="CG289" s="32"/>
      <c r="CH289" s="32"/>
      <c r="CI289" s="32">
        <f t="shared" si="15"/>
        <v>0</v>
      </c>
      <c r="CJ289" s="65">
        <f>IF((Table1[[#This Row],["Volume
BA MC-0"]]-Table1[[#This Row],[Total Panjang Pipa Aktual
(Sum-&gt;)3]]-Table1[[#This Row],[Total Volume
tidak dapat dipasang]])&gt;=0,Table1[[#This Row],["Volume
BA MC-0"]]-Table1[[#This Row],[Total Panjang Pipa Aktual
(Sum-&gt;)3]]-Table1[[#This Row],[Total Volume
tidak dapat dipasang]],0)</f>
        <v>314.29999999999995</v>
      </c>
      <c r="CK289" s="47"/>
      <c r="CL289" s="35" t="s">
        <v>1821</v>
      </c>
      <c r="CM289" s="35" t="s">
        <v>1821</v>
      </c>
      <c r="CN289" s="35" t="s">
        <v>1821</v>
      </c>
      <c r="CO289" s="35" t="s">
        <v>1821</v>
      </c>
      <c r="CP28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0.44441597712839143</v>
      </c>
      <c r="CQ289" s="66">
        <f>IFERROR(Table1[[#This Row],[Progres Keg. Umum
(%)]]*Table1[[#This Row],[Nilai RAB Jaringan
(file pa aji)]],0)</f>
        <v>0</v>
      </c>
      <c r="CR289" s="66">
        <f>IFERROR(Table1[[#This Row],[Progres MOS
(%)]]*Table1[[#This Row],[Nilai RAB Jaringan
(file pa aji)]],0)</f>
        <v>0</v>
      </c>
      <c r="CS289" s="66">
        <f>IFERROR(Table1[[#This Row],[Progres Pemasangan
(%)]]*Table1[[#This Row],[Nilai RAB Jaringan
(file pa aji)]],0)</f>
        <v>0</v>
      </c>
      <c r="CT289" s="66">
        <f>IFERROR(Table1[[#This Row],[Progres Perizinan
(%)]]*Table1[[#This Row],[Nilai RAB Jaringan
(file pa aji)]],0)</f>
        <v>0</v>
      </c>
      <c r="CU289" s="329">
        <v>496707328.90969557</v>
      </c>
      <c r="CV289" s="329">
        <v>496707328.90969557</v>
      </c>
      <c r="CW289" s="583">
        <v>0</v>
      </c>
      <c r="CX289" s="329">
        <v>0</v>
      </c>
      <c r="CY289" s="47"/>
      <c r="CZ289" s="330">
        <v>45838</v>
      </c>
      <c r="DA289" s="330">
        <v>45865</v>
      </c>
      <c r="DB289" s="331">
        <v>45820</v>
      </c>
      <c r="DC289" s="316" t="s">
        <v>2280</v>
      </c>
      <c r="DD289" s="67">
        <v>1117663079</v>
      </c>
      <c r="DE28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9" s="331">
        <v>45825</v>
      </c>
      <c r="DG289" s="316" t="s">
        <v>2281</v>
      </c>
      <c r="DH289" s="67">
        <v>1117663079</v>
      </c>
      <c r="DI28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9" s="330">
        <v>45866</v>
      </c>
      <c r="DK289" s="330">
        <v>45928</v>
      </c>
      <c r="DL289" s="331">
        <v>45847</v>
      </c>
      <c r="DM289" s="316" t="s">
        <v>2282</v>
      </c>
      <c r="DN28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9" s="331">
        <v>45917</v>
      </c>
      <c r="DP289" s="316" t="s">
        <v>2283</v>
      </c>
      <c r="DQ289" s="338" t="s">
        <v>312</v>
      </c>
      <c r="DR28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9" s="330">
        <v>45866</v>
      </c>
      <c r="DT289" s="330" t="e">
        <v>#N/A</v>
      </c>
      <c r="DU289" s="330">
        <v>45907</v>
      </c>
      <c r="DV289" s="330" t="e">
        <v>#N/A</v>
      </c>
      <c r="DW289" s="331">
        <v>45847</v>
      </c>
      <c r="DX289" s="484" t="s">
        <v>2284</v>
      </c>
      <c r="DY289" s="334">
        <v>53</v>
      </c>
      <c r="DZ289" s="334">
        <v>53</v>
      </c>
      <c r="EA28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9" s="331"/>
      <c r="EC289" s="332">
        <v>45</v>
      </c>
      <c r="ED289" s="332">
        <v>45</v>
      </c>
      <c r="EE289" s="330"/>
      <c r="EF289" s="35">
        <v>0.84905660377358494</v>
      </c>
      <c r="EG289" s="35">
        <f>Table1[[#This Row],[Line PO (kolom  bantu)2]]/Table1[[#This Row],[Line PR]]</f>
        <v>0.84905660377358494</v>
      </c>
      <c r="EH289" s="316" t="str">
        <f>IF(Table1[[#This Row],[PO Material Aktual 
(%)]]&gt;=100%,"Selesai PO = 100%",IF(Table1[[#This Row],[PO Material Aktual 
(%)]]&gt;=50%,"Proses PO &gt; 100%",IF(Table1[[#This Row],[PO Material Aktual 
(%)]]&gt;0%,"Proses PO &gt; 50%",IF(Table1[[#This Row],[PO Material Aktual 
(%)]]=0,"Belum PO = 0%"))))</f>
        <v>Proses PO &gt; 100%</v>
      </c>
      <c r="EI28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9" s="330">
        <v>45908</v>
      </c>
      <c r="EK289" s="330" t="e">
        <v>#N/A</v>
      </c>
      <c r="EL289" s="330">
        <v>45956</v>
      </c>
      <c r="EM289" s="330" t="e">
        <v>#N/A</v>
      </c>
      <c r="EN289" s="331"/>
      <c r="EO289" s="332">
        <v>45</v>
      </c>
      <c r="EP289" s="316">
        <v>45</v>
      </c>
      <c r="EQ289" s="35">
        <v>0.84905660377358494</v>
      </c>
      <c r="ER289" s="35">
        <f>Table1[[#This Row],[Line MOS]]/Table1[[#This Row],[Line PR]]</f>
        <v>0.84905660377358494</v>
      </c>
      <c r="ES289" s="316" t="str">
        <f>IF(Table1[[#This Row],[Progres MOS]]&gt;=100%,"Selesai MOS = 100%",IF(Table1[[#This Row],[Progres MOS]]&gt;=50%,"Proses MOS &gt; 100%",IF(Table1[[#This Row],[Progres MOS]]&gt;0%,"Proses MOS &gt; 50%",IF(Table1[[#This Row],[Progres MOS]]=0,"Belum MOS = 0%"))))</f>
        <v>Proses MOS &gt; 100%</v>
      </c>
      <c r="ET28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9" s="47"/>
      <c r="EV289" s="330">
        <v>45866</v>
      </c>
      <c r="EW289" s="330" t="e">
        <v>#N/A</v>
      </c>
      <c r="EX289" s="330">
        <v>45956</v>
      </c>
      <c r="EY289" s="330" t="e">
        <v>#N/A</v>
      </c>
      <c r="EZ289" s="352" t="s">
        <v>298</v>
      </c>
      <c r="FA289" s="336" t="s">
        <v>259</v>
      </c>
      <c r="FB289" s="330" t="s">
        <v>260</v>
      </c>
      <c r="FC289" s="330">
        <v>45946</v>
      </c>
      <c r="FD289" s="330" t="s">
        <v>260</v>
      </c>
      <c r="FE289" s="330">
        <v>45966</v>
      </c>
      <c r="FF289" s="330">
        <v>45993</v>
      </c>
      <c r="FG289" s="330" t="s">
        <v>260</v>
      </c>
      <c r="FH289" s="330" t="s">
        <v>260</v>
      </c>
      <c r="FI289" s="330">
        <v>46013</v>
      </c>
      <c r="FJ289" s="330" t="s">
        <v>260</v>
      </c>
      <c r="FK289" s="330">
        <v>46135</v>
      </c>
      <c r="FL289" s="336" t="s">
        <v>298</v>
      </c>
      <c r="FM289" s="352">
        <v>45946</v>
      </c>
      <c r="FN289" s="338">
        <f>IF(Table1[[#This Row],[Tanggal Pengajuan Dokumen]]="","",Table1[[#This Row],[PLAN PERMIT
start]]-Table1[[#This Row],[Tanggal Pengajuan Dokumen]])</f>
        <v>-80</v>
      </c>
      <c r="FO289" s="437">
        <v>46097</v>
      </c>
      <c r="FP289" s="316" t="s">
        <v>2086</v>
      </c>
      <c r="FQ289" s="338"/>
      <c r="FR289" s="338"/>
      <c r="FS289" s="338" t="str">
        <f t="shared" si="14"/>
        <v>On Going</v>
      </c>
      <c r="FT28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89" s="344">
        <f ca="1">IF(Table1[[#This Row],[Status Izin]]="Selesai",Table1[[#This Row],[PLAN PERMIT
finish]]-Table1[[#This Row],[Tanggal Terbit/ Target Izin Terbit]],ROUNDUP(Table1[[#This Row],[PLAN PERMIT
finish]]-NOW(),0))</f>
        <v>-235</v>
      </c>
      <c r="FV28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9" s="344"/>
      <c r="FX289" s="47"/>
      <c r="FY289" s="340"/>
      <c r="FZ289" s="341"/>
      <c r="GA28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9" s="330">
        <v>45930</v>
      </c>
      <c r="GC289" s="352">
        <v>45896</v>
      </c>
      <c r="GD28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9" s="330">
        <v>45937</v>
      </c>
      <c r="GF289" s="352">
        <v>45896</v>
      </c>
      <c r="GG28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9" s="330">
        <v>45943</v>
      </c>
      <c r="GI289" s="330">
        <v>45949</v>
      </c>
      <c r="GJ289" s="352">
        <v>45908</v>
      </c>
      <c r="GK28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9" s="330">
        <v>45957</v>
      </c>
      <c r="GM289" s="330" t="e">
        <v>#N/A</v>
      </c>
      <c r="GN289" s="330">
        <v>46005</v>
      </c>
      <c r="GO289" s="330" t="e">
        <v>#N/A</v>
      </c>
      <c r="GP289" s="330"/>
      <c r="GQ28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9" s="330" t="s">
        <v>261</v>
      </c>
      <c r="GS289" s="330" t="s">
        <v>261</v>
      </c>
      <c r="GT289" s="354">
        <v>46164</v>
      </c>
      <c r="GU289" s="344" t="str">
        <f>IF(Table1[[#This Row],[Hydro Tes Actual
(tanggal)]]&lt;&gt;"","Sudah","Belum")</f>
        <v>Sudah</v>
      </c>
      <c r="GV289" s="330" t="s">
        <v>261</v>
      </c>
      <c r="GW289" s="330" t="s">
        <v>261</v>
      </c>
      <c r="GX289" s="331"/>
      <c r="GY289" s="344" t="str">
        <f>IF(Table1[[#This Row],[Interkoneksi Actual
(tanggal)]]&lt;&gt;"","Sudah","Belum")</f>
        <v>Belum</v>
      </c>
      <c r="GZ289" s="330" t="s">
        <v>261</v>
      </c>
      <c r="HA289" s="330" t="s">
        <v>261</v>
      </c>
      <c r="HB289" s="331"/>
      <c r="HC289" s="344" t="str">
        <f>IF(Table1[[#This Row],[Flushing Actual
(tanggal)]]&lt;&gt;"","Sudah","Belum")</f>
        <v>Belum</v>
      </c>
      <c r="HD289" s="330">
        <v>45985</v>
      </c>
      <c r="HE289" s="330" t="e">
        <v>#N/A</v>
      </c>
      <c r="HF289" s="330">
        <v>45998</v>
      </c>
      <c r="HG289" s="352"/>
      <c r="HH28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89" s="330" t="s">
        <v>261</v>
      </c>
      <c r="HJ289" s="330" t="s">
        <v>261</v>
      </c>
      <c r="HK289" s="331"/>
      <c r="HL289" s="316"/>
      <c r="HM289" s="330">
        <v>46010</v>
      </c>
      <c r="HN289" s="330">
        <v>46010</v>
      </c>
      <c r="HO289" s="330" t="e">
        <v>#N/A</v>
      </c>
      <c r="HP289" s="331"/>
      <c r="HQ289"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89" s="330">
        <v>46017</v>
      </c>
      <c r="HS289" s="330"/>
      <c r="HT289" s="330">
        <v>46017</v>
      </c>
      <c r="HU289" s="330"/>
      <c r="HV289" s="331"/>
      <c r="HW28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89" s="47"/>
      <c r="HY289" s="352"/>
      <c r="HZ289" s="352"/>
      <c r="IB289" s="618">
        <f>IFERROR(ROUND((Table1[[#This Row],[PLAN TC
finish]]-Table1[[#This Row],[PLAN MC-0
start]])/30,2),"")</f>
        <v>1.83</v>
      </c>
      <c r="IC289">
        <f>DATEDIF(Table1[[#This Row],[PLAN MC-0
start]],Table1[[#This Row],[PLAN TC
finish]],"m")</f>
        <v>1</v>
      </c>
    </row>
    <row r="290" spans="1:237" s="4" customFormat="1" ht="15" hidden="1" customHeight="1" x14ac:dyDescent="0.2">
      <c r="B290" s="311">
        <f>SUBTOTAL(3,$D$5:D290)</f>
        <v>84</v>
      </c>
      <c r="C290" s="316">
        <v>286</v>
      </c>
      <c r="D290" s="338" t="s">
        <v>244</v>
      </c>
      <c r="E290" s="338" t="s">
        <v>2285</v>
      </c>
      <c r="F290" s="338" t="s">
        <v>2286</v>
      </c>
      <c r="G290" s="349">
        <v>46117</v>
      </c>
      <c r="H290" s="338" t="s">
        <v>681</v>
      </c>
      <c r="I290" s="338" t="s">
        <v>278</v>
      </c>
      <c r="J290" s="480" t="s">
        <v>1818</v>
      </c>
      <c r="K290" s="338" t="s">
        <v>1165</v>
      </c>
      <c r="L290" s="316" t="s">
        <v>250</v>
      </c>
      <c r="M290" s="355" t="s">
        <v>269</v>
      </c>
      <c r="N290" s="107">
        <v>375</v>
      </c>
      <c r="O290" s="31" t="s">
        <v>252</v>
      </c>
      <c r="P29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90" s="35">
        <v>1</v>
      </c>
      <c r="S290" s="34">
        <v>1</v>
      </c>
      <c r="T290" s="34">
        <f>Table1[[#This Row],[Progres Total Aktual
(%)]]</f>
        <v>0.28635401107274511</v>
      </c>
      <c r="U290" s="98">
        <f>Table1[[#This Row],[Progres Aktual
(%)]]-Table1[[#This Row],[Target Progres
(%)]]</f>
        <v>-0.71364598892725484</v>
      </c>
      <c r="V290" s="80">
        <f>Table1[[#This Row],["Volume
BA MC-0"]]</f>
        <v>390</v>
      </c>
      <c r="W290" s="46">
        <f>Table1[[#This Row],[Total Panjang Pipa Aktual
(Sum-&gt;)3]]</f>
        <v>282</v>
      </c>
      <c r="X290" s="47"/>
      <c r="Y290" s="67" t="s">
        <v>2279</v>
      </c>
      <c r="Z290" s="67">
        <v>2140671314</v>
      </c>
      <c r="AA290" s="67">
        <f>ROUND((Table1[[#This Row],[Nilai RAB Jaringan
(Exclude Ppn)]]-Table1[[#This Row],[RAB Perizinan]])*1.11+Table1[[#This Row],[RAB Perizinan]],0)</f>
        <v>2140671313</v>
      </c>
      <c r="AB290" s="486">
        <f>SUM(Table1[[#This Row],[RAB Kegiatan Umum]:[RAB Perizinan]])</f>
        <v>1929598030</v>
      </c>
      <c r="AC290" s="436">
        <v>149537486</v>
      </c>
      <c r="AD290" s="436">
        <v>1495374851</v>
      </c>
      <c r="AE290" s="436">
        <v>273935693</v>
      </c>
      <c r="AF290" s="436">
        <v>10750000</v>
      </c>
      <c r="AG290" s="483">
        <v>0</v>
      </c>
      <c r="AH290" s="33">
        <f>SUM(Table1[[#This Row],[Bobot Keg Umum]:[Bobot Perizinan]])</f>
        <v>1</v>
      </c>
      <c r="AI290" s="33">
        <f>Table1[[#This Row],[RAB Kegiatan Umum]]/Table1[[#This Row],[Nilai RAB Jaringan
(Exclude Ppn)]]</f>
        <v>7.749670329006296E-2</v>
      </c>
      <c r="AJ290" s="33">
        <f>Table1[[#This Row],[RAB Pemasangan]]/Table1[[#This Row],[Nilai RAB Jaringan
(Exclude Ppn)]]</f>
        <v>0.7749670282364457</v>
      </c>
      <c r="AK290" s="33">
        <f>Table1[[#This Row],[RAB Pengadaan]]/Table1[[#This Row],[Nilai RAB Jaringan
(Exclude Ppn)]]</f>
        <v>0.1419651599665035</v>
      </c>
      <c r="AL290" s="33">
        <f>Table1[[#This Row],[RAB Perizinan]]/Table1[[#This Row],[Nilai RAB Jaringan
(Exclude Ppn)]]</f>
        <v>5.5711085069878518E-3</v>
      </c>
      <c r="AM290" s="47"/>
      <c r="AN290" s="285">
        <v>390</v>
      </c>
      <c r="AO290" s="285">
        <f>SUM(Table1[[#This Row],[Pipa 63 mm]:[Pipa 1,800 mm]])</f>
        <v>0</v>
      </c>
      <c r="AP290" s="285"/>
      <c r="AQ290" s="285"/>
      <c r="AR290" s="285"/>
      <c r="AS290" s="285"/>
      <c r="AT290" s="285"/>
      <c r="AU290" s="285"/>
      <c r="AV290" s="285"/>
      <c r="AW290" s="285"/>
      <c r="AX290" s="285"/>
      <c r="AY290" s="285"/>
      <c r="AZ290" s="285"/>
      <c r="BA290" s="285"/>
      <c r="BB290" s="285"/>
      <c r="BC290" s="285"/>
      <c r="BD290" s="285"/>
      <c r="BE290" s="285"/>
      <c r="BF290" s="285"/>
      <c r="BG290" s="285"/>
      <c r="BH290" s="285"/>
      <c r="BI290" s="285"/>
      <c r="BJ290" s="36">
        <f>SUM(Table1[[#This Row],[Pipa 63 mm2]:[Pipa 1,800 mm21]])</f>
        <v>282</v>
      </c>
      <c r="BK290" s="32"/>
      <c r="BL290" s="32"/>
      <c r="BM290" s="32"/>
      <c r="BN290" s="32">
        <v>282</v>
      </c>
      <c r="BO290" s="32"/>
      <c r="BP290" s="32"/>
      <c r="BQ290" s="32"/>
      <c r="BR290" s="32"/>
      <c r="BS290" s="32"/>
      <c r="BT290" s="32"/>
      <c r="BU290" s="32"/>
      <c r="BV290" s="32"/>
      <c r="BW290" s="32"/>
      <c r="BX290" s="32"/>
      <c r="BY290" s="32"/>
      <c r="BZ290" s="32"/>
      <c r="CA290" s="32"/>
      <c r="CB290" s="32"/>
      <c r="CC290" s="32"/>
      <c r="CD290" s="32"/>
      <c r="CE290" s="32">
        <v>0</v>
      </c>
      <c r="CF290" s="32"/>
      <c r="CG290" s="32"/>
      <c r="CH290" s="32"/>
      <c r="CI290" s="32">
        <f t="shared" si="15"/>
        <v>0</v>
      </c>
      <c r="CJ290" s="65">
        <f>IF((Table1[[#This Row],["Volume
BA MC-0"]]-Table1[[#This Row],[Total Panjang Pipa Aktual
(Sum-&gt;)3]]-Table1[[#This Row],[Total Volume
tidak dapat dipasang]])&gt;=0,Table1[[#This Row],["Volume
BA MC-0"]]-Table1[[#This Row],[Total Panjang Pipa Aktual
(Sum-&gt;)3]]-Table1[[#This Row],[Total Volume
tidak dapat dipasang]],0)</f>
        <v>108</v>
      </c>
      <c r="CK290" s="47"/>
      <c r="CL290" s="484" t="s">
        <v>1821</v>
      </c>
      <c r="CM290" s="34" t="s">
        <v>1821</v>
      </c>
      <c r="CN290" s="484" t="s">
        <v>1821</v>
      </c>
      <c r="CO290" s="484" t="s">
        <v>1821</v>
      </c>
      <c r="CP29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0.28635401107274511</v>
      </c>
      <c r="CQ290" s="66">
        <f>IFERROR(Table1[[#This Row],[Progres Keg. Umum
(%)]]*Table1[[#This Row],[Nilai RAB Jaringan
(file pa aji)]],0)</f>
        <v>0</v>
      </c>
      <c r="CR290" s="66">
        <f>IFERROR(Table1[[#This Row],[Progres MOS
(%)]]*Table1[[#This Row],[Nilai RAB Jaringan
(file pa aji)]],0)</f>
        <v>0</v>
      </c>
      <c r="CS290" s="66">
        <f>IFERROR(Table1[[#This Row],[Progres Pemasangan
(%)]]*Table1[[#This Row],[Nilai RAB Jaringan
(file pa aji)]],0)</f>
        <v>0</v>
      </c>
      <c r="CT290" s="66">
        <f>IFERROR(Table1[[#This Row],[Progres Perizinan
(%)]]*Table1[[#This Row],[Nilai RAB Jaringan
(file pa aji)]],0)</f>
        <v>0</v>
      </c>
      <c r="CU290" s="329">
        <v>612989816.86590981</v>
      </c>
      <c r="CV290" s="329">
        <v>612989816.86590981</v>
      </c>
      <c r="CW290" s="583">
        <v>0</v>
      </c>
      <c r="CX290" s="329">
        <v>0</v>
      </c>
      <c r="CY290" s="47"/>
      <c r="CZ290" s="330">
        <v>45838</v>
      </c>
      <c r="DA290" s="330">
        <v>45865</v>
      </c>
      <c r="DB290" s="331">
        <v>45820</v>
      </c>
      <c r="DC290" s="316" t="s">
        <v>2287</v>
      </c>
      <c r="DD290" s="67">
        <v>2140671315</v>
      </c>
      <c r="DE29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0" s="331">
        <v>45825</v>
      </c>
      <c r="DG290" s="316" t="s">
        <v>2288</v>
      </c>
      <c r="DH290" s="67">
        <v>2140671315</v>
      </c>
      <c r="DI29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0" s="330">
        <v>45866</v>
      </c>
      <c r="DK290" s="330">
        <v>45928</v>
      </c>
      <c r="DL290" s="331">
        <v>45847</v>
      </c>
      <c r="DM290" s="316" t="s">
        <v>2289</v>
      </c>
      <c r="DN29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0" s="331">
        <v>45917</v>
      </c>
      <c r="DP290" s="316" t="s">
        <v>2290</v>
      </c>
      <c r="DQ290" s="338" t="s">
        <v>312</v>
      </c>
      <c r="DR29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0" s="330">
        <v>45866</v>
      </c>
      <c r="DT290" s="330" t="e">
        <v>#N/A</v>
      </c>
      <c r="DU290" s="330">
        <v>45907</v>
      </c>
      <c r="DV290" s="330" t="e">
        <v>#N/A</v>
      </c>
      <c r="DW290" s="331">
        <v>45846</v>
      </c>
      <c r="DX290" s="484" t="s">
        <v>2291</v>
      </c>
      <c r="DY290" s="334">
        <v>42</v>
      </c>
      <c r="DZ290" s="334">
        <v>42</v>
      </c>
      <c r="EA29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0" s="331"/>
      <c r="EC290" s="332">
        <v>38</v>
      </c>
      <c r="ED290" s="332">
        <v>38</v>
      </c>
      <c r="EE290" s="330"/>
      <c r="EF290" s="35">
        <v>0.90476190476190477</v>
      </c>
      <c r="EG290" s="35">
        <f>Table1[[#This Row],[Line PO (kolom  bantu)2]]/Table1[[#This Row],[Line PR]]</f>
        <v>0.90476190476190477</v>
      </c>
      <c r="EH290" s="316" t="str">
        <f>IF(Table1[[#This Row],[PO Material Aktual 
(%)]]&gt;=100%,"Selesai PO = 100%",IF(Table1[[#This Row],[PO Material Aktual 
(%)]]&gt;=50%,"Proses PO &gt; 100%",IF(Table1[[#This Row],[PO Material Aktual 
(%)]]&gt;0%,"Proses PO &gt; 50%",IF(Table1[[#This Row],[PO Material Aktual 
(%)]]=0,"Belum PO = 0%"))))</f>
        <v>Proses PO &gt; 100%</v>
      </c>
      <c r="EI29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0" s="330">
        <v>45908</v>
      </c>
      <c r="EK290" s="330" t="e">
        <v>#N/A</v>
      </c>
      <c r="EL290" s="330">
        <v>45956</v>
      </c>
      <c r="EM290" s="330" t="e">
        <v>#N/A</v>
      </c>
      <c r="EN290" s="331"/>
      <c r="EO290" s="332">
        <v>38</v>
      </c>
      <c r="EP290" s="316">
        <v>38</v>
      </c>
      <c r="EQ290" s="35">
        <v>0.90476190476190477</v>
      </c>
      <c r="ER290" s="35">
        <f>Table1[[#This Row],[Line MOS]]/Table1[[#This Row],[Line PR]]</f>
        <v>0.90476190476190477</v>
      </c>
      <c r="ES290" s="316" t="str">
        <f>IF(Table1[[#This Row],[Progres MOS]]&gt;=100%,"Selesai MOS = 100%",IF(Table1[[#This Row],[Progres MOS]]&gt;=50%,"Proses MOS &gt; 100%",IF(Table1[[#This Row],[Progres MOS]]&gt;0%,"Proses MOS &gt; 50%",IF(Table1[[#This Row],[Progres MOS]]=0,"Belum MOS = 0%"))))</f>
        <v>Proses MOS &gt; 100%</v>
      </c>
      <c r="ET29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0" s="47"/>
      <c r="EV290" s="330">
        <v>45866</v>
      </c>
      <c r="EW290" s="330" t="e">
        <v>#N/A</v>
      </c>
      <c r="EX290" s="330">
        <v>45956</v>
      </c>
      <c r="EY290" s="330" t="e">
        <v>#N/A</v>
      </c>
      <c r="EZ290" s="352" t="s">
        <v>298</v>
      </c>
      <c r="FA290" s="336" t="s">
        <v>259</v>
      </c>
      <c r="FB290" s="330" t="s">
        <v>260</v>
      </c>
      <c r="FC290" s="330">
        <v>45946</v>
      </c>
      <c r="FD290" s="330" t="s">
        <v>260</v>
      </c>
      <c r="FE290" s="330">
        <v>45966</v>
      </c>
      <c r="FF290" s="330">
        <v>45993</v>
      </c>
      <c r="FG290" s="330" t="s">
        <v>260</v>
      </c>
      <c r="FH290" s="330" t="s">
        <v>260</v>
      </c>
      <c r="FI290" s="330">
        <v>46013</v>
      </c>
      <c r="FJ290" s="330" t="s">
        <v>260</v>
      </c>
      <c r="FK290" s="330">
        <v>46135</v>
      </c>
      <c r="FL290" s="336" t="s">
        <v>298</v>
      </c>
      <c r="FM290" s="352">
        <v>45946</v>
      </c>
      <c r="FN290" s="338">
        <f>IF(Table1[[#This Row],[Tanggal Pengajuan Dokumen]]="","",Table1[[#This Row],[PLAN PERMIT
start]]-Table1[[#This Row],[Tanggal Pengajuan Dokumen]])</f>
        <v>-80</v>
      </c>
      <c r="FO290" s="437">
        <v>46097</v>
      </c>
      <c r="FP290" s="316"/>
      <c r="FQ290" s="338"/>
      <c r="FR290" s="338"/>
      <c r="FS290" s="338" t="str">
        <f t="shared" si="14"/>
        <v>Sudah Terbit</v>
      </c>
      <c r="FT29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0" s="344">
        <f ca="1">IF(Table1[[#This Row],[Status Izin]]="Selesai",Table1[[#This Row],[PLAN PERMIT
finish]]-Table1[[#This Row],[Tanggal Terbit/ Target Izin Terbit]],ROUNDUP(Table1[[#This Row],[PLAN PERMIT
finish]]-NOW(),0))</f>
        <v>-141</v>
      </c>
      <c r="FV29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0" s="344"/>
      <c r="FX290" s="47"/>
      <c r="FY290" s="340"/>
      <c r="FZ290" s="341"/>
      <c r="GA29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0" s="330">
        <v>45930</v>
      </c>
      <c r="GC290" s="352">
        <v>45896</v>
      </c>
      <c r="GD29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0" s="330">
        <v>45937</v>
      </c>
      <c r="GF290" s="352">
        <v>45896</v>
      </c>
      <c r="GG29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0" s="330">
        <v>45943</v>
      </c>
      <c r="GI290" s="330">
        <v>45949</v>
      </c>
      <c r="GJ290" s="352">
        <v>45908</v>
      </c>
      <c r="GK29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0" s="330">
        <v>45957</v>
      </c>
      <c r="GM290" s="330" t="e">
        <v>#N/A</v>
      </c>
      <c r="GN290" s="330">
        <v>46005</v>
      </c>
      <c r="GO290" s="330" t="e">
        <v>#N/A</v>
      </c>
      <c r="GP290" s="330"/>
      <c r="GQ29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0" s="330" t="s">
        <v>261</v>
      </c>
      <c r="GS290" s="330" t="s">
        <v>261</v>
      </c>
      <c r="GT290" s="354"/>
      <c r="GU290" s="344" t="str">
        <f>IF(Table1[[#This Row],[Hydro Tes Actual
(tanggal)]]&lt;&gt;"","Sudah","Belum")</f>
        <v>Belum</v>
      </c>
      <c r="GV290" s="330" t="s">
        <v>261</v>
      </c>
      <c r="GW290" s="330" t="s">
        <v>261</v>
      </c>
      <c r="GX290" s="331"/>
      <c r="GY290" s="344" t="str">
        <f>IF(Table1[[#This Row],[Interkoneksi Actual
(tanggal)]]&lt;&gt;"","Sudah","Belum")</f>
        <v>Belum</v>
      </c>
      <c r="GZ290" s="330" t="s">
        <v>261</v>
      </c>
      <c r="HA290" s="330" t="s">
        <v>261</v>
      </c>
      <c r="HB290" s="331"/>
      <c r="HC290" s="344" t="str">
        <f>IF(Table1[[#This Row],[Flushing Actual
(tanggal)]]&lt;&gt;"","Sudah","Belum")</f>
        <v>Belum</v>
      </c>
      <c r="HD290" s="330">
        <v>45985</v>
      </c>
      <c r="HE290" s="330" t="e">
        <v>#N/A</v>
      </c>
      <c r="HF290" s="330">
        <v>45998</v>
      </c>
      <c r="HG290" s="352"/>
      <c r="HH29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0" s="330" t="s">
        <v>261</v>
      </c>
      <c r="HJ290" s="330" t="s">
        <v>261</v>
      </c>
      <c r="HK290" s="331"/>
      <c r="HL290" s="316"/>
      <c r="HM290" s="330">
        <v>46010</v>
      </c>
      <c r="HN290" s="330">
        <v>46010</v>
      </c>
      <c r="HO290" s="330" t="e">
        <v>#N/A</v>
      </c>
      <c r="HP290" s="331"/>
      <c r="HQ290"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90" s="330">
        <v>46017</v>
      </c>
      <c r="HS290" s="330"/>
      <c r="HT290" s="330">
        <v>46017</v>
      </c>
      <c r="HU290" s="330"/>
      <c r="HV290" s="331"/>
      <c r="HW29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90" s="47"/>
      <c r="HY290" s="352"/>
      <c r="HZ290" s="352"/>
      <c r="IB290" s="618">
        <f>IFERROR(ROUND((Table1[[#This Row],[PLAN TC
finish]]-Table1[[#This Row],[PLAN MC-0
start]])/30,2),"")</f>
        <v>1.83</v>
      </c>
      <c r="IC290">
        <f>DATEDIF(Table1[[#This Row],[PLAN MC-0
start]],Table1[[#This Row],[PLAN TC
finish]],"m")</f>
        <v>1</v>
      </c>
    </row>
    <row r="291" spans="1:237" s="30" customFormat="1" ht="15" hidden="1" customHeight="1" x14ac:dyDescent="0.2">
      <c r="A291" s="77"/>
      <c r="B291" s="311">
        <f>SUBTOTAL(3,$D$5:D291)</f>
        <v>84</v>
      </c>
      <c r="C291" s="367">
        <v>287</v>
      </c>
      <c r="D291" s="366" t="s">
        <v>244</v>
      </c>
      <c r="E291" s="366" t="s">
        <v>2292</v>
      </c>
      <c r="F291" s="366" t="s">
        <v>2293</v>
      </c>
      <c r="G291" s="364">
        <v>46117</v>
      </c>
      <c r="H291" s="366" t="s">
        <v>681</v>
      </c>
      <c r="I291" s="366" t="s">
        <v>278</v>
      </c>
      <c r="J291" s="385" t="s">
        <v>389</v>
      </c>
      <c r="K291" s="366" t="s">
        <v>1165</v>
      </c>
      <c r="L291" s="367" t="s">
        <v>250</v>
      </c>
      <c r="M291" s="392" t="s">
        <v>269</v>
      </c>
      <c r="N291" s="368">
        <v>4062</v>
      </c>
      <c r="O291" s="369" t="s">
        <v>252</v>
      </c>
      <c r="P291"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1" s="385" t="s">
        <v>389</v>
      </c>
      <c r="R291" s="371">
        <v>0.87018039221962973</v>
      </c>
      <c r="S291" s="34">
        <v>1</v>
      </c>
      <c r="T291" s="489">
        <f>Table1[[#This Row],[Progres Total Aktual
(%)]]</f>
        <v>0</v>
      </c>
      <c r="U291" s="490">
        <f>Table1[[#This Row],[Progres Aktual
(%)]]-Table1[[#This Row],[Target Progres
(%)]]</f>
        <v>-1</v>
      </c>
      <c r="V291" s="491">
        <f>Table1[[#This Row],["Volume
BA MC-0"]]</f>
        <v>0</v>
      </c>
      <c r="W291" s="492">
        <f>Table1[[#This Row],[Total Panjang Pipa Aktual
(Sum-&gt;)3]]</f>
        <v>0</v>
      </c>
      <c r="X291" s="47"/>
      <c r="Y291" s="375" t="s">
        <v>2294</v>
      </c>
      <c r="Z291" s="375">
        <v>8208811390</v>
      </c>
      <c r="AA291" s="375">
        <f>ROUND((Table1[[#This Row],[Nilai RAB Jaringan
(Exclude Ppn)]]-Table1[[#This Row],[RAB Perizinan]])*1.11+Table1[[#This Row],[RAB Perizinan]],0)</f>
        <v>8175476577</v>
      </c>
      <c r="AB291" s="493">
        <f>SUM(Table1[[#This Row],[RAB Kegiatan Umum]:[RAB Perizinan]])</f>
        <v>7370013313</v>
      </c>
      <c r="AC291" s="439">
        <v>480919764</v>
      </c>
      <c r="AD291" s="439">
        <v>4809197634</v>
      </c>
      <c r="AE291" s="439">
        <v>2032275915</v>
      </c>
      <c r="AF291" s="439">
        <v>47620000</v>
      </c>
      <c r="AG291" s="494">
        <v>754319830</v>
      </c>
      <c r="AH291" s="495">
        <f>SUM(Table1[[#This Row],[Bobot Keg Umum]:[Bobot Perizinan]])</f>
        <v>1</v>
      </c>
      <c r="AI291" s="495">
        <f>Table1[[#This Row],[RAB Kegiatan Umum]]/Table1[[#This Row],[Nilai RAB Jaringan
(Exclude Ppn)]]</f>
        <v>6.5253581448991876E-2</v>
      </c>
      <c r="AJ291" s="495">
        <f>Table1[[#This Row],[RAB Pemasangan]]/Table1[[#This Row],[Nilai RAB Jaringan
(Exclude Ppn)]]</f>
        <v>0.65253581367580904</v>
      </c>
      <c r="AK291" s="495">
        <f>Table1[[#This Row],[RAB Pengadaan]]/Table1[[#This Row],[Nilai RAB Jaringan
(Exclude Ppn)]]</f>
        <v>0.27574928683171568</v>
      </c>
      <c r="AL291" s="495">
        <f>Table1[[#This Row],[RAB Perizinan]]/Table1[[#This Row],[Nilai RAB Jaringan
(Exclude Ppn)]]</f>
        <v>6.461318043483431E-3</v>
      </c>
      <c r="AM291" s="47"/>
      <c r="AN291" s="376">
        <v>0</v>
      </c>
      <c r="AO291" s="376">
        <f>SUM(Table1[[#This Row],[Pipa 63 mm]:[Pipa 1,800 mm]])</f>
        <v>0</v>
      </c>
      <c r="AP291" s="376"/>
      <c r="AQ291" s="376"/>
      <c r="AR291" s="376"/>
      <c r="AS291" s="376"/>
      <c r="AT291" s="376"/>
      <c r="AU291" s="376"/>
      <c r="AV291" s="376"/>
      <c r="AW291" s="376"/>
      <c r="AX291" s="376"/>
      <c r="AY291" s="376"/>
      <c r="AZ291" s="376"/>
      <c r="BA291" s="376"/>
      <c r="BB291" s="376"/>
      <c r="BC291" s="376"/>
      <c r="BD291" s="376"/>
      <c r="BE291" s="376"/>
      <c r="BF291" s="376"/>
      <c r="BG291" s="376"/>
      <c r="BH291" s="376"/>
      <c r="BI291" s="376"/>
      <c r="BJ291" s="377">
        <f>SUM(Table1[[#This Row],[Pipa 63 mm2]:[Pipa 1,800 mm21]])</f>
        <v>0</v>
      </c>
      <c r="BK291" s="378"/>
      <c r="BL291" s="378"/>
      <c r="BM291" s="378"/>
      <c r="BN291" s="378"/>
      <c r="BO291" s="378"/>
      <c r="BP291" s="378"/>
      <c r="BQ291" s="378"/>
      <c r="BR291" s="378"/>
      <c r="BS291" s="378"/>
      <c r="BT291" s="378"/>
      <c r="BU291" s="378"/>
      <c r="BV291" s="378"/>
      <c r="BW291" s="378"/>
      <c r="BX291" s="378"/>
      <c r="BY291" s="378"/>
      <c r="BZ291" s="378"/>
      <c r="CA291" s="378"/>
      <c r="CB291" s="378"/>
      <c r="CC291" s="378"/>
      <c r="CD291" s="378"/>
      <c r="CE291" s="378">
        <v>0</v>
      </c>
      <c r="CF291" s="378"/>
      <c r="CG291" s="378"/>
      <c r="CH291" s="378"/>
      <c r="CI291" s="378">
        <f t="shared" si="15"/>
        <v>0</v>
      </c>
      <c r="CJ291" s="440">
        <f>IF((Table1[[#This Row],["Volume
BA MC-0"]]-Table1[[#This Row],[Total Panjang Pipa Aktual
(Sum-&gt;)3]]-Table1[[#This Row],[Total Volume
tidak dapat dipasang]])&gt;=0,Table1[[#This Row],["Volume
BA MC-0"]]-Table1[[#This Row],[Total Panjang Pipa Aktual
(Sum-&gt;)3]]-Table1[[#This Row],[Total Volume
tidak dapat dipasang]],0)</f>
        <v>0</v>
      </c>
      <c r="CK291" s="47"/>
      <c r="CL291" s="371" t="s">
        <v>1821</v>
      </c>
      <c r="CM291" s="371" t="s">
        <v>1821</v>
      </c>
      <c r="CN291" s="371" t="s">
        <v>1821</v>
      </c>
      <c r="CO291" s="371" t="s">
        <v>1821</v>
      </c>
      <c r="CP291"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91" s="380">
        <f>IFERROR(Table1[[#This Row],[Progres Keg. Umum
(%)]]*Table1[[#This Row],[Nilai RAB Jaringan
(file pa aji)]],0)</f>
        <v>0</v>
      </c>
      <c r="CR291" s="380">
        <f>IFERROR(Table1[[#This Row],[Progres MOS
(%)]]*Table1[[#This Row],[Nilai RAB Jaringan
(file pa aji)]],0)</f>
        <v>0</v>
      </c>
      <c r="CS291" s="380">
        <f>IFERROR(Table1[[#This Row],[Progres Pemasangan
(%)]]*Table1[[#This Row],[Nilai RAB Jaringan
(file pa aji)]],0)</f>
        <v>0</v>
      </c>
      <c r="CT291" s="380">
        <f>IFERROR(Table1[[#This Row],[Progres Perizinan
(%)]]*Table1[[#This Row],[Nilai RAB Jaringan
(file pa aji)]],0)</f>
        <v>0</v>
      </c>
      <c r="CU291" s="329">
        <v>0</v>
      </c>
      <c r="CV291" s="329">
        <v>0</v>
      </c>
      <c r="CW291" s="582">
        <v>0</v>
      </c>
      <c r="CX291" s="329">
        <v>0</v>
      </c>
      <c r="CY291" s="47"/>
      <c r="CZ291" s="386">
        <v>45838</v>
      </c>
      <c r="DA291" s="386">
        <v>45865</v>
      </c>
      <c r="DB291" s="388">
        <v>45820</v>
      </c>
      <c r="DC291" s="367" t="s">
        <v>2295</v>
      </c>
      <c r="DD291" s="375">
        <v>8234537951</v>
      </c>
      <c r="DE29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1" s="388">
        <v>45825</v>
      </c>
      <c r="DG291" s="367" t="s">
        <v>2296</v>
      </c>
      <c r="DH291" s="375">
        <v>8234537951</v>
      </c>
      <c r="DI291" s="367"/>
      <c r="DJ291" s="386">
        <v>45866</v>
      </c>
      <c r="DK291" s="386">
        <v>45928</v>
      </c>
      <c r="DL291" s="388">
        <v>45842</v>
      </c>
      <c r="DM291" s="367" t="s">
        <v>2297</v>
      </c>
      <c r="DN291" s="382"/>
      <c r="DO291" s="388">
        <v>45888</v>
      </c>
      <c r="DP291" s="367" t="s">
        <v>2298</v>
      </c>
      <c r="DQ291" s="366" t="s">
        <v>312</v>
      </c>
      <c r="DR291" s="382"/>
      <c r="DS291" s="386">
        <v>45866</v>
      </c>
      <c r="DT291" s="386" t="e">
        <v>#N/A</v>
      </c>
      <c r="DU291" s="386">
        <v>45907</v>
      </c>
      <c r="DV291" s="386" t="e">
        <v>#N/A</v>
      </c>
      <c r="DW291" s="388">
        <v>45842</v>
      </c>
      <c r="DX291" s="367" t="s">
        <v>2299</v>
      </c>
      <c r="DY291" s="442"/>
      <c r="DZ291" s="442"/>
      <c r="EA291" s="382"/>
      <c r="EB291" s="388"/>
      <c r="EC291" s="442"/>
      <c r="ED291" s="442"/>
      <c r="EE291" s="386"/>
      <c r="EF291" s="371"/>
      <c r="EG291" s="371"/>
      <c r="EH291" s="367"/>
      <c r="EI291"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1" s="386">
        <v>45908</v>
      </c>
      <c r="EK291" s="386" t="e">
        <v>#N/A</v>
      </c>
      <c r="EL291" s="386">
        <v>46019</v>
      </c>
      <c r="EM291" s="386" t="e">
        <v>#N/A</v>
      </c>
      <c r="EN291" s="388"/>
      <c r="EO291" s="442"/>
      <c r="EP291" s="367"/>
      <c r="EQ291" s="371"/>
      <c r="ER291" s="371"/>
      <c r="ES291" s="367"/>
      <c r="ET29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1" s="47"/>
      <c r="EV291" s="386">
        <v>45866</v>
      </c>
      <c r="EW291" s="386" t="e">
        <v>#N/A</v>
      </c>
      <c r="EX291" s="386">
        <v>45956</v>
      </c>
      <c r="EY291" s="386" t="e">
        <v>#N/A</v>
      </c>
      <c r="EZ291" s="384" t="s">
        <v>298</v>
      </c>
      <c r="FA291" s="385" t="s">
        <v>389</v>
      </c>
      <c r="FB291" s="386" t="s">
        <v>260</v>
      </c>
      <c r="FC291" s="330">
        <v>45946</v>
      </c>
      <c r="FD291" s="386" t="s">
        <v>260</v>
      </c>
      <c r="FE291" s="386">
        <v>45966</v>
      </c>
      <c r="FF291" s="386">
        <v>45993</v>
      </c>
      <c r="FG291" s="386" t="s">
        <v>260</v>
      </c>
      <c r="FH291" s="386" t="s">
        <v>260</v>
      </c>
      <c r="FI291" s="386">
        <v>46013</v>
      </c>
      <c r="FJ291" s="386" t="s">
        <v>260</v>
      </c>
      <c r="FK291" s="386">
        <v>46135</v>
      </c>
      <c r="FL291" s="443" t="s">
        <v>298</v>
      </c>
      <c r="FM291" s="384">
        <v>45946</v>
      </c>
      <c r="FN291" s="366">
        <f>IF(Table1[[#This Row],[Tanggal Pengajuan Dokumen]]="","",Table1[[#This Row],[PLAN PERMIT
start]]-Table1[[#This Row],[Tanggal Pengajuan Dokumen]])</f>
        <v>-80</v>
      </c>
      <c r="FO291" s="444"/>
      <c r="FP291" s="367"/>
      <c r="FQ291" s="366"/>
      <c r="FR291" s="366"/>
      <c r="FS291" s="366" t="str">
        <f t="shared" si="14"/>
        <v>On Going</v>
      </c>
      <c r="FT291"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1" s="387">
        <f ca="1">IF(Table1[[#This Row],[Status Izin]]="Selesai",Table1[[#This Row],[PLAN PERMIT
finish]]-Table1[[#This Row],[Tanggal Terbit/ Target Izin Terbit]],ROUNDUP(Table1[[#This Row],[PLAN PERMIT
finish]]-NOW(),0))</f>
        <v>-235</v>
      </c>
      <c r="FV291"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1" s="387"/>
      <c r="FX291" s="47"/>
      <c r="FY291" s="340"/>
      <c r="FZ291" s="341"/>
      <c r="GA29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1" s="386">
        <v>45930</v>
      </c>
      <c r="GC291" s="384">
        <v>45840</v>
      </c>
      <c r="GD291"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1" s="386">
        <v>45937</v>
      </c>
      <c r="GF291" s="384">
        <v>45840</v>
      </c>
      <c r="GG291"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1" s="386">
        <v>45943</v>
      </c>
      <c r="GI291" s="386">
        <v>45949</v>
      </c>
      <c r="GJ291" s="384">
        <v>45842</v>
      </c>
      <c r="GK291"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1" s="386">
        <v>45957</v>
      </c>
      <c r="GM291" s="386" t="e">
        <v>#N/A</v>
      </c>
      <c r="GN291" s="386">
        <v>46096</v>
      </c>
      <c r="GO291" s="386" t="e">
        <v>#N/A</v>
      </c>
      <c r="GP291" s="386"/>
      <c r="GQ291"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1" s="386" t="s">
        <v>261</v>
      </c>
      <c r="GS291" s="386" t="s">
        <v>261</v>
      </c>
      <c r="GT291" s="390"/>
      <c r="GU291" s="387" t="str">
        <f>IF(Table1[[#This Row],[Hydro Tes Actual
(tanggal)]]&lt;&gt;"","Sudah","Belum")</f>
        <v>Belum</v>
      </c>
      <c r="GV291" s="386" t="s">
        <v>261</v>
      </c>
      <c r="GW291" s="386" t="s">
        <v>261</v>
      </c>
      <c r="GX291" s="388"/>
      <c r="GY291" s="387" t="str">
        <f>IF(Table1[[#This Row],[Interkoneksi Actual
(tanggal)]]&lt;&gt;"","Sudah","Belum")</f>
        <v>Belum</v>
      </c>
      <c r="GZ291" s="386" t="s">
        <v>261</v>
      </c>
      <c r="HA291" s="386" t="s">
        <v>261</v>
      </c>
      <c r="HB291" s="388"/>
      <c r="HC291" s="387" t="str">
        <f>IF(Table1[[#This Row],[Flushing Actual
(tanggal)]]&lt;&gt;"","Sudah","Belum")</f>
        <v>Belum</v>
      </c>
      <c r="HD291" s="386">
        <v>46069</v>
      </c>
      <c r="HE291" s="386" t="e">
        <v>#N/A</v>
      </c>
      <c r="HF291" s="386">
        <v>46082</v>
      </c>
      <c r="HG291" s="384"/>
      <c r="HH291"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1" s="386" t="s">
        <v>261</v>
      </c>
      <c r="HJ291" s="386" t="s">
        <v>261</v>
      </c>
      <c r="HK291" s="388"/>
      <c r="HL291" s="367"/>
      <c r="HM291" s="386">
        <v>46101</v>
      </c>
      <c r="HN291" s="386">
        <v>46101</v>
      </c>
      <c r="HO291" s="386" t="e">
        <v>#N/A</v>
      </c>
      <c r="HP291" s="388"/>
      <c r="HQ291"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91" s="386">
        <v>46117</v>
      </c>
      <c r="HS291" s="386"/>
      <c r="HT291" s="386">
        <v>46117</v>
      </c>
      <c r="HU291" s="386"/>
      <c r="HV291" s="388"/>
      <c r="HW291"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91" s="47"/>
      <c r="HY291" s="384"/>
      <c r="HZ291" s="384"/>
      <c r="IB291" s="618">
        <f>IFERROR(ROUND((Table1[[#This Row],[PLAN TC
finish]]-Table1[[#This Row],[PLAN MC-0
start]])/30,2),"")</f>
        <v>4.63</v>
      </c>
      <c r="IC291">
        <f>DATEDIF(Table1[[#This Row],[PLAN MC-0
start]],Table1[[#This Row],[PLAN TC
finish]],"m")</f>
        <v>4</v>
      </c>
    </row>
    <row r="292" spans="1:237" s="4" customFormat="1" ht="15" hidden="1" customHeight="1" x14ac:dyDescent="0.2">
      <c r="B292" s="311">
        <f>SUBTOTAL(3,$D$5:D292)</f>
        <v>84</v>
      </c>
      <c r="C292" s="316">
        <v>288</v>
      </c>
      <c r="D292" s="338" t="s">
        <v>244</v>
      </c>
      <c r="E292" s="338" t="s">
        <v>2300</v>
      </c>
      <c r="F292" s="338" t="s">
        <v>2301</v>
      </c>
      <c r="G292" s="349">
        <v>46117</v>
      </c>
      <c r="H292" s="338" t="s">
        <v>681</v>
      </c>
      <c r="I292" s="338" t="s">
        <v>278</v>
      </c>
      <c r="J292" s="480" t="s">
        <v>1818</v>
      </c>
      <c r="K292" s="338" t="s">
        <v>1165</v>
      </c>
      <c r="L292" s="316" t="s">
        <v>250</v>
      </c>
      <c r="M292" s="355" t="s">
        <v>269</v>
      </c>
      <c r="N292" s="107">
        <v>4259</v>
      </c>
      <c r="O292" s="31" t="s">
        <v>252</v>
      </c>
      <c r="P29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92" s="35">
        <v>0.86346899331538607</v>
      </c>
      <c r="S292" s="34">
        <v>1</v>
      </c>
      <c r="T292" s="34">
        <f>Table1[[#This Row],[Progres Total Aktual
(%)]]</f>
        <v>6.8644169337324076E-2</v>
      </c>
      <c r="U292" s="98">
        <f>Table1[[#This Row],[Progres Aktual
(%)]]-Table1[[#This Row],[Target Progres
(%)]]</f>
        <v>-0.93135583066267591</v>
      </c>
      <c r="V292" s="80">
        <f>Table1[[#This Row],["Volume
BA MC-0"]]</f>
        <v>4051</v>
      </c>
      <c r="W292" s="46">
        <f>Table1[[#This Row],[Total Panjang Pipa Aktual
(Sum-&gt;)3]]</f>
        <v>3705.66</v>
      </c>
      <c r="X292" s="47"/>
      <c r="Y292" s="67" t="s">
        <v>2302</v>
      </c>
      <c r="Z292" s="67">
        <v>6653875358</v>
      </c>
      <c r="AA292" s="67">
        <f>ROUND((Table1[[#This Row],[Nilai RAB Jaringan
(Exclude Ppn)]]-Table1[[#This Row],[RAB Perizinan]])*1.11+Table1[[#This Row],[RAB Perizinan]],0)</f>
        <v>6653875358</v>
      </c>
      <c r="AB292" s="486">
        <f>SUM(Table1[[#This Row],[RAB Kegiatan Umum]:[RAB Perizinan]])</f>
        <v>5998702934.8999996</v>
      </c>
      <c r="AC292" s="436">
        <v>437189377.89999998</v>
      </c>
      <c r="AD292" s="436">
        <v>4371893779</v>
      </c>
      <c r="AE292" s="436">
        <v>1147029778</v>
      </c>
      <c r="AF292" s="436">
        <v>42590000</v>
      </c>
      <c r="AG292" s="483">
        <v>421407726</v>
      </c>
      <c r="AH292" s="33">
        <f>SUM(Table1[[#This Row],[Bobot Keg Umum]:[Bobot Perizinan]])</f>
        <v>1</v>
      </c>
      <c r="AI292" s="33">
        <f>Table1[[#This Row],[RAB Kegiatan Umum]]/Table1[[#This Row],[Nilai RAB Jaringan
(Exclude Ppn)]]</f>
        <v>7.288065147491557E-2</v>
      </c>
      <c r="AJ292" s="33">
        <f>Table1[[#This Row],[RAB Pemasangan]]/Table1[[#This Row],[Nilai RAB Jaringan
(Exclude Ppn)]]</f>
        <v>0.7288065147491557</v>
      </c>
      <c r="AK292" s="33">
        <f>Table1[[#This Row],[RAB Pengadaan]]/Table1[[#This Row],[Nilai RAB Jaringan
(Exclude Ppn)]]</f>
        <v>0.19121296561072687</v>
      </c>
      <c r="AL292" s="33">
        <f>Table1[[#This Row],[RAB Perizinan]]/Table1[[#This Row],[Nilai RAB Jaringan
(Exclude Ppn)]]</f>
        <v>7.0998681652019481E-3</v>
      </c>
      <c r="AM292" s="47"/>
      <c r="AN292" s="285">
        <v>4051</v>
      </c>
      <c r="AO292" s="285">
        <f>SUM(Table1[[#This Row],[Pipa 63 mm]:[Pipa 1,800 mm]])</f>
        <v>0</v>
      </c>
      <c r="AP292" s="285"/>
      <c r="AQ292" s="285"/>
      <c r="AR292" s="285"/>
      <c r="AS292" s="285"/>
      <c r="AT292" s="285"/>
      <c r="AU292" s="285"/>
      <c r="AV292" s="285"/>
      <c r="AW292" s="285"/>
      <c r="AX292" s="285"/>
      <c r="AY292" s="285"/>
      <c r="AZ292" s="285"/>
      <c r="BA292" s="285"/>
      <c r="BB292" s="285"/>
      <c r="BC292" s="285"/>
      <c r="BD292" s="285"/>
      <c r="BE292" s="285"/>
      <c r="BF292" s="285"/>
      <c r="BG292" s="285"/>
      <c r="BH292" s="285"/>
      <c r="BI292" s="285"/>
      <c r="BJ292" s="36">
        <f>SUM(Table1[[#This Row],[Pipa 63 mm2]:[Pipa 1,800 mm21]])</f>
        <v>3705.66</v>
      </c>
      <c r="BK292" s="32">
        <v>2758.46</v>
      </c>
      <c r="BL292" s="32">
        <v>947.2</v>
      </c>
      <c r="BM292" s="32"/>
      <c r="BN292" s="32"/>
      <c r="BO292" s="32"/>
      <c r="BP292" s="32"/>
      <c r="BQ292" s="32"/>
      <c r="BR292" s="32"/>
      <c r="BS292" s="32"/>
      <c r="BT292" s="32"/>
      <c r="BU292" s="32"/>
      <c r="BV292" s="32"/>
      <c r="BW292" s="32"/>
      <c r="BX292" s="32"/>
      <c r="BY292" s="32"/>
      <c r="BZ292" s="32"/>
      <c r="CA292" s="32"/>
      <c r="CB292" s="32"/>
      <c r="CC292" s="32"/>
      <c r="CD292" s="32"/>
      <c r="CE292" s="32">
        <v>0</v>
      </c>
      <c r="CF292" s="32"/>
      <c r="CG292" s="32"/>
      <c r="CH292" s="32"/>
      <c r="CI292" s="32">
        <f t="shared" si="15"/>
        <v>0</v>
      </c>
      <c r="CJ292" s="65">
        <f>IF((Table1[[#This Row],["Volume
BA MC-0"]]-Table1[[#This Row],[Total Panjang Pipa Aktual
(Sum-&gt;)3]]-Table1[[#This Row],[Total Volume
tidak dapat dipasang]])&gt;=0,Table1[[#This Row],["Volume
BA MC-0"]]-Table1[[#This Row],[Total Panjang Pipa Aktual
(Sum-&gt;)3]]-Table1[[#This Row],[Total Volume
tidak dapat dipasang]],0)</f>
        <v>345.34000000000015</v>
      </c>
      <c r="CK292" s="47"/>
      <c r="CL292" s="484" t="s">
        <v>1821</v>
      </c>
      <c r="CM292" s="34" t="s">
        <v>1821</v>
      </c>
      <c r="CN292" s="484" t="s">
        <v>1821</v>
      </c>
      <c r="CO292" s="484" t="s">
        <v>1821</v>
      </c>
      <c r="CP29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6.8644169337324076E-2</v>
      </c>
      <c r="CQ292" s="66">
        <f>IFERROR(Table1[[#This Row],[Progres Keg. Umum
(%)]]*Table1[[#This Row],[Nilai RAB Jaringan
(file pa aji)]],0)</f>
        <v>0</v>
      </c>
      <c r="CR292" s="66">
        <f>IFERROR(Table1[[#This Row],[Progres MOS
(%)]]*Table1[[#This Row],[Nilai RAB Jaringan
(file pa aji)]],0)</f>
        <v>0</v>
      </c>
      <c r="CS292" s="66">
        <f>IFERROR(Table1[[#This Row],[Progres Pemasangan
(%)]]*Table1[[#This Row],[Nilai RAB Jaringan
(file pa aji)]],0)</f>
        <v>0</v>
      </c>
      <c r="CT292" s="66">
        <f>IFERROR(Table1[[#This Row],[Progres Perizinan
(%)]]*Table1[[#This Row],[Nilai RAB Jaringan
(file pa aji)]],0)</f>
        <v>0</v>
      </c>
      <c r="CU292" s="329">
        <v>456749746.82399982</v>
      </c>
      <c r="CV292" s="329">
        <v>456749746.82399982</v>
      </c>
      <c r="CW292" s="583">
        <v>0</v>
      </c>
      <c r="CX292" s="329">
        <v>0</v>
      </c>
      <c r="CY292" s="47"/>
      <c r="CZ292" s="330">
        <v>45838</v>
      </c>
      <c r="DA292" s="330">
        <v>45865</v>
      </c>
      <c r="DB292" s="331">
        <v>45820</v>
      </c>
      <c r="DC292" s="316" t="s">
        <v>2303</v>
      </c>
      <c r="DD292" s="67">
        <v>6653875358</v>
      </c>
      <c r="DE29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2" s="331">
        <v>45831</v>
      </c>
      <c r="DG292" s="316" t="s">
        <v>2304</v>
      </c>
      <c r="DH292" s="67">
        <v>6653875358</v>
      </c>
      <c r="DI29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2" s="330">
        <v>45866</v>
      </c>
      <c r="DK292" s="330">
        <v>45928</v>
      </c>
      <c r="DL292" s="331">
        <v>45896</v>
      </c>
      <c r="DM292" s="316" t="s">
        <v>2305</v>
      </c>
      <c r="DN29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2" s="331">
        <v>45950</v>
      </c>
      <c r="DP292" s="316" t="s">
        <v>2306</v>
      </c>
      <c r="DQ292" s="338" t="s">
        <v>2307</v>
      </c>
      <c r="DR29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92" s="330">
        <v>45866</v>
      </c>
      <c r="DT292" s="330" t="e">
        <v>#N/A</v>
      </c>
      <c r="DU292" s="330">
        <v>45907</v>
      </c>
      <c r="DV292" s="330" t="e">
        <v>#N/A</v>
      </c>
      <c r="DW292" s="331">
        <v>45896</v>
      </c>
      <c r="DX292" s="316" t="s">
        <v>2308</v>
      </c>
      <c r="DY292" s="334">
        <v>78</v>
      </c>
      <c r="DZ292" s="334">
        <v>78</v>
      </c>
      <c r="EA29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2" s="331">
        <v>46006</v>
      </c>
      <c r="EC292" s="332">
        <v>62</v>
      </c>
      <c r="ED292" s="332">
        <v>62</v>
      </c>
      <c r="EE292" s="330" t="s">
        <v>2309</v>
      </c>
      <c r="EF292" s="35">
        <v>0.79487179487179482</v>
      </c>
      <c r="EG292" s="35">
        <f>Table1[[#This Row],[Line PO (kolom  bantu)2]]/Table1[[#This Row],[Line PR]]</f>
        <v>0.79487179487179482</v>
      </c>
      <c r="EH292" s="316" t="str">
        <f>IF(Table1[[#This Row],[PO Material Aktual 
(%)]]&gt;=100%,"Selesai PO = 100%",IF(Table1[[#This Row],[PO Material Aktual 
(%)]]&gt;=50%,"Proses PO &gt; 100%",IF(Table1[[#This Row],[PO Material Aktual 
(%)]]&gt;0%,"Proses PO &gt; 50%",IF(Table1[[#This Row],[PO Material Aktual 
(%)]]=0,"Belum PO = 0%"))))</f>
        <v>Proses PO &gt; 100%</v>
      </c>
      <c r="EI29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2" s="330">
        <v>45908</v>
      </c>
      <c r="EK292" s="330" t="e">
        <v>#N/A</v>
      </c>
      <c r="EL292" s="330">
        <v>46019</v>
      </c>
      <c r="EM292" s="330" t="e">
        <v>#N/A</v>
      </c>
      <c r="EN292" s="331"/>
      <c r="EO292" s="332">
        <v>62</v>
      </c>
      <c r="EP292" s="316">
        <v>62</v>
      </c>
      <c r="EQ292" s="35">
        <v>0.79487179487179482</v>
      </c>
      <c r="ER292" s="35">
        <f>Table1[[#This Row],[Line MOS]]/Table1[[#This Row],[Line PR]]</f>
        <v>0.79487179487179482</v>
      </c>
      <c r="ES292" s="316" t="str">
        <f>IF(Table1[[#This Row],[Progres MOS]]&gt;=100%,"Selesai MOS = 100%",IF(Table1[[#This Row],[Progres MOS]]&gt;=50%,"Proses MOS &gt; 100%",IF(Table1[[#This Row],[Progres MOS]]&gt;0%,"Proses MOS &gt; 50%",IF(Table1[[#This Row],[Progres MOS]]=0,"Belum MOS = 0%"))))</f>
        <v>Proses MOS &gt; 100%</v>
      </c>
      <c r="ET29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2" s="47"/>
      <c r="EV292" s="330">
        <v>45866</v>
      </c>
      <c r="EW292" s="330" t="e">
        <v>#N/A</v>
      </c>
      <c r="EX292" s="330">
        <v>45956</v>
      </c>
      <c r="EY292" s="330" t="e">
        <v>#N/A</v>
      </c>
      <c r="EZ292" s="352" t="s">
        <v>298</v>
      </c>
      <c r="FA292" s="336" t="s">
        <v>259</v>
      </c>
      <c r="FB292" s="330" t="s">
        <v>260</v>
      </c>
      <c r="FC292" s="330">
        <v>45909</v>
      </c>
      <c r="FD292" s="330" t="s">
        <v>260</v>
      </c>
      <c r="FE292" s="330">
        <v>45966</v>
      </c>
      <c r="FF292" s="330">
        <v>45993</v>
      </c>
      <c r="FG292" s="330" t="s">
        <v>260</v>
      </c>
      <c r="FH292" s="330" t="s">
        <v>260</v>
      </c>
      <c r="FI292" s="330">
        <v>46013</v>
      </c>
      <c r="FJ292" s="330" t="s">
        <v>260</v>
      </c>
      <c r="FK292" s="330">
        <v>46114</v>
      </c>
      <c r="FL292" s="336" t="s">
        <v>298</v>
      </c>
      <c r="FM292" s="352">
        <v>45909</v>
      </c>
      <c r="FN292" s="338">
        <f>IF(Table1[[#This Row],[Tanggal Pengajuan Dokumen]]="","",Table1[[#This Row],[PLAN PERMIT
start]]-Table1[[#This Row],[Tanggal Pengajuan Dokumen]])</f>
        <v>-43</v>
      </c>
      <c r="FO292" s="437">
        <v>46097</v>
      </c>
      <c r="FP292" s="316"/>
      <c r="FQ292" s="338"/>
      <c r="FR292" s="338"/>
      <c r="FS292" s="338" t="str">
        <f t="shared" si="14"/>
        <v>Sudah Terbit</v>
      </c>
      <c r="FT29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2" s="344">
        <f ca="1">IF(Table1[[#This Row],[Status Izin]]="Selesai",Table1[[#This Row],[PLAN PERMIT
finish]]-Table1[[#This Row],[Tanggal Terbit/ Target Izin Terbit]],ROUNDUP(Table1[[#This Row],[PLAN PERMIT
finish]]-NOW(),0))</f>
        <v>-141</v>
      </c>
      <c r="FV29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2" s="344"/>
      <c r="FX292" s="47"/>
      <c r="FY292" s="340"/>
      <c r="FZ292" s="341"/>
      <c r="GA29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2" s="330">
        <v>45930</v>
      </c>
      <c r="GC292" s="352">
        <v>45922</v>
      </c>
      <c r="GD29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2" s="330">
        <v>45937</v>
      </c>
      <c r="GF292" s="352">
        <v>45922</v>
      </c>
      <c r="GG29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2" s="330">
        <v>45943</v>
      </c>
      <c r="GI292" s="330">
        <v>45949</v>
      </c>
      <c r="GJ292" s="352">
        <v>45940</v>
      </c>
      <c r="GK29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2" s="330">
        <v>45957</v>
      </c>
      <c r="GM292" s="330" t="e">
        <v>#N/A</v>
      </c>
      <c r="GN292" s="330">
        <v>46096</v>
      </c>
      <c r="GO292" s="330" t="e">
        <v>#N/A</v>
      </c>
      <c r="GP292" s="330"/>
      <c r="GQ29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2" s="330" t="s">
        <v>261</v>
      </c>
      <c r="GS292" s="330" t="s">
        <v>261</v>
      </c>
      <c r="GT292" s="488" t="s">
        <v>2310</v>
      </c>
      <c r="GU292" s="344" t="str">
        <f>IF(Table1[[#This Row],[Hydro Tes Actual
(tanggal)]]&lt;&gt;"","Sudah","Belum")</f>
        <v>Sudah</v>
      </c>
      <c r="GV292" s="330" t="s">
        <v>261</v>
      </c>
      <c r="GW292" s="330" t="s">
        <v>261</v>
      </c>
      <c r="GX292" s="331">
        <v>46112</v>
      </c>
      <c r="GY292" s="344" t="str">
        <f>IF(Table1[[#This Row],[Interkoneksi Actual
(tanggal)]]&lt;&gt;"","Sudah","Belum")</f>
        <v>Sudah</v>
      </c>
      <c r="GZ292" s="330" t="s">
        <v>261</v>
      </c>
      <c r="HA292" s="330" t="s">
        <v>261</v>
      </c>
      <c r="HB292" s="331">
        <v>46094</v>
      </c>
      <c r="HC292" s="344" t="str">
        <f>IF(Table1[[#This Row],[Flushing Actual
(tanggal)]]&lt;&gt;"","Sudah","Belum")</f>
        <v>Sudah</v>
      </c>
      <c r="HD292" s="330">
        <v>46069</v>
      </c>
      <c r="HE292" s="330" t="e">
        <v>#N/A</v>
      </c>
      <c r="HF292" s="330">
        <v>46082</v>
      </c>
      <c r="HG292" s="430">
        <v>46164</v>
      </c>
      <c r="HH29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2" s="330" t="s">
        <v>261</v>
      </c>
      <c r="HJ292" s="330" t="s">
        <v>261</v>
      </c>
      <c r="HK292" s="331"/>
      <c r="HL292" s="316"/>
      <c r="HM292" s="330">
        <v>46101</v>
      </c>
      <c r="HN292" s="330">
        <v>46101</v>
      </c>
      <c r="HO292" s="330" t="e">
        <v>#N/A</v>
      </c>
      <c r="HP292" s="331"/>
      <c r="HQ292"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92" s="330">
        <v>46117</v>
      </c>
      <c r="HS292" s="330"/>
      <c r="HT292" s="330">
        <v>46117</v>
      </c>
      <c r="HU292" s="330"/>
      <c r="HV292" s="331"/>
      <c r="HW29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92" s="47"/>
      <c r="HY292" s="352"/>
      <c r="HZ292" s="352"/>
      <c r="IB292" s="618">
        <f>IFERROR(ROUND((Table1[[#This Row],[PLAN TC
finish]]-Table1[[#This Row],[PLAN MC-0
start]])/30,2),"")</f>
        <v>4.63</v>
      </c>
      <c r="IC292">
        <f>DATEDIF(Table1[[#This Row],[PLAN MC-0
start]],Table1[[#This Row],[PLAN TC
finish]],"m")</f>
        <v>4</v>
      </c>
    </row>
    <row r="293" spans="1:237" s="4" customFormat="1" ht="15" hidden="1" customHeight="1" x14ac:dyDescent="0.2">
      <c r="B293" s="311">
        <f>SUBTOTAL(3,$D$5:D293)</f>
        <v>84</v>
      </c>
      <c r="C293" s="316">
        <v>289</v>
      </c>
      <c r="D293" s="338" t="s">
        <v>244</v>
      </c>
      <c r="E293" s="338" t="s">
        <v>2311</v>
      </c>
      <c r="F293" s="338" t="s">
        <v>2312</v>
      </c>
      <c r="G293" s="349">
        <v>46117</v>
      </c>
      <c r="H293" s="338" t="s">
        <v>681</v>
      </c>
      <c r="I293" s="338" t="s">
        <v>278</v>
      </c>
      <c r="J293" s="480" t="s">
        <v>1830</v>
      </c>
      <c r="K293" s="338" t="s">
        <v>1165</v>
      </c>
      <c r="L293" s="316" t="s">
        <v>250</v>
      </c>
      <c r="M293" s="355" t="s">
        <v>269</v>
      </c>
      <c r="N293" s="107">
        <v>314</v>
      </c>
      <c r="O293" s="31" t="s">
        <v>252</v>
      </c>
      <c r="P29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3" s="35">
        <v>1</v>
      </c>
      <c r="S293" s="34">
        <v>1</v>
      </c>
      <c r="T293" s="34">
        <f>Table1[[#This Row],[Progres Total Aktual
(%)]]</f>
        <v>1</v>
      </c>
      <c r="U293" s="98">
        <f>Table1[[#This Row],[Progres Aktual
(%)]]-Table1[[#This Row],[Target Progres
(%)]]</f>
        <v>0</v>
      </c>
      <c r="V293" s="80">
        <f>Table1[[#This Row],["Volume
BA MC-0"]]</f>
        <v>314</v>
      </c>
      <c r="W293" s="46">
        <f>Table1[[#This Row],[Total Panjang Pipa Aktual
(Sum-&gt;)3]]</f>
        <v>314</v>
      </c>
      <c r="X293" s="47"/>
      <c r="Y293" s="67" t="s">
        <v>2302</v>
      </c>
      <c r="Z293" s="67">
        <v>839525811</v>
      </c>
      <c r="AA293" s="67">
        <f>ROUND((Table1[[#This Row],[Nilai RAB Jaringan
(Exclude Ppn)]]-Table1[[#This Row],[RAB Perizinan]])*1.11+Table1[[#This Row],[RAB Perizinan]],0)</f>
        <v>839525811</v>
      </c>
      <c r="AB293" s="486">
        <f>SUM(Table1[[#This Row],[RAB Kegiatan Umum]:[RAB Perizinan]])</f>
        <v>756640730.5</v>
      </c>
      <c r="AC293" s="436">
        <v>52613020.5</v>
      </c>
      <c r="AD293" s="436">
        <v>526130205</v>
      </c>
      <c r="AE293" s="436">
        <v>174757505</v>
      </c>
      <c r="AF293" s="436">
        <v>3140000</v>
      </c>
      <c r="AG293" s="483">
        <v>0</v>
      </c>
      <c r="AH293" s="33">
        <f>SUM(Table1[[#This Row],[Bobot Keg Umum]:[Bobot Perizinan]])</f>
        <v>1</v>
      </c>
      <c r="AI293" s="33">
        <f>Table1[[#This Row],[RAB Kegiatan Umum]]/Table1[[#This Row],[Nilai RAB Jaringan
(Exclude Ppn)]]</f>
        <v>6.9535009654096328E-2</v>
      </c>
      <c r="AJ293" s="33">
        <f>Table1[[#This Row],[RAB Pemasangan]]/Table1[[#This Row],[Nilai RAB Jaringan
(Exclude Ppn)]]</f>
        <v>0.69535009654096336</v>
      </c>
      <c r="AK293" s="33">
        <f>Table1[[#This Row],[RAB Pengadaan]]/Table1[[#This Row],[Nilai RAB Jaringan
(Exclude Ppn)]]</f>
        <v>0.23096497182291192</v>
      </c>
      <c r="AL293" s="33">
        <f>Table1[[#This Row],[RAB Perizinan]]/Table1[[#This Row],[Nilai RAB Jaringan
(Exclude Ppn)]]</f>
        <v>4.1499219820284308E-3</v>
      </c>
      <c r="AM293" s="47"/>
      <c r="AN293" s="285">
        <v>314</v>
      </c>
      <c r="AO293" s="285">
        <f>SUM(Table1[[#This Row],[Pipa 63 mm]:[Pipa 1,800 mm]])</f>
        <v>0</v>
      </c>
      <c r="AP293" s="285"/>
      <c r="AQ293" s="285"/>
      <c r="AR293" s="285"/>
      <c r="AS293" s="285"/>
      <c r="AT293" s="285"/>
      <c r="AU293" s="285"/>
      <c r="AV293" s="285"/>
      <c r="AW293" s="285"/>
      <c r="AX293" s="285"/>
      <c r="AY293" s="285"/>
      <c r="AZ293" s="285"/>
      <c r="BA293" s="285"/>
      <c r="BB293" s="285"/>
      <c r="BC293" s="285"/>
      <c r="BD293" s="285"/>
      <c r="BE293" s="285"/>
      <c r="BF293" s="285"/>
      <c r="BG293" s="285"/>
      <c r="BH293" s="285"/>
      <c r="BI293" s="285"/>
      <c r="BJ293" s="36">
        <f>SUM(Table1[[#This Row],[Pipa 63 mm2]:[Pipa 1,800 mm21]])</f>
        <v>314</v>
      </c>
      <c r="BK293" s="32"/>
      <c r="BL293" s="32"/>
      <c r="BM293" s="32"/>
      <c r="BN293" s="32">
        <v>314</v>
      </c>
      <c r="BO293" s="32"/>
      <c r="BP293" s="32"/>
      <c r="BQ293" s="32"/>
      <c r="BR293" s="32"/>
      <c r="BS293" s="32"/>
      <c r="BT293" s="32"/>
      <c r="BU293" s="32"/>
      <c r="BV293" s="32"/>
      <c r="BW293" s="32"/>
      <c r="BX293" s="32"/>
      <c r="BY293" s="32"/>
      <c r="BZ293" s="32"/>
      <c r="CA293" s="32"/>
      <c r="CB293" s="32"/>
      <c r="CC293" s="32"/>
      <c r="CD293" s="32"/>
      <c r="CE293" s="32">
        <v>0</v>
      </c>
      <c r="CF293" s="32"/>
      <c r="CG293" s="32"/>
      <c r="CH293" s="32"/>
      <c r="CI293" s="32">
        <f t="shared" si="15"/>
        <v>0</v>
      </c>
      <c r="CJ293" s="65">
        <f>IF((Table1[[#This Row],["Volume
BA MC-0"]]-Table1[[#This Row],[Total Panjang Pipa Aktual
(Sum-&gt;)3]]-Table1[[#This Row],[Total Volume
tidak dapat dipasang]])&gt;=0,Table1[[#This Row],["Volume
BA MC-0"]]-Table1[[#This Row],[Total Panjang Pipa Aktual
(Sum-&gt;)3]]-Table1[[#This Row],[Total Volume
tidak dapat dipasang]],0)</f>
        <v>0</v>
      </c>
      <c r="CK293" s="47"/>
      <c r="CL293" s="35">
        <v>7.0000000000000001E-3</v>
      </c>
      <c r="CM293" s="35">
        <v>0.17519999999999999</v>
      </c>
      <c r="CN293" s="35">
        <v>0.6462</v>
      </c>
      <c r="CO293" s="35">
        <v>0</v>
      </c>
      <c r="CP29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3" s="66">
        <f>IFERROR(Table1[[#This Row],[Progres Keg. Umum
(%)]]*Table1[[#This Row],[Nilai RAB Jaringan
(file pa aji)]],0)</f>
        <v>5876680.6770000001</v>
      </c>
      <c r="CR293" s="66">
        <f>IFERROR(Table1[[#This Row],[Progres MOS
(%)]]*Table1[[#This Row],[Nilai RAB Jaringan
(file pa aji)]],0)</f>
        <v>147084922.08719999</v>
      </c>
      <c r="CS293" s="66">
        <f>IFERROR(Table1[[#This Row],[Progres Pemasangan
(%)]]*Table1[[#This Row],[Nilai RAB Jaringan
(file pa aji)]],0)</f>
        <v>542501579.06819999</v>
      </c>
      <c r="CT293" s="66">
        <f>IFERROR(Table1[[#This Row],[Progres Perizinan
(%)]]*Table1[[#This Row],[Nilai RAB Jaringan
(file pa aji)]],0)</f>
        <v>0</v>
      </c>
      <c r="CU293" s="329">
        <v>1427175431</v>
      </c>
      <c r="CV293" s="329">
        <v>1427175431</v>
      </c>
      <c r="CW293" s="583">
        <v>1427175431</v>
      </c>
      <c r="CX293" s="329">
        <v>1427175431</v>
      </c>
      <c r="CY293" s="47"/>
      <c r="CZ293" s="330">
        <v>45838</v>
      </c>
      <c r="DA293" s="330">
        <v>45865</v>
      </c>
      <c r="DB293" s="331">
        <v>45820</v>
      </c>
      <c r="DC293" s="316" t="s">
        <v>2313</v>
      </c>
      <c r="DD293" s="67">
        <v>839525811</v>
      </c>
      <c r="DE29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3" s="331">
        <v>45831</v>
      </c>
      <c r="DG293" s="316" t="s">
        <v>2314</v>
      </c>
      <c r="DH293" s="67">
        <v>839525811</v>
      </c>
      <c r="DI29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3" s="330">
        <v>45866</v>
      </c>
      <c r="DK293" s="330">
        <v>45928</v>
      </c>
      <c r="DL293" s="331">
        <v>45842</v>
      </c>
      <c r="DM293" s="316" t="s">
        <v>2315</v>
      </c>
      <c r="DN29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3" s="331">
        <v>45880</v>
      </c>
      <c r="DP293" s="316" t="s">
        <v>2316</v>
      </c>
      <c r="DQ293" s="338" t="s">
        <v>312</v>
      </c>
      <c r="DR29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3" s="330">
        <v>45866</v>
      </c>
      <c r="DT293" s="330" t="e">
        <v>#N/A</v>
      </c>
      <c r="DU293" s="330">
        <v>45907</v>
      </c>
      <c r="DV293" s="330" t="e">
        <v>#N/A</v>
      </c>
      <c r="DW293" s="331">
        <v>45842</v>
      </c>
      <c r="DX293" s="484" t="s">
        <v>2317</v>
      </c>
      <c r="DY293" s="332">
        <v>16</v>
      </c>
      <c r="DZ293" s="334">
        <v>16</v>
      </c>
      <c r="EA29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3" s="331">
        <v>46006</v>
      </c>
      <c r="EC293" s="332">
        <v>15</v>
      </c>
      <c r="ED293" s="332">
        <v>15</v>
      </c>
      <c r="EE293" s="330" t="s">
        <v>2318</v>
      </c>
      <c r="EF293" s="35">
        <v>0.9375</v>
      </c>
      <c r="EG293" s="35">
        <f>Table1[[#This Row],[Line PO (kolom  bantu)2]]/Table1[[#This Row],[Line PR]]</f>
        <v>0.9375</v>
      </c>
      <c r="EH293" s="316" t="str">
        <f>IF(Table1[[#This Row],[PO Material Aktual 
(%)]]&gt;=100%,"Selesai PO = 100%",IF(Table1[[#This Row],[PO Material Aktual 
(%)]]&gt;=50%,"Proses PO &gt; 100%",IF(Table1[[#This Row],[PO Material Aktual 
(%)]]&gt;0%,"Proses PO &gt; 50%",IF(Table1[[#This Row],[PO Material Aktual 
(%)]]=0,"Belum PO = 0%"))))</f>
        <v>Proses PO &gt; 100%</v>
      </c>
      <c r="EI29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3" s="330">
        <v>45908</v>
      </c>
      <c r="EK293" s="330" t="e">
        <v>#N/A</v>
      </c>
      <c r="EL293" s="330">
        <v>45956</v>
      </c>
      <c r="EM293" s="330" t="e">
        <v>#N/A</v>
      </c>
      <c r="EN293" s="331">
        <v>46156</v>
      </c>
      <c r="EO293" s="332">
        <f>Table1[[#This Row],[Line PO]]</f>
        <v>15</v>
      </c>
      <c r="EP293" s="316">
        <v>15</v>
      </c>
      <c r="EQ293" s="35">
        <v>0.9375</v>
      </c>
      <c r="ER293" s="35">
        <f>Table1[[#This Row],[Line MOS]]/Table1[[#This Row],[Line PR]]</f>
        <v>0.9375</v>
      </c>
      <c r="ES293" s="316" t="str">
        <f>IF(Table1[[#This Row],[Progres MOS]]&gt;=100%,"Selesai MOS = 100%",IF(Table1[[#This Row],[Progres MOS]]&gt;=50%,"Proses MOS &gt; 100%",IF(Table1[[#This Row],[Progres MOS]]&gt;0%,"Proses MOS &gt; 50%",IF(Table1[[#This Row],[Progres MOS]]=0,"Belum MOS = 0%"))))</f>
        <v>Proses MOS &gt; 100%</v>
      </c>
      <c r="ET29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3" s="47"/>
      <c r="EV293" s="330">
        <v>45866</v>
      </c>
      <c r="EW293" s="330" t="e">
        <v>#N/A</v>
      </c>
      <c r="EX293" s="330">
        <v>45956</v>
      </c>
      <c r="EY293" s="330" t="e">
        <v>#N/A</v>
      </c>
      <c r="EZ293" s="352" t="s">
        <v>298</v>
      </c>
      <c r="FA293" s="336" t="s">
        <v>259</v>
      </c>
      <c r="FB293" s="330" t="s">
        <v>260</v>
      </c>
      <c r="FC293" s="330">
        <v>45909</v>
      </c>
      <c r="FD293" s="330" t="s">
        <v>260</v>
      </c>
      <c r="FE293" s="330">
        <v>45966</v>
      </c>
      <c r="FF293" s="330">
        <v>45993</v>
      </c>
      <c r="FG293" s="330" t="s">
        <v>260</v>
      </c>
      <c r="FH293" s="330" t="s">
        <v>260</v>
      </c>
      <c r="FI293" s="330">
        <v>46013</v>
      </c>
      <c r="FJ293" s="330" t="s">
        <v>260</v>
      </c>
      <c r="FK293" s="330">
        <v>46114</v>
      </c>
      <c r="FL293" s="336" t="s">
        <v>298</v>
      </c>
      <c r="FM293" s="352">
        <v>45909</v>
      </c>
      <c r="FN293" s="338">
        <f>IF(Table1[[#This Row],[Tanggal Pengajuan Dokumen]]="","",Table1[[#This Row],[PLAN PERMIT
start]]-Table1[[#This Row],[Tanggal Pengajuan Dokumen]])</f>
        <v>-43</v>
      </c>
      <c r="FO293" s="437">
        <v>46097</v>
      </c>
      <c r="FP293" s="316"/>
      <c r="FQ293" s="338"/>
      <c r="FR293" s="338"/>
      <c r="FS293" s="338" t="str">
        <f t="shared" si="14"/>
        <v>Sudah Terbit</v>
      </c>
      <c r="FT29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3" s="344">
        <f ca="1">IF(Table1[[#This Row],[Status Izin]]="Selesai",Table1[[#This Row],[PLAN PERMIT
finish]]-Table1[[#This Row],[Tanggal Terbit/ Target Izin Terbit]],ROUNDUP(Table1[[#This Row],[PLAN PERMIT
finish]]-NOW(),0))</f>
        <v>-141</v>
      </c>
      <c r="FV29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3" s="344"/>
      <c r="FX293" s="47"/>
      <c r="FY293" s="340"/>
      <c r="FZ293" s="341"/>
      <c r="GA29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3" s="330">
        <v>45930</v>
      </c>
      <c r="GC293" s="352">
        <v>45922</v>
      </c>
      <c r="GD29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3" s="330">
        <v>45937</v>
      </c>
      <c r="GF293" s="352">
        <v>45922</v>
      </c>
      <c r="GG29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3" s="330">
        <v>45943</v>
      </c>
      <c r="GI293" s="330">
        <v>45949</v>
      </c>
      <c r="GJ293" s="352">
        <v>45908</v>
      </c>
      <c r="GK29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3" s="330">
        <v>45957</v>
      </c>
      <c r="GM293" s="330" t="e">
        <v>#N/A</v>
      </c>
      <c r="GN293" s="330">
        <v>46005</v>
      </c>
      <c r="GO293" s="330" t="e">
        <v>#N/A</v>
      </c>
      <c r="GP293" s="330"/>
      <c r="GQ29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3" s="330" t="s">
        <v>261</v>
      </c>
      <c r="GS293" s="330" t="s">
        <v>261</v>
      </c>
      <c r="GT293" s="488" t="s">
        <v>2319</v>
      </c>
      <c r="GU293" s="344" t="str">
        <f>IF(Table1[[#This Row],[Hydro Tes Actual
(tanggal)]]&lt;&gt;"","Sudah","Belum")</f>
        <v>Sudah</v>
      </c>
      <c r="GV293" s="330" t="s">
        <v>261</v>
      </c>
      <c r="GW293" s="330" t="s">
        <v>261</v>
      </c>
      <c r="GX293" s="331">
        <v>45947</v>
      </c>
      <c r="GY293" s="344" t="str">
        <f>IF(Table1[[#This Row],[Interkoneksi Actual
(tanggal)]]&lt;&gt;"","Sudah","Belum")</f>
        <v>Sudah</v>
      </c>
      <c r="GZ293" s="330" t="s">
        <v>261</v>
      </c>
      <c r="HA293" s="330" t="s">
        <v>261</v>
      </c>
      <c r="HB293" s="331">
        <v>46058</v>
      </c>
      <c r="HC293" s="344" t="str">
        <f>IF(Table1[[#This Row],[Flushing Actual
(tanggal)]]&lt;&gt;"","Sudah","Belum")</f>
        <v>Sudah</v>
      </c>
      <c r="HD293" s="330">
        <v>45985</v>
      </c>
      <c r="HE293" s="330" t="e">
        <v>#N/A</v>
      </c>
      <c r="HF293" s="330">
        <v>45998</v>
      </c>
      <c r="HG293" s="352">
        <v>46065</v>
      </c>
      <c r="HH29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3" s="330" t="s">
        <v>261</v>
      </c>
      <c r="HJ293" s="330" t="s">
        <v>261</v>
      </c>
      <c r="HK293" s="331"/>
      <c r="HL293" s="316"/>
      <c r="HM293" s="330">
        <v>46010</v>
      </c>
      <c r="HN293" s="330">
        <v>46010</v>
      </c>
      <c r="HO293" s="330" t="e">
        <v>#N/A</v>
      </c>
      <c r="HP293" s="331">
        <v>46106</v>
      </c>
      <c r="HQ29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93" s="330">
        <v>46017</v>
      </c>
      <c r="HS293" s="330"/>
      <c r="HT293" s="330">
        <v>46017</v>
      </c>
      <c r="HU293" s="330"/>
      <c r="HV293" s="331">
        <v>46108</v>
      </c>
      <c r="HW29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93" s="47"/>
      <c r="HY293" s="352"/>
      <c r="HZ293" s="352"/>
      <c r="IB293" s="618">
        <f>IFERROR(ROUND((Table1[[#This Row],[PLAN TC
finish]]-Table1[[#This Row],[PLAN MC-0
start]])/30,2),"")</f>
        <v>1.83</v>
      </c>
      <c r="IC293">
        <f>DATEDIF(Table1[[#This Row],[PLAN MC-0
start]],Table1[[#This Row],[PLAN TC
finish]],"m")</f>
        <v>1</v>
      </c>
    </row>
    <row r="294" spans="1:237" s="30" customFormat="1" ht="15" hidden="1" customHeight="1" x14ac:dyDescent="0.2">
      <c r="A294" s="77"/>
      <c r="B294" s="311">
        <f>SUBTOTAL(3,$D$5:D294)</f>
        <v>84</v>
      </c>
      <c r="C294" s="367">
        <v>290</v>
      </c>
      <c r="D294" s="366" t="s">
        <v>244</v>
      </c>
      <c r="E294" s="366" t="s">
        <v>2320</v>
      </c>
      <c r="F294" s="366" t="s">
        <v>2321</v>
      </c>
      <c r="G294" s="364">
        <v>46117</v>
      </c>
      <c r="H294" s="366" t="s">
        <v>681</v>
      </c>
      <c r="I294" s="366" t="s">
        <v>278</v>
      </c>
      <c r="J294" s="385" t="s">
        <v>389</v>
      </c>
      <c r="K294" s="366" t="s">
        <v>1165</v>
      </c>
      <c r="L294" s="367" t="s">
        <v>250</v>
      </c>
      <c r="M294" s="392" t="s">
        <v>269</v>
      </c>
      <c r="N294" s="368">
        <v>32</v>
      </c>
      <c r="O294" s="369" t="s">
        <v>252</v>
      </c>
      <c r="P294"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4" s="385" t="s">
        <v>389</v>
      </c>
      <c r="R294" s="371">
        <v>1.0000000000000002</v>
      </c>
      <c r="S294" s="34">
        <v>1</v>
      </c>
      <c r="T294" s="489">
        <f>Table1[[#This Row],[Progres Total Aktual
(%)]]</f>
        <v>0</v>
      </c>
      <c r="U294" s="490">
        <f>Table1[[#This Row],[Progres Aktual
(%)]]-Table1[[#This Row],[Target Progres
(%)]]</f>
        <v>-1</v>
      </c>
      <c r="V294" s="491">
        <f>Table1[[#This Row],["Volume
BA MC-0"]]</f>
        <v>60</v>
      </c>
      <c r="W294" s="492">
        <f>Table1[[#This Row],[Total Panjang Pipa Aktual
(Sum-&gt;)3]]</f>
        <v>0</v>
      </c>
      <c r="X294" s="47"/>
      <c r="Y294" s="375" t="s">
        <v>2322</v>
      </c>
      <c r="Z294" s="375">
        <v>94715691</v>
      </c>
      <c r="AA294" s="375">
        <f>ROUND((Table1[[#This Row],[Nilai RAB Jaringan
(Exclude Ppn)]]-Table1[[#This Row],[RAB Perizinan]])*1.11+Table1[[#This Row],[RAB Perizinan]],0)</f>
        <v>94715690</v>
      </c>
      <c r="AB294" s="493">
        <f>SUM(Table1[[#This Row],[RAB Kegiatan Umum]:[RAB Perizinan]])</f>
        <v>85361162</v>
      </c>
      <c r="AC294" s="439">
        <v>5641680</v>
      </c>
      <c r="AD294" s="439">
        <v>56416802</v>
      </c>
      <c r="AE294" s="439">
        <v>22982680</v>
      </c>
      <c r="AF294" s="439">
        <v>320000</v>
      </c>
      <c r="AG294" s="494">
        <v>2107039</v>
      </c>
      <c r="AH294" s="495">
        <f>SUM(Table1[[#This Row],[Bobot Keg Umum]:[Bobot Perizinan]])</f>
        <v>1</v>
      </c>
      <c r="AI294" s="495">
        <f>Table1[[#This Row],[RAB Kegiatan Umum]]/Table1[[#This Row],[Nilai RAB Jaringan
(Exclude Ppn)]]</f>
        <v>6.6091883800738327E-2</v>
      </c>
      <c r="AJ294" s="495">
        <f>Table1[[#This Row],[RAB Pemasangan]]/Table1[[#This Row],[Nilai RAB Jaringan
(Exclude Ppn)]]</f>
        <v>0.66091886143724243</v>
      </c>
      <c r="AK294" s="495">
        <f>Table1[[#This Row],[RAB Pengadaan]]/Table1[[#This Row],[Nilai RAB Jaringan
(Exclude Ppn)]]</f>
        <v>0.26924047730278083</v>
      </c>
      <c r="AL294" s="495">
        <f>Table1[[#This Row],[RAB Perizinan]]/Table1[[#This Row],[Nilai RAB Jaringan
(Exclude Ppn)]]</f>
        <v>3.7487774592384298E-3</v>
      </c>
      <c r="AM294" s="47"/>
      <c r="AN294" s="376">
        <v>60</v>
      </c>
      <c r="AO294" s="376">
        <f>SUM(Table1[[#This Row],[Pipa 63 mm]:[Pipa 1,800 mm]])</f>
        <v>0</v>
      </c>
      <c r="AP294" s="376"/>
      <c r="AQ294" s="376"/>
      <c r="AR294" s="376"/>
      <c r="AS294" s="376"/>
      <c r="AT294" s="376"/>
      <c r="AU294" s="376"/>
      <c r="AV294" s="376"/>
      <c r="AW294" s="376"/>
      <c r="AX294" s="376"/>
      <c r="AY294" s="376"/>
      <c r="AZ294" s="376"/>
      <c r="BA294" s="376"/>
      <c r="BB294" s="376"/>
      <c r="BC294" s="376"/>
      <c r="BD294" s="376"/>
      <c r="BE294" s="376"/>
      <c r="BF294" s="376"/>
      <c r="BG294" s="376"/>
      <c r="BH294" s="376"/>
      <c r="BI294" s="376"/>
      <c r="BJ294" s="377">
        <f>SUM(Table1[[#This Row],[Pipa 63 mm2]:[Pipa 1,800 mm21]])</f>
        <v>0</v>
      </c>
      <c r="BK294" s="378"/>
      <c r="BL294" s="378"/>
      <c r="BM294" s="378"/>
      <c r="BN294" s="378"/>
      <c r="BO294" s="378"/>
      <c r="BP294" s="378"/>
      <c r="BQ294" s="378"/>
      <c r="BR294" s="378"/>
      <c r="BS294" s="378"/>
      <c r="BT294" s="378"/>
      <c r="BU294" s="378"/>
      <c r="BV294" s="378"/>
      <c r="BW294" s="378"/>
      <c r="BX294" s="378"/>
      <c r="BY294" s="378"/>
      <c r="BZ294" s="378"/>
      <c r="CA294" s="378"/>
      <c r="CB294" s="378"/>
      <c r="CC294" s="378"/>
      <c r="CD294" s="378"/>
      <c r="CE294" s="378">
        <v>0</v>
      </c>
      <c r="CF294" s="378"/>
      <c r="CG294" s="378"/>
      <c r="CH294" s="378"/>
      <c r="CI294" s="378">
        <f t="shared" si="15"/>
        <v>0</v>
      </c>
      <c r="CJ294" s="440">
        <f>IF((Table1[[#This Row],["Volume
BA MC-0"]]-Table1[[#This Row],[Total Panjang Pipa Aktual
(Sum-&gt;)3]]-Table1[[#This Row],[Total Volume
tidak dapat dipasang]])&gt;=0,Table1[[#This Row],["Volume
BA MC-0"]]-Table1[[#This Row],[Total Panjang Pipa Aktual
(Sum-&gt;)3]]-Table1[[#This Row],[Total Volume
tidak dapat dipasang]],0)</f>
        <v>60</v>
      </c>
      <c r="CK294" s="47"/>
      <c r="CL294" s="496" t="s">
        <v>1821</v>
      </c>
      <c r="CM294" s="489" t="s">
        <v>1821</v>
      </c>
      <c r="CN294" s="496" t="s">
        <v>1821</v>
      </c>
      <c r="CO294" s="496" t="s">
        <v>1821</v>
      </c>
      <c r="CP294"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94" s="380">
        <f>IFERROR(Table1[[#This Row],[Progres Keg. Umum
(%)]]*Table1[[#This Row],[Nilai RAB Jaringan
(file pa aji)]],0)</f>
        <v>0</v>
      </c>
      <c r="CR294" s="380">
        <f>IFERROR(Table1[[#This Row],[Progres MOS
(%)]]*Table1[[#This Row],[Nilai RAB Jaringan
(file pa aji)]],0)</f>
        <v>0</v>
      </c>
      <c r="CS294" s="380">
        <f>IFERROR(Table1[[#This Row],[Progres Pemasangan
(%)]]*Table1[[#This Row],[Nilai RAB Jaringan
(file pa aji)]],0)</f>
        <v>0</v>
      </c>
      <c r="CT294" s="380">
        <f>IFERROR(Table1[[#This Row],[Progres Perizinan
(%)]]*Table1[[#This Row],[Nilai RAB Jaringan
(file pa aji)]],0)</f>
        <v>0</v>
      </c>
      <c r="CU294" s="329">
        <v>0</v>
      </c>
      <c r="CV294" s="329">
        <v>0</v>
      </c>
      <c r="CW294" s="582">
        <v>0</v>
      </c>
      <c r="CX294" s="329">
        <v>0</v>
      </c>
      <c r="CY294" s="47"/>
      <c r="CZ294" s="386">
        <v>45866</v>
      </c>
      <c r="DA294" s="386">
        <v>45893</v>
      </c>
      <c r="DB294" s="388">
        <v>45859</v>
      </c>
      <c r="DC294" s="367" t="s">
        <v>2323</v>
      </c>
      <c r="DD294" s="375">
        <v>94715690</v>
      </c>
      <c r="DE29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4" s="388">
        <v>45863</v>
      </c>
      <c r="DG294" s="367" t="s">
        <v>2324</v>
      </c>
      <c r="DH294" s="375">
        <v>94715690</v>
      </c>
      <c r="DI294" s="367"/>
      <c r="DJ294" s="386">
        <v>45894</v>
      </c>
      <c r="DK294" s="386">
        <v>45956</v>
      </c>
      <c r="DL294" s="388">
        <v>45943</v>
      </c>
      <c r="DM294" s="367" t="s">
        <v>2325</v>
      </c>
      <c r="DN294" s="382"/>
      <c r="DO294" s="388">
        <v>45950</v>
      </c>
      <c r="DP294" s="367" t="s">
        <v>2326</v>
      </c>
      <c r="DQ294" s="366" t="s">
        <v>365</v>
      </c>
      <c r="DR294" s="382"/>
      <c r="DS294" s="386">
        <v>45894</v>
      </c>
      <c r="DT294" s="386" t="e">
        <v>#N/A</v>
      </c>
      <c r="DU294" s="386">
        <v>45935</v>
      </c>
      <c r="DV294" s="386" t="e">
        <v>#N/A</v>
      </c>
      <c r="DW294" s="388">
        <v>45943</v>
      </c>
      <c r="DX294" s="496" t="s">
        <v>2327</v>
      </c>
      <c r="DY294" s="442"/>
      <c r="DZ294" s="442"/>
      <c r="EA294" s="382"/>
      <c r="EB294" s="388"/>
      <c r="EC294" s="442"/>
      <c r="ED294" s="442"/>
      <c r="EE294" s="386"/>
      <c r="EF294" s="371"/>
      <c r="EG294" s="371"/>
      <c r="EH294" s="367"/>
      <c r="EI294"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4" s="386">
        <v>45936</v>
      </c>
      <c r="EK294" s="386" t="e">
        <v>#N/A</v>
      </c>
      <c r="EL294" s="386">
        <v>45984</v>
      </c>
      <c r="EM294" s="386" t="e">
        <v>#N/A</v>
      </c>
      <c r="EN294" s="388"/>
      <c r="EO294" s="442"/>
      <c r="EP294" s="367"/>
      <c r="EQ294" s="371"/>
      <c r="ER294" s="371"/>
      <c r="ES294" s="367"/>
      <c r="ET29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4" s="47"/>
      <c r="EV294" s="386">
        <v>45894</v>
      </c>
      <c r="EW294" s="386" t="e">
        <v>#N/A</v>
      </c>
      <c r="EX294" s="386">
        <v>45984</v>
      </c>
      <c r="EY294" s="386" t="e">
        <v>#N/A</v>
      </c>
      <c r="EZ294" s="384" t="s">
        <v>298</v>
      </c>
      <c r="FA294" s="385" t="s">
        <v>389</v>
      </c>
      <c r="FB294" s="386" t="s">
        <v>260</v>
      </c>
      <c r="FC294" s="330">
        <v>45940</v>
      </c>
      <c r="FD294" s="386" t="s">
        <v>260</v>
      </c>
      <c r="FE294" s="386">
        <v>45966</v>
      </c>
      <c r="FF294" s="386">
        <v>45995</v>
      </c>
      <c r="FG294" s="386" t="s">
        <v>260</v>
      </c>
      <c r="FH294" s="386" t="s">
        <v>260</v>
      </c>
      <c r="FI294" s="386">
        <v>46022</v>
      </c>
      <c r="FJ294" s="386" t="s">
        <v>260</v>
      </c>
      <c r="FK294" s="386"/>
      <c r="FL294" s="443" t="s">
        <v>298</v>
      </c>
      <c r="FM294" s="384">
        <v>45940</v>
      </c>
      <c r="FN294" s="366">
        <f>IF(Table1[[#This Row],[Tanggal Pengajuan Dokumen]]="","",Table1[[#This Row],[PLAN PERMIT
start]]-Table1[[#This Row],[Tanggal Pengajuan Dokumen]])</f>
        <v>-46</v>
      </c>
      <c r="FO294" s="444">
        <v>46097</v>
      </c>
      <c r="FP294" s="367"/>
      <c r="FQ294" s="366"/>
      <c r="FR294" s="366"/>
      <c r="FS294" s="366" t="str">
        <f t="shared" si="14"/>
        <v>On Going</v>
      </c>
      <c r="FT294"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4" s="387">
        <f ca="1">IF(Table1[[#This Row],[Status Izin]]="Selesai",Table1[[#This Row],[PLAN PERMIT
finish]]-Table1[[#This Row],[Tanggal Terbit/ Target Izin Terbit]],ROUNDUP(Table1[[#This Row],[PLAN PERMIT
finish]]-NOW(),0))</f>
        <v>-207</v>
      </c>
      <c r="FV294"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4" s="387"/>
      <c r="FX294" s="47"/>
      <c r="FY294" s="340"/>
      <c r="FZ294" s="341"/>
      <c r="GA29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4" s="386">
        <v>45958</v>
      </c>
      <c r="GC294" s="497">
        <v>45959</v>
      </c>
      <c r="GD294"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94" s="386">
        <v>45965</v>
      </c>
      <c r="GF294" s="497">
        <v>45959</v>
      </c>
      <c r="GG294"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4" s="386">
        <v>45971</v>
      </c>
      <c r="GI294" s="386">
        <v>45977</v>
      </c>
      <c r="GJ294" s="384">
        <v>45965</v>
      </c>
      <c r="GK294"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4" s="386">
        <v>45985</v>
      </c>
      <c r="GM294" s="386" t="e">
        <v>#N/A</v>
      </c>
      <c r="GN294" s="386">
        <v>46005</v>
      </c>
      <c r="GO294" s="386" t="e">
        <v>#N/A</v>
      </c>
      <c r="GP294" s="386"/>
      <c r="GQ294"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4" s="386" t="s">
        <v>261</v>
      </c>
      <c r="GS294" s="386" t="s">
        <v>261</v>
      </c>
      <c r="GT294" s="390"/>
      <c r="GU294" s="387" t="str">
        <f>IF(Table1[[#This Row],[Hydro Tes Actual
(tanggal)]]&lt;&gt;"","Sudah","Belum")</f>
        <v>Belum</v>
      </c>
      <c r="GV294" s="386" t="s">
        <v>261</v>
      </c>
      <c r="GW294" s="386" t="s">
        <v>261</v>
      </c>
      <c r="GX294" s="388"/>
      <c r="GY294" s="387" t="str">
        <f>IF(Table1[[#This Row],[Interkoneksi Actual
(tanggal)]]&lt;&gt;"","Sudah","Belum")</f>
        <v>Belum</v>
      </c>
      <c r="GZ294" s="386" t="s">
        <v>261</v>
      </c>
      <c r="HA294" s="386" t="s">
        <v>261</v>
      </c>
      <c r="HB294" s="388"/>
      <c r="HC294" s="387" t="str">
        <f>IF(Table1[[#This Row],[Flushing Actual
(tanggal)]]&lt;&gt;"","Sudah","Belum")</f>
        <v>Belum</v>
      </c>
      <c r="HD294" s="386">
        <v>45992</v>
      </c>
      <c r="HE294" s="386" t="e">
        <v>#N/A</v>
      </c>
      <c r="HF294" s="386">
        <v>46005</v>
      </c>
      <c r="HG294" s="384"/>
      <c r="HH294"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4" s="386" t="s">
        <v>261</v>
      </c>
      <c r="HJ294" s="386" t="s">
        <v>261</v>
      </c>
      <c r="HK294" s="388"/>
      <c r="HL294" s="367"/>
      <c r="HM294" s="386">
        <v>46010</v>
      </c>
      <c r="HN294" s="386">
        <v>46010</v>
      </c>
      <c r="HO294" s="386" t="e">
        <v>#N/A</v>
      </c>
      <c r="HP294" s="388"/>
      <c r="HQ294"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94" s="386">
        <v>46017</v>
      </c>
      <c r="HS294" s="386"/>
      <c r="HT294" s="386">
        <v>46017</v>
      </c>
      <c r="HU294" s="386"/>
      <c r="HV294" s="388"/>
      <c r="HW294"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94" s="47"/>
      <c r="HY294" s="384"/>
      <c r="HZ294" s="384"/>
      <c r="IB294" s="618">
        <f>IFERROR(ROUND((Table1[[#This Row],[PLAN TC
finish]]-Table1[[#This Row],[PLAN MC-0
start]])/30,2),"")</f>
        <v>1.1299999999999999</v>
      </c>
      <c r="IC294">
        <f>DATEDIF(Table1[[#This Row],[PLAN MC-0
start]],Table1[[#This Row],[PLAN TC
finish]],"m")</f>
        <v>1</v>
      </c>
    </row>
    <row r="295" spans="1:237" s="4" customFormat="1" ht="15" hidden="1" customHeight="1" x14ac:dyDescent="0.2">
      <c r="B295" s="311">
        <f>SUBTOTAL(3,$D$5:D295)</f>
        <v>84</v>
      </c>
      <c r="C295" s="316">
        <v>291</v>
      </c>
      <c r="D295" s="338" t="s">
        <v>244</v>
      </c>
      <c r="E295" s="338" t="s">
        <v>2328</v>
      </c>
      <c r="F295" s="338" t="s">
        <v>2329</v>
      </c>
      <c r="G295" s="349">
        <v>46117</v>
      </c>
      <c r="H295" s="338" t="s">
        <v>681</v>
      </c>
      <c r="I295" s="338" t="s">
        <v>278</v>
      </c>
      <c r="J295" s="480" t="s">
        <v>1818</v>
      </c>
      <c r="K295" s="338" t="s">
        <v>1165</v>
      </c>
      <c r="L295" s="316" t="s">
        <v>250</v>
      </c>
      <c r="M295" s="355" t="s">
        <v>269</v>
      </c>
      <c r="N295" s="107">
        <v>116</v>
      </c>
      <c r="O295" s="31" t="s">
        <v>252</v>
      </c>
      <c r="P29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95" s="35">
        <v>1.0000000000000002</v>
      </c>
      <c r="S295" s="34">
        <v>1</v>
      </c>
      <c r="T295" s="34">
        <f>Table1[[#This Row],[Progres Total Aktual
(%)]]</f>
        <v>0.14636874996210567</v>
      </c>
      <c r="U295" s="98">
        <f>Table1[[#This Row],[Progres Aktual
(%)]]-Table1[[#This Row],[Target Progres
(%)]]</f>
        <v>-0.85363125003789431</v>
      </c>
      <c r="V295" s="80">
        <f>Table1[[#This Row],["Volume
BA MC-0"]]</f>
        <v>125</v>
      </c>
      <c r="W295" s="46">
        <f>Table1[[#This Row],[Total Panjang Pipa Aktual
(Sum-&gt;)3]]</f>
        <v>120</v>
      </c>
      <c r="X295" s="47"/>
      <c r="Y295" s="67" t="s">
        <v>2330</v>
      </c>
      <c r="Z295" s="67">
        <v>224168666</v>
      </c>
      <c r="AA295" s="67">
        <f>ROUND((Table1[[#This Row],[Nilai RAB Jaringan
(Exclude Ppn)]]-Table1[[#This Row],[RAB Perizinan]])*1.11+Table1[[#This Row],[RAB Perizinan]],0)</f>
        <v>263884510</v>
      </c>
      <c r="AB295" s="486">
        <f>SUM(Table1[[#This Row],[RAB Kegiatan Umum]:[RAB Perizinan]])</f>
        <v>237848748</v>
      </c>
      <c r="AC295" s="436">
        <v>15526704</v>
      </c>
      <c r="AD295" s="436">
        <v>155267041</v>
      </c>
      <c r="AE295" s="436">
        <v>65895003</v>
      </c>
      <c r="AF295" s="436">
        <v>1160000</v>
      </c>
      <c r="AG295" s="483">
        <v>8428155</v>
      </c>
      <c r="AH295" s="33">
        <f>SUM(Table1[[#This Row],[Bobot Keg Umum]:[Bobot Perizinan]])</f>
        <v>1</v>
      </c>
      <c r="AI295" s="33">
        <f>Table1[[#This Row],[RAB Kegiatan Umum]]/Table1[[#This Row],[Nilai RAB Jaringan
(Exclude Ppn)]]</f>
        <v>6.5279738197318568E-2</v>
      </c>
      <c r="AJ295" s="33">
        <f>Table1[[#This Row],[RAB Pemasangan]]/Table1[[#This Row],[Nilai RAB Jaringan
(Exclude Ppn)]]</f>
        <v>0.65279738617753835</v>
      </c>
      <c r="AK295" s="33">
        <f>Table1[[#This Row],[RAB Pengadaan]]/Table1[[#This Row],[Nilai RAB Jaringan
(Exclude Ppn)]]</f>
        <v>0.27704582661919247</v>
      </c>
      <c r="AL295" s="33">
        <f>Table1[[#This Row],[RAB Perizinan]]/Table1[[#This Row],[Nilai RAB Jaringan
(Exclude Ppn)]]</f>
        <v>4.8770490059506224E-3</v>
      </c>
      <c r="AM295" s="47"/>
      <c r="AN295" s="285">
        <v>125</v>
      </c>
      <c r="AO295" s="285">
        <f>SUM(Table1[[#This Row],[Pipa 63 mm]:[Pipa 1,800 mm]])</f>
        <v>0</v>
      </c>
      <c r="AP295" s="285"/>
      <c r="AQ295" s="285"/>
      <c r="AR295" s="285"/>
      <c r="AS295" s="285"/>
      <c r="AT295" s="285"/>
      <c r="AU295" s="285"/>
      <c r="AV295" s="285"/>
      <c r="AW295" s="285"/>
      <c r="AX295" s="285"/>
      <c r="AY295" s="285"/>
      <c r="AZ295" s="285"/>
      <c r="BA295" s="285"/>
      <c r="BB295" s="285"/>
      <c r="BC295" s="285"/>
      <c r="BD295" s="285"/>
      <c r="BE295" s="285"/>
      <c r="BF295" s="285"/>
      <c r="BG295" s="285"/>
      <c r="BH295" s="285"/>
      <c r="BI295" s="285"/>
      <c r="BJ295" s="36">
        <f>SUM(Table1[[#This Row],[Pipa 63 mm2]:[Pipa 1,800 mm21]])</f>
        <v>120</v>
      </c>
      <c r="BK295" s="32">
        <v>120</v>
      </c>
      <c r="BL295" s="32"/>
      <c r="BM295" s="32"/>
      <c r="BN295" s="32"/>
      <c r="BO295" s="32"/>
      <c r="BP295" s="32"/>
      <c r="BQ295" s="32"/>
      <c r="BR295" s="32"/>
      <c r="BS295" s="32"/>
      <c r="BT295" s="32"/>
      <c r="BU295" s="32"/>
      <c r="BV295" s="32"/>
      <c r="BW295" s="32"/>
      <c r="BX295" s="32"/>
      <c r="BY295" s="32"/>
      <c r="BZ295" s="32"/>
      <c r="CA295" s="32"/>
      <c r="CB295" s="32"/>
      <c r="CC295" s="32"/>
      <c r="CD295" s="32"/>
      <c r="CE295" s="32">
        <v>0</v>
      </c>
      <c r="CF295" s="32"/>
      <c r="CG295" s="32"/>
      <c r="CH295" s="32"/>
      <c r="CI295" s="32">
        <f t="shared" si="15"/>
        <v>0</v>
      </c>
      <c r="CJ295" s="65">
        <f>IF((Table1[[#This Row],["Volume
BA MC-0"]]-Table1[[#This Row],[Total Panjang Pipa Aktual
(Sum-&gt;)3]]-Table1[[#This Row],[Total Volume
tidak dapat dipasang]])&gt;=0,Table1[[#This Row],["Volume
BA MC-0"]]-Table1[[#This Row],[Total Panjang Pipa Aktual
(Sum-&gt;)3]]-Table1[[#This Row],[Total Volume
tidak dapat dipasang]],0)</f>
        <v>5</v>
      </c>
      <c r="CK295" s="47"/>
      <c r="CL295" s="35" t="s">
        <v>1821</v>
      </c>
      <c r="CM295" s="35" t="s">
        <v>1821</v>
      </c>
      <c r="CN295" s="35" t="s">
        <v>1821</v>
      </c>
      <c r="CO295" s="35" t="s">
        <v>1821</v>
      </c>
      <c r="CP29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0.14636874996210567</v>
      </c>
      <c r="CQ295" s="66">
        <f>IFERROR(Table1[[#This Row],[Progres Keg. Umum
(%)]]*Table1[[#This Row],[Nilai RAB Jaringan
(file pa aji)]],0)</f>
        <v>0</v>
      </c>
      <c r="CR295" s="66">
        <f>IFERROR(Table1[[#This Row],[Progres MOS
(%)]]*Table1[[#This Row],[Nilai RAB Jaringan
(file pa aji)]],0)</f>
        <v>0</v>
      </c>
      <c r="CS295" s="66">
        <f>IFERROR(Table1[[#This Row],[Progres Pemasangan
(%)]]*Table1[[#This Row],[Nilai RAB Jaringan
(file pa aji)]],0)</f>
        <v>0</v>
      </c>
      <c r="CT295" s="66">
        <f>IFERROR(Table1[[#This Row],[Progres Perizinan
(%)]]*Table1[[#This Row],[Nilai RAB Jaringan
(file pa aji)]],0)</f>
        <v>0</v>
      </c>
      <c r="CU295" s="329">
        <v>38624445.863062769</v>
      </c>
      <c r="CV295" s="329">
        <v>38624445.863062769</v>
      </c>
      <c r="CW295" s="583">
        <v>0</v>
      </c>
      <c r="CX295" s="329">
        <v>0</v>
      </c>
      <c r="CY295" s="47"/>
      <c r="CZ295" s="330">
        <v>45866</v>
      </c>
      <c r="DA295" s="330">
        <v>45893</v>
      </c>
      <c r="DB295" s="331">
        <v>45859</v>
      </c>
      <c r="DC295" s="316" t="s">
        <v>2331</v>
      </c>
      <c r="DD295" s="67">
        <v>263884510</v>
      </c>
      <c r="DE29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5" s="331">
        <v>45866</v>
      </c>
      <c r="DG295" s="316" t="s">
        <v>2332</v>
      </c>
      <c r="DH295" s="67">
        <v>263884510</v>
      </c>
      <c r="DI29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5" s="330">
        <v>45894</v>
      </c>
      <c r="DK295" s="330">
        <v>45956</v>
      </c>
      <c r="DL295" s="331">
        <v>45943</v>
      </c>
      <c r="DM295" s="316" t="s">
        <v>2333</v>
      </c>
      <c r="DN29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5" s="331">
        <v>45952</v>
      </c>
      <c r="DP295" s="316" t="s">
        <v>2334</v>
      </c>
      <c r="DQ295" s="338" t="s">
        <v>783</v>
      </c>
      <c r="DR29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5" s="330">
        <v>45894</v>
      </c>
      <c r="DT295" s="330" t="e">
        <v>#N/A</v>
      </c>
      <c r="DU295" s="330">
        <v>45935</v>
      </c>
      <c r="DV295" s="330" t="e">
        <v>#N/A</v>
      </c>
      <c r="DW295" s="331">
        <v>45943</v>
      </c>
      <c r="DX295" s="484" t="s">
        <v>2335</v>
      </c>
      <c r="DY295" s="334">
        <v>33</v>
      </c>
      <c r="DZ295" s="334">
        <v>33</v>
      </c>
      <c r="EA29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95" s="331"/>
      <c r="EC295" s="332">
        <v>30</v>
      </c>
      <c r="ED295" s="332">
        <v>30</v>
      </c>
      <c r="EE295" s="330"/>
      <c r="EF295" s="35">
        <v>0.90909090909090906</v>
      </c>
      <c r="EG295" s="35">
        <f>Table1[[#This Row],[Line PO (kolom  bantu)2]]/Table1[[#This Row],[Line PR]]</f>
        <v>0.90909090909090906</v>
      </c>
      <c r="EH295" s="316" t="str">
        <f>IF(Table1[[#This Row],[PO Material Aktual 
(%)]]&gt;=100%,"Selesai PO = 100%",IF(Table1[[#This Row],[PO Material Aktual 
(%)]]&gt;=50%,"Proses PO &gt; 100%",IF(Table1[[#This Row],[PO Material Aktual 
(%)]]&gt;0%,"Proses PO &gt; 50%",IF(Table1[[#This Row],[PO Material Aktual 
(%)]]=0,"Belum PO = 0%"))))</f>
        <v>Proses PO &gt; 100%</v>
      </c>
      <c r="EI29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5" s="330">
        <v>45936</v>
      </c>
      <c r="EK295" s="330" t="e">
        <v>#N/A</v>
      </c>
      <c r="EL295" s="330">
        <v>45984</v>
      </c>
      <c r="EM295" s="330" t="e">
        <v>#N/A</v>
      </c>
      <c r="EN295" s="331"/>
      <c r="EO295" s="332">
        <v>30</v>
      </c>
      <c r="EP295" s="316">
        <v>30</v>
      </c>
      <c r="EQ295" s="35">
        <v>0.90909090909090906</v>
      </c>
      <c r="ER295" s="35">
        <f>Table1[[#This Row],[Line MOS]]/Table1[[#This Row],[Line PR]]</f>
        <v>0.90909090909090906</v>
      </c>
      <c r="ES295" s="316" t="str">
        <f>IF(Table1[[#This Row],[Progres MOS]]&gt;=100%,"Selesai MOS = 100%",IF(Table1[[#This Row],[Progres MOS]]&gt;=50%,"Proses MOS &gt; 100%",IF(Table1[[#This Row],[Progres MOS]]&gt;0%,"Proses MOS &gt; 50%",IF(Table1[[#This Row],[Progres MOS]]=0,"Belum MOS = 0%"))))</f>
        <v>Proses MOS &gt; 100%</v>
      </c>
      <c r="ET29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5" s="47"/>
      <c r="EV295" s="330">
        <v>45894</v>
      </c>
      <c r="EW295" s="330" t="e">
        <v>#N/A</v>
      </c>
      <c r="EX295" s="330">
        <v>45984</v>
      </c>
      <c r="EY295" s="330" t="e">
        <v>#N/A</v>
      </c>
      <c r="EZ295" s="352" t="s">
        <v>298</v>
      </c>
      <c r="FA295" s="336" t="s">
        <v>298</v>
      </c>
      <c r="FB295" s="330" t="s">
        <v>260</v>
      </c>
      <c r="FC295" s="330">
        <v>45943</v>
      </c>
      <c r="FD295" s="330" t="s">
        <v>260</v>
      </c>
      <c r="FE295" s="330">
        <v>45966</v>
      </c>
      <c r="FF295" s="330">
        <v>45993</v>
      </c>
      <c r="FG295" s="330" t="s">
        <v>260</v>
      </c>
      <c r="FH295" s="330" t="s">
        <v>260</v>
      </c>
      <c r="FI295" s="330">
        <v>46010</v>
      </c>
      <c r="FJ295" s="330" t="s">
        <v>260</v>
      </c>
      <c r="FK295" s="330"/>
      <c r="FL295" s="336" t="s">
        <v>298</v>
      </c>
      <c r="FM295" s="352">
        <v>45943</v>
      </c>
      <c r="FN295" s="338">
        <f>IF(Table1[[#This Row],[Tanggal Pengajuan Dokumen]]="","",Table1[[#This Row],[PLAN PERMIT
start]]-Table1[[#This Row],[Tanggal Pengajuan Dokumen]])</f>
        <v>-49</v>
      </c>
      <c r="FO295" s="437">
        <v>46097</v>
      </c>
      <c r="FP295" s="316"/>
      <c r="FQ295" s="338"/>
      <c r="FR295" s="338"/>
      <c r="FS295" s="338" t="str">
        <f t="shared" si="14"/>
        <v>On Going</v>
      </c>
      <c r="FT29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5" s="344">
        <f ca="1">IF(Table1[[#This Row],[Status Izin]]="Selesai",Table1[[#This Row],[PLAN PERMIT
finish]]-Table1[[#This Row],[Tanggal Terbit/ Target Izin Terbit]],ROUNDUP(Table1[[#This Row],[PLAN PERMIT
finish]]-NOW(),0))</f>
        <v>-207</v>
      </c>
      <c r="FV29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5" s="344"/>
      <c r="FX295" s="47"/>
      <c r="FY295" s="340"/>
      <c r="FZ295" s="341"/>
      <c r="GA29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5" s="330">
        <v>45958</v>
      </c>
      <c r="GC295" s="438">
        <v>45959</v>
      </c>
      <c r="GD29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95" s="330">
        <v>45965</v>
      </c>
      <c r="GF295" s="438">
        <v>45959</v>
      </c>
      <c r="GG29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5" s="330">
        <v>45971</v>
      </c>
      <c r="GI295" s="330">
        <v>45977</v>
      </c>
      <c r="GJ295" s="352">
        <v>45964</v>
      </c>
      <c r="GK29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5" s="330">
        <v>45985</v>
      </c>
      <c r="GM295" s="330" t="e">
        <v>#N/A</v>
      </c>
      <c r="GN295" s="330">
        <v>46005</v>
      </c>
      <c r="GO295" s="330" t="e">
        <v>#N/A</v>
      </c>
      <c r="GP295" s="330"/>
      <c r="GQ29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5" s="330" t="s">
        <v>261</v>
      </c>
      <c r="GS295" s="330" t="s">
        <v>261</v>
      </c>
      <c r="GT295" s="354">
        <v>46181</v>
      </c>
      <c r="GU295" s="344" t="str">
        <f>IF(Table1[[#This Row],[Hydro Tes Actual
(tanggal)]]&lt;&gt;"","Sudah","Belum")</f>
        <v>Sudah</v>
      </c>
      <c r="GV295" s="330" t="s">
        <v>261</v>
      </c>
      <c r="GW295" s="330" t="s">
        <v>261</v>
      </c>
      <c r="GX295" s="331"/>
      <c r="GY295" s="344" t="str">
        <f>IF(Table1[[#This Row],[Interkoneksi Actual
(tanggal)]]&lt;&gt;"","Sudah","Belum")</f>
        <v>Belum</v>
      </c>
      <c r="GZ295" s="330" t="s">
        <v>261</v>
      </c>
      <c r="HA295" s="330" t="s">
        <v>261</v>
      </c>
      <c r="HB295" s="331"/>
      <c r="HC295" s="344" t="str">
        <f>IF(Table1[[#This Row],[Flushing Actual
(tanggal)]]&lt;&gt;"","Sudah","Belum")</f>
        <v>Belum</v>
      </c>
      <c r="HD295" s="330">
        <v>45992</v>
      </c>
      <c r="HE295" s="330" t="e">
        <v>#N/A</v>
      </c>
      <c r="HF295" s="330">
        <v>46005</v>
      </c>
      <c r="HG295" s="352"/>
      <c r="HH29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5" s="330" t="s">
        <v>261</v>
      </c>
      <c r="HJ295" s="330" t="s">
        <v>261</v>
      </c>
      <c r="HK295" s="331"/>
      <c r="HL295" s="316"/>
      <c r="HM295" s="330">
        <v>46010</v>
      </c>
      <c r="HN295" s="330">
        <v>46010</v>
      </c>
      <c r="HO295" s="330" t="e">
        <v>#N/A</v>
      </c>
      <c r="HP295" s="331"/>
      <c r="HQ295"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95" s="330">
        <v>46017</v>
      </c>
      <c r="HS295" s="330"/>
      <c r="HT295" s="330">
        <v>46017</v>
      </c>
      <c r="HU295" s="330"/>
      <c r="HV295" s="331"/>
      <c r="HW29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95" s="47"/>
      <c r="HY295" s="352"/>
      <c r="HZ295" s="352"/>
      <c r="IB295" s="618">
        <f>IFERROR(ROUND((Table1[[#This Row],[PLAN TC
finish]]-Table1[[#This Row],[PLAN MC-0
start]])/30,2),"")</f>
        <v>1.1299999999999999</v>
      </c>
      <c r="IC295">
        <f>DATEDIF(Table1[[#This Row],[PLAN MC-0
start]],Table1[[#This Row],[PLAN TC
finish]],"m")</f>
        <v>1</v>
      </c>
    </row>
    <row r="296" spans="1:237" s="30" customFormat="1" ht="15" hidden="1" customHeight="1" x14ac:dyDescent="0.2">
      <c r="A296" s="77"/>
      <c r="B296" s="311">
        <f>SUBTOTAL(3,$D$5:D296)</f>
        <v>84</v>
      </c>
      <c r="C296" s="367">
        <v>292</v>
      </c>
      <c r="D296" s="366" t="s">
        <v>244</v>
      </c>
      <c r="E296" s="366" t="s">
        <v>2336</v>
      </c>
      <c r="F296" s="366" t="s">
        <v>2337</v>
      </c>
      <c r="G296" s="364">
        <v>46117</v>
      </c>
      <c r="H296" s="366" t="s">
        <v>681</v>
      </c>
      <c r="I296" s="366" t="s">
        <v>278</v>
      </c>
      <c r="J296" s="385" t="s">
        <v>389</v>
      </c>
      <c r="K296" s="366" t="s">
        <v>1165</v>
      </c>
      <c r="L296" s="367" t="s">
        <v>250</v>
      </c>
      <c r="M296" s="392" t="s">
        <v>269</v>
      </c>
      <c r="N296" s="368">
        <v>401</v>
      </c>
      <c r="O296" s="369" t="s">
        <v>252</v>
      </c>
      <c r="P296"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6" s="385" t="s">
        <v>389</v>
      </c>
      <c r="R296" s="371">
        <v>0.99999999999999978</v>
      </c>
      <c r="S296" s="34">
        <v>1</v>
      </c>
      <c r="T296" s="489">
        <f>Table1[[#This Row],[Progres Total Aktual
(%)]]</f>
        <v>0</v>
      </c>
      <c r="U296" s="490">
        <f>Table1[[#This Row],[Progres Aktual
(%)]]-Table1[[#This Row],[Target Progres
(%)]]</f>
        <v>-1</v>
      </c>
      <c r="V296" s="491">
        <f>Table1[[#This Row],["Volume
BA MC-0"]]</f>
        <v>0</v>
      </c>
      <c r="W296" s="492">
        <f>Table1[[#This Row],[Total Panjang Pipa Aktual
(Sum-&gt;)3]]</f>
        <v>0</v>
      </c>
      <c r="X296" s="47"/>
      <c r="Y296" s="375" t="s">
        <v>2338</v>
      </c>
      <c r="Z296" s="375">
        <v>579283058</v>
      </c>
      <c r="AA296" s="375">
        <f>ROUND((Table1[[#This Row],[Nilai RAB Jaringan
(Exclude Ppn)]]-Table1[[#This Row],[RAB Perizinan]])*1.11+Table1[[#This Row],[RAB Perizinan]],0)</f>
        <v>579283058</v>
      </c>
      <c r="AB296" s="493">
        <f>SUM(Table1[[#This Row],[RAB Kegiatan Umum]:[RAB Perizinan]])</f>
        <v>522274016</v>
      </c>
      <c r="AC296" s="439">
        <v>37347840</v>
      </c>
      <c r="AD296" s="439">
        <v>373478395</v>
      </c>
      <c r="AE296" s="439">
        <v>107437781</v>
      </c>
      <c r="AF296" s="439">
        <v>4010000</v>
      </c>
      <c r="AG296" s="494">
        <v>2107039</v>
      </c>
      <c r="AH296" s="495">
        <f>SUM(Table1[[#This Row],[Bobot Keg Umum]:[Bobot Perizinan]])</f>
        <v>0.99999999999999989</v>
      </c>
      <c r="AI296" s="495">
        <f>Table1[[#This Row],[RAB Kegiatan Umum]]/Table1[[#This Row],[Nilai RAB Jaringan
(Exclude Ppn)]]</f>
        <v>7.1510048089392222E-2</v>
      </c>
      <c r="AJ296" s="495">
        <f>Table1[[#This Row],[RAB Pemasangan]]/Table1[[#This Row],[Nilai RAB Jaringan
(Exclude Ppn)]]</f>
        <v>0.71510047132040355</v>
      </c>
      <c r="AK296" s="495">
        <f>Table1[[#This Row],[RAB Pengadaan]]/Table1[[#This Row],[Nilai RAB Jaringan
(Exclude Ppn)]]</f>
        <v>0.20571151868294363</v>
      </c>
      <c r="AL296" s="495">
        <f>Table1[[#This Row],[RAB Perizinan]]/Table1[[#This Row],[Nilai RAB Jaringan
(Exclude Ppn)]]</f>
        <v>7.6779619072605745E-3</v>
      </c>
      <c r="AM296" s="47"/>
      <c r="AN296" s="376">
        <v>0</v>
      </c>
      <c r="AO296" s="376">
        <f>SUM(Table1[[#This Row],[Pipa 63 mm]:[Pipa 1,800 mm]])</f>
        <v>0</v>
      </c>
      <c r="AP296" s="376"/>
      <c r="AQ296" s="376"/>
      <c r="AR296" s="376"/>
      <c r="AS296" s="376"/>
      <c r="AT296" s="376"/>
      <c r="AU296" s="376"/>
      <c r="AV296" s="376"/>
      <c r="AW296" s="376"/>
      <c r="AX296" s="376"/>
      <c r="AY296" s="376"/>
      <c r="AZ296" s="376"/>
      <c r="BA296" s="376"/>
      <c r="BB296" s="376"/>
      <c r="BC296" s="376"/>
      <c r="BD296" s="376"/>
      <c r="BE296" s="376"/>
      <c r="BF296" s="376"/>
      <c r="BG296" s="376"/>
      <c r="BH296" s="376"/>
      <c r="BI296" s="376"/>
      <c r="BJ296" s="377">
        <f>SUM(Table1[[#This Row],[Pipa 63 mm2]:[Pipa 1,800 mm21]])</f>
        <v>0</v>
      </c>
      <c r="BK296" s="378"/>
      <c r="BL296" s="378"/>
      <c r="BM296" s="378"/>
      <c r="BN296" s="378"/>
      <c r="BO296" s="378"/>
      <c r="BP296" s="378"/>
      <c r="BQ296" s="378"/>
      <c r="BR296" s="378"/>
      <c r="BS296" s="378"/>
      <c r="BT296" s="378"/>
      <c r="BU296" s="378"/>
      <c r="BV296" s="378"/>
      <c r="BW296" s="378"/>
      <c r="BX296" s="378"/>
      <c r="BY296" s="378"/>
      <c r="BZ296" s="378"/>
      <c r="CA296" s="378"/>
      <c r="CB296" s="378"/>
      <c r="CC296" s="378"/>
      <c r="CD296" s="378"/>
      <c r="CE296" s="378">
        <v>0</v>
      </c>
      <c r="CF296" s="378"/>
      <c r="CG296" s="378"/>
      <c r="CH296" s="378"/>
      <c r="CI296" s="378">
        <f t="shared" si="15"/>
        <v>0</v>
      </c>
      <c r="CJ296" s="378">
        <f>IF((Table1[[#This Row],["Volume
BA MC-0"]]-Table1[[#This Row],[Total Panjang Pipa Aktual
(Sum-&gt;)3]]-Table1[[#This Row],[Total Volume
tidak dapat dipasang]])&gt;=0,Table1[[#This Row],["Volume
BA MC-0"]]-Table1[[#This Row],[Total Panjang Pipa Aktual
(Sum-&gt;)3]]-Table1[[#This Row],[Total Volume
tidak dapat dipasang]],0)</f>
        <v>0</v>
      </c>
      <c r="CK296" s="47"/>
      <c r="CL296" s="496" t="s">
        <v>1821</v>
      </c>
      <c r="CM296" s="489" t="s">
        <v>1821</v>
      </c>
      <c r="CN296" s="496" t="s">
        <v>1821</v>
      </c>
      <c r="CO296" s="496" t="s">
        <v>1821</v>
      </c>
      <c r="CP296"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96" s="380">
        <f>IFERROR(Table1[[#This Row],[Progres Keg. Umum
(%)]]*Table1[[#This Row],[Nilai RAB Jaringan
(file pa aji)]],0)</f>
        <v>0</v>
      </c>
      <c r="CR296" s="380">
        <f>IFERROR(Table1[[#This Row],[Progres MOS
(%)]]*Table1[[#This Row],[Nilai RAB Jaringan
(file pa aji)]],0)</f>
        <v>0</v>
      </c>
      <c r="CS296" s="380">
        <f>IFERROR(Table1[[#This Row],[Progres Pemasangan
(%)]]*Table1[[#This Row],[Nilai RAB Jaringan
(file pa aji)]],0)</f>
        <v>0</v>
      </c>
      <c r="CT296" s="380">
        <f>IFERROR(Table1[[#This Row],[Progres Perizinan
(%)]]*Table1[[#This Row],[Nilai RAB Jaringan
(file pa aji)]],0)</f>
        <v>0</v>
      </c>
      <c r="CU296" s="329">
        <v>0</v>
      </c>
      <c r="CV296" s="329">
        <v>0</v>
      </c>
      <c r="CW296" s="582">
        <v>0</v>
      </c>
      <c r="CX296" s="329">
        <v>0</v>
      </c>
      <c r="CY296" s="47"/>
      <c r="CZ296" s="386">
        <v>45866</v>
      </c>
      <c r="DA296" s="386">
        <v>45893</v>
      </c>
      <c r="DB296" s="388"/>
      <c r="DC296" s="367"/>
      <c r="DD296" s="375"/>
      <c r="DE29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96" s="388"/>
      <c r="DG296" s="367"/>
      <c r="DH296" s="375"/>
      <c r="DI296" s="367"/>
      <c r="DJ296" s="386">
        <v>45894</v>
      </c>
      <c r="DK296" s="386">
        <v>45963</v>
      </c>
      <c r="DL296" s="388"/>
      <c r="DM296" s="367"/>
      <c r="DN296" s="382"/>
      <c r="DO296" s="388"/>
      <c r="DP296" s="367"/>
      <c r="DQ296" s="366"/>
      <c r="DR296" s="382"/>
      <c r="DS296" s="386">
        <v>45894</v>
      </c>
      <c r="DT296" s="386" t="e">
        <v>#N/A</v>
      </c>
      <c r="DU296" s="386">
        <v>45935</v>
      </c>
      <c r="DV296" s="386" t="e">
        <v>#N/A</v>
      </c>
      <c r="DW296" s="388"/>
      <c r="DX296" s="367"/>
      <c r="DY296" s="442"/>
      <c r="DZ296" s="442"/>
      <c r="EA296" s="382"/>
      <c r="EB296" s="388"/>
      <c r="EC296" s="442"/>
      <c r="ED296" s="442"/>
      <c r="EE296" s="386"/>
      <c r="EF296" s="371"/>
      <c r="EG296" s="371"/>
      <c r="EH296" s="367"/>
      <c r="EI296"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6" s="386">
        <v>45936</v>
      </c>
      <c r="EK296" s="386" t="e">
        <v>#N/A</v>
      </c>
      <c r="EL296" s="386">
        <v>45991</v>
      </c>
      <c r="EM296" s="386" t="e">
        <v>#N/A</v>
      </c>
      <c r="EN296" s="388"/>
      <c r="EO296" s="442"/>
      <c r="EP296" s="367"/>
      <c r="EQ296" s="371"/>
      <c r="ER296" s="371"/>
      <c r="ES296" s="367"/>
      <c r="ET29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6" s="47"/>
      <c r="EV296" s="386">
        <v>45894</v>
      </c>
      <c r="EW296" s="386" t="e">
        <v>#N/A</v>
      </c>
      <c r="EX296" s="386">
        <v>45991</v>
      </c>
      <c r="EY296" s="386" t="e">
        <v>#N/A</v>
      </c>
      <c r="EZ296" s="384" t="s">
        <v>298</v>
      </c>
      <c r="FA296" s="385" t="s">
        <v>389</v>
      </c>
      <c r="FB296" s="386" t="s">
        <v>260</v>
      </c>
      <c r="FC296" s="330"/>
      <c r="FD296" s="386"/>
      <c r="FE296" s="386"/>
      <c r="FF296" s="386"/>
      <c r="FG296" s="386"/>
      <c r="FH296" s="386"/>
      <c r="FI296" s="386"/>
      <c r="FJ296" s="386"/>
      <c r="FK296" s="386"/>
      <c r="FL296" s="443" t="str">
        <f>Table1[[#This Row],[IPPJU]]</f>
        <v>9.Proses Penerbitan Izin</v>
      </c>
      <c r="FM296" s="443"/>
      <c r="FN296" s="365" t="str">
        <f>IF(Table1[[#This Row],[Tanggal Pengajuan Dokumen]]="","",Table1[[#This Row],[PLAN PERMIT
start]]-Table1[[#This Row],[Tanggal Pengajuan Dokumen]])</f>
        <v/>
      </c>
      <c r="FO296" s="444">
        <v>46097</v>
      </c>
      <c r="FP296" s="367"/>
      <c r="FQ296" s="366"/>
      <c r="FR296" s="366"/>
      <c r="FS296" s="366" t="str">
        <f t="shared" si="14"/>
        <v>On Going</v>
      </c>
      <c r="FT296"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6" s="387">
        <f ca="1">IF(Table1[[#This Row],[Status Izin]]="Selesai",Table1[[#This Row],[PLAN PERMIT
finish]]-Table1[[#This Row],[Tanggal Terbit/ Target Izin Terbit]],ROUNDUP(Table1[[#This Row],[PLAN PERMIT
finish]]-NOW(),0))</f>
        <v>-200</v>
      </c>
      <c r="FV296"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6" s="387"/>
      <c r="FX296" s="47"/>
      <c r="FY296" s="340"/>
      <c r="FZ296" s="341"/>
      <c r="GA29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6" s="386">
        <v>45965</v>
      </c>
      <c r="GC296" s="384">
        <v>45922</v>
      </c>
      <c r="GD296"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6" s="386">
        <v>45972</v>
      </c>
      <c r="GF296" s="384">
        <v>45922</v>
      </c>
      <c r="GG296"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6" s="386">
        <v>45978</v>
      </c>
      <c r="GI296" s="386">
        <v>45984</v>
      </c>
      <c r="GJ296" s="384"/>
      <c r="GK296"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296" s="386">
        <v>45992</v>
      </c>
      <c r="GM296" s="386" t="e">
        <v>#N/A</v>
      </c>
      <c r="GN296" s="386">
        <v>46033</v>
      </c>
      <c r="GO296" s="386" t="e">
        <v>#N/A</v>
      </c>
      <c r="GP296" s="386"/>
      <c r="GQ296"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6" s="386" t="s">
        <v>261</v>
      </c>
      <c r="GS296" s="386" t="s">
        <v>261</v>
      </c>
      <c r="GT296" s="390"/>
      <c r="GU296" s="387" t="str">
        <f>IF(Table1[[#This Row],[Hydro Tes Actual
(tanggal)]]&lt;&gt;"","Sudah","Belum")</f>
        <v>Belum</v>
      </c>
      <c r="GV296" s="386" t="s">
        <v>261</v>
      </c>
      <c r="GW296" s="386" t="s">
        <v>261</v>
      </c>
      <c r="GX296" s="388"/>
      <c r="GY296" s="387" t="str">
        <f>IF(Table1[[#This Row],[Interkoneksi Actual
(tanggal)]]&lt;&gt;"","Sudah","Belum")</f>
        <v>Belum</v>
      </c>
      <c r="GZ296" s="386" t="s">
        <v>261</v>
      </c>
      <c r="HA296" s="386" t="s">
        <v>261</v>
      </c>
      <c r="HB296" s="388"/>
      <c r="HC296" s="387" t="str">
        <f>IF(Table1[[#This Row],[Flushing Actual
(tanggal)]]&lt;&gt;"","Sudah","Belum")</f>
        <v>Belum</v>
      </c>
      <c r="HD296" s="386">
        <v>46013</v>
      </c>
      <c r="HE296" s="386" t="e">
        <v>#N/A</v>
      </c>
      <c r="HF296" s="386">
        <v>46026</v>
      </c>
      <c r="HG296" s="384"/>
      <c r="HH296"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6" s="386" t="s">
        <v>261</v>
      </c>
      <c r="HJ296" s="386" t="s">
        <v>261</v>
      </c>
      <c r="HK296" s="388"/>
      <c r="HL296" s="367"/>
      <c r="HM296" s="386">
        <v>46038</v>
      </c>
      <c r="HN296" s="386">
        <v>46038</v>
      </c>
      <c r="HO296" s="386" t="e">
        <v>#N/A</v>
      </c>
      <c r="HP296" s="388"/>
      <c r="HQ296"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296" s="386">
        <v>46045</v>
      </c>
      <c r="HS296" s="386"/>
      <c r="HT296" s="386">
        <v>46045</v>
      </c>
      <c r="HU296" s="386"/>
      <c r="HV296" s="388"/>
      <c r="HW296"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296" s="47"/>
      <c r="HY296" s="384"/>
      <c r="HZ296" s="384"/>
      <c r="IB296" s="618">
        <f>IFERROR(ROUND((Table1[[#This Row],[PLAN TC
finish]]-Table1[[#This Row],[PLAN MC-0
start]])/30,2),"")</f>
        <v>1.6</v>
      </c>
      <c r="IC296">
        <f>DATEDIF(Table1[[#This Row],[PLAN MC-0
start]],Table1[[#This Row],[PLAN TC
finish]],"m")</f>
        <v>1</v>
      </c>
    </row>
    <row r="297" spans="1:237" s="4" customFormat="1" ht="15" hidden="1" customHeight="1" x14ac:dyDescent="0.2">
      <c r="B297" s="311">
        <f>SUBTOTAL(3,$D$5:D297)</f>
        <v>84</v>
      </c>
      <c r="C297" s="316">
        <v>293</v>
      </c>
      <c r="D297" s="338" t="s">
        <v>244</v>
      </c>
      <c r="E297" s="338" t="s">
        <v>2339</v>
      </c>
      <c r="F297" s="338" t="s">
        <v>2340</v>
      </c>
      <c r="G297" s="349">
        <v>46117</v>
      </c>
      <c r="H297" s="338" t="s">
        <v>681</v>
      </c>
      <c r="I297" s="338" t="s">
        <v>278</v>
      </c>
      <c r="J297" s="480" t="s">
        <v>1830</v>
      </c>
      <c r="K297" s="338" t="s">
        <v>1165</v>
      </c>
      <c r="L297" s="316" t="s">
        <v>250</v>
      </c>
      <c r="M297" s="355" t="s">
        <v>269</v>
      </c>
      <c r="N297" s="107">
        <v>106</v>
      </c>
      <c r="O297" s="31" t="s">
        <v>252</v>
      </c>
      <c r="P29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7" s="35">
        <v>0.99999999999999989</v>
      </c>
      <c r="S297" s="34">
        <v>1</v>
      </c>
      <c r="T297" s="34">
        <f>Table1[[#This Row],[Progres Total Aktual
(%)]]</f>
        <v>1</v>
      </c>
      <c r="U297" s="98">
        <f>Table1[[#This Row],[Progres Aktual
(%)]]-Table1[[#This Row],[Target Progres
(%)]]</f>
        <v>0</v>
      </c>
      <c r="V297" s="80">
        <f>Table1[[#This Row],["Volume
BA MC-0"]]</f>
        <v>112.4</v>
      </c>
      <c r="W297" s="46">
        <f>Table1[[#This Row],[Total Panjang Pipa Aktual
(Sum-&gt;)3]]</f>
        <v>101.7</v>
      </c>
      <c r="X297" s="47"/>
      <c r="Y297" s="67" t="s">
        <v>2341</v>
      </c>
      <c r="Z297" s="67">
        <v>164269165</v>
      </c>
      <c r="AA297" s="67">
        <f>ROUND((Table1[[#This Row],[Nilai RAB Jaringan
(Exclude Ppn)]]-Table1[[#This Row],[RAB Perizinan]])*1.11+Table1[[#This Row],[RAB Perizinan]],0)</f>
        <v>164269164</v>
      </c>
      <c r="AB297" s="486">
        <f>SUM(Table1[[#This Row],[RAB Kegiatan Umum]:[RAB Perizinan]])</f>
        <v>148095283</v>
      </c>
      <c r="AC297" s="436">
        <v>9778221</v>
      </c>
      <c r="AD297" s="436">
        <v>97782206</v>
      </c>
      <c r="AE297" s="436">
        <v>39474856</v>
      </c>
      <c r="AF297" s="436">
        <v>1060000</v>
      </c>
      <c r="AG297" s="483">
        <v>25284464</v>
      </c>
      <c r="AH297" s="33">
        <f>SUM(Table1[[#This Row],[Bobot Keg Umum]:[Bobot Perizinan]])</f>
        <v>0.99999999999999989</v>
      </c>
      <c r="AI297" s="33">
        <f>Table1[[#This Row],[RAB Kegiatan Umum]]/Table1[[#This Row],[Nilai RAB Jaringan
(Exclude Ppn)]]</f>
        <v>6.6026552648540474E-2</v>
      </c>
      <c r="AJ297" s="33">
        <f>Table1[[#This Row],[RAB Pemasangan]]/Table1[[#This Row],[Nilai RAB Jaringan
(Exclude Ppn)]]</f>
        <v>0.66026549947576652</v>
      </c>
      <c r="AK297" s="33">
        <f>Table1[[#This Row],[RAB Pengadaan]]/Table1[[#This Row],[Nilai RAB Jaringan
(Exclude Ppn)]]</f>
        <v>0.26655039377587736</v>
      </c>
      <c r="AL297" s="33">
        <f>Table1[[#This Row],[RAB Perizinan]]/Table1[[#This Row],[Nilai RAB Jaringan
(Exclude Ppn)]]</f>
        <v>7.1575540998155898E-3</v>
      </c>
      <c r="AM297" s="47"/>
      <c r="AN297" s="285">
        <v>112.4</v>
      </c>
      <c r="AO297" s="285">
        <f>SUM(Table1[[#This Row],[Pipa 63 mm]:[Pipa 1,800 mm]])</f>
        <v>0</v>
      </c>
      <c r="AP297" s="285"/>
      <c r="AQ297" s="285"/>
      <c r="AR297" s="285"/>
      <c r="AS297" s="285"/>
      <c r="AT297" s="285"/>
      <c r="AU297" s="285"/>
      <c r="AV297" s="285"/>
      <c r="AW297" s="285"/>
      <c r="AX297" s="285"/>
      <c r="AY297" s="285"/>
      <c r="AZ297" s="285"/>
      <c r="BA297" s="285"/>
      <c r="BB297" s="285"/>
      <c r="BC297" s="285"/>
      <c r="BD297" s="285"/>
      <c r="BE297" s="285"/>
      <c r="BF297" s="285"/>
      <c r="BG297" s="285"/>
      <c r="BH297" s="285"/>
      <c r="BI297" s="285"/>
      <c r="BJ297" s="36">
        <f>SUM(Table1[[#This Row],[Pipa 63 mm2]:[Pipa 1,800 mm21]])</f>
        <v>101.7</v>
      </c>
      <c r="BK297" s="32">
        <v>101.7</v>
      </c>
      <c r="BL297" s="32"/>
      <c r="BM297" s="32"/>
      <c r="BN297" s="32"/>
      <c r="BO297" s="32"/>
      <c r="BP297" s="32"/>
      <c r="BQ297" s="32"/>
      <c r="BR297" s="32"/>
      <c r="BS297" s="32"/>
      <c r="BT297" s="32"/>
      <c r="BU297" s="32"/>
      <c r="BV297" s="32"/>
      <c r="BW297" s="32"/>
      <c r="BX297" s="32"/>
      <c r="BY297" s="32"/>
      <c r="BZ297" s="32"/>
      <c r="CA297" s="32"/>
      <c r="CB297" s="32"/>
      <c r="CC297" s="32"/>
      <c r="CD297" s="32"/>
      <c r="CE297" s="32">
        <v>0</v>
      </c>
      <c r="CF297" s="32"/>
      <c r="CG297" s="32"/>
      <c r="CH297" s="32"/>
      <c r="CI297" s="32">
        <f t="shared" si="15"/>
        <v>0</v>
      </c>
      <c r="CJ297" s="65">
        <f>IF((Table1[[#This Row],["Volume
BA MC-0"]]-Table1[[#This Row],[Total Panjang Pipa Aktual
(Sum-&gt;)3]]-Table1[[#This Row],[Total Volume
tidak dapat dipasang]])&gt;=0,Table1[[#This Row],["Volume
BA MC-0"]]-Table1[[#This Row],[Total Panjang Pipa Aktual
(Sum-&gt;)3]]-Table1[[#This Row],[Total Volume
tidak dapat dipasang]],0)</f>
        <v>10.700000000000003</v>
      </c>
      <c r="CK297" s="47"/>
      <c r="CL297" s="35" t="s">
        <v>1821</v>
      </c>
      <c r="CM297" s="35" t="s">
        <v>1821</v>
      </c>
      <c r="CN297" s="35" t="s">
        <v>1821</v>
      </c>
      <c r="CO297" s="35" t="s">
        <v>1821</v>
      </c>
      <c r="CP29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7" s="66">
        <f>IFERROR(Table1[[#This Row],[Progres Keg. Umum
(%)]]*Table1[[#This Row],[Nilai RAB Jaringan
(file pa aji)]],0)</f>
        <v>0</v>
      </c>
      <c r="CR297" s="66">
        <f>IFERROR(Table1[[#This Row],[Progres MOS
(%)]]*Table1[[#This Row],[Nilai RAB Jaringan
(file pa aji)]],0)</f>
        <v>0</v>
      </c>
      <c r="CS297" s="66">
        <f>IFERROR(Table1[[#This Row],[Progres Pemasangan
(%)]]*Table1[[#This Row],[Nilai RAB Jaringan
(file pa aji)]],0)</f>
        <v>0</v>
      </c>
      <c r="CT297" s="66">
        <f>IFERROR(Table1[[#This Row],[Progres Perizinan
(%)]]*Table1[[#This Row],[Nilai RAB Jaringan
(file pa aji)]],0)</f>
        <v>0</v>
      </c>
      <c r="CU297" s="329">
        <v>153144272</v>
      </c>
      <c r="CV297" s="329">
        <v>153144272</v>
      </c>
      <c r="CW297" s="583">
        <v>153144272</v>
      </c>
      <c r="CX297" s="329">
        <v>153144272</v>
      </c>
      <c r="CY297" s="47"/>
      <c r="CZ297" s="330">
        <v>45866</v>
      </c>
      <c r="DA297" s="330">
        <v>45893</v>
      </c>
      <c r="DB297" s="331">
        <v>45859</v>
      </c>
      <c r="DC297" s="316" t="s">
        <v>2342</v>
      </c>
      <c r="DD297" s="67">
        <v>164269165</v>
      </c>
      <c r="DE29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7" s="331">
        <v>45863</v>
      </c>
      <c r="DG297" s="316" t="s">
        <v>2343</v>
      </c>
      <c r="DH297" s="67">
        <v>164269165</v>
      </c>
      <c r="DI29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7" s="330">
        <v>45894</v>
      </c>
      <c r="DK297" s="330">
        <v>45956</v>
      </c>
      <c r="DL297" s="331">
        <v>45943</v>
      </c>
      <c r="DM297" s="316" t="s">
        <v>2344</v>
      </c>
      <c r="DN29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7" s="331">
        <v>45953</v>
      </c>
      <c r="DP297" s="316" t="s">
        <v>2345</v>
      </c>
      <c r="DQ297" s="338" t="s">
        <v>365</v>
      </c>
      <c r="DR29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7" s="330">
        <v>45894</v>
      </c>
      <c r="DT297" s="330" t="e">
        <v>#N/A</v>
      </c>
      <c r="DU297" s="330">
        <v>45935</v>
      </c>
      <c r="DV297" s="330" t="e">
        <v>#N/A</v>
      </c>
      <c r="DW297" s="331">
        <v>45943</v>
      </c>
      <c r="DX297" s="484" t="s">
        <v>2346</v>
      </c>
      <c r="DY297" s="332">
        <v>21</v>
      </c>
      <c r="DZ297" s="334">
        <v>21</v>
      </c>
      <c r="EA29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97" s="331">
        <v>46008</v>
      </c>
      <c r="EC297" s="332">
        <v>20</v>
      </c>
      <c r="ED297" s="332">
        <v>20</v>
      </c>
      <c r="EE297" s="425" t="s">
        <v>2347</v>
      </c>
      <c r="EF297" s="35">
        <v>1</v>
      </c>
      <c r="EG297" s="337">
        <v>1</v>
      </c>
      <c r="EH297" s="316" t="str">
        <f>IF(Table1[[#This Row],[PO Material Aktual 
(%)]]&gt;=100%,"Selesai PO = 100%",IF(Table1[[#This Row],[PO Material Aktual 
(%)]]&gt;=50%,"Proses PO &gt; 100%",IF(Table1[[#This Row],[PO Material Aktual 
(%)]]&gt;0%,"Proses PO &gt; 50%",IF(Table1[[#This Row],[PO Material Aktual 
(%)]]=0,"Belum PO = 0%"))))</f>
        <v>Selesai PO = 100%</v>
      </c>
      <c r="EI29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7" s="330">
        <v>45936</v>
      </c>
      <c r="EK297" s="330" t="e">
        <v>#N/A</v>
      </c>
      <c r="EL297" s="330">
        <v>45984</v>
      </c>
      <c r="EM297" s="330" t="e">
        <v>#N/A</v>
      </c>
      <c r="EN297" s="331">
        <v>46064</v>
      </c>
      <c r="EO297" s="332">
        <f>Table1[[#This Row],[Line PO]]</f>
        <v>20</v>
      </c>
      <c r="EP297" s="316">
        <v>20</v>
      </c>
      <c r="EQ297" s="35">
        <v>0.95238095238095233</v>
      </c>
      <c r="ER297" s="35">
        <f>Table1[[#This Row],[Line MOS]]/Table1[[#This Row],[Line PR]]</f>
        <v>0.95238095238095233</v>
      </c>
      <c r="ES297" s="316" t="str">
        <f>IF(Table1[[#This Row],[Progres MOS]]&gt;=100%,"Selesai MOS = 100%",IF(Table1[[#This Row],[Progres MOS]]&gt;=50%,"Proses MOS &gt; 100%",IF(Table1[[#This Row],[Progres MOS]]&gt;0%,"Proses MOS &gt; 50%",IF(Table1[[#This Row],[Progres MOS]]=0,"Belum MOS = 0%"))))</f>
        <v>Proses MOS &gt; 100%</v>
      </c>
      <c r="ET29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7" s="47"/>
      <c r="EV297" s="330">
        <v>45894</v>
      </c>
      <c r="EW297" s="330" t="e">
        <v>#N/A</v>
      </c>
      <c r="EX297" s="330">
        <v>45984</v>
      </c>
      <c r="EY297" s="330" t="e">
        <v>#N/A</v>
      </c>
      <c r="EZ297" s="352" t="s">
        <v>298</v>
      </c>
      <c r="FA297" s="336" t="s">
        <v>298</v>
      </c>
      <c r="FB297" s="330" t="s">
        <v>260</v>
      </c>
      <c r="FC297" s="330">
        <v>45912</v>
      </c>
      <c r="FD297" s="330" t="s">
        <v>260</v>
      </c>
      <c r="FE297" s="330">
        <v>45966</v>
      </c>
      <c r="FF297" s="330">
        <v>45995</v>
      </c>
      <c r="FG297" s="330" t="s">
        <v>260</v>
      </c>
      <c r="FH297" s="330" t="s">
        <v>260</v>
      </c>
      <c r="FI297" s="330">
        <v>46003</v>
      </c>
      <c r="FJ297" s="330" t="s">
        <v>260</v>
      </c>
      <c r="FK297" s="330"/>
      <c r="FL297" s="336" t="s">
        <v>298</v>
      </c>
      <c r="FM297" s="352">
        <v>45912</v>
      </c>
      <c r="FN297" s="338">
        <f>IF(Table1[[#This Row],[Tanggal Pengajuan Dokumen]]="","",Table1[[#This Row],[PLAN PERMIT
start]]-Table1[[#This Row],[Tanggal Pengajuan Dokumen]])</f>
        <v>-18</v>
      </c>
      <c r="FO297" s="437">
        <v>46086</v>
      </c>
      <c r="FP297" s="316"/>
      <c r="FQ297" s="338"/>
      <c r="FR297" s="338"/>
      <c r="FS297" s="338" t="str">
        <f t="shared" si="14"/>
        <v>On Going</v>
      </c>
      <c r="FT29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7" s="344">
        <f ca="1">IF(Table1[[#This Row],[Status Izin]]="Selesai",Table1[[#This Row],[PLAN PERMIT
finish]]-Table1[[#This Row],[Tanggal Terbit/ Target Izin Terbit]],ROUNDUP(Table1[[#This Row],[PLAN PERMIT
finish]]-NOW(),0))</f>
        <v>-207</v>
      </c>
      <c r="FV29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7" s="344"/>
      <c r="FX297" s="47"/>
      <c r="FY297" s="340"/>
      <c r="FZ297" s="341"/>
      <c r="GA29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7" s="330">
        <v>45958</v>
      </c>
      <c r="GC297" s="438">
        <v>45959</v>
      </c>
      <c r="GD29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97" s="330">
        <v>45965</v>
      </c>
      <c r="GF297" s="438">
        <v>45959</v>
      </c>
      <c r="GG29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7" s="330">
        <v>45971</v>
      </c>
      <c r="GI297" s="330">
        <v>45977</v>
      </c>
      <c r="GJ297" s="352">
        <v>45966</v>
      </c>
      <c r="GK29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7" s="330">
        <v>45985</v>
      </c>
      <c r="GM297" s="330" t="e">
        <v>#N/A</v>
      </c>
      <c r="GN297" s="330">
        <v>46005</v>
      </c>
      <c r="GO297" s="330" t="e">
        <v>#N/A</v>
      </c>
      <c r="GP297" s="330"/>
      <c r="GQ29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7" s="330" t="s">
        <v>261</v>
      </c>
      <c r="GS297" s="330" t="s">
        <v>261</v>
      </c>
      <c r="GT297" s="354">
        <v>46077</v>
      </c>
      <c r="GU297" s="344" t="str">
        <f>IF(Table1[[#This Row],[Hydro Tes Actual
(tanggal)]]&lt;&gt;"","Sudah","Belum")</f>
        <v>Sudah</v>
      </c>
      <c r="GV297" s="330" t="s">
        <v>261</v>
      </c>
      <c r="GW297" s="330" t="s">
        <v>261</v>
      </c>
      <c r="GX297" s="331">
        <v>46078</v>
      </c>
      <c r="GY297" s="344" t="str">
        <f>IF(Table1[[#This Row],[Interkoneksi Actual
(tanggal)]]&lt;&gt;"","Sudah","Belum")</f>
        <v>Sudah</v>
      </c>
      <c r="GZ297" s="330" t="s">
        <v>261</v>
      </c>
      <c r="HA297" s="330" t="s">
        <v>261</v>
      </c>
      <c r="HB297" s="331">
        <v>46078</v>
      </c>
      <c r="HC297" s="344" t="str">
        <f>IF(Table1[[#This Row],[Flushing Actual
(tanggal)]]&lt;&gt;"","Sudah","Belum")</f>
        <v>Sudah</v>
      </c>
      <c r="HD297" s="330">
        <v>45992</v>
      </c>
      <c r="HE297" s="330" t="e">
        <v>#N/A</v>
      </c>
      <c r="HF297" s="330">
        <v>46005</v>
      </c>
      <c r="HG297" s="352">
        <v>46083</v>
      </c>
      <c r="HH29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7" s="330" t="s">
        <v>261</v>
      </c>
      <c r="HJ297" s="330" t="s">
        <v>261</v>
      </c>
      <c r="HK297" s="331"/>
      <c r="HL297" s="316"/>
      <c r="HM297" s="330">
        <v>46010</v>
      </c>
      <c r="HN297" s="330">
        <v>46010</v>
      </c>
      <c r="HO297" s="330" t="e">
        <v>#N/A</v>
      </c>
      <c r="HP297" s="331">
        <v>46095</v>
      </c>
      <c r="HQ297"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97" s="330">
        <v>46017</v>
      </c>
      <c r="HS297" s="330"/>
      <c r="HT297" s="330">
        <v>46017</v>
      </c>
      <c r="HU297" s="330"/>
      <c r="HV297" s="331">
        <v>46099</v>
      </c>
      <c r="HW29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97" s="47"/>
      <c r="HY297" s="352"/>
      <c r="HZ297" s="352"/>
      <c r="IB297" s="618">
        <f>IFERROR(ROUND((Table1[[#This Row],[PLAN TC
finish]]-Table1[[#This Row],[PLAN MC-0
start]])/30,2),"")</f>
        <v>1.1299999999999999</v>
      </c>
      <c r="IC297">
        <f>DATEDIF(Table1[[#This Row],[PLAN MC-0
start]],Table1[[#This Row],[PLAN TC
finish]],"m")</f>
        <v>1</v>
      </c>
    </row>
    <row r="298" spans="1:237" s="4" customFormat="1" ht="15" hidden="1" customHeight="1" x14ac:dyDescent="0.2">
      <c r="B298" s="311">
        <f>SUBTOTAL(3,$D$5:D298)</f>
        <v>84</v>
      </c>
      <c r="C298" s="316">
        <v>294</v>
      </c>
      <c r="D298" s="338" t="s">
        <v>244</v>
      </c>
      <c r="E298" s="338" t="s">
        <v>2348</v>
      </c>
      <c r="F298" s="338" t="s">
        <v>2349</v>
      </c>
      <c r="G298" s="349">
        <v>46117</v>
      </c>
      <c r="H298" s="338" t="s">
        <v>681</v>
      </c>
      <c r="I298" s="338" t="s">
        <v>278</v>
      </c>
      <c r="J298" s="480" t="s">
        <v>1830</v>
      </c>
      <c r="K298" s="338" t="s">
        <v>1165</v>
      </c>
      <c r="L298" s="316" t="s">
        <v>250</v>
      </c>
      <c r="M298" s="355" t="s">
        <v>269</v>
      </c>
      <c r="N298" s="107">
        <v>50</v>
      </c>
      <c r="O298" s="31" t="s">
        <v>252</v>
      </c>
      <c r="P29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8" s="35">
        <v>1.0000000000000002</v>
      </c>
      <c r="S298" s="34">
        <v>1</v>
      </c>
      <c r="T298" s="34">
        <f>Table1[[#This Row],[Progres Total Aktual
(%)]]</f>
        <v>1</v>
      </c>
      <c r="U298" s="98">
        <f>Table1[[#This Row],[Progres Aktual
(%)]]-Table1[[#This Row],[Target Progres
(%)]]</f>
        <v>0</v>
      </c>
      <c r="V298" s="80">
        <f>Table1[[#This Row],["Volume
BA MC-0"]]</f>
        <v>50</v>
      </c>
      <c r="W298" s="46">
        <f>Table1[[#This Row],[Total Panjang Pipa Aktual
(Sum-&gt;)3]]</f>
        <v>50</v>
      </c>
      <c r="X298" s="47"/>
      <c r="Y298" s="67" t="s">
        <v>2350</v>
      </c>
      <c r="Z298" s="67">
        <v>72202637</v>
      </c>
      <c r="AA298" s="67">
        <f>ROUND((Table1[[#This Row],[Nilai RAB Jaringan
(Exclude Ppn)]]-Table1[[#This Row],[RAB Perizinan]])*1.11+Table1[[#This Row],[RAB Perizinan]],0)</f>
        <v>72202637</v>
      </c>
      <c r="AB298" s="486">
        <f>SUM(Table1[[#This Row],[RAB Kegiatan Umum]:[RAB Perizinan]])</f>
        <v>65096970</v>
      </c>
      <c r="AC298" s="436">
        <v>5164746</v>
      </c>
      <c r="AD298" s="436">
        <v>51647461</v>
      </c>
      <c r="AE298" s="436">
        <v>7784763</v>
      </c>
      <c r="AF298" s="436">
        <v>500000</v>
      </c>
      <c r="AG298" s="483">
        <v>6321116</v>
      </c>
      <c r="AH298" s="33">
        <f>SUM(Table1[[#This Row],[Bobot Keg Umum]:[Bobot Perizinan]])</f>
        <v>1.0000000000000002</v>
      </c>
      <c r="AI298" s="33">
        <f>Table1[[#This Row],[RAB Kegiatan Umum]]/Table1[[#This Row],[Nilai RAB Jaringan
(Exclude Ppn)]]</f>
        <v>7.9339268786243047E-2</v>
      </c>
      <c r="AJ298" s="33">
        <f>Table1[[#This Row],[RAB Pemasangan]]/Table1[[#This Row],[Nilai RAB Jaringan
(Exclude Ppn)]]</f>
        <v>0.79339270322412858</v>
      </c>
      <c r="AK298" s="33">
        <f>Table1[[#This Row],[RAB Pengadaan]]/Table1[[#This Row],[Nilai RAB Jaringan
(Exclude Ppn)]]</f>
        <v>0.11958717894243004</v>
      </c>
      <c r="AL298" s="33">
        <f>Table1[[#This Row],[RAB Perizinan]]/Table1[[#This Row],[Nilai RAB Jaringan
(Exclude Ppn)]]</f>
        <v>7.6808490471983563E-3</v>
      </c>
      <c r="AM298" s="47"/>
      <c r="AN298" s="285">
        <v>50</v>
      </c>
      <c r="AO298" s="285">
        <f>SUM(Table1[[#This Row],[Pipa 63 mm]:[Pipa 1,800 mm]])</f>
        <v>0</v>
      </c>
      <c r="AP298" s="285"/>
      <c r="AQ298" s="285"/>
      <c r="AR298" s="285"/>
      <c r="AS298" s="285"/>
      <c r="AT298" s="285"/>
      <c r="AU298" s="285"/>
      <c r="AV298" s="285"/>
      <c r="AW298" s="285"/>
      <c r="AX298" s="285"/>
      <c r="AY298" s="285"/>
      <c r="AZ298" s="285"/>
      <c r="BA298" s="285"/>
      <c r="BB298" s="285"/>
      <c r="BC298" s="285"/>
      <c r="BD298" s="285"/>
      <c r="BE298" s="285"/>
      <c r="BF298" s="285"/>
      <c r="BG298" s="285"/>
      <c r="BH298" s="285"/>
      <c r="BI298" s="285"/>
      <c r="BJ298" s="36">
        <f>SUM(Table1[[#This Row],[Pipa 63 mm2]:[Pipa 1,800 mm21]])</f>
        <v>50</v>
      </c>
      <c r="BK298" s="32">
        <v>50</v>
      </c>
      <c r="BL298" s="32"/>
      <c r="BM298" s="32"/>
      <c r="BN298" s="32"/>
      <c r="BO298" s="32"/>
      <c r="BP298" s="32"/>
      <c r="BQ298" s="32"/>
      <c r="BR298" s="32"/>
      <c r="BS298" s="32"/>
      <c r="BT298" s="32"/>
      <c r="BU298" s="32"/>
      <c r="BV298" s="32"/>
      <c r="BW298" s="32"/>
      <c r="BX298" s="32"/>
      <c r="BY298" s="32"/>
      <c r="BZ298" s="32"/>
      <c r="CA298" s="32"/>
      <c r="CB298" s="32"/>
      <c r="CC298" s="32"/>
      <c r="CD298" s="32"/>
      <c r="CE298" s="32">
        <v>0</v>
      </c>
      <c r="CF298" s="32"/>
      <c r="CG298" s="32"/>
      <c r="CH298" s="32"/>
      <c r="CI298" s="32">
        <f t="shared" si="15"/>
        <v>0</v>
      </c>
      <c r="CJ298" s="65">
        <f>IF((Table1[[#This Row],["Volume
BA MC-0"]]-Table1[[#This Row],[Total Panjang Pipa Aktual
(Sum-&gt;)3]]-Table1[[#This Row],[Total Volume
tidak dapat dipasang]])&gt;=0,Table1[[#This Row],["Volume
BA MC-0"]]-Table1[[#This Row],[Total Panjang Pipa Aktual
(Sum-&gt;)3]]-Table1[[#This Row],[Total Volume
tidak dapat dipasang]],0)</f>
        <v>0</v>
      </c>
      <c r="CK298" s="47"/>
      <c r="CL298" s="484" t="s">
        <v>1821</v>
      </c>
      <c r="CM298" s="34" t="s">
        <v>1821</v>
      </c>
      <c r="CN298" s="484" t="s">
        <v>1821</v>
      </c>
      <c r="CO298" s="484" t="s">
        <v>1821</v>
      </c>
      <c r="CP29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8" s="66">
        <f>IFERROR(Table1[[#This Row],[Progres Keg. Umum
(%)]]*Table1[[#This Row],[Nilai RAB Jaringan
(file pa aji)]],0)</f>
        <v>0</v>
      </c>
      <c r="CR298" s="66">
        <f>IFERROR(Table1[[#This Row],[Progres MOS
(%)]]*Table1[[#This Row],[Nilai RAB Jaringan
(file pa aji)]],0)</f>
        <v>0</v>
      </c>
      <c r="CS298" s="66">
        <f>IFERROR(Table1[[#This Row],[Progres Pemasangan
(%)]]*Table1[[#This Row],[Nilai RAB Jaringan
(file pa aji)]],0)</f>
        <v>0</v>
      </c>
      <c r="CT298" s="66">
        <f>IFERROR(Table1[[#This Row],[Progres Perizinan
(%)]]*Table1[[#This Row],[Nilai RAB Jaringan
(file pa aji)]],0)</f>
        <v>0</v>
      </c>
      <c r="CU298" s="329">
        <v>207545840</v>
      </c>
      <c r="CV298" s="329">
        <v>207545840</v>
      </c>
      <c r="CW298" s="583">
        <v>207545840</v>
      </c>
      <c r="CX298" s="329">
        <v>207545840</v>
      </c>
      <c r="CY298" s="47"/>
      <c r="CZ298" s="330">
        <v>45866</v>
      </c>
      <c r="DA298" s="330">
        <v>45893</v>
      </c>
      <c r="DB298" s="331">
        <v>45860</v>
      </c>
      <c r="DC298" s="316" t="s">
        <v>2351</v>
      </c>
      <c r="DD298" s="67">
        <v>72202637</v>
      </c>
      <c r="DE29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8" s="331">
        <v>45867</v>
      </c>
      <c r="DG298" s="316" t="s">
        <v>2352</v>
      </c>
      <c r="DH298" s="67">
        <v>72202637</v>
      </c>
      <c r="DI29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8" s="330">
        <v>45894</v>
      </c>
      <c r="DK298" s="330">
        <v>45956</v>
      </c>
      <c r="DL298" s="331">
        <v>45943</v>
      </c>
      <c r="DM298" s="316" t="s">
        <v>2353</v>
      </c>
      <c r="DN29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8" s="331">
        <v>45950</v>
      </c>
      <c r="DP298" s="316" t="s">
        <v>2354</v>
      </c>
      <c r="DQ298" s="338" t="s">
        <v>365</v>
      </c>
      <c r="DR29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8" s="330">
        <v>45894</v>
      </c>
      <c r="DT298" s="330" t="e">
        <v>#N/A</v>
      </c>
      <c r="DU298" s="330">
        <v>45935</v>
      </c>
      <c r="DV298" s="330" t="e">
        <v>#N/A</v>
      </c>
      <c r="DW298" s="331">
        <v>45943</v>
      </c>
      <c r="DX298" s="316" t="s">
        <v>2355</v>
      </c>
      <c r="DY298" s="332">
        <v>13</v>
      </c>
      <c r="DZ298" s="334">
        <v>13</v>
      </c>
      <c r="EA29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98" s="331">
        <v>46006</v>
      </c>
      <c r="EC298" s="332">
        <v>12</v>
      </c>
      <c r="ED298" s="332">
        <v>12</v>
      </c>
      <c r="EE298" s="425" t="s">
        <v>2356</v>
      </c>
      <c r="EF298" s="35">
        <v>1</v>
      </c>
      <c r="EG298" s="337">
        <v>1</v>
      </c>
      <c r="EH298" s="316" t="str">
        <f>IF(Table1[[#This Row],[PO Material Aktual 
(%)]]&gt;=100%,"Selesai PO = 100%",IF(Table1[[#This Row],[PO Material Aktual 
(%)]]&gt;=50%,"Proses PO &gt; 100%",IF(Table1[[#This Row],[PO Material Aktual 
(%)]]&gt;0%,"Proses PO &gt; 50%",IF(Table1[[#This Row],[PO Material Aktual 
(%)]]=0,"Belum PO = 0%"))))</f>
        <v>Selesai PO = 100%</v>
      </c>
      <c r="EI29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8" s="330">
        <v>45936</v>
      </c>
      <c r="EK298" s="330" t="e">
        <v>#N/A</v>
      </c>
      <c r="EL298" s="330">
        <v>45984</v>
      </c>
      <c r="EM298" s="330" t="e">
        <v>#N/A</v>
      </c>
      <c r="EN298" s="331">
        <v>46051</v>
      </c>
      <c r="EO298" s="332">
        <f>Table1[[#This Row],[Line PO]]</f>
        <v>12</v>
      </c>
      <c r="EP298" s="316">
        <v>12</v>
      </c>
      <c r="EQ298" s="35">
        <v>0.92307692307692313</v>
      </c>
      <c r="ER298" s="35">
        <f>Table1[[#This Row],[Line MOS]]/Table1[[#This Row],[Line PR]]</f>
        <v>0.92307692307692313</v>
      </c>
      <c r="ES298" s="316" t="str">
        <f>IF(Table1[[#This Row],[Progres MOS]]&gt;=100%,"Selesai MOS = 100%",IF(Table1[[#This Row],[Progres MOS]]&gt;=50%,"Proses MOS &gt; 100%",IF(Table1[[#This Row],[Progres MOS]]&gt;0%,"Proses MOS &gt; 50%",IF(Table1[[#This Row],[Progres MOS]]=0,"Belum MOS = 0%"))))</f>
        <v>Proses MOS &gt; 100%</v>
      </c>
      <c r="ET29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8" s="47"/>
      <c r="EV298" s="330">
        <v>45894</v>
      </c>
      <c r="EW298" s="330" t="e">
        <v>#N/A</v>
      </c>
      <c r="EX298" s="330">
        <v>45984</v>
      </c>
      <c r="EY298" s="330" t="e">
        <v>#N/A</v>
      </c>
      <c r="EZ298" s="352" t="s">
        <v>298</v>
      </c>
      <c r="FA298" s="336" t="s">
        <v>298</v>
      </c>
      <c r="FB298" s="330" t="s">
        <v>260</v>
      </c>
      <c r="FC298" s="330">
        <v>45943</v>
      </c>
      <c r="FD298" s="330" t="s">
        <v>260</v>
      </c>
      <c r="FE298" s="330">
        <v>45966</v>
      </c>
      <c r="FF298" s="330">
        <v>45993</v>
      </c>
      <c r="FG298" s="330" t="s">
        <v>260</v>
      </c>
      <c r="FH298" s="330" t="s">
        <v>260</v>
      </c>
      <c r="FI298" s="330">
        <v>46010</v>
      </c>
      <c r="FJ298" s="330" t="s">
        <v>260</v>
      </c>
      <c r="FK298" s="330"/>
      <c r="FL298" s="336" t="s">
        <v>298</v>
      </c>
      <c r="FM298" s="352">
        <v>45943</v>
      </c>
      <c r="FN298" s="338">
        <f>IF(Table1[[#This Row],[Tanggal Pengajuan Dokumen]]="","",Table1[[#This Row],[PLAN PERMIT
start]]-Table1[[#This Row],[Tanggal Pengajuan Dokumen]])</f>
        <v>-49</v>
      </c>
      <c r="FO298" s="437">
        <v>46097</v>
      </c>
      <c r="FP298" s="316"/>
      <c r="FQ298" s="338"/>
      <c r="FR298" s="338"/>
      <c r="FS298" s="338" t="str">
        <f t="shared" si="14"/>
        <v>On Going</v>
      </c>
      <c r="FT29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8" s="344">
        <f ca="1">IF(Table1[[#This Row],[Status Izin]]="Selesai",Table1[[#This Row],[PLAN PERMIT
finish]]-Table1[[#This Row],[Tanggal Terbit/ Target Izin Terbit]],ROUNDUP(Table1[[#This Row],[PLAN PERMIT
finish]]-NOW(),0))</f>
        <v>-207</v>
      </c>
      <c r="FV29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8" s="344"/>
      <c r="FX298" s="47"/>
      <c r="FY298" s="340"/>
      <c r="FZ298" s="341"/>
      <c r="GA29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8" s="330">
        <v>45958</v>
      </c>
      <c r="GC298" s="352">
        <v>45909</v>
      </c>
      <c r="GD29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8" s="330">
        <v>45965</v>
      </c>
      <c r="GF298" s="352">
        <v>45909</v>
      </c>
      <c r="GG29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8" s="330">
        <v>45971</v>
      </c>
      <c r="GI298" s="330">
        <v>45977</v>
      </c>
      <c r="GJ298" s="352">
        <v>45951</v>
      </c>
      <c r="GK29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8" s="330">
        <v>45985</v>
      </c>
      <c r="GM298" s="330" t="e">
        <v>#N/A</v>
      </c>
      <c r="GN298" s="330">
        <v>46005</v>
      </c>
      <c r="GO298" s="330" t="e">
        <v>#N/A</v>
      </c>
      <c r="GP298" s="330"/>
      <c r="GQ29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8" s="330" t="s">
        <v>261</v>
      </c>
      <c r="GS298" s="330" t="s">
        <v>261</v>
      </c>
      <c r="GT298" s="354">
        <v>46013</v>
      </c>
      <c r="GU298" s="344" t="str">
        <f>IF(Table1[[#This Row],[Hydro Tes Actual
(tanggal)]]&lt;&gt;"","Sudah","Belum")</f>
        <v>Sudah</v>
      </c>
      <c r="GV298" s="330" t="s">
        <v>261</v>
      </c>
      <c r="GW298" s="330" t="s">
        <v>261</v>
      </c>
      <c r="GX298" s="331">
        <v>46018</v>
      </c>
      <c r="GY298" s="344" t="str">
        <f>IF(Table1[[#This Row],[Interkoneksi Actual
(tanggal)]]&lt;&gt;"","Sudah","Belum")</f>
        <v>Sudah</v>
      </c>
      <c r="GZ298" s="330" t="s">
        <v>261</v>
      </c>
      <c r="HA298" s="330" t="s">
        <v>261</v>
      </c>
      <c r="HB298" s="331">
        <v>46018</v>
      </c>
      <c r="HC298" s="344" t="str">
        <f>IF(Table1[[#This Row],[Flushing Actual
(tanggal)]]&lt;&gt;"","Sudah","Belum")</f>
        <v>Sudah</v>
      </c>
      <c r="HD298" s="330">
        <v>45992</v>
      </c>
      <c r="HE298" s="330" t="e">
        <v>#N/A</v>
      </c>
      <c r="HF298" s="330">
        <v>46005</v>
      </c>
      <c r="HG298" s="352">
        <v>46035</v>
      </c>
      <c r="HH29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8" s="330" t="s">
        <v>261</v>
      </c>
      <c r="HJ298" s="330" t="s">
        <v>261</v>
      </c>
      <c r="HK298" s="331"/>
      <c r="HL298" s="316"/>
      <c r="HM298" s="330">
        <v>46010</v>
      </c>
      <c r="HN298" s="330">
        <v>46010</v>
      </c>
      <c r="HO298" s="330" t="e">
        <v>#N/A</v>
      </c>
      <c r="HP298" s="331">
        <v>46095</v>
      </c>
      <c r="HQ298"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98" s="330">
        <v>46017</v>
      </c>
      <c r="HS298" s="330"/>
      <c r="HT298" s="330">
        <v>46017</v>
      </c>
      <c r="HU298" s="330"/>
      <c r="HV298" s="331">
        <v>46098</v>
      </c>
      <c r="HW29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98" s="47"/>
      <c r="HY298" s="352"/>
      <c r="HZ298" s="352"/>
      <c r="IB298" s="618">
        <f>IFERROR(ROUND((Table1[[#This Row],[PLAN TC
finish]]-Table1[[#This Row],[PLAN MC-0
start]])/30,2),"")</f>
        <v>1.1299999999999999</v>
      </c>
      <c r="IC298">
        <f>DATEDIF(Table1[[#This Row],[PLAN MC-0
start]],Table1[[#This Row],[PLAN TC
finish]],"m")</f>
        <v>1</v>
      </c>
    </row>
    <row r="299" spans="1:237" s="4" customFormat="1" ht="15" hidden="1" customHeight="1" x14ac:dyDescent="0.2">
      <c r="B299" s="311">
        <f>SUBTOTAL(3,$D$5:D299)</f>
        <v>84</v>
      </c>
      <c r="C299" s="316">
        <v>295</v>
      </c>
      <c r="D299" s="338" t="s">
        <v>244</v>
      </c>
      <c r="E299" s="338" t="s">
        <v>2357</v>
      </c>
      <c r="F299" s="338" t="s">
        <v>2358</v>
      </c>
      <c r="G299" s="349">
        <v>46117</v>
      </c>
      <c r="H299" s="338" t="s">
        <v>681</v>
      </c>
      <c r="I299" s="338" t="s">
        <v>278</v>
      </c>
      <c r="J299" s="480" t="s">
        <v>1830</v>
      </c>
      <c r="K299" s="338" t="s">
        <v>1165</v>
      </c>
      <c r="L299" s="316" t="s">
        <v>250</v>
      </c>
      <c r="M299" s="355" t="s">
        <v>269</v>
      </c>
      <c r="N299" s="107">
        <v>218</v>
      </c>
      <c r="O299" s="31" t="s">
        <v>252</v>
      </c>
      <c r="P29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9" s="35">
        <v>0.99999999999999989</v>
      </c>
      <c r="S299" s="34">
        <v>1</v>
      </c>
      <c r="T299" s="34">
        <f>Table1[[#This Row],[Progres Total Aktual
(%)]]</f>
        <v>1</v>
      </c>
      <c r="U299" s="98">
        <f>Table1[[#This Row],[Progres Aktual
(%)]]-Table1[[#This Row],[Target Progres
(%)]]</f>
        <v>0</v>
      </c>
      <c r="V299" s="80">
        <f>Table1[[#This Row],["Volume
BA MC-0"]]</f>
        <v>217</v>
      </c>
      <c r="W299" s="46">
        <f>Table1[[#This Row],[Total Panjang Pipa Aktual
(Sum-&gt;)3]]</f>
        <v>171</v>
      </c>
      <c r="X299" s="47"/>
      <c r="Y299" s="67" t="s">
        <v>2359</v>
      </c>
      <c r="Z299" s="67">
        <v>1214391484</v>
      </c>
      <c r="AA299" s="67">
        <f>ROUND((Table1[[#This Row],[Nilai RAB Jaringan
(Exclude Ppn)]]-Table1[[#This Row],[RAB Perizinan]])*1.11+Table1[[#This Row],[RAB Perizinan]],0)</f>
        <v>437623061</v>
      </c>
      <c r="AB299" s="486">
        <f>SUM(Table1[[#This Row],[RAB Kegiatan Umum]:[RAB Perizinan]])</f>
        <v>394471046</v>
      </c>
      <c r="AC299" s="436">
        <v>26302175</v>
      </c>
      <c r="AD299" s="436">
        <v>263021748</v>
      </c>
      <c r="AE299" s="436">
        <v>102967123</v>
      </c>
      <c r="AF299" s="436">
        <v>2180000</v>
      </c>
      <c r="AG299" s="483">
        <v>44247812</v>
      </c>
      <c r="AH299" s="33">
        <f>SUM(Table1[[#This Row],[Bobot Keg Umum]:[Bobot Perizinan]])</f>
        <v>1</v>
      </c>
      <c r="AI299" s="33">
        <f>Table1[[#This Row],[RAB Kegiatan Umum]]/Table1[[#This Row],[Nilai RAB Jaringan
(Exclude Ppn)]]</f>
        <v>6.6677073683121479E-2</v>
      </c>
      <c r="AJ299" s="33">
        <f>Table1[[#This Row],[RAB Pemasangan]]/Table1[[#This Row],[Nilai RAB Jaringan
(Exclude Ppn)]]</f>
        <v>0.66677073176113411</v>
      </c>
      <c r="AK299" s="33">
        <f>Table1[[#This Row],[RAB Pengadaan]]/Table1[[#This Row],[Nilai RAB Jaringan
(Exclude Ppn)]]</f>
        <v>0.26102580669507491</v>
      </c>
      <c r="AL299" s="33">
        <f>Table1[[#This Row],[RAB Perizinan]]/Table1[[#This Row],[Nilai RAB Jaringan
(Exclude Ppn)]]</f>
        <v>5.5263878606694999E-3</v>
      </c>
      <c r="AM299" s="47"/>
      <c r="AN299" s="285">
        <v>217</v>
      </c>
      <c r="AO299" s="285">
        <f>SUM(Table1[[#This Row],[Pipa 63 mm]:[Pipa 1,800 mm]])</f>
        <v>0</v>
      </c>
      <c r="AP299" s="285"/>
      <c r="AQ299" s="285"/>
      <c r="AR299" s="285"/>
      <c r="AS299" s="285"/>
      <c r="AT299" s="285"/>
      <c r="AU299" s="285"/>
      <c r="AV299" s="285"/>
      <c r="AW299" s="285"/>
      <c r="AX299" s="285"/>
      <c r="AY299" s="285"/>
      <c r="AZ299" s="285"/>
      <c r="BA299" s="285"/>
      <c r="BB299" s="285"/>
      <c r="BC299" s="285"/>
      <c r="BD299" s="285"/>
      <c r="BE299" s="285"/>
      <c r="BF299" s="285"/>
      <c r="BG299" s="285"/>
      <c r="BH299" s="285"/>
      <c r="BI299" s="285"/>
      <c r="BJ299" s="36">
        <f>SUM(Table1[[#This Row],[Pipa 63 mm2]:[Pipa 1,800 mm21]])</f>
        <v>171</v>
      </c>
      <c r="BK299" s="32">
        <v>171</v>
      </c>
      <c r="BL299" s="32"/>
      <c r="BM299" s="32"/>
      <c r="BN299" s="32"/>
      <c r="BO299" s="32"/>
      <c r="BP299" s="32"/>
      <c r="BQ299" s="32"/>
      <c r="BR299" s="32"/>
      <c r="BS299" s="32"/>
      <c r="BT299" s="32"/>
      <c r="BU299" s="32"/>
      <c r="BV299" s="32"/>
      <c r="BW299" s="32"/>
      <c r="BX299" s="32"/>
      <c r="BY299" s="32"/>
      <c r="BZ299" s="32"/>
      <c r="CA299" s="32"/>
      <c r="CB299" s="32"/>
      <c r="CC299" s="32"/>
      <c r="CD299" s="32"/>
      <c r="CE299" s="32">
        <v>0</v>
      </c>
      <c r="CF299" s="32"/>
      <c r="CG299" s="32"/>
      <c r="CH299" s="32"/>
      <c r="CI299" s="32">
        <f t="shared" si="15"/>
        <v>0</v>
      </c>
      <c r="CJ299" s="65">
        <f>IF((Table1[[#This Row],["Volume
BA MC-0"]]-Table1[[#This Row],[Total Panjang Pipa Aktual
(Sum-&gt;)3]]-Table1[[#This Row],[Total Volume
tidak dapat dipasang]])&gt;=0,Table1[[#This Row],["Volume
BA MC-0"]]-Table1[[#This Row],[Total Panjang Pipa Aktual
(Sum-&gt;)3]]-Table1[[#This Row],[Total Volume
tidak dapat dipasang]],0)</f>
        <v>46</v>
      </c>
      <c r="CK299" s="47"/>
      <c r="CL299" s="35" t="s">
        <v>1821</v>
      </c>
      <c r="CM299" s="35" t="s">
        <v>1821</v>
      </c>
      <c r="CN299" s="35" t="s">
        <v>1821</v>
      </c>
      <c r="CO299" s="35" t="s">
        <v>1821</v>
      </c>
      <c r="CP29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9" s="66">
        <f>IFERROR(Table1[[#This Row],[Progres Keg. Umum
(%)]]*Table1[[#This Row],[Nilai RAB Jaringan
(file pa aji)]],0)</f>
        <v>0</v>
      </c>
      <c r="CR299" s="66">
        <f>IFERROR(Table1[[#This Row],[Progres MOS
(%)]]*Table1[[#This Row],[Nilai RAB Jaringan
(file pa aji)]],0)</f>
        <v>0</v>
      </c>
      <c r="CS299" s="66">
        <f>IFERROR(Table1[[#This Row],[Progres Pemasangan
(%)]]*Table1[[#This Row],[Nilai RAB Jaringan
(file pa aji)]],0)</f>
        <v>0</v>
      </c>
      <c r="CT299" s="66">
        <f>IFERROR(Table1[[#This Row],[Progres Perizinan
(%)]]*Table1[[#This Row],[Nilai RAB Jaringan
(file pa aji)]],0)</f>
        <v>0</v>
      </c>
      <c r="CU299" s="329">
        <v>1133590061</v>
      </c>
      <c r="CV299" s="329">
        <v>1133590061</v>
      </c>
      <c r="CW299" s="583">
        <v>1133590061</v>
      </c>
      <c r="CX299" s="329">
        <v>1133590061</v>
      </c>
      <c r="CY299" s="47"/>
      <c r="CZ299" s="330">
        <v>45866</v>
      </c>
      <c r="DA299" s="330">
        <v>45893</v>
      </c>
      <c r="DB299" s="331">
        <v>45867</v>
      </c>
      <c r="DC299" s="316" t="s">
        <v>2360</v>
      </c>
      <c r="DD299" s="67">
        <v>437623061</v>
      </c>
      <c r="DE29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9" s="331">
        <v>45884</v>
      </c>
      <c r="DG299" s="316" t="s">
        <v>2361</v>
      </c>
      <c r="DH299" s="67">
        <v>437623061</v>
      </c>
      <c r="DI29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9" s="330">
        <v>45894</v>
      </c>
      <c r="DK299" s="330">
        <v>45956</v>
      </c>
      <c r="DL299" s="331">
        <v>45910</v>
      </c>
      <c r="DM299" s="316" t="s">
        <v>2362</v>
      </c>
      <c r="DN29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9" s="331">
        <v>45946</v>
      </c>
      <c r="DP299" s="316" t="s">
        <v>2363</v>
      </c>
      <c r="DQ299" s="338" t="s">
        <v>312</v>
      </c>
      <c r="DR29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9" s="330">
        <v>45894</v>
      </c>
      <c r="DT299" s="330" t="e">
        <v>#N/A</v>
      </c>
      <c r="DU299" s="330">
        <v>45935</v>
      </c>
      <c r="DV299" s="330" t="e">
        <v>#N/A</v>
      </c>
      <c r="DW299" s="331">
        <v>45910</v>
      </c>
      <c r="DX299" s="484" t="s">
        <v>2364</v>
      </c>
      <c r="DY299" s="332">
        <v>33</v>
      </c>
      <c r="DZ299" s="334">
        <v>33</v>
      </c>
      <c r="EA29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9" s="331">
        <v>46127</v>
      </c>
      <c r="EC299" s="332">
        <v>29</v>
      </c>
      <c r="ED299" s="332">
        <v>29</v>
      </c>
      <c r="EE299" s="425" t="s">
        <v>2365</v>
      </c>
      <c r="EF299" s="35">
        <v>1</v>
      </c>
      <c r="EG299" s="337">
        <v>1</v>
      </c>
      <c r="EH299" s="316" t="str">
        <f>IF(Table1[[#This Row],[PO Material Aktual 
(%)]]&gt;=100%,"Selesai PO = 100%",IF(Table1[[#This Row],[PO Material Aktual 
(%)]]&gt;=50%,"Proses PO &gt; 100%",IF(Table1[[#This Row],[PO Material Aktual 
(%)]]&gt;0%,"Proses PO &gt; 50%",IF(Table1[[#This Row],[PO Material Aktual 
(%)]]=0,"Belum PO = 0%"))))</f>
        <v>Selesai PO = 100%</v>
      </c>
      <c r="EI29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9" s="330">
        <v>45936</v>
      </c>
      <c r="EK299" s="330" t="e">
        <v>#N/A</v>
      </c>
      <c r="EL299" s="330">
        <v>45984</v>
      </c>
      <c r="EM299" s="330" t="e">
        <v>#N/A</v>
      </c>
      <c r="EN299" s="331">
        <v>46148</v>
      </c>
      <c r="EO299" s="332">
        <f>Table1[[#This Row],[Line PO]]</f>
        <v>29</v>
      </c>
      <c r="EP299" s="316">
        <v>29</v>
      </c>
      <c r="EQ299" s="35">
        <v>0.87878787878787878</v>
      </c>
      <c r="ER299" s="35">
        <f>Table1[[#This Row],[Line MOS]]/Table1[[#This Row],[Line PR]]</f>
        <v>0.87878787878787878</v>
      </c>
      <c r="ES299" s="316" t="str">
        <f>IF(Table1[[#This Row],[Progres MOS]]&gt;=100%,"Selesai MOS = 100%",IF(Table1[[#This Row],[Progres MOS]]&gt;=50%,"Proses MOS &gt; 100%",IF(Table1[[#This Row],[Progres MOS]]&gt;0%,"Proses MOS &gt; 50%",IF(Table1[[#This Row],[Progres MOS]]=0,"Belum MOS = 0%"))))</f>
        <v>Proses MOS &gt; 100%</v>
      </c>
      <c r="ET29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9" s="47"/>
      <c r="EV299" s="330">
        <v>45894</v>
      </c>
      <c r="EW299" s="330" t="e">
        <v>#N/A</v>
      </c>
      <c r="EX299" s="330">
        <v>45984</v>
      </c>
      <c r="EY299" s="330" t="e">
        <v>#N/A</v>
      </c>
      <c r="EZ299" s="352" t="s">
        <v>298</v>
      </c>
      <c r="FA299" s="384"/>
      <c r="FB299" s="330" t="s">
        <v>260</v>
      </c>
      <c r="FC299" s="330" t="s">
        <v>282</v>
      </c>
      <c r="FD299" s="330" t="s">
        <v>282</v>
      </c>
      <c r="FE299" s="330" t="s">
        <v>282</v>
      </c>
      <c r="FF299" s="330" t="s">
        <v>282</v>
      </c>
      <c r="FG299" s="330" t="s">
        <v>282</v>
      </c>
      <c r="FH299" s="330" t="s">
        <v>282</v>
      </c>
      <c r="FI299" s="330" t="s">
        <v>282</v>
      </c>
      <c r="FJ299" s="330" t="s">
        <v>282</v>
      </c>
      <c r="FK299" s="330"/>
      <c r="FL299" s="336" t="str">
        <f>Table1[[#This Row],[IPPJU]]</f>
        <v>9.Proses Penerbitan Izin</v>
      </c>
      <c r="FM299" s="336"/>
      <c r="FN299" s="314" t="str">
        <f>IF(Table1[[#This Row],[Tanggal Pengajuan Dokumen]]="","",Table1[[#This Row],[PLAN PERMIT
start]]-Table1[[#This Row],[Tanggal Pengajuan Dokumen]])</f>
        <v/>
      </c>
      <c r="FO299" s="437">
        <v>46097</v>
      </c>
      <c r="FP299" s="316"/>
      <c r="FQ299" s="338"/>
      <c r="FR299" s="338"/>
      <c r="FS299" s="338" t="str">
        <f t="shared" si="14"/>
        <v>On Going</v>
      </c>
      <c r="FT29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9" s="344">
        <f ca="1">IF(Table1[[#This Row],[Status Izin]]="Selesai",Table1[[#This Row],[PLAN PERMIT
finish]]-Table1[[#This Row],[Tanggal Terbit/ Target Izin Terbit]],ROUNDUP(Table1[[#This Row],[PLAN PERMIT
finish]]-NOW(),0))</f>
        <v>-207</v>
      </c>
      <c r="FV29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9" s="344"/>
      <c r="FX299" s="47"/>
      <c r="FY299" s="340"/>
      <c r="FZ299" s="341"/>
      <c r="GA29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9" s="330">
        <v>45958</v>
      </c>
      <c r="GC299" s="352">
        <v>45909</v>
      </c>
      <c r="GD29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9" s="330">
        <v>45965</v>
      </c>
      <c r="GF299" s="352">
        <v>45909</v>
      </c>
      <c r="GG29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9" s="330">
        <v>45971</v>
      </c>
      <c r="GI299" s="330">
        <v>45977</v>
      </c>
      <c r="GJ299" s="352">
        <v>45912</v>
      </c>
      <c r="GK29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9" s="330">
        <v>45985</v>
      </c>
      <c r="GM299" s="330" t="e">
        <v>#N/A</v>
      </c>
      <c r="GN299" s="330">
        <v>46005</v>
      </c>
      <c r="GO299" s="330" t="e">
        <v>#N/A</v>
      </c>
      <c r="GP299" s="330"/>
      <c r="GQ29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9" s="330" t="s">
        <v>261</v>
      </c>
      <c r="GS299" s="330" t="s">
        <v>261</v>
      </c>
      <c r="GT299" s="354">
        <v>45982</v>
      </c>
      <c r="GU299" s="344" t="str">
        <f>IF(Table1[[#This Row],[Hydro Tes Actual
(tanggal)]]&lt;&gt;"","Sudah","Belum")</f>
        <v>Sudah</v>
      </c>
      <c r="GV299" s="330" t="s">
        <v>261</v>
      </c>
      <c r="GW299" s="330" t="s">
        <v>261</v>
      </c>
      <c r="GX299" s="331">
        <v>45981</v>
      </c>
      <c r="GY299" s="344" t="str">
        <f>IF(Table1[[#This Row],[Interkoneksi Actual
(tanggal)]]&lt;&gt;"","Sudah","Belum")</f>
        <v>Sudah</v>
      </c>
      <c r="GZ299" s="330" t="s">
        <v>261</v>
      </c>
      <c r="HA299" s="330" t="s">
        <v>261</v>
      </c>
      <c r="HB299" s="331">
        <v>46009</v>
      </c>
      <c r="HC299" s="344" t="str">
        <f>IF(Table1[[#This Row],[Flushing Actual
(tanggal)]]&lt;&gt;"","Sudah","Belum")</f>
        <v>Sudah</v>
      </c>
      <c r="HD299" s="330">
        <v>45992</v>
      </c>
      <c r="HE299" s="330" t="e">
        <v>#N/A</v>
      </c>
      <c r="HF299" s="330">
        <v>46005</v>
      </c>
      <c r="HG299" s="352">
        <v>46036</v>
      </c>
      <c r="HH29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9" s="330" t="s">
        <v>261</v>
      </c>
      <c r="HJ299" s="330" t="s">
        <v>261</v>
      </c>
      <c r="HK299" s="331"/>
      <c r="HL299" s="316"/>
      <c r="HM299" s="330">
        <v>46010</v>
      </c>
      <c r="HN299" s="330">
        <v>46010</v>
      </c>
      <c r="HO299" s="330" t="e">
        <v>#N/A</v>
      </c>
      <c r="HP299" s="331">
        <v>46092</v>
      </c>
      <c r="HQ299"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299" s="330">
        <v>46017</v>
      </c>
      <c r="HS299" s="330"/>
      <c r="HT299" s="330">
        <v>46017</v>
      </c>
      <c r="HU299" s="330"/>
      <c r="HV299" s="331">
        <v>46098</v>
      </c>
      <c r="HW29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299" s="47"/>
      <c r="HY299" s="352"/>
      <c r="HZ299" s="352"/>
      <c r="IB299" s="618">
        <f>IFERROR(ROUND((Table1[[#This Row],[PLAN TC
finish]]-Table1[[#This Row],[PLAN MC-0
start]])/30,2),"")</f>
        <v>1.1299999999999999</v>
      </c>
      <c r="IC299">
        <f>DATEDIF(Table1[[#This Row],[PLAN MC-0
start]],Table1[[#This Row],[PLAN TC
finish]],"m")</f>
        <v>1</v>
      </c>
    </row>
    <row r="300" spans="1:237" s="30" customFormat="1" ht="15" hidden="1" customHeight="1" x14ac:dyDescent="0.2">
      <c r="A300" s="77"/>
      <c r="B300" s="311">
        <f>SUBTOTAL(3,$D$5:D300)</f>
        <v>84</v>
      </c>
      <c r="C300" s="367">
        <v>296</v>
      </c>
      <c r="D300" s="366" t="s">
        <v>244</v>
      </c>
      <c r="E300" s="366" t="s">
        <v>2366</v>
      </c>
      <c r="F300" s="366" t="s">
        <v>2367</v>
      </c>
      <c r="G300" s="364">
        <v>46117</v>
      </c>
      <c r="H300" s="366" t="s">
        <v>681</v>
      </c>
      <c r="I300" s="366" t="s">
        <v>278</v>
      </c>
      <c r="J300" s="385" t="s">
        <v>389</v>
      </c>
      <c r="K300" s="366" t="s">
        <v>1165</v>
      </c>
      <c r="L300" s="367" t="s">
        <v>250</v>
      </c>
      <c r="M300" s="392" t="s">
        <v>269</v>
      </c>
      <c r="N300" s="368">
        <v>470</v>
      </c>
      <c r="O300" s="369" t="s">
        <v>252</v>
      </c>
      <c r="P300"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0" s="385" t="s">
        <v>389</v>
      </c>
      <c r="R300" s="371">
        <v>0.99999999999999989</v>
      </c>
      <c r="S300" s="34">
        <v>1</v>
      </c>
      <c r="T300" s="489">
        <f>Table1[[#This Row],[Progres Total Aktual
(%)]]</f>
        <v>0</v>
      </c>
      <c r="U300" s="490">
        <f>Table1[[#This Row],[Progres Aktual
(%)]]-Table1[[#This Row],[Target Progres
(%)]]</f>
        <v>-1</v>
      </c>
      <c r="V300" s="491">
        <f>Table1[[#This Row],["Volume
BA MC-0"]]</f>
        <v>401.5</v>
      </c>
      <c r="W300" s="492">
        <f>Table1[[#This Row],[Total Panjang Pipa Aktual
(Sum-&gt;)3]]</f>
        <v>0</v>
      </c>
      <c r="X300" s="47"/>
      <c r="Y300" s="375" t="s">
        <v>2368</v>
      </c>
      <c r="Z300" s="375">
        <v>589854972</v>
      </c>
      <c r="AA300" s="375">
        <f>ROUND((Table1[[#This Row],[Nilai RAB Jaringan
(Exclude Ppn)]]-Table1[[#This Row],[RAB Perizinan]])*1.11+Table1[[#This Row],[RAB Perizinan]],0)</f>
        <v>666195366</v>
      </c>
      <c r="AB300" s="439">
        <f>SUM(Table1[[#This Row],[RAB Kegiatan Umum]:[RAB Perizinan]])</f>
        <v>600641771</v>
      </c>
      <c r="AC300" s="439">
        <v>41382894</v>
      </c>
      <c r="AD300" s="439">
        <v>413828944</v>
      </c>
      <c r="AE300" s="439">
        <v>140729933</v>
      </c>
      <c r="AF300" s="439">
        <v>4700000</v>
      </c>
      <c r="AG300" s="494">
        <v>124315280</v>
      </c>
      <c r="AH300" s="495">
        <f>SUM(Table1[[#This Row],[Bobot Keg Umum]:[Bobot Perizinan]])</f>
        <v>1</v>
      </c>
      <c r="AI300" s="495">
        <f>Table1[[#This Row],[RAB Kegiatan Umum]]/Table1[[#This Row],[Nilai RAB Jaringan
(Exclude Ppn)]]</f>
        <v>6.8897795654641547E-2</v>
      </c>
      <c r="AJ300" s="495">
        <f>Table1[[#This Row],[RAB Pemasangan]]/Table1[[#This Row],[Nilai RAB Jaringan
(Exclude Ppn)]]</f>
        <v>0.68897796320595894</v>
      </c>
      <c r="AK300" s="495">
        <f>Table1[[#This Row],[RAB Pengadaan]]/Table1[[#This Row],[Nilai RAB Jaringan
(Exclude Ppn)]]</f>
        <v>0.23429927753059984</v>
      </c>
      <c r="AL300" s="495">
        <f>Table1[[#This Row],[RAB Perizinan]]/Table1[[#This Row],[Nilai RAB Jaringan
(Exclude Ppn)]]</f>
        <v>7.8249636087996954E-3</v>
      </c>
      <c r="AM300" s="47"/>
      <c r="AN300" s="376">
        <f>21+368+12.5</f>
        <v>401.5</v>
      </c>
      <c r="AO300" s="376">
        <f>SUM(Table1[[#This Row],[Pipa 63 mm]:[Pipa 1,800 mm]])</f>
        <v>0</v>
      </c>
      <c r="AP300" s="376"/>
      <c r="AQ300" s="376"/>
      <c r="AR300" s="376"/>
      <c r="AS300" s="376"/>
      <c r="AT300" s="376"/>
      <c r="AU300" s="376"/>
      <c r="AV300" s="376"/>
      <c r="AW300" s="376"/>
      <c r="AX300" s="376"/>
      <c r="AY300" s="376"/>
      <c r="AZ300" s="376"/>
      <c r="BA300" s="376"/>
      <c r="BB300" s="376"/>
      <c r="BC300" s="376"/>
      <c r="BD300" s="376"/>
      <c r="BE300" s="376"/>
      <c r="BF300" s="376"/>
      <c r="BG300" s="376"/>
      <c r="BH300" s="376"/>
      <c r="BI300" s="376"/>
      <c r="BJ300" s="377">
        <f>SUM(Table1[[#This Row],[Pipa 63 mm2]:[Pipa 1,800 mm21]])</f>
        <v>0</v>
      </c>
      <c r="BK300" s="378"/>
      <c r="BL300" s="378"/>
      <c r="BM300" s="378"/>
      <c r="BN300" s="378"/>
      <c r="BO300" s="378"/>
      <c r="BP300" s="378"/>
      <c r="BQ300" s="378"/>
      <c r="BR300" s="378"/>
      <c r="BS300" s="378"/>
      <c r="BT300" s="378"/>
      <c r="BU300" s="378"/>
      <c r="BV300" s="378"/>
      <c r="BW300" s="378"/>
      <c r="BX300" s="378"/>
      <c r="BY300" s="378"/>
      <c r="BZ300" s="378"/>
      <c r="CA300" s="378"/>
      <c r="CB300" s="378"/>
      <c r="CC300" s="378"/>
      <c r="CD300" s="378"/>
      <c r="CE300" s="378">
        <v>0</v>
      </c>
      <c r="CF300" s="378"/>
      <c r="CG300" s="378"/>
      <c r="CH300" s="378"/>
      <c r="CI300" s="378">
        <f t="shared" si="15"/>
        <v>0</v>
      </c>
      <c r="CJ300" s="440">
        <f>IF((Table1[[#This Row],["Volume
BA MC-0"]]-Table1[[#This Row],[Total Panjang Pipa Aktual
(Sum-&gt;)3]]-Table1[[#This Row],[Total Volume
tidak dapat dipasang]])&gt;=0,Table1[[#This Row],["Volume
BA MC-0"]]-Table1[[#This Row],[Total Panjang Pipa Aktual
(Sum-&gt;)3]]-Table1[[#This Row],[Total Volume
tidak dapat dipasang]],0)</f>
        <v>401.5</v>
      </c>
      <c r="CK300" s="47"/>
      <c r="CL300" s="496" t="s">
        <v>1821</v>
      </c>
      <c r="CM300" s="489" t="s">
        <v>1821</v>
      </c>
      <c r="CN300" s="496" t="s">
        <v>1821</v>
      </c>
      <c r="CO300" s="496" t="s">
        <v>1821</v>
      </c>
      <c r="CP300"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0" s="380">
        <f>IFERROR(Table1[[#This Row],[Progres Keg. Umum
(%)]]*Table1[[#This Row],[Nilai RAB Jaringan
(file pa aji)]],0)</f>
        <v>0</v>
      </c>
      <c r="CR300" s="380">
        <f>IFERROR(Table1[[#This Row],[Progres MOS
(%)]]*Table1[[#This Row],[Nilai RAB Jaringan
(file pa aji)]],0)</f>
        <v>0</v>
      </c>
      <c r="CS300" s="380">
        <f>IFERROR(Table1[[#This Row],[Progres Pemasangan
(%)]]*Table1[[#This Row],[Nilai RAB Jaringan
(file pa aji)]],0)</f>
        <v>0</v>
      </c>
      <c r="CT300" s="380">
        <f>IFERROR(Table1[[#This Row],[Progres Perizinan
(%)]]*Table1[[#This Row],[Nilai RAB Jaringan
(file pa aji)]],0)</f>
        <v>0</v>
      </c>
      <c r="CU300" s="329">
        <v>0</v>
      </c>
      <c r="CV300" s="329">
        <v>0</v>
      </c>
      <c r="CW300" s="582">
        <v>0</v>
      </c>
      <c r="CX300" s="329">
        <v>0</v>
      </c>
      <c r="CY300" s="47"/>
      <c r="CZ300" s="386">
        <v>45866</v>
      </c>
      <c r="DA300" s="386">
        <v>45893</v>
      </c>
      <c r="DB300" s="388">
        <v>45865</v>
      </c>
      <c r="DC300" s="367" t="s">
        <v>2369</v>
      </c>
      <c r="DD300" s="375">
        <v>666195366</v>
      </c>
      <c r="DE30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0" s="388">
        <v>45785</v>
      </c>
      <c r="DG300" s="367" t="s">
        <v>2370</v>
      </c>
      <c r="DH300" s="375">
        <v>666195366</v>
      </c>
      <c r="DI300" s="367"/>
      <c r="DJ300" s="386">
        <v>45894</v>
      </c>
      <c r="DK300" s="386">
        <v>45963</v>
      </c>
      <c r="DL300" s="388">
        <v>45896</v>
      </c>
      <c r="DM300" s="367" t="s">
        <v>2371</v>
      </c>
      <c r="DN300" s="382"/>
      <c r="DO300" s="388">
        <v>45968</v>
      </c>
      <c r="DP300" s="367" t="s">
        <v>2372</v>
      </c>
      <c r="DQ300" s="366" t="s">
        <v>783</v>
      </c>
      <c r="DR300" s="382"/>
      <c r="DS300" s="386">
        <v>45894</v>
      </c>
      <c r="DT300" s="386" t="e">
        <v>#N/A</v>
      </c>
      <c r="DU300" s="386">
        <v>45935</v>
      </c>
      <c r="DV300" s="386" t="e">
        <v>#N/A</v>
      </c>
      <c r="DW300" s="388">
        <v>45825</v>
      </c>
      <c r="DX300" s="367" t="s">
        <v>2216</v>
      </c>
      <c r="DY300" s="442"/>
      <c r="DZ300" s="442"/>
      <c r="EA300" s="382"/>
      <c r="EB300" s="388"/>
      <c r="EC300" s="442"/>
      <c r="ED300" s="442"/>
      <c r="EE300" s="386"/>
      <c r="EF300" s="371"/>
      <c r="EG300" s="371"/>
      <c r="EH300" s="367"/>
      <c r="EI300"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0" s="386">
        <v>45936</v>
      </c>
      <c r="EK300" s="386" t="e">
        <v>#N/A</v>
      </c>
      <c r="EL300" s="386">
        <v>45991</v>
      </c>
      <c r="EM300" s="386" t="e">
        <v>#N/A</v>
      </c>
      <c r="EN300" s="388"/>
      <c r="EO300" s="442"/>
      <c r="EP300" s="367"/>
      <c r="EQ300" s="371"/>
      <c r="ER300" s="371"/>
      <c r="ES300" s="367"/>
      <c r="ET30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0" s="47"/>
      <c r="EV300" s="386">
        <v>45894</v>
      </c>
      <c r="EW300" s="386" t="e">
        <v>#N/A</v>
      </c>
      <c r="EX300" s="386">
        <v>45991</v>
      </c>
      <c r="EY300" s="386" t="e">
        <v>#N/A</v>
      </c>
      <c r="EZ300" s="384" t="s">
        <v>298</v>
      </c>
      <c r="FA300" s="385" t="s">
        <v>389</v>
      </c>
      <c r="FB300" s="386" t="s">
        <v>260</v>
      </c>
      <c r="FC300" s="330">
        <v>45943</v>
      </c>
      <c r="FD300" s="386" t="s">
        <v>260</v>
      </c>
      <c r="FE300" s="386">
        <v>45966</v>
      </c>
      <c r="FF300" s="386">
        <v>45995</v>
      </c>
      <c r="FG300" s="386" t="s">
        <v>260</v>
      </c>
      <c r="FH300" s="386" t="s">
        <v>260</v>
      </c>
      <c r="FI300" s="386">
        <v>46010</v>
      </c>
      <c r="FJ300" s="386" t="s">
        <v>260</v>
      </c>
      <c r="FK300" s="386"/>
      <c r="FL300" s="443" t="s">
        <v>298</v>
      </c>
      <c r="FM300" s="384">
        <v>45943</v>
      </c>
      <c r="FN300" s="366">
        <f>IF(Table1[[#This Row],[Tanggal Pengajuan Dokumen]]="","",Table1[[#This Row],[PLAN PERMIT
start]]-Table1[[#This Row],[Tanggal Pengajuan Dokumen]])</f>
        <v>-49</v>
      </c>
      <c r="FO300" s="444">
        <v>46097</v>
      </c>
      <c r="FP300" s="367"/>
      <c r="FQ300" s="366"/>
      <c r="FR300" s="366"/>
      <c r="FS300" s="366" t="str">
        <f t="shared" si="14"/>
        <v>On Going</v>
      </c>
      <c r="FT300"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0" s="387">
        <f ca="1">IF(Table1[[#This Row],[Status Izin]]="Selesai",Table1[[#This Row],[PLAN PERMIT
finish]]-Table1[[#This Row],[Tanggal Terbit/ Target Izin Terbit]],ROUNDUP(Table1[[#This Row],[PLAN PERMIT
finish]]-NOW(),0))</f>
        <v>-200</v>
      </c>
      <c r="FV300"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0" s="387"/>
      <c r="FX300" s="47"/>
      <c r="FY300" s="340"/>
      <c r="FZ300" s="341"/>
      <c r="GA30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0" s="386">
        <v>45965</v>
      </c>
      <c r="GC300" s="384">
        <v>45909</v>
      </c>
      <c r="GD300"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0" s="386">
        <v>45972</v>
      </c>
      <c r="GF300" s="384">
        <v>45909</v>
      </c>
      <c r="GG300"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0" s="386">
        <v>45978</v>
      </c>
      <c r="GI300" s="386">
        <v>45984</v>
      </c>
      <c r="GJ300" s="384">
        <v>45951</v>
      </c>
      <c r="GK300"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0" s="386">
        <v>45992</v>
      </c>
      <c r="GM300" s="386" t="e">
        <v>#N/A</v>
      </c>
      <c r="GN300" s="386">
        <v>46033</v>
      </c>
      <c r="GO300" s="386" t="e">
        <v>#N/A</v>
      </c>
      <c r="GP300" s="386"/>
      <c r="GQ300"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0" s="386" t="s">
        <v>261</v>
      </c>
      <c r="GS300" s="386" t="s">
        <v>261</v>
      </c>
      <c r="GT300" s="390"/>
      <c r="GU300" s="387" t="str">
        <f>IF(Table1[[#This Row],[Hydro Tes Actual
(tanggal)]]&lt;&gt;"","Sudah","Belum")</f>
        <v>Belum</v>
      </c>
      <c r="GV300" s="386" t="s">
        <v>261</v>
      </c>
      <c r="GW300" s="386" t="s">
        <v>261</v>
      </c>
      <c r="GX300" s="388"/>
      <c r="GY300" s="387" t="str">
        <f>IF(Table1[[#This Row],[Interkoneksi Actual
(tanggal)]]&lt;&gt;"","Sudah","Belum")</f>
        <v>Belum</v>
      </c>
      <c r="GZ300" s="386" t="s">
        <v>261</v>
      </c>
      <c r="HA300" s="386" t="s">
        <v>261</v>
      </c>
      <c r="HB300" s="388"/>
      <c r="HC300" s="387" t="str">
        <f>IF(Table1[[#This Row],[Flushing Actual
(tanggal)]]&lt;&gt;"","Sudah","Belum")</f>
        <v>Belum</v>
      </c>
      <c r="HD300" s="386">
        <v>46013</v>
      </c>
      <c r="HE300" s="386" t="e">
        <v>#N/A</v>
      </c>
      <c r="HF300" s="386">
        <v>46026</v>
      </c>
      <c r="HG300" s="384"/>
      <c r="HH300"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0" s="386" t="s">
        <v>261</v>
      </c>
      <c r="HJ300" s="386" t="s">
        <v>261</v>
      </c>
      <c r="HK300" s="388"/>
      <c r="HL300" s="367"/>
      <c r="HM300" s="386">
        <v>46038</v>
      </c>
      <c r="HN300" s="386">
        <v>46038</v>
      </c>
      <c r="HO300" s="386" t="e">
        <v>#N/A</v>
      </c>
      <c r="HP300" s="388"/>
      <c r="HQ300"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00" s="386">
        <v>46045</v>
      </c>
      <c r="HS300" s="386"/>
      <c r="HT300" s="386">
        <v>46045</v>
      </c>
      <c r="HU300" s="386"/>
      <c r="HV300" s="388"/>
      <c r="HW300"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00" s="47"/>
      <c r="HY300" s="384"/>
      <c r="HZ300" s="384"/>
      <c r="IB300" s="618">
        <f>IFERROR(ROUND((Table1[[#This Row],[PLAN TC
finish]]-Table1[[#This Row],[PLAN MC-0
start]])/30,2),"")</f>
        <v>1.6</v>
      </c>
      <c r="IC300">
        <f>DATEDIF(Table1[[#This Row],[PLAN MC-0
start]],Table1[[#This Row],[PLAN TC
finish]],"m")</f>
        <v>1</v>
      </c>
    </row>
    <row r="301" spans="1:237" s="30" customFormat="1" ht="15" hidden="1" customHeight="1" x14ac:dyDescent="0.2">
      <c r="A301" s="77"/>
      <c r="B301" s="311">
        <f>SUBTOTAL(3,$D$5:D301)</f>
        <v>84</v>
      </c>
      <c r="C301" s="367">
        <v>297</v>
      </c>
      <c r="D301" s="366" t="s">
        <v>244</v>
      </c>
      <c r="E301" s="366" t="s">
        <v>2373</v>
      </c>
      <c r="F301" s="366" t="s">
        <v>2374</v>
      </c>
      <c r="G301" s="364">
        <v>46117</v>
      </c>
      <c r="H301" s="366" t="s">
        <v>681</v>
      </c>
      <c r="I301" s="366" t="s">
        <v>278</v>
      </c>
      <c r="J301" s="385" t="s">
        <v>389</v>
      </c>
      <c r="K301" s="366" t="s">
        <v>1165</v>
      </c>
      <c r="L301" s="367" t="s">
        <v>250</v>
      </c>
      <c r="M301" s="392" t="s">
        <v>269</v>
      </c>
      <c r="N301" s="368">
        <v>121</v>
      </c>
      <c r="O301" s="369" t="s">
        <v>252</v>
      </c>
      <c r="P301"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1" s="385" t="s">
        <v>389</v>
      </c>
      <c r="R301" s="371">
        <v>1.0000000000000002</v>
      </c>
      <c r="S301" s="34">
        <v>1</v>
      </c>
      <c r="T301" s="489">
        <f>Table1[[#This Row],[Progres Total Aktual
(%)]]</f>
        <v>0</v>
      </c>
      <c r="U301" s="490">
        <f>Table1[[#This Row],[Progres Aktual
(%)]]-Table1[[#This Row],[Target Progres
(%)]]</f>
        <v>-1</v>
      </c>
      <c r="V301" s="491">
        <f>Table1[[#This Row],["Volume
BA MC-0"]]</f>
        <v>115</v>
      </c>
      <c r="W301" s="492">
        <f>Table1[[#This Row],[Total Panjang Pipa Aktual
(Sum-&gt;)3]]</f>
        <v>0</v>
      </c>
      <c r="X301" s="47"/>
      <c r="Y301" s="375" t="s">
        <v>2375</v>
      </c>
      <c r="Z301" s="375">
        <v>169308555</v>
      </c>
      <c r="AA301" s="375">
        <f>ROUND((Table1[[#This Row],[Nilai RAB Jaringan
(Exclude Ppn)]]-Table1[[#This Row],[RAB Perizinan]])*1.11+Table1[[#This Row],[RAB Perizinan]],0)</f>
        <v>169308554</v>
      </c>
      <c r="AB301" s="493">
        <f>SUM(Table1[[#This Row],[RAB Kegiatan Umum]:[RAB Perizinan]])</f>
        <v>152650139</v>
      </c>
      <c r="AC301" s="439">
        <v>10354350</v>
      </c>
      <c r="AD301" s="439">
        <v>103543498</v>
      </c>
      <c r="AE301" s="439">
        <v>37542291</v>
      </c>
      <c r="AF301" s="439">
        <v>1210000</v>
      </c>
      <c r="AG301" s="494">
        <v>37926696</v>
      </c>
      <c r="AH301" s="495">
        <f>SUM(Table1[[#This Row],[Bobot Keg Umum]:[Bobot Perizinan]])</f>
        <v>0.99999999999999989</v>
      </c>
      <c r="AI301" s="495">
        <f>Table1[[#This Row],[RAB Kegiatan Umum]]/Table1[[#This Row],[Nilai RAB Jaringan
(Exclude Ppn)]]</f>
        <v>6.7830596603649346E-2</v>
      </c>
      <c r="AJ301" s="495">
        <f>Table1[[#This Row],[RAB Pemasangan]]/Table1[[#This Row],[Nilai RAB Jaringan
(Exclude Ppn)]]</f>
        <v>0.67830595293463836</v>
      </c>
      <c r="AK301" s="495">
        <f>Table1[[#This Row],[RAB Pengadaan]]/Table1[[#This Row],[Nilai RAB Jaringan
(Exclude Ppn)]]</f>
        <v>0.24593682813482404</v>
      </c>
      <c r="AL301" s="495">
        <f>Table1[[#This Row],[RAB Perizinan]]/Table1[[#This Row],[Nilai RAB Jaringan
(Exclude Ppn)]]</f>
        <v>7.9266223268882833E-3</v>
      </c>
      <c r="AM301" s="47"/>
      <c r="AN301" s="376">
        <v>115</v>
      </c>
      <c r="AO301" s="376">
        <f>SUM(Table1[[#This Row],[Pipa 63 mm]:[Pipa 1,800 mm]])</f>
        <v>0</v>
      </c>
      <c r="AP301" s="376"/>
      <c r="AQ301" s="376"/>
      <c r="AR301" s="376"/>
      <c r="AS301" s="376"/>
      <c r="AT301" s="376"/>
      <c r="AU301" s="376"/>
      <c r="AV301" s="376"/>
      <c r="AW301" s="376"/>
      <c r="AX301" s="376"/>
      <c r="AY301" s="376"/>
      <c r="AZ301" s="376"/>
      <c r="BA301" s="376"/>
      <c r="BB301" s="376"/>
      <c r="BC301" s="376"/>
      <c r="BD301" s="376"/>
      <c r="BE301" s="376"/>
      <c r="BF301" s="376"/>
      <c r="BG301" s="376"/>
      <c r="BH301" s="376"/>
      <c r="BI301" s="376"/>
      <c r="BJ301" s="377">
        <f>SUM(Table1[[#This Row],[Pipa 63 mm2]:[Pipa 1,800 mm21]])</f>
        <v>0</v>
      </c>
      <c r="BK301" s="378"/>
      <c r="BL301" s="378"/>
      <c r="BM301" s="378"/>
      <c r="BN301" s="378"/>
      <c r="BO301" s="378"/>
      <c r="BP301" s="378"/>
      <c r="BQ301" s="378"/>
      <c r="BR301" s="378"/>
      <c r="BS301" s="378"/>
      <c r="BT301" s="378"/>
      <c r="BU301" s="378"/>
      <c r="BV301" s="378"/>
      <c r="BW301" s="378"/>
      <c r="BX301" s="378"/>
      <c r="BY301" s="378"/>
      <c r="BZ301" s="378"/>
      <c r="CA301" s="378"/>
      <c r="CB301" s="378"/>
      <c r="CC301" s="378"/>
      <c r="CD301" s="378"/>
      <c r="CE301" s="378">
        <v>0</v>
      </c>
      <c r="CF301" s="378"/>
      <c r="CG301" s="378"/>
      <c r="CH301" s="378"/>
      <c r="CI301" s="378">
        <f t="shared" si="15"/>
        <v>0</v>
      </c>
      <c r="CJ301" s="440">
        <f>IF((Table1[[#This Row],["Volume
BA MC-0"]]-Table1[[#This Row],[Total Panjang Pipa Aktual
(Sum-&gt;)3]]-Table1[[#This Row],[Total Volume
tidak dapat dipasang]])&gt;=0,Table1[[#This Row],["Volume
BA MC-0"]]-Table1[[#This Row],[Total Panjang Pipa Aktual
(Sum-&gt;)3]]-Table1[[#This Row],[Total Volume
tidak dapat dipasang]],0)</f>
        <v>115</v>
      </c>
      <c r="CK301" s="47"/>
      <c r="CL301" s="371" t="s">
        <v>1821</v>
      </c>
      <c r="CM301" s="371" t="s">
        <v>1821</v>
      </c>
      <c r="CN301" s="371" t="s">
        <v>1821</v>
      </c>
      <c r="CO301" s="371" t="s">
        <v>1821</v>
      </c>
      <c r="CP301"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1" s="380">
        <f>IFERROR(Table1[[#This Row],[Progres Keg. Umum
(%)]]*Table1[[#This Row],[Nilai RAB Jaringan
(file pa aji)]],0)</f>
        <v>0</v>
      </c>
      <c r="CR301" s="380">
        <f>IFERROR(Table1[[#This Row],[Progres MOS
(%)]]*Table1[[#This Row],[Nilai RAB Jaringan
(file pa aji)]],0)</f>
        <v>0</v>
      </c>
      <c r="CS301" s="380">
        <f>IFERROR(Table1[[#This Row],[Progres Pemasangan
(%)]]*Table1[[#This Row],[Nilai RAB Jaringan
(file pa aji)]],0)</f>
        <v>0</v>
      </c>
      <c r="CT301" s="380">
        <f>IFERROR(Table1[[#This Row],[Progres Perizinan
(%)]]*Table1[[#This Row],[Nilai RAB Jaringan
(file pa aji)]],0)</f>
        <v>0</v>
      </c>
      <c r="CU301" s="329">
        <v>0</v>
      </c>
      <c r="CV301" s="329">
        <v>0</v>
      </c>
      <c r="CW301" s="582">
        <v>0</v>
      </c>
      <c r="CX301" s="329">
        <v>0</v>
      </c>
      <c r="CY301" s="47"/>
      <c r="CZ301" s="386">
        <v>45866</v>
      </c>
      <c r="DA301" s="386">
        <v>45893</v>
      </c>
      <c r="DB301" s="388">
        <v>45865</v>
      </c>
      <c r="DC301" s="367" t="s">
        <v>2376</v>
      </c>
      <c r="DD301" s="498">
        <v>169308554</v>
      </c>
      <c r="DE30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1" s="388">
        <v>45884</v>
      </c>
      <c r="DG301" s="367" t="s">
        <v>2377</v>
      </c>
      <c r="DH301" s="498">
        <v>169308554</v>
      </c>
      <c r="DI301" s="367"/>
      <c r="DJ301" s="386">
        <v>45894</v>
      </c>
      <c r="DK301" s="386">
        <v>45956</v>
      </c>
      <c r="DL301" s="388">
        <v>45943</v>
      </c>
      <c r="DM301" s="367" t="s">
        <v>2378</v>
      </c>
      <c r="DN301" s="382"/>
      <c r="DO301" s="388">
        <v>45968</v>
      </c>
      <c r="DP301" s="367" t="s">
        <v>2379</v>
      </c>
      <c r="DQ301" s="366" t="s">
        <v>783</v>
      </c>
      <c r="DR301" s="382"/>
      <c r="DS301" s="386">
        <v>45894</v>
      </c>
      <c r="DT301" s="386" t="e">
        <v>#N/A</v>
      </c>
      <c r="DU301" s="386">
        <v>45935</v>
      </c>
      <c r="DV301" s="386" t="e">
        <v>#N/A</v>
      </c>
      <c r="DW301" s="388">
        <v>45825</v>
      </c>
      <c r="DX301" s="367" t="s">
        <v>2216</v>
      </c>
      <c r="DY301" s="442"/>
      <c r="DZ301" s="442"/>
      <c r="EA301" s="382"/>
      <c r="EB301" s="388"/>
      <c r="EC301" s="442"/>
      <c r="ED301" s="442"/>
      <c r="EE301" s="386"/>
      <c r="EF301" s="371"/>
      <c r="EG301" s="371"/>
      <c r="EH301" s="367"/>
      <c r="EI301"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1" s="386">
        <v>45936</v>
      </c>
      <c r="EK301" s="386" t="e">
        <v>#N/A</v>
      </c>
      <c r="EL301" s="386">
        <v>45984</v>
      </c>
      <c r="EM301" s="386" t="e">
        <v>#N/A</v>
      </c>
      <c r="EN301" s="388"/>
      <c r="EO301" s="442"/>
      <c r="EP301" s="367"/>
      <c r="EQ301" s="371"/>
      <c r="ER301" s="371"/>
      <c r="ES301" s="367"/>
      <c r="ET30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1" s="47"/>
      <c r="EV301" s="386">
        <v>45894</v>
      </c>
      <c r="EW301" s="386" t="e">
        <v>#N/A</v>
      </c>
      <c r="EX301" s="386">
        <v>45984</v>
      </c>
      <c r="EY301" s="386" t="e">
        <v>#N/A</v>
      </c>
      <c r="EZ301" s="384" t="s">
        <v>298</v>
      </c>
      <c r="FA301" s="385" t="s">
        <v>389</v>
      </c>
      <c r="FB301" s="386" t="s">
        <v>260</v>
      </c>
      <c r="FC301" s="330">
        <v>45943</v>
      </c>
      <c r="FD301" s="386" t="s">
        <v>260</v>
      </c>
      <c r="FE301" s="386">
        <v>45966</v>
      </c>
      <c r="FF301" s="386">
        <v>45995</v>
      </c>
      <c r="FG301" s="386" t="s">
        <v>260</v>
      </c>
      <c r="FH301" s="386" t="s">
        <v>260</v>
      </c>
      <c r="FI301" s="386">
        <v>46010</v>
      </c>
      <c r="FJ301" s="386" t="s">
        <v>260</v>
      </c>
      <c r="FK301" s="386"/>
      <c r="FL301" s="443" t="s">
        <v>298</v>
      </c>
      <c r="FM301" s="384">
        <v>45943</v>
      </c>
      <c r="FN301" s="366">
        <f>IF(Table1[[#This Row],[Tanggal Pengajuan Dokumen]]="","",Table1[[#This Row],[PLAN PERMIT
start]]-Table1[[#This Row],[Tanggal Pengajuan Dokumen]])</f>
        <v>-49</v>
      </c>
      <c r="FO301" s="444">
        <v>46097</v>
      </c>
      <c r="FP301" s="367"/>
      <c r="FQ301" s="366"/>
      <c r="FR301" s="366"/>
      <c r="FS301" s="366" t="str">
        <f t="shared" si="14"/>
        <v>On Going</v>
      </c>
      <c r="FT301"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1" s="387">
        <f ca="1">IF(Table1[[#This Row],[Status Izin]]="Selesai",Table1[[#This Row],[PLAN PERMIT
finish]]-Table1[[#This Row],[Tanggal Terbit/ Target Izin Terbit]],ROUNDUP(Table1[[#This Row],[PLAN PERMIT
finish]]-NOW(),0))</f>
        <v>-207</v>
      </c>
      <c r="FV301"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1" s="387"/>
      <c r="FX301" s="47"/>
      <c r="FY301" s="340"/>
      <c r="FZ301" s="341"/>
      <c r="GA30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1" s="386">
        <v>45958</v>
      </c>
      <c r="GC301" s="384">
        <v>45909</v>
      </c>
      <c r="GD301"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1" s="386">
        <v>45965</v>
      </c>
      <c r="GF301" s="384">
        <v>45909</v>
      </c>
      <c r="GG301"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1" s="386">
        <v>45971</v>
      </c>
      <c r="GI301" s="386">
        <v>45977</v>
      </c>
      <c r="GJ301" s="384">
        <v>45951</v>
      </c>
      <c r="GK301"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1" s="386">
        <v>45985</v>
      </c>
      <c r="GM301" s="386" t="e">
        <v>#N/A</v>
      </c>
      <c r="GN301" s="386">
        <v>46005</v>
      </c>
      <c r="GO301" s="386" t="e">
        <v>#N/A</v>
      </c>
      <c r="GP301" s="386"/>
      <c r="GQ301"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1" s="386" t="s">
        <v>261</v>
      </c>
      <c r="GS301" s="386" t="s">
        <v>261</v>
      </c>
      <c r="GT301" s="390"/>
      <c r="GU301" s="387" t="str">
        <f>IF(Table1[[#This Row],[Hydro Tes Actual
(tanggal)]]&lt;&gt;"","Sudah","Belum")</f>
        <v>Belum</v>
      </c>
      <c r="GV301" s="386" t="s">
        <v>261</v>
      </c>
      <c r="GW301" s="386" t="s">
        <v>261</v>
      </c>
      <c r="GX301" s="388"/>
      <c r="GY301" s="387" t="str">
        <f>IF(Table1[[#This Row],[Interkoneksi Actual
(tanggal)]]&lt;&gt;"","Sudah","Belum")</f>
        <v>Belum</v>
      </c>
      <c r="GZ301" s="386" t="s">
        <v>261</v>
      </c>
      <c r="HA301" s="386" t="s">
        <v>261</v>
      </c>
      <c r="HB301" s="388"/>
      <c r="HC301" s="387" t="str">
        <f>IF(Table1[[#This Row],[Flushing Actual
(tanggal)]]&lt;&gt;"","Sudah","Belum")</f>
        <v>Belum</v>
      </c>
      <c r="HD301" s="386">
        <v>45992</v>
      </c>
      <c r="HE301" s="386" t="e">
        <v>#N/A</v>
      </c>
      <c r="HF301" s="386">
        <v>46005</v>
      </c>
      <c r="HG301" s="384"/>
      <c r="HH301"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1" s="386" t="s">
        <v>261</v>
      </c>
      <c r="HJ301" s="386" t="s">
        <v>261</v>
      </c>
      <c r="HK301" s="388"/>
      <c r="HL301" s="367"/>
      <c r="HM301" s="386">
        <v>46010</v>
      </c>
      <c r="HN301" s="386">
        <v>46010</v>
      </c>
      <c r="HO301" s="386" t="e">
        <v>#N/A</v>
      </c>
      <c r="HP301" s="388"/>
      <c r="HQ301"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01" s="386">
        <v>46017</v>
      </c>
      <c r="HS301" s="386"/>
      <c r="HT301" s="386">
        <v>46017</v>
      </c>
      <c r="HU301" s="386"/>
      <c r="HV301" s="388"/>
      <c r="HW301"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01" s="47"/>
      <c r="HY301" s="384"/>
      <c r="HZ301" s="384"/>
      <c r="IB301" s="618">
        <f>IFERROR(ROUND((Table1[[#This Row],[PLAN TC
finish]]-Table1[[#This Row],[PLAN MC-0
start]])/30,2),"")</f>
        <v>1.1299999999999999</v>
      </c>
      <c r="IC301">
        <f>DATEDIF(Table1[[#This Row],[PLAN MC-0
start]],Table1[[#This Row],[PLAN TC
finish]],"m")</f>
        <v>1</v>
      </c>
    </row>
    <row r="302" spans="1:237" s="4" customFormat="1" ht="15" hidden="1" customHeight="1" x14ac:dyDescent="0.2">
      <c r="B302" s="311">
        <f>SUBTOTAL(3,$D$5:D302)</f>
        <v>84</v>
      </c>
      <c r="C302" s="316">
        <v>298</v>
      </c>
      <c r="D302" s="338" t="s">
        <v>244</v>
      </c>
      <c r="E302" s="338" t="s">
        <v>2380</v>
      </c>
      <c r="F302" s="338" t="s">
        <v>2381</v>
      </c>
      <c r="G302" s="349">
        <v>46117</v>
      </c>
      <c r="H302" s="338" t="s">
        <v>681</v>
      </c>
      <c r="I302" s="338" t="s">
        <v>278</v>
      </c>
      <c r="J302" s="480" t="s">
        <v>1830</v>
      </c>
      <c r="K302" s="338" t="s">
        <v>1165</v>
      </c>
      <c r="L302" s="316" t="s">
        <v>250</v>
      </c>
      <c r="M302" s="355" t="s">
        <v>269</v>
      </c>
      <c r="N302" s="107">
        <v>101</v>
      </c>
      <c r="O302" s="31" t="s">
        <v>252</v>
      </c>
      <c r="P30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2" s="35">
        <v>0.99999999999999978</v>
      </c>
      <c r="S302" s="34">
        <v>1</v>
      </c>
      <c r="T302" s="34">
        <f>Table1[[#This Row],[Progres Total Aktual
(%)]]</f>
        <v>1</v>
      </c>
      <c r="U302" s="98">
        <f>Table1[[#This Row],[Progres Aktual
(%)]]-Table1[[#This Row],[Target Progres
(%)]]</f>
        <v>0</v>
      </c>
      <c r="V302" s="80">
        <f>Table1[[#This Row],["Volume
BA MC-0"]]</f>
        <v>96.5</v>
      </c>
      <c r="W302" s="46">
        <f>Table1[[#This Row],[Total Panjang Pipa Aktual
(Sum-&gt;)3]]</f>
        <v>83</v>
      </c>
      <c r="X302" s="47"/>
      <c r="Y302" s="67" t="s">
        <v>2382</v>
      </c>
      <c r="Z302" s="67">
        <v>145239240</v>
      </c>
      <c r="AA302" s="67">
        <f>ROUND((Table1[[#This Row],[Nilai RAB Jaringan
(Exclude Ppn)]]-Table1[[#This Row],[RAB Perizinan]])*1.11+Table1[[#This Row],[RAB Perizinan]],0)</f>
        <v>145239240</v>
      </c>
      <c r="AB302" s="486">
        <f>SUM(Table1[[#This Row],[RAB Kegiatan Umum]:[RAB Perizinan]])</f>
        <v>130946252</v>
      </c>
      <c r="AC302" s="436">
        <v>8017036</v>
      </c>
      <c r="AD302" s="436">
        <v>80170362</v>
      </c>
      <c r="AE302" s="436">
        <v>41748854</v>
      </c>
      <c r="AF302" s="436">
        <v>1010000</v>
      </c>
      <c r="AG302" s="483">
        <v>42140773</v>
      </c>
      <c r="AH302" s="33">
        <f>SUM(Table1[[#This Row],[Bobot Keg Umum]:[Bobot Perizinan]])</f>
        <v>1.0000000000000002</v>
      </c>
      <c r="AI302" s="33">
        <f>Table1[[#This Row],[RAB Kegiatan Umum]]/Table1[[#This Row],[Nilai RAB Jaringan
(Exclude Ppn)]]</f>
        <v>6.1223867636929385E-2</v>
      </c>
      <c r="AJ302" s="33">
        <f>Table1[[#This Row],[RAB Pemasangan]]/Table1[[#This Row],[Nilai RAB Jaringan
(Exclude Ppn)]]</f>
        <v>0.61223869164273603</v>
      </c>
      <c r="AK302" s="33">
        <f>Table1[[#This Row],[RAB Pengadaan]]/Table1[[#This Row],[Nilai RAB Jaringan
(Exclude Ppn)]]</f>
        <v>0.31882435245263835</v>
      </c>
      <c r="AL302" s="33">
        <f>Table1[[#This Row],[RAB Perizinan]]/Table1[[#This Row],[Nilai RAB Jaringan
(Exclude Ppn)]]</f>
        <v>7.7130882676962756E-3</v>
      </c>
      <c r="AM302" s="47"/>
      <c r="AN302" s="285">
        <v>96.5</v>
      </c>
      <c r="AO302" s="285">
        <f>SUM(Table1[[#This Row],[Pipa 63 mm]:[Pipa 1,800 mm]])</f>
        <v>0</v>
      </c>
      <c r="AP302" s="285"/>
      <c r="AQ302" s="285"/>
      <c r="AR302" s="285"/>
      <c r="AS302" s="285"/>
      <c r="AT302" s="285"/>
      <c r="AU302" s="285"/>
      <c r="AV302" s="285"/>
      <c r="AW302" s="285"/>
      <c r="AX302" s="285"/>
      <c r="AY302" s="285"/>
      <c r="AZ302" s="285"/>
      <c r="BA302" s="285"/>
      <c r="BB302" s="285"/>
      <c r="BC302" s="285"/>
      <c r="BD302" s="285"/>
      <c r="BE302" s="285"/>
      <c r="BF302" s="285"/>
      <c r="BG302" s="285"/>
      <c r="BH302" s="285"/>
      <c r="BI302" s="285"/>
      <c r="BJ302" s="36">
        <f>SUM(Table1[[#This Row],[Pipa 63 mm2]:[Pipa 1,800 mm21]])</f>
        <v>83</v>
      </c>
      <c r="BK302" s="32">
        <v>83</v>
      </c>
      <c r="BL302" s="32"/>
      <c r="BM302" s="32"/>
      <c r="BN302" s="32"/>
      <c r="BO302" s="32"/>
      <c r="BP302" s="32"/>
      <c r="BQ302" s="32"/>
      <c r="BR302" s="32"/>
      <c r="BS302" s="32"/>
      <c r="BT302" s="32"/>
      <c r="BU302" s="32"/>
      <c r="BV302" s="32"/>
      <c r="BW302" s="32"/>
      <c r="BX302" s="32"/>
      <c r="BY302" s="32"/>
      <c r="BZ302" s="32"/>
      <c r="CA302" s="32"/>
      <c r="CB302" s="32"/>
      <c r="CC302" s="32"/>
      <c r="CD302" s="32"/>
      <c r="CE302" s="32">
        <v>0</v>
      </c>
      <c r="CF302" s="32"/>
      <c r="CG302" s="32"/>
      <c r="CH302" s="32"/>
      <c r="CI302" s="32">
        <f t="shared" si="15"/>
        <v>0</v>
      </c>
      <c r="CJ302" s="65">
        <f>IF((Table1[[#This Row],["Volume
BA MC-0"]]-Table1[[#This Row],[Total Panjang Pipa Aktual
(Sum-&gt;)3]]-Table1[[#This Row],[Total Volume
tidak dapat dipasang]])&gt;=0,Table1[[#This Row],["Volume
BA MC-0"]]-Table1[[#This Row],[Total Panjang Pipa Aktual
(Sum-&gt;)3]]-Table1[[#This Row],[Total Volume
tidak dapat dipasang]],0)</f>
        <v>13.5</v>
      </c>
      <c r="CK302" s="47"/>
      <c r="CL302" s="484" t="s">
        <v>1821</v>
      </c>
      <c r="CM302" s="34" t="s">
        <v>1821</v>
      </c>
      <c r="CN302" s="484" t="s">
        <v>1821</v>
      </c>
      <c r="CO302" s="484" t="s">
        <v>1821</v>
      </c>
      <c r="CP30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2" s="66">
        <f>IFERROR(Table1[[#This Row],[Progres Keg. Umum
(%)]]*Table1[[#This Row],[Nilai RAB Jaringan
(file pa aji)]],0)</f>
        <v>0</v>
      </c>
      <c r="CR302" s="66">
        <f>IFERROR(Table1[[#This Row],[Progres MOS
(%)]]*Table1[[#This Row],[Nilai RAB Jaringan
(file pa aji)]],0)</f>
        <v>0</v>
      </c>
      <c r="CS302" s="66">
        <f>IFERROR(Table1[[#This Row],[Progres Pemasangan
(%)]]*Table1[[#This Row],[Nilai RAB Jaringan
(file pa aji)]],0)</f>
        <v>0</v>
      </c>
      <c r="CT302" s="66">
        <f>IFERROR(Table1[[#This Row],[Progres Perizinan
(%)]]*Table1[[#This Row],[Nilai RAB Jaringan
(file pa aji)]],0)</f>
        <v>0</v>
      </c>
      <c r="CU302" s="329">
        <v>132431518</v>
      </c>
      <c r="CV302" s="329">
        <v>132431518</v>
      </c>
      <c r="CW302" s="583">
        <v>132431518</v>
      </c>
      <c r="CX302" s="329">
        <v>132431518</v>
      </c>
      <c r="CY302" s="47"/>
      <c r="CZ302" s="330">
        <v>45866</v>
      </c>
      <c r="DA302" s="330">
        <v>45893</v>
      </c>
      <c r="DB302" s="331">
        <v>45943</v>
      </c>
      <c r="DC302" s="316" t="s">
        <v>2383</v>
      </c>
      <c r="DD302" s="499">
        <v>145239240</v>
      </c>
      <c r="DE30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02" s="331">
        <v>45957</v>
      </c>
      <c r="DG302" s="316" t="s">
        <v>2384</v>
      </c>
      <c r="DH302" s="499">
        <v>145239240</v>
      </c>
      <c r="DI30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2" s="330">
        <v>45894</v>
      </c>
      <c r="DK302" s="330">
        <v>45956</v>
      </c>
      <c r="DL302" s="331">
        <v>45964</v>
      </c>
      <c r="DM302" s="316" t="s">
        <v>2385</v>
      </c>
      <c r="DN30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02" s="331">
        <v>45968</v>
      </c>
      <c r="DP302" s="316" t="s">
        <v>2379</v>
      </c>
      <c r="DQ302" s="338" t="s">
        <v>783</v>
      </c>
      <c r="DR30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2" s="330">
        <v>45894</v>
      </c>
      <c r="DT302" s="330" t="e">
        <v>#N/A</v>
      </c>
      <c r="DU302" s="330">
        <v>45935</v>
      </c>
      <c r="DV302" s="330" t="e">
        <v>#N/A</v>
      </c>
      <c r="DW302" s="331">
        <v>45964</v>
      </c>
      <c r="DX302" s="316" t="s">
        <v>2386</v>
      </c>
      <c r="DY302" s="332">
        <v>33</v>
      </c>
      <c r="DZ302" s="334">
        <v>33</v>
      </c>
      <c r="EA30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2" s="331">
        <v>46008</v>
      </c>
      <c r="EC302" s="332">
        <v>30</v>
      </c>
      <c r="ED302" s="332">
        <v>30</v>
      </c>
      <c r="EE302" s="425" t="s">
        <v>2387</v>
      </c>
      <c r="EF302" s="35">
        <v>1</v>
      </c>
      <c r="EG302" s="337">
        <v>1</v>
      </c>
      <c r="EH302" s="316" t="str">
        <f>IF(Table1[[#This Row],[PO Material Aktual 
(%)]]&gt;=100%,"Selesai PO = 100%",IF(Table1[[#This Row],[PO Material Aktual 
(%)]]&gt;=50%,"Proses PO &gt; 100%",IF(Table1[[#This Row],[PO Material Aktual 
(%)]]&gt;0%,"Proses PO &gt; 50%",IF(Table1[[#This Row],[PO Material Aktual 
(%)]]=0,"Belum PO = 0%"))))</f>
        <v>Selesai PO = 100%</v>
      </c>
      <c r="EI30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2" s="330">
        <v>45936</v>
      </c>
      <c r="EK302" s="330" t="e">
        <v>#N/A</v>
      </c>
      <c r="EL302" s="330">
        <v>45984</v>
      </c>
      <c r="EM302" s="330" t="e">
        <v>#N/A</v>
      </c>
      <c r="EN302" s="331">
        <v>46091</v>
      </c>
      <c r="EO302" s="332">
        <f>Table1[[#This Row],[Line PO]]</f>
        <v>30</v>
      </c>
      <c r="EP302" s="316">
        <v>30</v>
      </c>
      <c r="EQ302" s="35">
        <v>0.90909090909090906</v>
      </c>
      <c r="ER302" s="35">
        <f>Table1[[#This Row],[Line MOS]]/Table1[[#This Row],[Line PR]]</f>
        <v>0.90909090909090906</v>
      </c>
      <c r="ES302" s="316" t="str">
        <f>IF(Table1[[#This Row],[Progres MOS]]&gt;=100%,"Selesai MOS = 100%",IF(Table1[[#This Row],[Progres MOS]]&gt;=50%,"Proses MOS &gt; 100%",IF(Table1[[#This Row],[Progres MOS]]&gt;0%,"Proses MOS &gt; 50%",IF(Table1[[#This Row],[Progres MOS]]=0,"Belum MOS = 0%"))))</f>
        <v>Proses MOS &gt; 100%</v>
      </c>
      <c r="ET30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2" s="47"/>
      <c r="EV302" s="330">
        <v>45894</v>
      </c>
      <c r="EW302" s="330" t="e">
        <v>#N/A</v>
      </c>
      <c r="EX302" s="330">
        <v>45984</v>
      </c>
      <c r="EY302" s="330" t="e">
        <v>#N/A</v>
      </c>
      <c r="EZ302" s="352" t="s">
        <v>298</v>
      </c>
      <c r="FA302" s="336" t="s">
        <v>259</v>
      </c>
      <c r="FB302" s="330" t="s">
        <v>260</v>
      </c>
      <c r="FC302" s="330">
        <v>45943</v>
      </c>
      <c r="FD302" s="330" t="s">
        <v>260</v>
      </c>
      <c r="FE302" s="330">
        <v>45966</v>
      </c>
      <c r="FF302" s="330">
        <v>45995</v>
      </c>
      <c r="FG302" s="330" t="s">
        <v>260</v>
      </c>
      <c r="FH302" s="330" t="s">
        <v>260</v>
      </c>
      <c r="FI302" s="330">
        <v>46010</v>
      </c>
      <c r="FJ302" s="330" t="s">
        <v>260</v>
      </c>
      <c r="FK302" s="330">
        <v>46114</v>
      </c>
      <c r="FL302" s="336" t="s">
        <v>298</v>
      </c>
      <c r="FM302" s="352">
        <v>45943</v>
      </c>
      <c r="FN302" s="338">
        <f>IF(Table1[[#This Row],[Tanggal Pengajuan Dokumen]]="","",Table1[[#This Row],[PLAN PERMIT
start]]-Table1[[#This Row],[Tanggal Pengajuan Dokumen]])</f>
        <v>-49</v>
      </c>
      <c r="FO302" s="437">
        <v>46097</v>
      </c>
      <c r="FP302" s="316"/>
      <c r="FQ302" s="338"/>
      <c r="FR302" s="338"/>
      <c r="FS302" s="338" t="str">
        <f t="shared" si="14"/>
        <v>Sudah Terbit</v>
      </c>
      <c r="FT30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2" s="344">
        <f ca="1">IF(Table1[[#This Row],[Status Izin]]="Selesai",Table1[[#This Row],[PLAN PERMIT
finish]]-Table1[[#This Row],[Tanggal Terbit/ Target Izin Terbit]],ROUNDUP(Table1[[#This Row],[PLAN PERMIT
finish]]-NOW(),0))</f>
        <v>-113</v>
      </c>
      <c r="FV30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2" s="344"/>
      <c r="FX302" s="47"/>
      <c r="FY302" s="340"/>
      <c r="FZ302" s="341"/>
      <c r="GA30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2" s="330">
        <v>45958</v>
      </c>
      <c r="GC302" s="352">
        <v>45978</v>
      </c>
      <c r="GD30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02" s="330">
        <v>45965</v>
      </c>
      <c r="GF302" s="352">
        <v>45978</v>
      </c>
      <c r="GG30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02" s="330">
        <v>45971</v>
      </c>
      <c r="GI302" s="330">
        <v>45977</v>
      </c>
      <c r="GJ302" s="352">
        <v>45982</v>
      </c>
      <c r="GK30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02" s="330">
        <v>45985</v>
      </c>
      <c r="GM302" s="330" t="e">
        <v>#N/A</v>
      </c>
      <c r="GN302" s="330">
        <v>46005</v>
      </c>
      <c r="GO302" s="330" t="e">
        <v>#N/A</v>
      </c>
      <c r="GP302" s="330"/>
      <c r="GQ30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2" s="330" t="s">
        <v>261</v>
      </c>
      <c r="GS302" s="330" t="s">
        <v>261</v>
      </c>
      <c r="GT302" s="354">
        <v>46027</v>
      </c>
      <c r="GU302" s="344" t="str">
        <f>IF(Table1[[#This Row],[Hydro Tes Actual
(tanggal)]]&lt;&gt;"","Sudah","Belum")</f>
        <v>Sudah</v>
      </c>
      <c r="GV302" s="330" t="s">
        <v>261</v>
      </c>
      <c r="GW302" s="330" t="s">
        <v>261</v>
      </c>
      <c r="GX302" s="331">
        <v>46028</v>
      </c>
      <c r="GY302" s="344" t="str">
        <f>IF(Table1[[#This Row],[Interkoneksi Actual
(tanggal)]]&lt;&gt;"","Sudah","Belum")</f>
        <v>Sudah</v>
      </c>
      <c r="GZ302" s="330" t="s">
        <v>261</v>
      </c>
      <c r="HA302" s="330" t="s">
        <v>261</v>
      </c>
      <c r="HB302" s="331">
        <v>46034</v>
      </c>
      <c r="HC302" s="344" t="str">
        <f>IF(Table1[[#This Row],[Flushing Actual
(tanggal)]]&lt;&gt;"","Sudah","Belum")</f>
        <v>Sudah</v>
      </c>
      <c r="HD302" s="330">
        <v>45992</v>
      </c>
      <c r="HE302" s="330" t="e">
        <v>#N/A</v>
      </c>
      <c r="HF302" s="330">
        <v>46005</v>
      </c>
      <c r="HG302" s="352">
        <v>46041</v>
      </c>
      <c r="HH30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2" s="330" t="s">
        <v>261</v>
      </c>
      <c r="HJ302" s="330" t="s">
        <v>261</v>
      </c>
      <c r="HK302" s="331"/>
      <c r="HL302" s="316"/>
      <c r="HM302" s="330">
        <v>46010</v>
      </c>
      <c r="HN302" s="330">
        <v>46010</v>
      </c>
      <c r="HO302" s="330" t="e">
        <v>#N/A</v>
      </c>
      <c r="HP302" s="331">
        <v>46095</v>
      </c>
      <c r="HQ302"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02" s="330">
        <v>46017</v>
      </c>
      <c r="HS302" s="330"/>
      <c r="HT302" s="330">
        <v>46017</v>
      </c>
      <c r="HU302" s="330"/>
      <c r="HV302" s="331">
        <v>46098</v>
      </c>
      <c r="HW30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02" s="47"/>
      <c r="HY302" s="352"/>
      <c r="HZ302" s="352"/>
      <c r="IB302" s="618">
        <f>IFERROR(ROUND((Table1[[#This Row],[PLAN TC
finish]]-Table1[[#This Row],[PLAN MC-0
start]])/30,2),"")</f>
        <v>1.1299999999999999</v>
      </c>
      <c r="IC302">
        <f>DATEDIF(Table1[[#This Row],[PLAN MC-0
start]],Table1[[#This Row],[PLAN TC
finish]],"m")</f>
        <v>1</v>
      </c>
    </row>
    <row r="303" spans="1:237" s="4" customFormat="1" ht="15" hidden="1" customHeight="1" x14ac:dyDescent="0.2">
      <c r="B303" s="311">
        <f>SUBTOTAL(3,$D$5:D303)</f>
        <v>84</v>
      </c>
      <c r="C303" s="316">
        <v>299</v>
      </c>
      <c r="D303" s="338" t="s">
        <v>244</v>
      </c>
      <c r="E303" s="338" t="s">
        <v>2388</v>
      </c>
      <c r="F303" s="338" t="s">
        <v>2389</v>
      </c>
      <c r="G303" s="349">
        <v>46117</v>
      </c>
      <c r="H303" s="338" t="s">
        <v>681</v>
      </c>
      <c r="I303" s="338" t="s">
        <v>278</v>
      </c>
      <c r="J303" s="480" t="s">
        <v>1830</v>
      </c>
      <c r="K303" s="338" t="s">
        <v>1165</v>
      </c>
      <c r="L303" s="316" t="s">
        <v>250</v>
      </c>
      <c r="M303" s="355" t="s">
        <v>269</v>
      </c>
      <c r="N303" s="107">
        <v>269</v>
      </c>
      <c r="O303" s="31" t="s">
        <v>252</v>
      </c>
      <c r="P30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3" s="35">
        <v>0.99999999999999967</v>
      </c>
      <c r="S303" s="34">
        <v>1</v>
      </c>
      <c r="T303" s="34">
        <f>Table1[[#This Row],[Progres Total Aktual
(%)]]</f>
        <v>1</v>
      </c>
      <c r="U303" s="98">
        <f>Table1[[#This Row],[Progres Aktual
(%)]]-Table1[[#This Row],[Target Progres
(%)]]</f>
        <v>0</v>
      </c>
      <c r="V303" s="80">
        <f>Table1[[#This Row],["Volume
BA MC-0"]]</f>
        <v>268.5</v>
      </c>
      <c r="W303" s="46">
        <f>Table1[[#This Row],[Total Panjang Pipa Aktual
(Sum-&gt;)3]]</f>
        <v>263</v>
      </c>
      <c r="X303" s="47"/>
      <c r="Y303" s="67" t="s">
        <v>2390</v>
      </c>
      <c r="Z303" s="67">
        <v>378764012</v>
      </c>
      <c r="AA303" s="67">
        <f>ROUND((Table1[[#This Row],[Nilai RAB Jaringan
(Exclude Ppn)]]-Table1[[#This Row],[RAB Perizinan]])*1.11+Table1[[#This Row],[RAB Perizinan]],0)</f>
        <v>378764011</v>
      </c>
      <c r="AB303" s="486">
        <f>SUM(Table1[[#This Row],[RAB Kegiatan Umum]:[RAB Perizinan]])</f>
        <v>341495415</v>
      </c>
      <c r="AC303" s="436">
        <v>23967996</v>
      </c>
      <c r="AD303" s="436">
        <v>239679964</v>
      </c>
      <c r="AE303" s="436">
        <v>75157455</v>
      </c>
      <c r="AF303" s="436">
        <v>2690000</v>
      </c>
      <c r="AG303" s="483">
        <v>126422318</v>
      </c>
      <c r="AH303" s="33">
        <f>SUM(Table1[[#This Row],[Bobot Keg Umum]:[Bobot Perizinan]])</f>
        <v>1</v>
      </c>
      <c r="AI303" s="33">
        <f>Table1[[#This Row],[RAB Kegiatan Umum]]/Table1[[#This Row],[Nilai RAB Jaringan
(Exclude Ppn)]]</f>
        <v>7.0185410834871675E-2</v>
      </c>
      <c r="AJ303" s="33">
        <f>Table1[[#This Row],[RAB Pemasangan]]/Table1[[#This Row],[Nilai RAB Jaringan
(Exclude Ppn)]]</f>
        <v>0.70185412006190473</v>
      </c>
      <c r="AK303" s="33">
        <f>Table1[[#This Row],[RAB Pengadaan]]/Table1[[#This Row],[Nilai RAB Jaringan
(Exclude Ppn)]]</f>
        <v>0.22008335016738073</v>
      </c>
      <c r="AL303" s="33">
        <f>Table1[[#This Row],[RAB Perizinan]]/Table1[[#This Row],[Nilai RAB Jaringan
(Exclude Ppn)]]</f>
        <v>7.8771189358428136E-3</v>
      </c>
      <c r="AM303" s="47"/>
      <c r="AN303" s="285">
        <f>151+117.5</f>
        <v>268.5</v>
      </c>
      <c r="AO303" s="285">
        <f>SUM(Table1[[#This Row],[Pipa 63 mm]:[Pipa 1,800 mm]])</f>
        <v>0</v>
      </c>
      <c r="AP303" s="285"/>
      <c r="AQ303" s="285"/>
      <c r="AR303" s="285"/>
      <c r="AS303" s="285"/>
      <c r="AT303" s="285"/>
      <c r="AU303" s="285"/>
      <c r="AV303" s="285"/>
      <c r="AW303" s="285"/>
      <c r="AX303" s="285"/>
      <c r="AY303" s="285"/>
      <c r="AZ303" s="285"/>
      <c r="BA303" s="285"/>
      <c r="BB303" s="285"/>
      <c r="BC303" s="285"/>
      <c r="BD303" s="285"/>
      <c r="BE303" s="285"/>
      <c r="BF303" s="285"/>
      <c r="BG303" s="285"/>
      <c r="BH303" s="285"/>
      <c r="BI303" s="285"/>
      <c r="BJ303" s="36">
        <f>SUM(Table1[[#This Row],[Pipa 63 mm2]:[Pipa 1,800 mm21]])</f>
        <v>263</v>
      </c>
      <c r="BK303" s="32">
        <v>145.5</v>
      </c>
      <c r="BL303" s="32">
        <v>117.5</v>
      </c>
      <c r="BM303" s="32"/>
      <c r="BN303" s="32"/>
      <c r="BO303" s="32"/>
      <c r="BP303" s="32"/>
      <c r="BQ303" s="32"/>
      <c r="BR303" s="32"/>
      <c r="BS303" s="32"/>
      <c r="BT303" s="32"/>
      <c r="BU303" s="32"/>
      <c r="BV303" s="32"/>
      <c r="BW303" s="32"/>
      <c r="BX303" s="32"/>
      <c r="BY303" s="32"/>
      <c r="BZ303" s="32"/>
      <c r="CA303" s="32"/>
      <c r="CB303" s="32"/>
      <c r="CC303" s="32"/>
      <c r="CD303" s="32"/>
      <c r="CE303" s="32">
        <v>0</v>
      </c>
      <c r="CF303" s="32"/>
      <c r="CG303" s="32"/>
      <c r="CH303" s="32"/>
      <c r="CI303" s="32">
        <f t="shared" si="15"/>
        <v>0</v>
      </c>
      <c r="CJ303" s="65">
        <f>IF((Table1[[#This Row],["Volume
BA MC-0"]]-Table1[[#This Row],[Total Panjang Pipa Aktual
(Sum-&gt;)3]]-Table1[[#This Row],[Total Volume
tidak dapat dipasang]])&gt;=0,Table1[[#This Row],["Volume
BA MC-0"]]-Table1[[#This Row],[Total Panjang Pipa Aktual
(Sum-&gt;)3]]-Table1[[#This Row],[Total Volume
tidak dapat dipasang]],0)</f>
        <v>5.5</v>
      </c>
      <c r="CK303" s="47"/>
      <c r="CL303" s="35" t="s">
        <v>1821</v>
      </c>
      <c r="CM303" s="35" t="s">
        <v>1821</v>
      </c>
      <c r="CN303" s="35" t="s">
        <v>1821</v>
      </c>
      <c r="CO303" s="35" t="s">
        <v>1821</v>
      </c>
      <c r="CP30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3" s="66">
        <f>IFERROR(Table1[[#This Row],[Progres Keg. Umum
(%)]]*Table1[[#This Row],[Nilai RAB Jaringan
(file pa aji)]],0)</f>
        <v>0</v>
      </c>
      <c r="CR303" s="66">
        <f>IFERROR(Table1[[#This Row],[Progres MOS
(%)]]*Table1[[#This Row],[Nilai RAB Jaringan
(file pa aji)]],0)</f>
        <v>0</v>
      </c>
      <c r="CS303" s="66">
        <f>IFERROR(Table1[[#This Row],[Progres Pemasangan
(%)]]*Table1[[#This Row],[Nilai RAB Jaringan
(file pa aji)]],0)</f>
        <v>0</v>
      </c>
      <c r="CT303" s="66">
        <f>IFERROR(Table1[[#This Row],[Progres Perizinan
(%)]]*Table1[[#This Row],[Nilai RAB Jaringan
(file pa aji)]],0)</f>
        <v>0</v>
      </c>
      <c r="CU303" s="329">
        <v>353705541</v>
      </c>
      <c r="CV303" s="329">
        <v>353705541</v>
      </c>
      <c r="CW303" s="583">
        <v>353705541</v>
      </c>
      <c r="CX303" s="329">
        <v>353705541</v>
      </c>
      <c r="CY303" s="47"/>
      <c r="CZ303" s="330">
        <v>45866</v>
      </c>
      <c r="DA303" s="330">
        <v>45893</v>
      </c>
      <c r="DB303" s="331">
        <v>45865</v>
      </c>
      <c r="DC303" s="316" t="s">
        <v>2391</v>
      </c>
      <c r="DD303" s="499">
        <v>378764011</v>
      </c>
      <c r="DE30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3" s="331">
        <v>45884</v>
      </c>
      <c r="DG303" s="316" t="s">
        <v>2392</v>
      </c>
      <c r="DH303" s="499">
        <v>378764011</v>
      </c>
      <c r="DI30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03" s="330">
        <v>45894</v>
      </c>
      <c r="DK303" s="330">
        <v>45956</v>
      </c>
      <c r="DL303" s="331">
        <v>45934</v>
      </c>
      <c r="DM303" s="316" t="s">
        <v>2393</v>
      </c>
      <c r="DN30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3" s="331">
        <v>45939</v>
      </c>
      <c r="DP303" s="316" t="s">
        <v>2394</v>
      </c>
      <c r="DQ303" s="338" t="s">
        <v>783</v>
      </c>
      <c r="DR30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03" s="330">
        <v>45894</v>
      </c>
      <c r="DT303" s="330" t="e">
        <v>#N/A</v>
      </c>
      <c r="DU303" s="330">
        <v>45935</v>
      </c>
      <c r="DV303" s="330" t="e">
        <v>#N/A</v>
      </c>
      <c r="DW303" s="331">
        <v>45934</v>
      </c>
      <c r="DX303" s="484" t="s">
        <v>2395</v>
      </c>
      <c r="DY303" s="332">
        <v>38</v>
      </c>
      <c r="DZ303" s="334">
        <v>38</v>
      </c>
      <c r="EA30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03" s="331">
        <v>46002</v>
      </c>
      <c r="EC303" s="332">
        <v>37</v>
      </c>
      <c r="ED303" s="332">
        <v>37</v>
      </c>
      <c r="EE303" s="425" t="s">
        <v>2396</v>
      </c>
      <c r="EF303" s="35">
        <v>1</v>
      </c>
      <c r="EG303" s="337">
        <v>1</v>
      </c>
      <c r="EH303" s="316" t="str">
        <f>IF(Table1[[#This Row],[PO Material Aktual 
(%)]]&gt;=100%,"Selesai PO = 100%",IF(Table1[[#This Row],[PO Material Aktual 
(%)]]&gt;=50%,"Proses PO &gt; 100%",IF(Table1[[#This Row],[PO Material Aktual 
(%)]]&gt;0%,"Proses PO &gt; 50%",IF(Table1[[#This Row],[PO Material Aktual 
(%)]]=0,"Belum PO = 0%"))))</f>
        <v>Selesai PO = 100%</v>
      </c>
      <c r="EI30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3" s="330">
        <v>45936</v>
      </c>
      <c r="EK303" s="330" t="e">
        <v>#N/A</v>
      </c>
      <c r="EL303" s="330">
        <v>45984</v>
      </c>
      <c r="EM303" s="330" t="e">
        <v>#N/A</v>
      </c>
      <c r="EN303" s="331">
        <v>46091</v>
      </c>
      <c r="EO303" s="332">
        <f>Table1[[#This Row],[Line PO]]</f>
        <v>37</v>
      </c>
      <c r="EP303" s="316">
        <v>37</v>
      </c>
      <c r="EQ303" s="35">
        <v>0.97368421052631582</v>
      </c>
      <c r="ER303" s="35">
        <f>Table1[[#This Row],[Line MOS]]/Table1[[#This Row],[Line PR]]</f>
        <v>0.97368421052631582</v>
      </c>
      <c r="ES303" s="316" t="str">
        <f>IF(Table1[[#This Row],[Progres MOS]]&gt;=100%,"Selesai MOS = 100%",IF(Table1[[#This Row],[Progres MOS]]&gt;=50%,"Proses MOS &gt; 100%",IF(Table1[[#This Row],[Progres MOS]]&gt;0%,"Proses MOS &gt; 50%",IF(Table1[[#This Row],[Progres MOS]]=0,"Belum MOS = 0%"))))</f>
        <v>Proses MOS &gt; 100%</v>
      </c>
      <c r="ET30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3" s="47"/>
      <c r="EV303" s="330">
        <v>45894</v>
      </c>
      <c r="EW303" s="330" t="e">
        <v>#N/A</v>
      </c>
      <c r="EX303" s="330">
        <v>45984</v>
      </c>
      <c r="EY303" s="330" t="e">
        <v>#N/A</v>
      </c>
      <c r="EZ303" s="352" t="s">
        <v>298</v>
      </c>
      <c r="FA303" s="336" t="s">
        <v>259</v>
      </c>
      <c r="FB303" s="330" t="s">
        <v>260</v>
      </c>
      <c r="FC303" s="330">
        <v>45943</v>
      </c>
      <c r="FD303" s="330" t="s">
        <v>260</v>
      </c>
      <c r="FE303" s="330">
        <v>45966</v>
      </c>
      <c r="FF303" s="330">
        <v>45995</v>
      </c>
      <c r="FG303" s="330" t="s">
        <v>260</v>
      </c>
      <c r="FH303" s="330" t="s">
        <v>260</v>
      </c>
      <c r="FI303" s="330">
        <v>46010</v>
      </c>
      <c r="FJ303" s="330" t="s">
        <v>260</v>
      </c>
      <c r="FK303" s="330">
        <v>46114</v>
      </c>
      <c r="FL303" s="336" t="s">
        <v>298</v>
      </c>
      <c r="FM303" s="352">
        <v>45943</v>
      </c>
      <c r="FN303" s="338">
        <f>IF(Table1[[#This Row],[Tanggal Pengajuan Dokumen]]="","",Table1[[#This Row],[PLAN PERMIT
start]]-Table1[[#This Row],[Tanggal Pengajuan Dokumen]])</f>
        <v>-49</v>
      </c>
      <c r="FO303" s="437">
        <v>46097</v>
      </c>
      <c r="FP303" s="316"/>
      <c r="FQ303" s="338"/>
      <c r="FR303" s="338"/>
      <c r="FS303" s="338" t="str">
        <f t="shared" si="14"/>
        <v>Sudah Terbit</v>
      </c>
      <c r="FT30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3" s="344">
        <f ca="1">IF(Table1[[#This Row],[Status Izin]]="Selesai",Table1[[#This Row],[PLAN PERMIT
finish]]-Table1[[#This Row],[Tanggal Terbit/ Target Izin Terbit]],ROUNDUP(Table1[[#This Row],[PLAN PERMIT
finish]]-NOW(),0))</f>
        <v>-113</v>
      </c>
      <c r="FV30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3" s="344"/>
      <c r="FX303" s="47"/>
      <c r="FY303" s="340"/>
      <c r="FZ303" s="341"/>
      <c r="GA30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3" s="330">
        <v>45958</v>
      </c>
      <c r="GC303" s="352">
        <v>45922</v>
      </c>
      <c r="GD30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3" s="330">
        <v>45965</v>
      </c>
      <c r="GF303" s="352">
        <v>45922</v>
      </c>
      <c r="GG30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3" s="330">
        <v>45971</v>
      </c>
      <c r="GI303" s="330">
        <v>45977</v>
      </c>
      <c r="GJ303" s="352">
        <v>45950</v>
      </c>
      <c r="GK30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3" s="330">
        <v>45985</v>
      </c>
      <c r="GM303" s="330" t="e">
        <v>#N/A</v>
      </c>
      <c r="GN303" s="330">
        <v>46005</v>
      </c>
      <c r="GO303" s="330" t="e">
        <v>#N/A</v>
      </c>
      <c r="GP303" s="330"/>
      <c r="GQ30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3" s="330" t="s">
        <v>261</v>
      </c>
      <c r="GS303" s="330" t="s">
        <v>261</v>
      </c>
      <c r="GT303" s="354">
        <v>45997</v>
      </c>
      <c r="GU303" s="344" t="str">
        <f>IF(Table1[[#This Row],[Hydro Tes Actual
(tanggal)]]&lt;&gt;"","Sudah","Belum")</f>
        <v>Sudah</v>
      </c>
      <c r="GV303" s="330" t="s">
        <v>261</v>
      </c>
      <c r="GW303" s="330" t="s">
        <v>261</v>
      </c>
      <c r="GX303" s="331">
        <v>45995</v>
      </c>
      <c r="GY303" s="344" t="str">
        <f>IF(Table1[[#This Row],[Interkoneksi Actual
(tanggal)]]&lt;&gt;"","Sudah","Belum")</f>
        <v>Sudah</v>
      </c>
      <c r="GZ303" s="330" t="s">
        <v>261</v>
      </c>
      <c r="HA303" s="330" t="s">
        <v>261</v>
      </c>
      <c r="HB303" s="331">
        <v>46003</v>
      </c>
      <c r="HC303" s="344" t="str">
        <f>IF(Table1[[#This Row],[Flushing Actual
(tanggal)]]&lt;&gt;"","Sudah","Belum")</f>
        <v>Sudah</v>
      </c>
      <c r="HD303" s="330">
        <v>45992</v>
      </c>
      <c r="HE303" s="330" t="e">
        <v>#N/A</v>
      </c>
      <c r="HF303" s="330">
        <v>46005</v>
      </c>
      <c r="HG303" s="352">
        <v>46035</v>
      </c>
      <c r="HH30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3" s="330" t="s">
        <v>261</v>
      </c>
      <c r="HJ303" s="330" t="s">
        <v>261</v>
      </c>
      <c r="HK303" s="331"/>
      <c r="HL303" s="316"/>
      <c r="HM303" s="330">
        <v>46010</v>
      </c>
      <c r="HN303" s="330">
        <v>46010</v>
      </c>
      <c r="HO303" s="330" t="e">
        <v>#N/A</v>
      </c>
      <c r="HP303" s="331">
        <v>46071</v>
      </c>
      <c r="HQ30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03" s="330">
        <v>46017</v>
      </c>
      <c r="HS303" s="330"/>
      <c r="HT303" s="330">
        <v>46017</v>
      </c>
      <c r="HU303" s="330"/>
      <c r="HV303" s="331">
        <v>46078</v>
      </c>
      <c r="HW30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03" s="47"/>
      <c r="HY303" s="500"/>
      <c r="HZ303" s="352"/>
      <c r="IB303" s="618">
        <f>IFERROR(ROUND((Table1[[#This Row],[PLAN TC
finish]]-Table1[[#This Row],[PLAN MC-0
start]])/30,2),"")</f>
        <v>1.1299999999999999</v>
      </c>
      <c r="IC303">
        <f>DATEDIF(Table1[[#This Row],[PLAN MC-0
start]],Table1[[#This Row],[PLAN TC
finish]],"m")</f>
        <v>1</v>
      </c>
    </row>
    <row r="304" spans="1:237" s="30" customFormat="1" ht="15" hidden="1" customHeight="1" x14ac:dyDescent="0.2">
      <c r="A304" s="77"/>
      <c r="B304" s="311">
        <f>SUBTOTAL(3,$D$5:D304)</f>
        <v>84</v>
      </c>
      <c r="C304" s="367">
        <v>300</v>
      </c>
      <c r="D304" s="366" t="s">
        <v>244</v>
      </c>
      <c r="E304" s="366" t="s">
        <v>2397</v>
      </c>
      <c r="F304" s="366" t="s">
        <v>2398</v>
      </c>
      <c r="G304" s="364">
        <v>46117</v>
      </c>
      <c r="H304" s="366" t="s">
        <v>681</v>
      </c>
      <c r="I304" s="366" t="s">
        <v>278</v>
      </c>
      <c r="J304" s="385" t="s">
        <v>389</v>
      </c>
      <c r="K304" s="366" t="s">
        <v>1165</v>
      </c>
      <c r="L304" s="367" t="s">
        <v>250</v>
      </c>
      <c r="M304" s="392" t="s">
        <v>269</v>
      </c>
      <c r="N304" s="368">
        <v>227</v>
      </c>
      <c r="O304" s="369" t="s">
        <v>252</v>
      </c>
      <c r="P304"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4" s="385" t="s">
        <v>389</v>
      </c>
      <c r="R304" s="371">
        <v>1.0000000000000002</v>
      </c>
      <c r="S304" s="34">
        <v>1</v>
      </c>
      <c r="T304" s="489">
        <f>Table1[[#This Row],[Progres Total Aktual
(%)]]</f>
        <v>0</v>
      </c>
      <c r="U304" s="490">
        <f>Table1[[#This Row],[Progres Aktual
(%)]]-Table1[[#This Row],[Target Progres
(%)]]</f>
        <v>-1</v>
      </c>
      <c r="V304" s="491">
        <f>Table1[[#This Row],["Volume
BA MC-0"]]</f>
        <v>232.7</v>
      </c>
      <c r="W304" s="492">
        <f>Table1[[#This Row],[Total Panjang Pipa Aktual
(Sum-&gt;)3]]</f>
        <v>0</v>
      </c>
      <c r="X304" s="47"/>
      <c r="Y304" s="375" t="s">
        <v>2399</v>
      </c>
      <c r="Z304" s="375">
        <v>350767311</v>
      </c>
      <c r="AA304" s="375">
        <f>ROUND((Table1[[#This Row],[Nilai RAB Jaringan
(Exclude Ppn)]]-Table1[[#This Row],[RAB Perizinan]])*1.11+Table1[[#This Row],[RAB Perizinan]],0)</f>
        <v>350767311</v>
      </c>
      <c r="AB304" s="493">
        <f>SUM(Table1[[#This Row],[RAB Kegiatan Umum]:[RAB Perizinan]])</f>
        <v>316231541</v>
      </c>
      <c r="AC304" s="439">
        <v>23921402</v>
      </c>
      <c r="AD304" s="439">
        <v>239214018</v>
      </c>
      <c r="AE304" s="439">
        <v>50826121</v>
      </c>
      <c r="AF304" s="439">
        <v>2270000</v>
      </c>
      <c r="AG304" s="494">
        <v>16856310</v>
      </c>
      <c r="AH304" s="495">
        <f>SUM(Table1[[#This Row],[Bobot Keg Umum]:[Bobot Perizinan]])</f>
        <v>1.0000000000000002</v>
      </c>
      <c r="AI304" s="495">
        <f>Table1[[#This Row],[RAB Kegiatan Umum]]/Table1[[#This Row],[Nilai RAB Jaringan
(Exclude Ppn)]]</f>
        <v>7.5645212126389375E-2</v>
      </c>
      <c r="AJ304" s="495">
        <f>Table1[[#This Row],[RAB Pemasangan]]/Table1[[#This Row],[Nilai RAB Jaringan
(Exclude Ppn)]]</f>
        <v>0.756452114939414</v>
      </c>
      <c r="AK304" s="495">
        <f>Table1[[#This Row],[RAB Pengadaan]]/Table1[[#This Row],[Nilai RAB Jaringan
(Exclude Ppn)]]</f>
        <v>0.16072438833670927</v>
      </c>
      <c r="AL304" s="495">
        <f>Table1[[#This Row],[RAB Perizinan]]/Table1[[#This Row],[Nilai RAB Jaringan
(Exclude Ppn)]]</f>
        <v>7.1782845974873834E-3</v>
      </c>
      <c r="AM304" s="47"/>
      <c r="AN304" s="376">
        <v>232.7</v>
      </c>
      <c r="AO304" s="376">
        <f>SUM(Table1[[#This Row],[Pipa 63 mm]:[Pipa 1,800 mm]])</f>
        <v>0</v>
      </c>
      <c r="AP304" s="376"/>
      <c r="AQ304" s="376"/>
      <c r="AR304" s="376"/>
      <c r="AS304" s="376"/>
      <c r="AT304" s="376"/>
      <c r="AU304" s="376"/>
      <c r="AV304" s="376"/>
      <c r="AW304" s="376"/>
      <c r="AX304" s="376"/>
      <c r="AY304" s="376"/>
      <c r="AZ304" s="376"/>
      <c r="BA304" s="376"/>
      <c r="BB304" s="376"/>
      <c r="BC304" s="376"/>
      <c r="BD304" s="376"/>
      <c r="BE304" s="376"/>
      <c r="BF304" s="376"/>
      <c r="BG304" s="376"/>
      <c r="BH304" s="376"/>
      <c r="BI304" s="376"/>
      <c r="BJ304" s="377">
        <f>SUM(Table1[[#This Row],[Pipa 63 mm2]:[Pipa 1,800 mm21]])</f>
        <v>0</v>
      </c>
      <c r="BK304" s="378"/>
      <c r="BL304" s="378"/>
      <c r="BM304" s="378"/>
      <c r="BN304" s="378"/>
      <c r="BO304" s="378"/>
      <c r="BP304" s="378"/>
      <c r="BQ304" s="378"/>
      <c r="BR304" s="378"/>
      <c r="BS304" s="378"/>
      <c r="BT304" s="378"/>
      <c r="BU304" s="378"/>
      <c r="BV304" s="378"/>
      <c r="BW304" s="378"/>
      <c r="BX304" s="378"/>
      <c r="BY304" s="378"/>
      <c r="BZ304" s="378"/>
      <c r="CA304" s="378"/>
      <c r="CB304" s="378"/>
      <c r="CC304" s="378"/>
      <c r="CD304" s="378"/>
      <c r="CE304" s="378">
        <v>0</v>
      </c>
      <c r="CF304" s="378"/>
      <c r="CG304" s="378"/>
      <c r="CH304" s="378"/>
      <c r="CI304" s="378">
        <f t="shared" si="15"/>
        <v>0</v>
      </c>
      <c r="CJ304" s="378">
        <f>IF((Table1[[#This Row],["Volume
BA MC-0"]]-Table1[[#This Row],[Total Panjang Pipa Aktual
(Sum-&gt;)3]]-Table1[[#This Row],[Total Volume
tidak dapat dipasang]])&gt;=0,Table1[[#This Row],["Volume
BA MC-0"]]-Table1[[#This Row],[Total Panjang Pipa Aktual
(Sum-&gt;)3]]-Table1[[#This Row],[Total Volume
tidak dapat dipasang]],0)</f>
        <v>232.7</v>
      </c>
      <c r="CK304" s="47"/>
      <c r="CL304" s="496" t="s">
        <v>1821</v>
      </c>
      <c r="CM304" s="489" t="s">
        <v>1821</v>
      </c>
      <c r="CN304" s="496" t="s">
        <v>1821</v>
      </c>
      <c r="CO304" s="496" t="s">
        <v>1821</v>
      </c>
      <c r="CP304"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4" s="380">
        <f>IFERROR(Table1[[#This Row],[Progres Keg. Umum
(%)]]*Table1[[#This Row],[Nilai RAB Jaringan
(file pa aji)]],0)</f>
        <v>0</v>
      </c>
      <c r="CR304" s="380">
        <f>IFERROR(Table1[[#This Row],[Progres MOS
(%)]]*Table1[[#This Row],[Nilai RAB Jaringan
(file pa aji)]],0)</f>
        <v>0</v>
      </c>
      <c r="CS304" s="380">
        <f>IFERROR(Table1[[#This Row],[Progres Pemasangan
(%)]]*Table1[[#This Row],[Nilai RAB Jaringan
(file pa aji)]],0)</f>
        <v>0</v>
      </c>
      <c r="CT304" s="380">
        <f>IFERROR(Table1[[#This Row],[Progres Perizinan
(%)]]*Table1[[#This Row],[Nilai RAB Jaringan
(file pa aji)]],0)</f>
        <v>0</v>
      </c>
      <c r="CU304" s="329">
        <v>0</v>
      </c>
      <c r="CV304" s="329">
        <v>0</v>
      </c>
      <c r="CW304" s="582">
        <v>0</v>
      </c>
      <c r="CX304" s="329">
        <v>0</v>
      </c>
      <c r="CY304" s="47"/>
      <c r="CZ304" s="386">
        <v>45866</v>
      </c>
      <c r="DA304" s="386">
        <v>45893</v>
      </c>
      <c r="DB304" s="388">
        <v>45865</v>
      </c>
      <c r="DC304" s="367" t="s">
        <v>2400</v>
      </c>
      <c r="DD304" s="498">
        <v>350767310</v>
      </c>
      <c r="DE30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4" s="388">
        <v>45897</v>
      </c>
      <c r="DG304" s="367" t="s">
        <v>2401</v>
      </c>
      <c r="DH304" s="498">
        <v>350767310</v>
      </c>
      <c r="DI304" s="367"/>
      <c r="DJ304" s="386">
        <v>45894</v>
      </c>
      <c r="DK304" s="386">
        <v>45956</v>
      </c>
      <c r="DL304" s="388">
        <v>45940</v>
      </c>
      <c r="DM304" s="367" t="s">
        <v>2402</v>
      </c>
      <c r="DN304" s="382"/>
      <c r="DO304" s="388">
        <v>45946</v>
      </c>
      <c r="DP304" s="367" t="s">
        <v>2403</v>
      </c>
      <c r="DQ304" s="366" t="s">
        <v>783</v>
      </c>
      <c r="DR304" s="382"/>
      <c r="DS304" s="386">
        <v>45894</v>
      </c>
      <c r="DT304" s="386" t="e">
        <v>#N/A</v>
      </c>
      <c r="DU304" s="386">
        <v>45935</v>
      </c>
      <c r="DV304" s="386" t="e">
        <v>#N/A</v>
      </c>
      <c r="DW304" s="388">
        <v>45940</v>
      </c>
      <c r="DX304" s="496" t="s">
        <v>2404</v>
      </c>
      <c r="DY304" s="442"/>
      <c r="DZ304" s="442"/>
      <c r="EA304" s="382"/>
      <c r="EB304" s="388"/>
      <c r="EC304" s="442"/>
      <c r="ED304" s="442"/>
      <c r="EE304" s="386"/>
      <c r="EF304" s="371"/>
      <c r="EG304" s="371"/>
      <c r="EH304" s="367"/>
      <c r="EI304"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4" s="386">
        <v>45936</v>
      </c>
      <c r="EK304" s="386" t="e">
        <v>#N/A</v>
      </c>
      <c r="EL304" s="386">
        <v>45984</v>
      </c>
      <c r="EM304" s="386" t="e">
        <v>#N/A</v>
      </c>
      <c r="EN304" s="388"/>
      <c r="EO304" s="442"/>
      <c r="EP304" s="367"/>
      <c r="EQ304" s="371"/>
      <c r="ER304" s="371"/>
      <c r="ES304" s="367"/>
      <c r="ET30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4" s="47"/>
      <c r="EV304" s="386">
        <v>45894</v>
      </c>
      <c r="EW304" s="386" t="e">
        <v>#N/A</v>
      </c>
      <c r="EX304" s="386">
        <v>45984</v>
      </c>
      <c r="EY304" s="386" t="e">
        <v>#N/A</v>
      </c>
      <c r="EZ304" s="384" t="s">
        <v>298</v>
      </c>
      <c r="FA304" s="385" t="s">
        <v>389</v>
      </c>
      <c r="FB304" s="386" t="s">
        <v>260</v>
      </c>
      <c r="FC304" s="330"/>
      <c r="FD304" s="386"/>
      <c r="FE304" s="386"/>
      <c r="FF304" s="386"/>
      <c r="FG304" s="386"/>
      <c r="FH304" s="386"/>
      <c r="FI304" s="386"/>
      <c r="FJ304" s="386"/>
      <c r="FK304" s="386"/>
      <c r="FL304" s="443" t="str">
        <f>Table1[[#This Row],[IPPJU]]</f>
        <v>9.Proses Penerbitan Izin</v>
      </c>
      <c r="FM304" s="443"/>
      <c r="FN304" s="365" t="str">
        <f>IF(Table1[[#This Row],[Tanggal Pengajuan Dokumen]]="","",Table1[[#This Row],[PLAN PERMIT
start]]-Table1[[#This Row],[Tanggal Pengajuan Dokumen]])</f>
        <v/>
      </c>
      <c r="FO304" s="444">
        <v>46097</v>
      </c>
      <c r="FP304" s="367"/>
      <c r="FQ304" s="366"/>
      <c r="FR304" s="366"/>
      <c r="FS304" s="366" t="str">
        <f t="shared" si="14"/>
        <v>On Going</v>
      </c>
      <c r="FT304"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4" s="387">
        <f ca="1">IF(Table1[[#This Row],[Status Izin]]="Selesai",Table1[[#This Row],[PLAN PERMIT
finish]]-Table1[[#This Row],[Tanggal Terbit/ Target Izin Terbit]],ROUNDUP(Table1[[#This Row],[PLAN PERMIT
finish]]-NOW(),0))</f>
        <v>-207</v>
      </c>
      <c r="FV304"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4" s="387"/>
      <c r="FX304" s="47"/>
      <c r="FY304" s="340"/>
      <c r="FZ304" s="341"/>
      <c r="GA30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4" s="386">
        <v>45958</v>
      </c>
      <c r="GC304" s="384">
        <v>45922</v>
      </c>
      <c r="GD304"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4" s="386">
        <v>45965</v>
      </c>
      <c r="GF304" s="384">
        <v>45922</v>
      </c>
      <c r="GG304"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4" s="386">
        <v>45971</v>
      </c>
      <c r="GI304" s="386">
        <v>45977</v>
      </c>
      <c r="GJ304" s="384">
        <v>45950</v>
      </c>
      <c r="GK304"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4" s="386">
        <v>45985</v>
      </c>
      <c r="GM304" s="386" t="e">
        <v>#N/A</v>
      </c>
      <c r="GN304" s="386">
        <v>46005</v>
      </c>
      <c r="GO304" s="386" t="e">
        <v>#N/A</v>
      </c>
      <c r="GP304" s="386"/>
      <c r="GQ304"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4" s="386" t="s">
        <v>261</v>
      </c>
      <c r="GS304" s="386" t="s">
        <v>261</v>
      </c>
      <c r="GT304" s="390"/>
      <c r="GU304" s="387" t="str">
        <f>IF(Table1[[#This Row],[Hydro Tes Actual
(tanggal)]]&lt;&gt;"","Sudah","Belum")</f>
        <v>Belum</v>
      </c>
      <c r="GV304" s="386" t="s">
        <v>261</v>
      </c>
      <c r="GW304" s="386" t="s">
        <v>261</v>
      </c>
      <c r="GX304" s="388"/>
      <c r="GY304" s="387" t="str">
        <f>IF(Table1[[#This Row],[Interkoneksi Actual
(tanggal)]]&lt;&gt;"","Sudah","Belum")</f>
        <v>Belum</v>
      </c>
      <c r="GZ304" s="386" t="s">
        <v>261</v>
      </c>
      <c r="HA304" s="386" t="s">
        <v>261</v>
      </c>
      <c r="HB304" s="388"/>
      <c r="HC304" s="387" t="str">
        <f>IF(Table1[[#This Row],[Flushing Actual
(tanggal)]]&lt;&gt;"","Sudah","Belum")</f>
        <v>Belum</v>
      </c>
      <c r="HD304" s="386">
        <v>45992</v>
      </c>
      <c r="HE304" s="386" t="e">
        <v>#N/A</v>
      </c>
      <c r="HF304" s="386">
        <v>46005</v>
      </c>
      <c r="HG304" s="384"/>
      <c r="HH304"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4" s="386" t="s">
        <v>261</v>
      </c>
      <c r="HJ304" s="386" t="s">
        <v>261</v>
      </c>
      <c r="HK304" s="388"/>
      <c r="HL304" s="367"/>
      <c r="HM304" s="386">
        <v>46010</v>
      </c>
      <c r="HN304" s="386">
        <v>46010</v>
      </c>
      <c r="HO304" s="386" t="e">
        <v>#N/A</v>
      </c>
      <c r="HP304" s="388"/>
      <c r="HQ304"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04" s="386">
        <v>46017</v>
      </c>
      <c r="HS304" s="386"/>
      <c r="HT304" s="386">
        <v>46017</v>
      </c>
      <c r="HU304" s="386"/>
      <c r="HV304" s="388"/>
      <c r="HW304"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04" s="47"/>
      <c r="HY304" s="384"/>
      <c r="HZ304" s="384"/>
      <c r="IB304" s="618">
        <f>IFERROR(ROUND((Table1[[#This Row],[PLAN TC
finish]]-Table1[[#This Row],[PLAN MC-0
start]])/30,2),"")</f>
        <v>1.1299999999999999</v>
      </c>
      <c r="IC304">
        <f>DATEDIF(Table1[[#This Row],[PLAN MC-0
start]],Table1[[#This Row],[PLAN TC
finish]],"m")</f>
        <v>1</v>
      </c>
    </row>
    <row r="305" spans="1:237" s="4" customFormat="1" ht="15" hidden="1" customHeight="1" x14ac:dyDescent="0.2">
      <c r="B305" s="311">
        <f>SUBTOTAL(3,$D$5:D305)</f>
        <v>84</v>
      </c>
      <c r="C305" s="316">
        <v>301</v>
      </c>
      <c r="D305" s="338" t="s">
        <v>244</v>
      </c>
      <c r="E305" s="338" t="s">
        <v>2405</v>
      </c>
      <c r="F305" s="338" t="s">
        <v>2406</v>
      </c>
      <c r="G305" s="349">
        <v>46117</v>
      </c>
      <c r="H305" s="338" t="s">
        <v>681</v>
      </c>
      <c r="I305" s="338" t="s">
        <v>278</v>
      </c>
      <c r="J305" s="480" t="s">
        <v>1830</v>
      </c>
      <c r="K305" s="338" t="s">
        <v>1165</v>
      </c>
      <c r="L305" s="316" t="s">
        <v>250</v>
      </c>
      <c r="M305" s="355" t="s">
        <v>269</v>
      </c>
      <c r="N305" s="107">
        <v>405</v>
      </c>
      <c r="O305" s="31" t="s">
        <v>252</v>
      </c>
      <c r="P30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5" s="35">
        <v>0.99999999999999989</v>
      </c>
      <c r="S305" s="34">
        <v>1</v>
      </c>
      <c r="T305" s="34">
        <f>Table1[[#This Row],[Progres Total Aktual
(%)]]</f>
        <v>1</v>
      </c>
      <c r="U305" s="98">
        <f>Table1[[#This Row],[Progres Aktual
(%)]]-Table1[[#This Row],[Target Progres
(%)]]</f>
        <v>0</v>
      </c>
      <c r="V305" s="80">
        <f>Table1[[#This Row],["Volume
BA MC-0"]]</f>
        <v>238</v>
      </c>
      <c r="W305" s="46">
        <f>Table1[[#This Row],[Total Panjang Pipa Aktual
(Sum-&gt;)3]]</f>
        <v>230</v>
      </c>
      <c r="X305" s="47"/>
      <c r="Y305" s="67" t="s">
        <v>2407</v>
      </c>
      <c r="Z305" s="67">
        <v>811205237</v>
      </c>
      <c r="AA305" s="67">
        <f>ROUND((Table1[[#This Row],[Nilai RAB Jaringan
(Exclude Ppn)]]-Table1[[#This Row],[RAB Perizinan]])*1.11+Table1[[#This Row],[RAB Perizinan]],0)</f>
        <v>811205236</v>
      </c>
      <c r="AB305" s="486">
        <f>SUM(Table1[[#This Row],[RAB Kegiatan Umum]:[RAB Perizinan]])</f>
        <v>731216879</v>
      </c>
      <c r="AC305" s="436">
        <v>47059706</v>
      </c>
      <c r="AD305" s="436">
        <v>470597064</v>
      </c>
      <c r="AE305" s="436">
        <v>209510109</v>
      </c>
      <c r="AF305" s="436">
        <v>4050000</v>
      </c>
      <c r="AG305" s="483">
        <v>126422318</v>
      </c>
      <c r="AH305" s="33">
        <f>SUM(Table1[[#This Row],[Bobot Keg Umum]:[Bobot Perizinan]])</f>
        <v>0.99999999999999989</v>
      </c>
      <c r="AI305" s="33">
        <f>Table1[[#This Row],[RAB Kegiatan Umum]]/Table1[[#This Row],[Nilai RAB Jaringan
(Exclude Ppn)]]</f>
        <v>6.4358068517726325E-2</v>
      </c>
      <c r="AJ305" s="33">
        <f>Table1[[#This Row],[RAB Pemasangan]]/Table1[[#This Row],[Nilai RAB Jaringan
(Exclude Ppn)]]</f>
        <v>0.64358069064759649</v>
      </c>
      <c r="AK305" s="33">
        <f>Table1[[#This Row],[RAB Pengadaan]]/Table1[[#This Row],[Nilai RAB Jaringan
(Exclude Ppn)]]</f>
        <v>0.28652252842757475</v>
      </c>
      <c r="AL305" s="33">
        <f>Table1[[#This Row],[RAB Perizinan]]/Table1[[#This Row],[Nilai RAB Jaringan
(Exclude Ppn)]]</f>
        <v>5.5387124071024077E-3</v>
      </c>
      <c r="AM305" s="47"/>
      <c r="AN305" s="285">
        <v>238</v>
      </c>
      <c r="AO305" s="285">
        <f>SUM(Table1[[#This Row],[Pipa 63 mm]:[Pipa 1,800 mm]])</f>
        <v>0</v>
      </c>
      <c r="AP305" s="285"/>
      <c r="AQ305" s="285"/>
      <c r="AR305" s="285"/>
      <c r="AS305" s="285"/>
      <c r="AT305" s="285"/>
      <c r="AU305" s="285"/>
      <c r="AV305" s="285"/>
      <c r="AW305" s="285"/>
      <c r="AX305" s="285"/>
      <c r="AY305" s="285"/>
      <c r="AZ305" s="285"/>
      <c r="BA305" s="285"/>
      <c r="BB305" s="285"/>
      <c r="BC305" s="285"/>
      <c r="BD305" s="285"/>
      <c r="BE305" s="285"/>
      <c r="BF305" s="285"/>
      <c r="BG305" s="285"/>
      <c r="BH305" s="285"/>
      <c r="BI305" s="285"/>
      <c r="BJ305" s="36">
        <f>SUM(Table1[[#This Row],[Pipa 63 mm2]:[Pipa 1,800 mm21]])</f>
        <v>230</v>
      </c>
      <c r="BK305" s="32">
        <v>230</v>
      </c>
      <c r="BL305" s="32"/>
      <c r="BM305" s="32"/>
      <c r="BN305" s="32"/>
      <c r="BO305" s="32"/>
      <c r="BP305" s="32"/>
      <c r="BQ305" s="32"/>
      <c r="BR305" s="32"/>
      <c r="BS305" s="32"/>
      <c r="BT305" s="32"/>
      <c r="BU305" s="32"/>
      <c r="BV305" s="32"/>
      <c r="BW305" s="32"/>
      <c r="BX305" s="32"/>
      <c r="BY305" s="32"/>
      <c r="BZ305" s="32"/>
      <c r="CA305" s="32"/>
      <c r="CB305" s="32"/>
      <c r="CC305" s="32"/>
      <c r="CD305" s="32"/>
      <c r="CE305" s="32">
        <v>0</v>
      </c>
      <c r="CF305" s="32"/>
      <c r="CG305" s="32"/>
      <c r="CH305" s="32"/>
      <c r="CI305" s="32">
        <f t="shared" si="15"/>
        <v>0</v>
      </c>
      <c r="CJ305" s="65">
        <f>IF((Table1[[#This Row],["Volume
BA MC-0"]]-Table1[[#This Row],[Total Panjang Pipa Aktual
(Sum-&gt;)3]]-Table1[[#This Row],[Total Volume
tidak dapat dipasang]])&gt;=0,Table1[[#This Row],["Volume
BA MC-0"]]-Table1[[#This Row],[Total Panjang Pipa Aktual
(Sum-&gt;)3]]-Table1[[#This Row],[Total Volume
tidak dapat dipasang]],0)</f>
        <v>8</v>
      </c>
      <c r="CK305" s="47"/>
      <c r="CL305" s="35" t="s">
        <v>1821</v>
      </c>
      <c r="CM305" s="35" t="s">
        <v>1821</v>
      </c>
      <c r="CN305" s="35"/>
      <c r="CO305" s="35" t="s">
        <v>1821</v>
      </c>
      <c r="CP30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5" s="66">
        <f>IFERROR(Table1[[#This Row],[Progres Keg. Umum
(%)]]*Table1[[#This Row],[Nilai RAB Jaringan
(file pa aji)]],0)</f>
        <v>0</v>
      </c>
      <c r="CR305" s="66">
        <f>IFERROR(Table1[[#This Row],[Progres MOS
(%)]]*Table1[[#This Row],[Nilai RAB Jaringan
(file pa aji)]],0)</f>
        <v>0</v>
      </c>
      <c r="CS305" s="66">
        <f>IFERROR(Table1[[#This Row],[Progres Pemasangan
(%)]]*Table1[[#This Row],[Nilai RAB Jaringan
(file pa aji)]],0)</f>
        <v>0</v>
      </c>
      <c r="CT305" s="66">
        <f>IFERROR(Table1[[#This Row],[Progres Perizinan
(%)]]*Table1[[#This Row],[Nilai RAB Jaringan
(file pa aji)]],0)</f>
        <v>0</v>
      </c>
      <c r="CU305" s="329">
        <v>452843559</v>
      </c>
      <c r="CV305" s="329">
        <v>452843559</v>
      </c>
      <c r="CW305" s="583">
        <v>452843559</v>
      </c>
      <c r="CX305" s="329">
        <v>452843559</v>
      </c>
      <c r="CY305" s="47"/>
      <c r="CZ305" s="330">
        <v>45866</v>
      </c>
      <c r="DA305" s="330">
        <v>45893</v>
      </c>
      <c r="DB305" s="331">
        <v>45865</v>
      </c>
      <c r="DC305" s="316" t="s">
        <v>2408</v>
      </c>
      <c r="DD305" s="67">
        <v>811205236</v>
      </c>
      <c r="DE30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5" s="331">
        <v>45926</v>
      </c>
      <c r="DG305" s="316" t="s">
        <v>2409</v>
      </c>
      <c r="DH305" s="67">
        <v>811205236</v>
      </c>
      <c r="DI30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5" s="330">
        <v>45894</v>
      </c>
      <c r="DK305" s="330">
        <v>45963</v>
      </c>
      <c r="DL305" s="331">
        <v>45943</v>
      </c>
      <c r="DM305" s="316" t="s">
        <v>2410</v>
      </c>
      <c r="DN30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5" s="331">
        <v>45946</v>
      </c>
      <c r="DP305" s="316" t="s">
        <v>2411</v>
      </c>
      <c r="DQ305" s="338" t="s">
        <v>783</v>
      </c>
      <c r="DR30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05" s="330">
        <v>45894</v>
      </c>
      <c r="DT305" s="330" t="e">
        <v>#N/A</v>
      </c>
      <c r="DU305" s="330">
        <v>45935</v>
      </c>
      <c r="DV305" s="330" t="e">
        <v>#N/A</v>
      </c>
      <c r="DW305" s="331">
        <v>45943</v>
      </c>
      <c r="DX305" s="484" t="s">
        <v>2412</v>
      </c>
      <c r="DY305" s="332">
        <v>55</v>
      </c>
      <c r="DZ305" s="334">
        <v>55</v>
      </c>
      <c r="EA30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5" s="331">
        <v>46006</v>
      </c>
      <c r="EC305" s="332">
        <v>51</v>
      </c>
      <c r="ED305" s="332">
        <v>51</v>
      </c>
      <c r="EE305" s="425" t="s">
        <v>2413</v>
      </c>
      <c r="EF305" s="35">
        <v>1</v>
      </c>
      <c r="EG305" s="337">
        <v>1</v>
      </c>
      <c r="EH305" s="316" t="str">
        <f>IF(Table1[[#This Row],[PO Material Aktual 
(%)]]&gt;=100%,"Selesai PO = 100%",IF(Table1[[#This Row],[PO Material Aktual 
(%)]]&gt;=50%,"Proses PO &gt; 100%",IF(Table1[[#This Row],[PO Material Aktual 
(%)]]&gt;0%,"Proses PO &gt; 50%",IF(Table1[[#This Row],[PO Material Aktual 
(%)]]=0,"Belum PO = 0%"))))</f>
        <v>Selesai PO = 100%</v>
      </c>
      <c r="EI30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5" s="330">
        <v>45936</v>
      </c>
      <c r="EK305" s="330" t="e">
        <v>#N/A</v>
      </c>
      <c r="EL305" s="330">
        <v>45991</v>
      </c>
      <c r="EM305" s="330" t="e">
        <v>#N/A</v>
      </c>
      <c r="EN305" s="331">
        <v>46091</v>
      </c>
      <c r="EO305" s="332">
        <f>Table1[[#This Row],[Line PO]]</f>
        <v>51</v>
      </c>
      <c r="EP305" s="316">
        <v>51</v>
      </c>
      <c r="EQ305" s="35">
        <v>0.92727272727272725</v>
      </c>
      <c r="ER305" s="35">
        <f>Table1[[#This Row],[Line MOS]]/Table1[[#This Row],[Line PR]]</f>
        <v>0.92727272727272725</v>
      </c>
      <c r="ES305" s="316" t="str">
        <f>IF(Table1[[#This Row],[Progres MOS]]&gt;=100%,"Selesai MOS = 100%",IF(Table1[[#This Row],[Progres MOS]]&gt;=50%,"Proses MOS &gt; 100%",IF(Table1[[#This Row],[Progres MOS]]&gt;0%,"Proses MOS &gt; 50%",IF(Table1[[#This Row],[Progres MOS]]=0,"Belum MOS = 0%"))))</f>
        <v>Proses MOS &gt; 100%</v>
      </c>
      <c r="ET30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5" s="47"/>
      <c r="EV305" s="330">
        <v>45894</v>
      </c>
      <c r="EW305" s="330" t="e">
        <v>#N/A</v>
      </c>
      <c r="EX305" s="330">
        <v>45991</v>
      </c>
      <c r="EY305" s="330" t="e">
        <v>#N/A</v>
      </c>
      <c r="EZ305" s="352" t="s">
        <v>298</v>
      </c>
      <c r="FA305" s="336" t="s">
        <v>259</v>
      </c>
      <c r="FB305" s="330" t="s">
        <v>260</v>
      </c>
      <c r="FC305" s="330">
        <v>45943</v>
      </c>
      <c r="FD305" s="330" t="s">
        <v>260</v>
      </c>
      <c r="FE305" s="330">
        <v>45966</v>
      </c>
      <c r="FF305" s="330">
        <v>45995</v>
      </c>
      <c r="FG305" s="330" t="s">
        <v>260</v>
      </c>
      <c r="FH305" s="330" t="s">
        <v>260</v>
      </c>
      <c r="FI305" s="330">
        <v>46010</v>
      </c>
      <c r="FJ305" s="330" t="s">
        <v>260</v>
      </c>
      <c r="FK305" s="330">
        <v>46114</v>
      </c>
      <c r="FL305" s="336" t="s">
        <v>298</v>
      </c>
      <c r="FM305" s="352">
        <v>45943</v>
      </c>
      <c r="FN305" s="338">
        <f>IF(Table1[[#This Row],[Tanggal Pengajuan Dokumen]]="","",Table1[[#This Row],[PLAN PERMIT
start]]-Table1[[#This Row],[Tanggal Pengajuan Dokumen]])</f>
        <v>-49</v>
      </c>
      <c r="FO305" s="437">
        <v>46097</v>
      </c>
      <c r="FP305" s="316" t="s">
        <v>923</v>
      </c>
      <c r="FQ305" s="338"/>
      <c r="FR305" s="338"/>
      <c r="FS305" s="338" t="str">
        <f t="shared" si="14"/>
        <v>On Going</v>
      </c>
      <c r="FT30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5" s="344">
        <f ca="1">IF(Table1[[#This Row],[Status Izin]]="Selesai",Table1[[#This Row],[PLAN PERMIT
finish]]-Table1[[#This Row],[Tanggal Terbit/ Target Izin Terbit]],ROUNDUP(Table1[[#This Row],[PLAN PERMIT
finish]]-NOW(),0))</f>
        <v>-200</v>
      </c>
      <c r="FV30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5" s="344"/>
      <c r="FX305" s="47"/>
      <c r="FY305" s="340"/>
      <c r="FZ305" s="341"/>
      <c r="GA30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5" s="330">
        <v>45965</v>
      </c>
      <c r="GC305" s="352">
        <v>45922</v>
      </c>
      <c r="GD30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5" s="330">
        <v>45972</v>
      </c>
      <c r="GF305" s="352">
        <v>45922</v>
      </c>
      <c r="GG30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5" s="330">
        <v>45978</v>
      </c>
      <c r="GI305" s="330">
        <v>45984</v>
      </c>
      <c r="GJ305" s="352">
        <v>45950</v>
      </c>
      <c r="GK30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5" s="330">
        <v>45992</v>
      </c>
      <c r="GM305" s="330" t="e">
        <v>#N/A</v>
      </c>
      <c r="GN305" s="330">
        <v>46033</v>
      </c>
      <c r="GO305" s="330" t="e">
        <v>#N/A</v>
      </c>
      <c r="GP305" s="330"/>
      <c r="GQ30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5" s="330" t="s">
        <v>261</v>
      </c>
      <c r="GS305" s="330" t="s">
        <v>261</v>
      </c>
      <c r="GT305" s="354">
        <v>46003</v>
      </c>
      <c r="GU305" s="344" t="str">
        <f>IF(Table1[[#This Row],[Hydro Tes Actual
(tanggal)]]&lt;&gt;"","Sudah","Belum")</f>
        <v>Sudah</v>
      </c>
      <c r="GV305" s="330" t="s">
        <v>261</v>
      </c>
      <c r="GW305" s="330" t="s">
        <v>261</v>
      </c>
      <c r="GX305" s="395" t="s">
        <v>2414</v>
      </c>
      <c r="GY305" s="344" t="str">
        <f>IF(Table1[[#This Row],[Interkoneksi Actual
(tanggal)]]&lt;&gt;"","Sudah","Belum")</f>
        <v>Sudah</v>
      </c>
      <c r="GZ305" s="330" t="s">
        <v>261</v>
      </c>
      <c r="HA305" s="330" t="s">
        <v>261</v>
      </c>
      <c r="HB305" s="331">
        <v>46020</v>
      </c>
      <c r="HC305" s="344" t="str">
        <f>IF(Table1[[#This Row],[Flushing Actual
(tanggal)]]&lt;&gt;"","Sudah","Belum")</f>
        <v>Sudah</v>
      </c>
      <c r="HD305" s="330">
        <v>46013</v>
      </c>
      <c r="HE305" s="330" t="e">
        <v>#N/A</v>
      </c>
      <c r="HF305" s="330">
        <v>46026</v>
      </c>
      <c r="HG305" s="352">
        <v>46041</v>
      </c>
      <c r="HH30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5" s="330" t="s">
        <v>261</v>
      </c>
      <c r="HJ305" s="330" t="s">
        <v>261</v>
      </c>
      <c r="HK305" s="331"/>
      <c r="HL305" s="316"/>
      <c r="HM305" s="330">
        <v>46038</v>
      </c>
      <c r="HN305" s="330">
        <v>46038</v>
      </c>
      <c r="HO305" s="330" t="e">
        <v>#N/A</v>
      </c>
      <c r="HP305" s="331">
        <v>46098</v>
      </c>
      <c r="HQ305"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05" s="330">
        <v>46045</v>
      </c>
      <c r="HS305" s="330"/>
      <c r="HT305" s="330">
        <v>46045</v>
      </c>
      <c r="HU305" s="330"/>
      <c r="HV305" s="331">
        <v>46099</v>
      </c>
      <c r="HW30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05" s="47"/>
      <c r="HY305" s="352"/>
      <c r="HZ305" s="352"/>
      <c r="IB305" s="618">
        <f>IFERROR(ROUND((Table1[[#This Row],[PLAN TC
finish]]-Table1[[#This Row],[PLAN MC-0
start]])/30,2),"")</f>
        <v>1.6</v>
      </c>
      <c r="IC305">
        <f>DATEDIF(Table1[[#This Row],[PLAN MC-0
start]],Table1[[#This Row],[PLAN TC
finish]],"m")</f>
        <v>1</v>
      </c>
    </row>
    <row r="306" spans="1:237" s="4" customFormat="1" ht="15" hidden="1" customHeight="1" x14ac:dyDescent="0.2">
      <c r="B306" s="311">
        <f>SUBTOTAL(3,$D$5:D306)</f>
        <v>84</v>
      </c>
      <c r="C306" s="316">
        <v>302</v>
      </c>
      <c r="D306" s="338" t="s">
        <v>244</v>
      </c>
      <c r="E306" s="338" t="s">
        <v>2415</v>
      </c>
      <c r="F306" s="338" t="s">
        <v>2416</v>
      </c>
      <c r="G306" s="349">
        <v>46117</v>
      </c>
      <c r="H306" s="338" t="s">
        <v>681</v>
      </c>
      <c r="I306" s="338" t="s">
        <v>278</v>
      </c>
      <c r="J306" s="480" t="s">
        <v>1830</v>
      </c>
      <c r="K306" s="338" t="s">
        <v>1165</v>
      </c>
      <c r="L306" s="316" t="s">
        <v>250</v>
      </c>
      <c r="M306" s="355" t="s">
        <v>269</v>
      </c>
      <c r="N306" s="107">
        <v>131</v>
      </c>
      <c r="O306" s="31" t="s">
        <v>252</v>
      </c>
      <c r="P30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6" s="35">
        <v>1</v>
      </c>
      <c r="S306" s="34">
        <v>1</v>
      </c>
      <c r="T306" s="34">
        <f>Table1[[#This Row],[Progres Total Aktual
(%)]]</f>
        <v>1</v>
      </c>
      <c r="U306" s="98">
        <f>Table1[[#This Row],[Progres Aktual
(%)]]-Table1[[#This Row],[Target Progres
(%)]]</f>
        <v>0</v>
      </c>
      <c r="V306" s="80">
        <f>Table1[[#This Row],["Volume
BA MC-0"]]</f>
        <v>120</v>
      </c>
      <c r="W306" s="46">
        <f>Table1[[#This Row],[Total Panjang Pipa Aktual
(Sum-&gt;)3]]</f>
        <v>94.5</v>
      </c>
      <c r="X306" s="47"/>
      <c r="Y306" s="67" t="s">
        <v>2417</v>
      </c>
      <c r="Z306" s="67">
        <v>185447130</v>
      </c>
      <c r="AA306" s="67">
        <f>ROUND((Table1[[#This Row],[Nilai RAB Jaringan
(Exclude Ppn)]]-Table1[[#This Row],[RAB Perizinan]])*1.11+Table1[[#This Row],[RAB Perizinan]],0)</f>
        <v>185447130</v>
      </c>
      <c r="AB306" s="486">
        <f>SUM(Table1[[#This Row],[RAB Kegiatan Umum]:[RAB Perizinan]])</f>
        <v>167199306</v>
      </c>
      <c r="AC306" s="436">
        <v>11800140</v>
      </c>
      <c r="AD306" s="436">
        <v>118001403</v>
      </c>
      <c r="AE306" s="436">
        <v>36087763</v>
      </c>
      <c r="AF306" s="436">
        <v>1310000</v>
      </c>
      <c r="AG306" s="483">
        <v>94816739</v>
      </c>
      <c r="AH306" s="33">
        <f>SUM(Table1[[#This Row],[Bobot Keg Umum]:[Bobot Perizinan]])</f>
        <v>1</v>
      </c>
      <c r="AI306" s="33">
        <f>Table1[[#This Row],[RAB Kegiatan Umum]]/Table1[[#This Row],[Nilai RAB Jaringan
(Exclude Ppn)]]</f>
        <v>7.0575292938117817E-2</v>
      </c>
      <c r="AJ306" s="33">
        <f>Table1[[#This Row],[RAB Pemasangan]]/Table1[[#This Row],[Nilai RAB Jaringan
(Exclude Ppn)]]</f>
        <v>0.70575294732383642</v>
      </c>
      <c r="AK306" s="33">
        <f>Table1[[#This Row],[RAB Pengadaan]]/Table1[[#This Row],[Nilai RAB Jaringan
(Exclude Ppn)]]</f>
        <v>0.21583679898767044</v>
      </c>
      <c r="AL306" s="33">
        <f>Table1[[#This Row],[RAB Perizinan]]/Table1[[#This Row],[Nilai RAB Jaringan
(Exclude Ppn)]]</f>
        <v>7.8349607503753627E-3</v>
      </c>
      <c r="AM306" s="47"/>
      <c r="AN306" s="285">
        <v>120</v>
      </c>
      <c r="AO306" s="285">
        <f>SUM(Table1[[#This Row],[Pipa 63 mm]:[Pipa 1,800 mm]])</f>
        <v>0</v>
      </c>
      <c r="AP306" s="285"/>
      <c r="AQ306" s="285"/>
      <c r="AR306" s="285"/>
      <c r="AS306" s="285"/>
      <c r="AT306" s="285"/>
      <c r="AU306" s="285"/>
      <c r="AV306" s="285"/>
      <c r="AW306" s="285"/>
      <c r="AX306" s="285"/>
      <c r="AY306" s="285"/>
      <c r="AZ306" s="285"/>
      <c r="BA306" s="285"/>
      <c r="BB306" s="285"/>
      <c r="BC306" s="285"/>
      <c r="BD306" s="285"/>
      <c r="BE306" s="285"/>
      <c r="BF306" s="285"/>
      <c r="BG306" s="285"/>
      <c r="BH306" s="285"/>
      <c r="BI306" s="285"/>
      <c r="BJ306" s="36">
        <f>SUM(Table1[[#This Row],[Pipa 63 mm2]:[Pipa 1,800 mm21]])</f>
        <v>94.5</v>
      </c>
      <c r="BK306" s="32">
        <v>94.5</v>
      </c>
      <c r="BL306" s="32"/>
      <c r="BM306" s="32"/>
      <c r="BN306" s="32"/>
      <c r="BO306" s="32"/>
      <c r="BP306" s="32"/>
      <c r="BQ306" s="32"/>
      <c r="BR306" s="32"/>
      <c r="BS306" s="32"/>
      <c r="BT306" s="32"/>
      <c r="BU306" s="32"/>
      <c r="BV306" s="32"/>
      <c r="BW306" s="32"/>
      <c r="BX306" s="32"/>
      <c r="BY306" s="32"/>
      <c r="BZ306" s="32"/>
      <c r="CA306" s="32"/>
      <c r="CB306" s="32"/>
      <c r="CC306" s="32"/>
      <c r="CD306" s="32"/>
      <c r="CE306" s="32">
        <v>0</v>
      </c>
      <c r="CF306" s="32"/>
      <c r="CG306" s="32"/>
      <c r="CH306" s="32"/>
      <c r="CI306" s="32">
        <f t="shared" si="15"/>
        <v>0</v>
      </c>
      <c r="CJ306" s="65">
        <f>IF((Table1[[#This Row],["Volume
BA MC-0"]]-Table1[[#This Row],[Total Panjang Pipa Aktual
(Sum-&gt;)3]]-Table1[[#This Row],[Total Volume
tidak dapat dipasang]])&gt;=0,Table1[[#This Row],["Volume
BA MC-0"]]-Table1[[#This Row],[Total Panjang Pipa Aktual
(Sum-&gt;)3]]-Table1[[#This Row],[Total Volume
tidak dapat dipasang]],0)</f>
        <v>25.5</v>
      </c>
      <c r="CK306" s="47"/>
      <c r="CL306" s="484" t="s">
        <v>1821</v>
      </c>
      <c r="CM306" s="34" t="s">
        <v>1821</v>
      </c>
      <c r="CN306" s="484" t="s">
        <v>1821</v>
      </c>
      <c r="CO306" s="484" t="s">
        <v>1821</v>
      </c>
      <c r="CP30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6" s="66">
        <f>IFERROR(Table1[[#This Row],[Progres Keg. Umum
(%)]]*Table1[[#This Row],[Nilai RAB Jaringan
(file pa aji)]],0)</f>
        <v>0</v>
      </c>
      <c r="CR306" s="66">
        <f>IFERROR(Table1[[#This Row],[Progres MOS
(%)]]*Table1[[#This Row],[Nilai RAB Jaringan
(file pa aji)]],0)</f>
        <v>0</v>
      </c>
      <c r="CS306" s="66">
        <f>IFERROR(Table1[[#This Row],[Progres Pemasangan
(%)]]*Table1[[#This Row],[Nilai RAB Jaringan
(file pa aji)]],0)</f>
        <v>0</v>
      </c>
      <c r="CT306" s="66">
        <f>IFERROR(Table1[[#This Row],[Progres Perizinan
(%)]]*Table1[[#This Row],[Nilai RAB Jaringan
(file pa aji)]],0)</f>
        <v>0</v>
      </c>
      <c r="CU306" s="329">
        <v>162361289</v>
      </c>
      <c r="CV306" s="329">
        <v>162361289</v>
      </c>
      <c r="CW306" s="583">
        <v>162361289</v>
      </c>
      <c r="CX306" s="329">
        <v>162361289</v>
      </c>
      <c r="CY306" s="47"/>
      <c r="CZ306" s="330">
        <v>45866</v>
      </c>
      <c r="DA306" s="330">
        <v>45893</v>
      </c>
      <c r="DB306" s="331">
        <v>45865</v>
      </c>
      <c r="DC306" s="316" t="s">
        <v>2418</v>
      </c>
      <c r="DD306" s="67">
        <v>185447130</v>
      </c>
      <c r="DE30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6" s="331">
        <v>45889</v>
      </c>
      <c r="DG306" s="316" t="s">
        <v>2419</v>
      </c>
      <c r="DH306" s="67">
        <v>185447130</v>
      </c>
      <c r="DI30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06" s="330">
        <v>45894</v>
      </c>
      <c r="DK306" s="330">
        <v>45956</v>
      </c>
      <c r="DL306" s="331">
        <v>45897</v>
      </c>
      <c r="DM306" s="316" t="s">
        <v>2420</v>
      </c>
      <c r="DN30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6" s="331">
        <v>45946</v>
      </c>
      <c r="DP306" s="316" t="s">
        <v>2421</v>
      </c>
      <c r="DQ306" s="338" t="s">
        <v>783</v>
      </c>
      <c r="DR30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06" s="330">
        <v>45894</v>
      </c>
      <c r="DT306" s="330" t="e">
        <v>#N/A</v>
      </c>
      <c r="DU306" s="330">
        <v>45935</v>
      </c>
      <c r="DV306" s="330" t="e">
        <v>#N/A</v>
      </c>
      <c r="DW306" s="331">
        <v>45897</v>
      </c>
      <c r="DX306" s="484" t="s">
        <v>2422</v>
      </c>
      <c r="DY306" s="332">
        <v>25</v>
      </c>
      <c r="DZ306" s="334">
        <v>25</v>
      </c>
      <c r="EA30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06" s="331">
        <v>46002</v>
      </c>
      <c r="EC306" s="332">
        <v>24</v>
      </c>
      <c r="ED306" s="332">
        <v>24</v>
      </c>
      <c r="EE306" s="425" t="s">
        <v>2423</v>
      </c>
      <c r="EF306" s="35">
        <v>1</v>
      </c>
      <c r="EG306" s="337">
        <v>1</v>
      </c>
      <c r="EH306" s="316" t="str">
        <f>IF(Table1[[#This Row],[PO Material Aktual 
(%)]]&gt;=100%,"Selesai PO = 100%",IF(Table1[[#This Row],[PO Material Aktual 
(%)]]&gt;=50%,"Proses PO &gt; 100%",IF(Table1[[#This Row],[PO Material Aktual 
(%)]]&gt;0%,"Proses PO &gt; 50%",IF(Table1[[#This Row],[PO Material Aktual 
(%)]]=0,"Belum PO = 0%"))))</f>
        <v>Selesai PO = 100%</v>
      </c>
      <c r="EI30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6" s="330">
        <v>45936</v>
      </c>
      <c r="EK306" s="330" t="e">
        <v>#N/A</v>
      </c>
      <c r="EL306" s="330">
        <v>45984</v>
      </c>
      <c r="EM306" s="330" t="e">
        <v>#N/A</v>
      </c>
      <c r="EN306" s="331">
        <v>46091</v>
      </c>
      <c r="EO306" s="332">
        <f>Table1[[#This Row],[Line PO]]</f>
        <v>24</v>
      </c>
      <c r="EP306" s="316">
        <v>24</v>
      </c>
      <c r="EQ306" s="35">
        <v>0.96</v>
      </c>
      <c r="ER306" s="35">
        <f>Table1[[#This Row],[Line MOS]]/Table1[[#This Row],[Line PR]]</f>
        <v>0.96</v>
      </c>
      <c r="ES306" s="316" t="str">
        <f>IF(Table1[[#This Row],[Progres MOS]]&gt;=100%,"Selesai MOS = 100%",IF(Table1[[#This Row],[Progres MOS]]&gt;=50%,"Proses MOS &gt; 100%",IF(Table1[[#This Row],[Progres MOS]]&gt;0%,"Proses MOS &gt; 50%",IF(Table1[[#This Row],[Progres MOS]]=0,"Belum MOS = 0%"))))</f>
        <v>Proses MOS &gt; 100%</v>
      </c>
      <c r="ET30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6" s="47"/>
      <c r="EV306" s="330">
        <v>45894</v>
      </c>
      <c r="EW306" s="330" t="e">
        <v>#N/A</v>
      </c>
      <c r="EX306" s="330">
        <v>45984</v>
      </c>
      <c r="EY306" s="330" t="e">
        <v>#N/A</v>
      </c>
      <c r="EZ306" s="352" t="s">
        <v>298</v>
      </c>
      <c r="FA306" s="336" t="s">
        <v>259</v>
      </c>
      <c r="FB306" s="330" t="s">
        <v>260</v>
      </c>
      <c r="FC306" s="330">
        <v>45943</v>
      </c>
      <c r="FD306" s="330" t="s">
        <v>260</v>
      </c>
      <c r="FE306" s="330">
        <v>45966</v>
      </c>
      <c r="FF306" s="330">
        <v>45995</v>
      </c>
      <c r="FG306" s="330" t="s">
        <v>260</v>
      </c>
      <c r="FH306" s="330" t="s">
        <v>260</v>
      </c>
      <c r="FI306" s="330">
        <v>46010</v>
      </c>
      <c r="FJ306" s="330" t="s">
        <v>260</v>
      </c>
      <c r="FK306" s="330">
        <v>46114</v>
      </c>
      <c r="FL306" s="336" t="s">
        <v>298</v>
      </c>
      <c r="FM306" s="352">
        <v>45943</v>
      </c>
      <c r="FN306" s="338">
        <f>IF(Table1[[#This Row],[Tanggal Pengajuan Dokumen]]="","",Table1[[#This Row],[PLAN PERMIT
start]]-Table1[[#This Row],[Tanggal Pengajuan Dokumen]])</f>
        <v>-49</v>
      </c>
      <c r="FO306" s="437">
        <v>46097</v>
      </c>
      <c r="FP306" s="316"/>
      <c r="FQ306" s="338"/>
      <c r="FR306" s="338"/>
      <c r="FS306" s="338" t="str">
        <f t="shared" si="14"/>
        <v>Sudah Terbit</v>
      </c>
      <c r="FT30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6" s="344">
        <f ca="1">IF(Table1[[#This Row],[Status Izin]]="Selesai",Table1[[#This Row],[PLAN PERMIT
finish]]-Table1[[#This Row],[Tanggal Terbit/ Target Izin Terbit]],ROUNDUP(Table1[[#This Row],[PLAN PERMIT
finish]]-NOW(),0))</f>
        <v>-113</v>
      </c>
      <c r="FV30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6" s="344"/>
      <c r="FX306" s="47"/>
      <c r="FY306" s="340"/>
      <c r="FZ306" s="341"/>
      <c r="GA30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6" s="330">
        <v>45958</v>
      </c>
      <c r="GC306" s="352">
        <v>45922</v>
      </c>
      <c r="GD30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6" s="330">
        <v>45965</v>
      </c>
      <c r="GF306" s="352">
        <v>45922</v>
      </c>
      <c r="GG30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6" s="330">
        <v>45971</v>
      </c>
      <c r="GI306" s="330">
        <v>45977</v>
      </c>
      <c r="GJ306" s="352">
        <v>45950</v>
      </c>
      <c r="GK30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6" s="330">
        <v>45985</v>
      </c>
      <c r="GM306" s="330" t="e">
        <v>#N/A</v>
      </c>
      <c r="GN306" s="330">
        <v>46005</v>
      </c>
      <c r="GO306" s="330" t="e">
        <v>#N/A</v>
      </c>
      <c r="GP306" s="330"/>
      <c r="GQ30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6" s="330" t="s">
        <v>261</v>
      </c>
      <c r="GS306" s="330" t="s">
        <v>261</v>
      </c>
      <c r="GT306" s="354">
        <v>46001</v>
      </c>
      <c r="GU306" s="344" t="str">
        <f>IF(Table1[[#This Row],[Hydro Tes Actual
(tanggal)]]&lt;&gt;"","Sudah","Belum")</f>
        <v>Sudah</v>
      </c>
      <c r="GV306" s="330" t="s">
        <v>261</v>
      </c>
      <c r="GW306" s="330" t="s">
        <v>261</v>
      </c>
      <c r="GX306" s="331">
        <v>46007</v>
      </c>
      <c r="GY306" s="344" t="str">
        <f>IF(Table1[[#This Row],[Interkoneksi Actual
(tanggal)]]&lt;&gt;"","Sudah","Belum")</f>
        <v>Sudah</v>
      </c>
      <c r="GZ306" s="330" t="s">
        <v>261</v>
      </c>
      <c r="HA306" s="330" t="s">
        <v>261</v>
      </c>
      <c r="HB306" s="331">
        <v>46020</v>
      </c>
      <c r="HC306" s="344" t="str">
        <f>IF(Table1[[#This Row],[Flushing Actual
(tanggal)]]&lt;&gt;"","Sudah","Belum")</f>
        <v>Sudah</v>
      </c>
      <c r="HD306" s="330">
        <v>45992</v>
      </c>
      <c r="HE306" s="330" t="e">
        <v>#N/A</v>
      </c>
      <c r="HF306" s="330">
        <v>46005</v>
      </c>
      <c r="HG306" s="352">
        <v>46035</v>
      </c>
      <c r="HH30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6" s="330" t="s">
        <v>261</v>
      </c>
      <c r="HJ306" s="330" t="s">
        <v>261</v>
      </c>
      <c r="HK306" s="331"/>
      <c r="HL306" s="316"/>
      <c r="HM306" s="330">
        <v>46010</v>
      </c>
      <c r="HN306" s="330">
        <v>46010</v>
      </c>
      <c r="HO306" s="330" t="e">
        <v>#N/A</v>
      </c>
      <c r="HP306" s="331">
        <v>46092</v>
      </c>
      <c r="HQ306"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06" s="330">
        <v>46017</v>
      </c>
      <c r="HS306" s="330"/>
      <c r="HT306" s="330">
        <v>46017</v>
      </c>
      <c r="HU306" s="330"/>
      <c r="HV306" s="331">
        <v>46098</v>
      </c>
      <c r="HW30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06" s="47"/>
      <c r="HY306" s="352"/>
      <c r="HZ306" s="352"/>
      <c r="IB306" s="618">
        <f>IFERROR(ROUND((Table1[[#This Row],[PLAN TC
finish]]-Table1[[#This Row],[PLAN MC-0
start]])/30,2),"")</f>
        <v>1.1299999999999999</v>
      </c>
      <c r="IC306">
        <f>DATEDIF(Table1[[#This Row],[PLAN MC-0
start]],Table1[[#This Row],[PLAN TC
finish]],"m")</f>
        <v>1</v>
      </c>
    </row>
    <row r="307" spans="1:237" s="30" customFormat="1" ht="15" hidden="1" customHeight="1" x14ac:dyDescent="0.2">
      <c r="A307" s="77"/>
      <c r="B307" s="311">
        <f>SUBTOTAL(3,$D$5:D307)</f>
        <v>84</v>
      </c>
      <c r="C307" s="367">
        <v>303</v>
      </c>
      <c r="D307" s="366" t="s">
        <v>244</v>
      </c>
      <c r="E307" s="366" t="s">
        <v>2424</v>
      </c>
      <c r="F307" s="366" t="s">
        <v>2425</v>
      </c>
      <c r="G307" s="364">
        <v>46117</v>
      </c>
      <c r="H307" s="366" t="s">
        <v>681</v>
      </c>
      <c r="I307" s="366" t="s">
        <v>278</v>
      </c>
      <c r="J307" s="385" t="s">
        <v>389</v>
      </c>
      <c r="K307" s="366" t="s">
        <v>1165</v>
      </c>
      <c r="L307" s="367" t="s">
        <v>250</v>
      </c>
      <c r="M307" s="392" t="s">
        <v>269</v>
      </c>
      <c r="N307" s="368">
        <v>299</v>
      </c>
      <c r="O307" s="369" t="s">
        <v>252</v>
      </c>
      <c r="P307"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7" s="385" t="s">
        <v>389</v>
      </c>
      <c r="R307" s="371">
        <v>0.99999999999999989</v>
      </c>
      <c r="S307" s="34">
        <v>1</v>
      </c>
      <c r="T307" s="489">
        <f>Table1[[#This Row],[Progres Total Aktual
(%)]]</f>
        <v>0</v>
      </c>
      <c r="U307" s="490">
        <f>Table1[[#This Row],[Progres Aktual
(%)]]-Table1[[#This Row],[Target Progres
(%)]]</f>
        <v>-1</v>
      </c>
      <c r="V307" s="491">
        <f>Table1[[#This Row],["Volume
BA MC-0"]]</f>
        <v>304.39999999999998</v>
      </c>
      <c r="W307" s="492">
        <f>Table1[[#This Row],[Total Panjang Pipa Aktual
(Sum-&gt;)3]]</f>
        <v>0</v>
      </c>
      <c r="X307" s="47"/>
      <c r="Y307" s="375" t="s">
        <v>2426</v>
      </c>
      <c r="Z307" s="375">
        <v>494486767</v>
      </c>
      <c r="AA307" s="375">
        <f>ROUND((Table1[[#This Row],[Nilai RAB Jaringan
(Exclude Ppn)]]-Table1[[#This Row],[RAB Perizinan]])*1.11+Table1[[#This Row],[RAB Perizinan]],0)</f>
        <v>494486767</v>
      </c>
      <c r="AB307" s="493">
        <f>SUM(Table1[[#This Row],[RAB Kegiatan Umum]:[RAB Perizinan]])</f>
        <v>445779880</v>
      </c>
      <c r="AC307" s="439">
        <v>31966800</v>
      </c>
      <c r="AD307" s="439">
        <v>319667992</v>
      </c>
      <c r="AE307" s="439">
        <v>91155088</v>
      </c>
      <c r="AF307" s="439">
        <v>2990000</v>
      </c>
      <c r="AG307" s="494">
        <v>50568928</v>
      </c>
      <c r="AH307" s="495">
        <f>SUM(Table1[[#This Row],[Bobot Keg Umum]:[Bobot Perizinan]])</f>
        <v>1</v>
      </c>
      <c r="AI307" s="495">
        <f>Table1[[#This Row],[RAB Kegiatan Umum]]/Table1[[#This Row],[Nilai RAB Jaringan
(Exclude Ppn)]]</f>
        <v>7.1709831318542236E-2</v>
      </c>
      <c r="AJ307" s="495">
        <f>Table1[[#This Row],[RAB Pemasangan]]/Table1[[#This Row],[Nilai RAB Jaringan
(Exclude Ppn)]]</f>
        <v>0.71709829523934543</v>
      </c>
      <c r="AK307" s="495">
        <f>Table1[[#This Row],[RAB Pengadaan]]/Table1[[#This Row],[Nilai RAB Jaringan
(Exclude Ppn)]]</f>
        <v>0.20448452720656662</v>
      </c>
      <c r="AL307" s="495">
        <f>Table1[[#This Row],[RAB Perizinan]]/Table1[[#This Row],[Nilai RAB Jaringan
(Exclude Ppn)]]</f>
        <v>6.7073462355456692E-3</v>
      </c>
      <c r="AM307" s="47"/>
      <c r="AN307" s="376">
        <v>304.39999999999998</v>
      </c>
      <c r="AO307" s="376">
        <f>SUM(Table1[[#This Row],[Pipa 63 mm]:[Pipa 1,800 mm]])</f>
        <v>0</v>
      </c>
      <c r="AP307" s="376"/>
      <c r="AQ307" s="376"/>
      <c r="AR307" s="376"/>
      <c r="AS307" s="376"/>
      <c r="AT307" s="376"/>
      <c r="AU307" s="376"/>
      <c r="AV307" s="376"/>
      <c r="AW307" s="376"/>
      <c r="AX307" s="376"/>
      <c r="AY307" s="376"/>
      <c r="AZ307" s="376"/>
      <c r="BA307" s="376"/>
      <c r="BB307" s="376"/>
      <c r="BC307" s="376"/>
      <c r="BD307" s="376"/>
      <c r="BE307" s="376"/>
      <c r="BF307" s="376"/>
      <c r="BG307" s="376"/>
      <c r="BH307" s="376"/>
      <c r="BI307" s="376"/>
      <c r="BJ307" s="377">
        <f>SUM(Table1[[#This Row],[Pipa 63 mm2]:[Pipa 1,800 mm21]])</f>
        <v>0</v>
      </c>
      <c r="BK307" s="378"/>
      <c r="BL307" s="378"/>
      <c r="BM307" s="378"/>
      <c r="BN307" s="378"/>
      <c r="BO307" s="378"/>
      <c r="BP307" s="378"/>
      <c r="BQ307" s="378"/>
      <c r="BR307" s="378"/>
      <c r="BS307" s="378"/>
      <c r="BT307" s="378"/>
      <c r="BU307" s="378"/>
      <c r="BV307" s="378"/>
      <c r="BW307" s="378"/>
      <c r="BX307" s="378"/>
      <c r="BY307" s="378"/>
      <c r="BZ307" s="378"/>
      <c r="CA307" s="378"/>
      <c r="CB307" s="378"/>
      <c r="CC307" s="378"/>
      <c r="CD307" s="378"/>
      <c r="CE307" s="378">
        <v>0</v>
      </c>
      <c r="CF307" s="378"/>
      <c r="CG307" s="378"/>
      <c r="CH307" s="378"/>
      <c r="CI307" s="378">
        <f t="shared" si="15"/>
        <v>0</v>
      </c>
      <c r="CJ307" s="378">
        <f>IF((Table1[[#This Row],["Volume
BA MC-0"]]-Table1[[#This Row],[Total Panjang Pipa Aktual
(Sum-&gt;)3]]-Table1[[#This Row],[Total Volume
tidak dapat dipasang]])&gt;=0,Table1[[#This Row],["Volume
BA MC-0"]]-Table1[[#This Row],[Total Panjang Pipa Aktual
(Sum-&gt;)3]]-Table1[[#This Row],[Total Volume
tidak dapat dipasang]],0)</f>
        <v>304.39999999999998</v>
      </c>
      <c r="CK307" s="47"/>
      <c r="CL307" s="371" t="s">
        <v>1821</v>
      </c>
      <c r="CM307" s="371" t="s">
        <v>1821</v>
      </c>
      <c r="CN307" s="371" t="s">
        <v>1821</v>
      </c>
      <c r="CO307" s="371" t="s">
        <v>1821</v>
      </c>
      <c r="CP307"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7" s="380">
        <f>IFERROR(Table1[[#This Row],[Progres Keg. Umum
(%)]]*Table1[[#This Row],[Nilai RAB Jaringan
(file pa aji)]],0)</f>
        <v>0</v>
      </c>
      <c r="CR307" s="380">
        <f>IFERROR(Table1[[#This Row],[Progres MOS
(%)]]*Table1[[#This Row],[Nilai RAB Jaringan
(file pa aji)]],0)</f>
        <v>0</v>
      </c>
      <c r="CS307" s="380">
        <f>IFERROR(Table1[[#This Row],[Progres Pemasangan
(%)]]*Table1[[#This Row],[Nilai RAB Jaringan
(file pa aji)]],0)</f>
        <v>0</v>
      </c>
      <c r="CT307" s="380">
        <f>IFERROR(Table1[[#This Row],[Progres Perizinan
(%)]]*Table1[[#This Row],[Nilai RAB Jaringan
(file pa aji)]],0)</f>
        <v>0</v>
      </c>
      <c r="CU307" s="329">
        <v>0</v>
      </c>
      <c r="CV307" s="329">
        <v>0</v>
      </c>
      <c r="CW307" s="582">
        <v>0</v>
      </c>
      <c r="CX307" s="329">
        <v>0</v>
      </c>
      <c r="CY307" s="47"/>
      <c r="CZ307" s="386">
        <v>45866</v>
      </c>
      <c r="DA307" s="386">
        <v>45893</v>
      </c>
      <c r="DB307" s="388">
        <v>45867</v>
      </c>
      <c r="DC307" s="367" t="s">
        <v>2427</v>
      </c>
      <c r="DD307" s="375">
        <v>494486767</v>
      </c>
      <c r="DE30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7" s="388">
        <v>45897</v>
      </c>
      <c r="DG307" s="367" t="s">
        <v>2428</v>
      </c>
      <c r="DH307" s="375">
        <v>494486767</v>
      </c>
      <c r="DI307" s="367"/>
      <c r="DJ307" s="386">
        <v>45894</v>
      </c>
      <c r="DK307" s="386">
        <v>45956</v>
      </c>
      <c r="DL307" s="388">
        <v>45934</v>
      </c>
      <c r="DM307" s="367" t="s">
        <v>2429</v>
      </c>
      <c r="DN307" s="382"/>
      <c r="DO307" s="388">
        <v>45953.291666666664</v>
      </c>
      <c r="DP307" s="367" t="s">
        <v>2430</v>
      </c>
      <c r="DQ307" s="366" t="s">
        <v>365</v>
      </c>
      <c r="DR307" s="382"/>
      <c r="DS307" s="386">
        <v>45894</v>
      </c>
      <c r="DT307" s="386" t="e">
        <v>#N/A</v>
      </c>
      <c r="DU307" s="386">
        <v>45935</v>
      </c>
      <c r="DV307" s="386" t="e">
        <v>#N/A</v>
      </c>
      <c r="DW307" s="388">
        <v>45934</v>
      </c>
      <c r="DX307" s="496" t="s">
        <v>2431</v>
      </c>
      <c r="DY307" s="442"/>
      <c r="DZ307" s="442"/>
      <c r="EA307" s="382"/>
      <c r="EB307" s="388"/>
      <c r="EC307" s="442"/>
      <c r="ED307" s="442"/>
      <c r="EE307" s="386"/>
      <c r="EF307" s="371"/>
      <c r="EG307" s="371"/>
      <c r="EH307" s="367"/>
      <c r="EI307"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7" s="386">
        <v>45936</v>
      </c>
      <c r="EK307" s="386" t="e">
        <v>#N/A</v>
      </c>
      <c r="EL307" s="386">
        <v>45984</v>
      </c>
      <c r="EM307" s="386" t="e">
        <v>#N/A</v>
      </c>
      <c r="EN307" s="388"/>
      <c r="EO307" s="442"/>
      <c r="EP307" s="367"/>
      <c r="EQ307" s="371"/>
      <c r="ER307" s="371"/>
      <c r="ES307" s="367"/>
      <c r="ET30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7" s="47"/>
      <c r="EV307" s="386">
        <v>45894</v>
      </c>
      <c r="EW307" s="386" t="e">
        <v>#N/A</v>
      </c>
      <c r="EX307" s="386">
        <v>45984</v>
      </c>
      <c r="EY307" s="386" t="e">
        <v>#N/A</v>
      </c>
      <c r="EZ307" s="384" t="s">
        <v>298</v>
      </c>
      <c r="FA307" s="385" t="s">
        <v>389</v>
      </c>
      <c r="FB307" s="386" t="s">
        <v>260</v>
      </c>
      <c r="FC307" s="330"/>
      <c r="FD307" s="386"/>
      <c r="FE307" s="386"/>
      <c r="FF307" s="386"/>
      <c r="FG307" s="386"/>
      <c r="FH307" s="386"/>
      <c r="FI307" s="386"/>
      <c r="FJ307" s="386"/>
      <c r="FK307" s="386"/>
      <c r="FL307" s="443" t="str">
        <f>Table1[[#This Row],[IPPJU]]</f>
        <v>9.Proses Penerbitan Izin</v>
      </c>
      <c r="FM307" s="443"/>
      <c r="FN307" s="365" t="str">
        <f>IF(Table1[[#This Row],[Tanggal Pengajuan Dokumen]]="","",Table1[[#This Row],[PLAN PERMIT
start]]-Table1[[#This Row],[Tanggal Pengajuan Dokumen]])</f>
        <v/>
      </c>
      <c r="FO307" s="444">
        <v>46097</v>
      </c>
      <c r="FP307" s="367"/>
      <c r="FQ307" s="366"/>
      <c r="FR307" s="366"/>
      <c r="FS307" s="366" t="str">
        <f t="shared" si="14"/>
        <v>On Going</v>
      </c>
      <c r="FT307"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7" s="387">
        <f ca="1">IF(Table1[[#This Row],[Status Izin]]="Selesai",Table1[[#This Row],[PLAN PERMIT
finish]]-Table1[[#This Row],[Tanggal Terbit/ Target Izin Terbit]],ROUNDUP(Table1[[#This Row],[PLAN PERMIT
finish]]-NOW(),0))</f>
        <v>-207</v>
      </c>
      <c r="FV307"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7" s="387"/>
      <c r="FX307" s="47"/>
      <c r="FY307" s="340"/>
      <c r="FZ307" s="341"/>
      <c r="GA30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7" s="386">
        <v>45958</v>
      </c>
      <c r="GC307" s="384">
        <v>45922</v>
      </c>
      <c r="GD307"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7" s="386">
        <v>45965</v>
      </c>
      <c r="GF307" s="384">
        <v>45922</v>
      </c>
      <c r="GG307"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7" s="386">
        <v>45971</v>
      </c>
      <c r="GI307" s="386">
        <v>45977</v>
      </c>
      <c r="GJ307" s="384">
        <v>45951</v>
      </c>
      <c r="GK307"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7" s="386">
        <v>45985</v>
      </c>
      <c r="GM307" s="386" t="e">
        <v>#N/A</v>
      </c>
      <c r="GN307" s="386">
        <v>46005</v>
      </c>
      <c r="GO307" s="386" t="e">
        <v>#N/A</v>
      </c>
      <c r="GP307" s="386"/>
      <c r="GQ307"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7" s="386" t="s">
        <v>261</v>
      </c>
      <c r="GS307" s="386" t="s">
        <v>261</v>
      </c>
      <c r="GT307" s="390"/>
      <c r="GU307" s="387" t="str">
        <f>IF(Table1[[#This Row],[Hydro Tes Actual
(tanggal)]]&lt;&gt;"","Sudah","Belum")</f>
        <v>Belum</v>
      </c>
      <c r="GV307" s="386" t="s">
        <v>261</v>
      </c>
      <c r="GW307" s="386" t="s">
        <v>261</v>
      </c>
      <c r="GX307" s="388"/>
      <c r="GY307" s="387" t="str">
        <f>IF(Table1[[#This Row],[Interkoneksi Actual
(tanggal)]]&lt;&gt;"","Sudah","Belum")</f>
        <v>Belum</v>
      </c>
      <c r="GZ307" s="386" t="s">
        <v>261</v>
      </c>
      <c r="HA307" s="386" t="s">
        <v>261</v>
      </c>
      <c r="HB307" s="388"/>
      <c r="HC307" s="387" t="str">
        <f>IF(Table1[[#This Row],[Flushing Actual
(tanggal)]]&lt;&gt;"","Sudah","Belum")</f>
        <v>Belum</v>
      </c>
      <c r="HD307" s="386">
        <v>45992</v>
      </c>
      <c r="HE307" s="386" t="e">
        <v>#N/A</v>
      </c>
      <c r="HF307" s="386">
        <v>46005</v>
      </c>
      <c r="HG307" s="384"/>
      <c r="HH307"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7" s="386" t="s">
        <v>261</v>
      </c>
      <c r="HJ307" s="386" t="s">
        <v>261</v>
      </c>
      <c r="HK307" s="388"/>
      <c r="HL307" s="367"/>
      <c r="HM307" s="386">
        <v>46010</v>
      </c>
      <c r="HN307" s="386">
        <v>46010</v>
      </c>
      <c r="HO307" s="386" t="e">
        <v>#N/A</v>
      </c>
      <c r="HP307" s="388"/>
      <c r="HQ307"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07" s="386">
        <v>46017</v>
      </c>
      <c r="HS307" s="386"/>
      <c r="HT307" s="386">
        <v>46017</v>
      </c>
      <c r="HU307" s="386"/>
      <c r="HV307" s="388"/>
      <c r="HW307"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07" s="47"/>
      <c r="HY307" s="384"/>
      <c r="HZ307" s="384"/>
      <c r="IB307" s="618">
        <f>IFERROR(ROUND((Table1[[#This Row],[PLAN TC
finish]]-Table1[[#This Row],[PLAN MC-0
start]])/30,2),"")</f>
        <v>1.1299999999999999</v>
      </c>
      <c r="IC307">
        <f>DATEDIF(Table1[[#This Row],[PLAN MC-0
start]],Table1[[#This Row],[PLAN TC
finish]],"m")</f>
        <v>1</v>
      </c>
    </row>
    <row r="308" spans="1:237" s="4" customFormat="1" ht="15" hidden="1" customHeight="1" x14ac:dyDescent="0.2">
      <c r="B308" s="311">
        <f>SUBTOTAL(3,$D$5:D308)</f>
        <v>84</v>
      </c>
      <c r="C308" s="316">
        <v>304</v>
      </c>
      <c r="D308" s="338" t="s">
        <v>244</v>
      </c>
      <c r="E308" s="338" t="s">
        <v>2432</v>
      </c>
      <c r="F308" s="338" t="s">
        <v>2433</v>
      </c>
      <c r="G308" s="349">
        <v>46117</v>
      </c>
      <c r="H308" s="338" t="s">
        <v>681</v>
      </c>
      <c r="I308" s="338" t="s">
        <v>278</v>
      </c>
      <c r="J308" s="480" t="s">
        <v>1818</v>
      </c>
      <c r="K308" s="338" t="s">
        <v>1165</v>
      </c>
      <c r="L308" s="316" t="s">
        <v>250</v>
      </c>
      <c r="M308" s="355" t="s">
        <v>269</v>
      </c>
      <c r="N308" s="107">
        <v>317</v>
      </c>
      <c r="O308" s="31" t="s">
        <v>252</v>
      </c>
      <c r="P30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08" s="35">
        <v>1</v>
      </c>
      <c r="S308" s="34">
        <v>1</v>
      </c>
      <c r="T308" s="34">
        <f>Table1[[#This Row],[Progres Total Aktual
(%)]]</f>
        <v>0.80723427911278667</v>
      </c>
      <c r="U308" s="98">
        <f>Table1[[#This Row],[Progres Aktual
(%)]]-Table1[[#This Row],[Target Progres
(%)]]</f>
        <v>-0.19276572088721333</v>
      </c>
      <c r="V308" s="80">
        <f>Table1[[#This Row],["Volume
BA MC-0"]]</f>
        <v>274</v>
      </c>
      <c r="W308" s="46">
        <f>Table1[[#This Row],[Total Panjang Pipa Aktual
(Sum-&gt;)3]]</f>
        <v>262</v>
      </c>
      <c r="X308" s="47"/>
      <c r="Y308" s="67" t="s">
        <v>2434</v>
      </c>
      <c r="Z308" s="67">
        <v>431444798</v>
      </c>
      <c r="AA308" s="67">
        <f>ROUND((Table1[[#This Row],[Nilai RAB Jaringan
(Exclude Ppn)]]-Table1[[#This Row],[RAB Perizinan]])*1.11+Table1[[#This Row],[RAB Perizinan]],0)</f>
        <v>431444798</v>
      </c>
      <c r="AB308" s="486">
        <f>SUM(Table1[[#This Row],[RAB Kegiatan Umum]:[RAB Perizinan]])</f>
        <v>389003151</v>
      </c>
      <c r="AC308" s="436">
        <v>30109809</v>
      </c>
      <c r="AD308" s="436">
        <v>301098087</v>
      </c>
      <c r="AE308" s="436">
        <v>54625255</v>
      </c>
      <c r="AF308" s="436">
        <v>3170000</v>
      </c>
      <c r="AG308" s="483">
        <v>21070387</v>
      </c>
      <c r="AH308" s="33">
        <f>SUM(Table1[[#This Row],[Bobot Keg Umum]:[Bobot Perizinan]])</f>
        <v>0.99999999999999989</v>
      </c>
      <c r="AI308" s="33">
        <f>Table1[[#This Row],[RAB Kegiatan Umum]]/Table1[[#This Row],[Nilai RAB Jaringan
(Exclude Ppn)]]</f>
        <v>7.7402480989157849E-2</v>
      </c>
      <c r="AJ308" s="33">
        <f>Table1[[#This Row],[RAB Pemasangan]]/Table1[[#This Row],[Nilai RAB Jaringan
(Exclude Ppn)]]</f>
        <v>0.77402480217955871</v>
      </c>
      <c r="AK308" s="33">
        <f>Table1[[#This Row],[RAB Pengadaan]]/Table1[[#This Row],[Nilai RAB Jaringan
(Exclude Ppn)]]</f>
        <v>0.14042368258348631</v>
      </c>
      <c r="AL308" s="33">
        <f>Table1[[#This Row],[RAB Perizinan]]/Table1[[#This Row],[Nilai RAB Jaringan
(Exclude Ppn)]]</f>
        <v>8.1490342477971347E-3</v>
      </c>
      <c r="AM308" s="47"/>
      <c r="AN308" s="285">
        <v>274</v>
      </c>
      <c r="AO308" s="285">
        <f>SUM(Table1[[#This Row],[Pipa 63 mm]:[Pipa 1,800 mm]])</f>
        <v>0</v>
      </c>
      <c r="AP308" s="285"/>
      <c r="AQ308" s="285"/>
      <c r="AR308" s="285"/>
      <c r="AS308" s="285"/>
      <c r="AT308" s="285"/>
      <c r="AU308" s="285"/>
      <c r="AV308" s="285"/>
      <c r="AW308" s="285"/>
      <c r="AX308" s="285"/>
      <c r="AY308" s="285"/>
      <c r="AZ308" s="285"/>
      <c r="BA308" s="285"/>
      <c r="BB308" s="285"/>
      <c r="BC308" s="285"/>
      <c r="BD308" s="285"/>
      <c r="BE308" s="285"/>
      <c r="BF308" s="285"/>
      <c r="BG308" s="285"/>
      <c r="BH308" s="285"/>
      <c r="BI308" s="285"/>
      <c r="BJ308" s="36">
        <f>SUM(Table1[[#This Row],[Pipa 63 mm2]:[Pipa 1,800 mm21]])</f>
        <v>262</v>
      </c>
      <c r="BK308" s="32">
        <v>262</v>
      </c>
      <c r="BL308" s="32"/>
      <c r="BM308" s="32"/>
      <c r="BN308" s="32"/>
      <c r="BO308" s="32"/>
      <c r="BP308" s="32"/>
      <c r="BQ308" s="32"/>
      <c r="BR308" s="32"/>
      <c r="BS308" s="32"/>
      <c r="BT308" s="32"/>
      <c r="BU308" s="32"/>
      <c r="BV308" s="32"/>
      <c r="BW308" s="32"/>
      <c r="BX308" s="32"/>
      <c r="BY308" s="32"/>
      <c r="BZ308" s="32"/>
      <c r="CA308" s="32"/>
      <c r="CB308" s="32"/>
      <c r="CC308" s="32"/>
      <c r="CD308" s="32"/>
      <c r="CE308" s="32">
        <v>0</v>
      </c>
      <c r="CF308" s="32"/>
      <c r="CG308" s="32"/>
      <c r="CH308" s="32"/>
      <c r="CI308" s="32">
        <f t="shared" si="15"/>
        <v>0</v>
      </c>
      <c r="CJ308" s="65">
        <f>IF((Table1[[#This Row],["Volume
BA MC-0"]]-Table1[[#This Row],[Total Panjang Pipa Aktual
(Sum-&gt;)3]]-Table1[[#This Row],[Total Volume
tidak dapat dipasang]])&gt;=0,Table1[[#This Row],["Volume
BA MC-0"]]-Table1[[#This Row],[Total Panjang Pipa Aktual
(Sum-&gt;)3]]-Table1[[#This Row],[Total Volume
tidak dapat dipasang]],0)</f>
        <v>12</v>
      </c>
      <c r="CK308" s="47"/>
      <c r="CL308" s="484" t="s">
        <v>1821</v>
      </c>
      <c r="CM308" s="34" t="s">
        <v>1821</v>
      </c>
      <c r="CN308" s="484" t="s">
        <v>1821</v>
      </c>
      <c r="CO308" s="484" t="s">
        <v>1821</v>
      </c>
      <c r="CP30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0.80723427911278667</v>
      </c>
      <c r="CQ308" s="66">
        <f>IFERROR(Table1[[#This Row],[Progres Keg. Umum
(%)]]*Table1[[#This Row],[Nilai RAB Jaringan
(file pa aji)]],0)</f>
        <v>0</v>
      </c>
      <c r="CR308" s="66">
        <f>IFERROR(Table1[[#This Row],[Progres MOS
(%)]]*Table1[[#This Row],[Nilai RAB Jaringan
(file pa aji)]],0)</f>
        <v>0</v>
      </c>
      <c r="CS308" s="66">
        <f>IFERROR(Table1[[#This Row],[Progres Pemasangan
(%)]]*Table1[[#This Row],[Nilai RAB Jaringan
(file pa aji)]],0)</f>
        <v>0</v>
      </c>
      <c r="CT308" s="66">
        <f>IFERROR(Table1[[#This Row],[Progres Perizinan
(%)]]*Table1[[#This Row],[Nilai RAB Jaringan
(file pa aji)]],0)</f>
        <v>0</v>
      </c>
      <c r="CU308" s="329">
        <v>348277030.49049187</v>
      </c>
      <c r="CV308" s="329">
        <v>348277030.49049187</v>
      </c>
      <c r="CW308" s="583">
        <v>0</v>
      </c>
      <c r="CX308" s="329">
        <v>0</v>
      </c>
      <c r="CY308" s="47"/>
      <c r="CZ308" s="330">
        <v>45866</v>
      </c>
      <c r="DA308" s="330">
        <v>45893</v>
      </c>
      <c r="DB308" s="331">
        <v>45865</v>
      </c>
      <c r="DC308" s="316" t="s">
        <v>2435</v>
      </c>
      <c r="DD308" s="67">
        <v>431444797</v>
      </c>
      <c r="DE30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8" s="331">
        <v>45926</v>
      </c>
      <c r="DG308" s="316" t="s">
        <v>2436</v>
      </c>
      <c r="DH308" s="67">
        <v>431444797</v>
      </c>
      <c r="DI30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8" s="330">
        <v>45894</v>
      </c>
      <c r="DK308" s="330">
        <v>45963</v>
      </c>
      <c r="DL308" s="331">
        <v>45943</v>
      </c>
      <c r="DM308" s="316" t="s">
        <v>2437</v>
      </c>
      <c r="DN30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8" s="331">
        <v>45966</v>
      </c>
      <c r="DP308" s="4" t="s">
        <v>2438</v>
      </c>
      <c r="DQ308" s="338" t="s">
        <v>365</v>
      </c>
      <c r="DR30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8" s="330">
        <v>45894</v>
      </c>
      <c r="DT308" s="330" t="e">
        <v>#N/A</v>
      </c>
      <c r="DU308" s="330">
        <v>45935</v>
      </c>
      <c r="DV308" s="330" t="e">
        <v>#N/A</v>
      </c>
      <c r="DW308" s="331">
        <v>45943</v>
      </c>
      <c r="DX308" s="484" t="s">
        <v>2439</v>
      </c>
      <c r="DY308" s="334">
        <v>32</v>
      </c>
      <c r="DZ308" s="334">
        <v>32</v>
      </c>
      <c r="EA30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8" s="331"/>
      <c r="EC308" s="332">
        <v>28</v>
      </c>
      <c r="ED308" s="332">
        <v>28</v>
      </c>
      <c r="EE308" s="330"/>
      <c r="EF308" s="35">
        <v>0.875</v>
      </c>
      <c r="EG308" s="35">
        <f>Table1[[#This Row],[Line PO (kolom  bantu)2]]/Table1[[#This Row],[Line PR]]</f>
        <v>0.875</v>
      </c>
      <c r="EH308" s="316" t="str">
        <f>IF(Table1[[#This Row],[PO Material Aktual 
(%)]]&gt;=100%,"Selesai PO = 100%",IF(Table1[[#This Row],[PO Material Aktual 
(%)]]&gt;=50%,"Proses PO &gt; 100%",IF(Table1[[#This Row],[PO Material Aktual 
(%)]]&gt;0%,"Proses PO &gt; 50%",IF(Table1[[#This Row],[PO Material Aktual 
(%)]]=0,"Belum PO = 0%"))))</f>
        <v>Proses PO &gt; 100%</v>
      </c>
      <c r="EI30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8" s="330">
        <v>45936</v>
      </c>
      <c r="EK308" s="330" t="e">
        <v>#N/A</v>
      </c>
      <c r="EL308" s="330">
        <v>45991</v>
      </c>
      <c r="EM308" s="330" t="e">
        <v>#N/A</v>
      </c>
      <c r="EN308" s="331"/>
      <c r="EO308" s="332">
        <v>27</v>
      </c>
      <c r="EP308" s="316">
        <v>27</v>
      </c>
      <c r="EQ308" s="35">
        <v>0.84375</v>
      </c>
      <c r="ER308" s="35">
        <f>Table1[[#This Row],[Line MOS]]/Table1[[#This Row],[Line PR]]</f>
        <v>0.84375</v>
      </c>
      <c r="ES308" s="316" t="str">
        <f>IF(Table1[[#This Row],[Progres MOS]]&gt;=100%,"Selesai MOS = 100%",IF(Table1[[#This Row],[Progres MOS]]&gt;=50%,"Proses MOS &gt; 100%",IF(Table1[[#This Row],[Progres MOS]]&gt;0%,"Proses MOS &gt; 50%",IF(Table1[[#This Row],[Progres MOS]]=0,"Belum MOS = 0%"))))</f>
        <v>Proses MOS &gt; 100%</v>
      </c>
      <c r="ET30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8" s="47"/>
      <c r="EV308" s="330">
        <v>45894</v>
      </c>
      <c r="EW308" s="330" t="e">
        <v>#N/A</v>
      </c>
      <c r="EX308" s="330">
        <v>45991</v>
      </c>
      <c r="EY308" s="330" t="e">
        <v>#N/A</v>
      </c>
      <c r="EZ308" s="352" t="s">
        <v>298</v>
      </c>
      <c r="FA308" s="336" t="s">
        <v>259</v>
      </c>
      <c r="FB308" s="330" t="s">
        <v>260</v>
      </c>
      <c r="FC308" s="330">
        <v>45943</v>
      </c>
      <c r="FD308" s="330" t="s">
        <v>260</v>
      </c>
      <c r="FE308" s="330">
        <v>45966</v>
      </c>
      <c r="FF308" s="330">
        <v>45995</v>
      </c>
      <c r="FG308" s="330" t="s">
        <v>260</v>
      </c>
      <c r="FH308" s="330" t="s">
        <v>260</v>
      </c>
      <c r="FI308" s="330">
        <v>46010</v>
      </c>
      <c r="FJ308" s="330" t="s">
        <v>260</v>
      </c>
      <c r="FK308" s="330">
        <v>46114</v>
      </c>
      <c r="FL308" s="336" t="s">
        <v>298</v>
      </c>
      <c r="FM308" s="352">
        <v>45943</v>
      </c>
      <c r="FN308" s="338">
        <f>IF(Table1[[#This Row],[Tanggal Pengajuan Dokumen]]="","",Table1[[#This Row],[PLAN PERMIT
start]]-Table1[[#This Row],[Tanggal Pengajuan Dokumen]])</f>
        <v>-49</v>
      </c>
      <c r="FO308" s="437">
        <v>46097</v>
      </c>
      <c r="FP308" s="316"/>
      <c r="FQ308" s="338"/>
      <c r="FR308" s="338"/>
      <c r="FS308" s="338" t="str">
        <f t="shared" si="14"/>
        <v>Sudah Terbit</v>
      </c>
      <c r="FT30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8" s="344">
        <f ca="1">IF(Table1[[#This Row],[Status Izin]]="Selesai",Table1[[#This Row],[PLAN PERMIT
finish]]-Table1[[#This Row],[Tanggal Terbit/ Target Izin Terbit]],ROUNDUP(Table1[[#This Row],[PLAN PERMIT
finish]]-NOW(),0))</f>
        <v>-106</v>
      </c>
      <c r="FV30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8" s="344"/>
      <c r="FX308" s="47"/>
      <c r="FY308" s="340"/>
      <c r="FZ308" s="341"/>
      <c r="GA30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8" s="330">
        <v>45965</v>
      </c>
      <c r="GC308" s="352">
        <v>45922</v>
      </c>
      <c r="GD30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8" s="330">
        <v>45972</v>
      </c>
      <c r="GF308" s="352">
        <v>45922</v>
      </c>
      <c r="GG30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8" s="330">
        <v>45978</v>
      </c>
      <c r="GI308" s="330">
        <v>45984</v>
      </c>
      <c r="GJ308" s="352">
        <v>45951</v>
      </c>
      <c r="GK30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8" s="330">
        <v>45992</v>
      </c>
      <c r="GM308" s="330" t="e">
        <v>#N/A</v>
      </c>
      <c r="GN308" s="330">
        <v>46033</v>
      </c>
      <c r="GO308" s="330" t="e">
        <v>#N/A</v>
      </c>
      <c r="GP308" s="330"/>
      <c r="GQ30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8" s="330" t="s">
        <v>261</v>
      </c>
      <c r="GS308" s="330" t="s">
        <v>261</v>
      </c>
      <c r="GT308" s="354">
        <v>46132</v>
      </c>
      <c r="GU308" s="344" t="str">
        <f>IF(Table1[[#This Row],[Hydro Tes Actual
(tanggal)]]&lt;&gt;"","Sudah","Belum")</f>
        <v>Sudah</v>
      </c>
      <c r="GV308" s="330" t="s">
        <v>261</v>
      </c>
      <c r="GW308" s="330" t="s">
        <v>261</v>
      </c>
      <c r="GX308" s="331">
        <v>46153</v>
      </c>
      <c r="GY308" s="344" t="str">
        <f>IF(Table1[[#This Row],[Interkoneksi Actual
(tanggal)]]&lt;&gt;"","Sudah","Belum")</f>
        <v>Sudah</v>
      </c>
      <c r="GZ308" s="330" t="s">
        <v>261</v>
      </c>
      <c r="HA308" s="330" t="s">
        <v>261</v>
      </c>
      <c r="HB308" s="331">
        <v>46135</v>
      </c>
      <c r="HC308" s="344" t="str">
        <f>IF(Table1[[#This Row],[Flushing Actual
(tanggal)]]&lt;&gt;"","Sudah","Belum")</f>
        <v>Sudah</v>
      </c>
      <c r="HD308" s="330">
        <v>46013</v>
      </c>
      <c r="HE308" s="330" t="e">
        <v>#N/A</v>
      </c>
      <c r="HF308" s="330">
        <v>46026</v>
      </c>
      <c r="HG308" s="352">
        <v>46162</v>
      </c>
      <c r="HH30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8" s="330" t="s">
        <v>261</v>
      </c>
      <c r="HJ308" s="330" t="s">
        <v>261</v>
      </c>
      <c r="HK308" s="331"/>
      <c r="HL308" s="316"/>
      <c r="HM308" s="330">
        <v>46038</v>
      </c>
      <c r="HN308" s="330">
        <v>46038</v>
      </c>
      <c r="HO308" s="330" t="e">
        <v>#N/A</v>
      </c>
      <c r="HP308" s="331"/>
      <c r="HQ308"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08" s="330">
        <v>46045</v>
      </c>
      <c r="HS308" s="330"/>
      <c r="HT308" s="330">
        <v>46045</v>
      </c>
      <c r="HU308" s="330"/>
      <c r="HV308" s="331"/>
      <c r="HW30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08" s="47"/>
      <c r="HY308" s="352"/>
      <c r="HZ308" s="352"/>
      <c r="IB308" s="618">
        <f>IFERROR(ROUND((Table1[[#This Row],[PLAN TC
finish]]-Table1[[#This Row],[PLAN MC-0
start]])/30,2),"")</f>
        <v>1.6</v>
      </c>
      <c r="IC308">
        <f>DATEDIF(Table1[[#This Row],[PLAN MC-0
start]],Table1[[#This Row],[PLAN TC
finish]],"m")</f>
        <v>1</v>
      </c>
    </row>
    <row r="309" spans="1:237" s="4" customFormat="1" ht="15" hidden="1" customHeight="1" x14ac:dyDescent="0.2">
      <c r="B309" s="311">
        <f>SUBTOTAL(3,$D$5:D309)</f>
        <v>84</v>
      </c>
      <c r="C309" s="316">
        <v>305</v>
      </c>
      <c r="D309" s="338" t="s">
        <v>244</v>
      </c>
      <c r="E309" s="338" t="s">
        <v>2440</v>
      </c>
      <c r="F309" s="338" t="s">
        <v>2441</v>
      </c>
      <c r="G309" s="349">
        <v>46117</v>
      </c>
      <c r="H309" s="338" t="s">
        <v>681</v>
      </c>
      <c r="I309" s="338" t="s">
        <v>278</v>
      </c>
      <c r="J309" s="480" t="s">
        <v>1830</v>
      </c>
      <c r="K309" s="338" t="s">
        <v>1165</v>
      </c>
      <c r="L309" s="316" t="s">
        <v>250</v>
      </c>
      <c r="M309" s="355" t="s">
        <v>269</v>
      </c>
      <c r="N309" s="107">
        <v>1617</v>
      </c>
      <c r="O309" s="31" t="s">
        <v>252</v>
      </c>
      <c r="P30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9" s="35">
        <v>1.0000000000000002</v>
      </c>
      <c r="S309" s="34">
        <v>1</v>
      </c>
      <c r="T309" s="34">
        <f>Table1[[#This Row],[Progres Total Aktual
(%)]]</f>
        <v>1</v>
      </c>
      <c r="U309" s="98">
        <f>Table1[[#This Row],[Progres Aktual
(%)]]-Table1[[#This Row],[Target Progres
(%)]]</f>
        <v>0</v>
      </c>
      <c r="V309" s="80">
        <f>Table1[[#This Row],["Volume
BA MC-0"]]</f>
        <v>1668.7</v>
      </c>
      <c r="W309" s="46">
        <f>Table1[[#This Row],[Total Panjang Pipa Aktual
(Sum-&gt;)3]]</f>
        <v>1570</v>
      </c>
      <c r="X309" s="47"/>
      <c r="Y309" s="67" t="s">
        <v>1368</v>
      </c>
      <c r="Z309" s="67">
        <v>2505791651</v>
      </c>
      <c r="AA309" s="67">
        <f>ROUND((Table1[[#This Row],[Nilai RAB Jaringan
(Exclude Ppn)]]-Table1[[#This Row],[RAB Perizinan]])*1.11+Table1[[#This Row],[RAB Perizinan]],0)</f>
        <v>2505791650</v>
      </c>
      <c r="AB309" s="486">
        <f>SUM(Table1[[#This Row],[RAB Kegiatan Umum]:[RAB Perizinan]])</f>
        <v>2259766081</v>
      </c>
      <c r="AC309" s="436">
        <v>150129199</v>
      </c>
      <c r="AD309" s="436">
        <v>1501291987</v>
      </c>
      <c r="AE309" s="436">
        <v>585174895</v>
      </c>
      <c r="AF309" s="436">
        <v>23170000</v>
      </c>
      <c r="AG309" s="483">
        <v>2107039</v>
      </c>
      <c r="AH309" s="33">
        <f>SUM(Table1[[#This Row],[Bobot Keg Umum]:[Bobot Perizinan]])</f>
        <v>1.0000000000000002</v>
      </c>
      <c r="AI309" s="33">
        <f>Table1[[#This Row],[RAB Kegiatan Umum]]/Table1[[#This Row],[Nilai RAB Jaringan
(Exclude Ppn)]]</f>
        <v>6.6435725477198185E-2</v>
      </c>
      <c r="AJ309" s="33">
        <f>Table1[[#This Row],[RAB Pemasangan]]/Table1[[#This Row],[Nilai RAB Jaringan
(Exclude Ppn)]]</f>
        <v>0.66435725344441088</v>
      </c>
      <c r="AK309" s="33">
        <f>Table1[[#This Row],[RAB Pengadaan]]/Table1[[#This Row],[Nilai RAB Jaringan
(Exclude Ppn)]]</f>
        <v>0.25895374743435667</v>
      </c>
      <c r="AL309" s="33">
        <f>Table1[[#This Row],[RAB Perizinan]]/Table1[[#This Row],[Nilai RAB Jaringan
(Exclude Ppn)]]</f>
        <v>1.0253273644034309E-2</v>
      </c>
      <c r="AM309" s="47"/>
      <c r="AN309" s="285">
        <f>125+415+511.5+617.2</f>
        <v>1668.7</v>
      </c>
      <c r="AO309" s="285">
        <f>SUM(Table1[[#This Row],[Pipa 63 mm]:[Pipa 1,800 mm]])</f>
        <v>0</v>
      </c>
      <c r="AP309" s="285"/>
      <c r="AQ309" s="285"/>
      <c r="AR309" s="285"/>
      <c r="AS309" s="285"/>
      <c r="AT309" s="285"/>
      <c r="AU309" s="285"/>
      <c r="AV309" s="285"/>
      <c r="AW309" s="285"/>
      <c r="AX309" s="285"/>
      <c r="AY309" s="285"/>
      <c r="AZ309" s="285"/>
      <c r="BA309" s="285"/>
      <c r="BB309" s="285"/>
      <c r="BC309" s="285"/>
      <c r="BD309" s="285"/>
      <c r="BE309" s="285"/>
      <c r="BF309" s="285"/>
      <c r="BG309" s="285"/>
      <c r="BH309" s="285"/>
      <c r="BI309" s="285"/>
      <c r="BJ309" s="36">
        <f>SUM(Table1[[#This Row],[Pipa 63 mm2]:[Pipa 1,800 mm21]])</f>
        <v>1570</v>
      </c>
      <c r="BK309" s="32">
        <v>582</v>
      </c>
      <c r="BL309" s="32">
        <v>471</v>
      </c>
      <c r="BM309" s="32">
        <v>384</v>
      </c>
      <c r="BN309" s="32">
        <v>133</v>
      </c>
      <c r="BO309" s="32"/>
      <c r="BP309" s="32"/>
      <c r="BQ309" s="32"/>
      <c r="BR309" s="32"/>
      <c r="BS309" s="32"/>
      <c r="BT309" s="32"/>
      <c r="BU309" s="32"/>
      <c r="BV309" s="32"/>
      <c r="BW309" s="32"/>
      <c r="BX309" s="32"/>
      <c r="BY309" s="32"/>
      <c r="BZ309" s="32"/>
      <c r="CA309" s="32"/>
      <c r="CB309" s="32"/>
      <c r="CC309" s="32"/>
      <c r="CD309" s="32"/>
      <c r="CE309" s="32">
        <v>103</v>
      </c>
      <c r="CF309" s="32">
        <f>57+37</f>
        <v>94</v>
      </c>
      <c r="CG309" s="32"/>
      <c r="CH309" s="32"/>
      <c r="CI309" s="32">
        <f t="shared" si="15"/>
        <v>197</v>
      </c>
      <c r="CJ309" s="65">
        <f>IF((Table1[[#This Row],["Volume
BA MC-0"]]-Table1[[#This Row],[Total Panjang Pipa Aktual
(Sum-&gt;)3]]-Table1[[#This Row],[Total Volume
tidak dapat dipasang]])&gt;=0,Table1[[#This Row],["Volume
BA MC-0"]]-Table1[[#This Row],[Total Panjang Pipa Aktual
(Sum-&gt;)3]]-Table1[[#This Row],[Total Volume
tidak dapat dipasang]],0)</f>
        <v>0</v>
      </c>
      <c r="CK309" s="47"/>
      <c r="CL309" s="35" t="s">
        <v>1821</v>
      </c>
      <c r="CM309" s="35" t="s">
        <v>1821</v>
      </c>
      <c r="CN309" s="35" t="s">
        <v>1821</v>
      </c>
      <c r="CO309" s="35" t="s">
        <v>1821</v>
      </c>
      <c r="CP30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9" s="66">
        <f>IFERROR(Table1[[#This Row],[Progres Keg. Umum
(%)]]*Table1[[#This Row],[Nilai RAB Jaringan
(file pa aji)]],0)</f>
        <v>0</v>
      </c>
      <c r="CR309" s="66">
        <f>IFERROR(Table1[[#This Row],[Progres MOS
(%)]]*Table1[[#This Row],[Nilai RAB Jaringan
(file pa aji)]],0)</f>
        <v>0</v>
      </c>
      <c r="CS309" s="66">
        <f>IFERROR(Table1[[#This Row],[Progres Pemasangan
(%)]]*Table1[[#This Row],[Nilai RAB Jaringan
(file pa aji)]],0)</f>
        <v>0</v>
      </c>
      <c r="CT309" s="66">
        <f>IFERROR(Table1[[#This Row],[Progres Perizinan
(%)]]*Table1[[#This Row],[Nilai RAB Jaringan
(file pa aji)]],0)</f>
        <v>0</v>
      </c>
      <c r="CU309" s="329">
        <v>2226383938</v>
      </c>
      <c r="CV309" s="329">
        <v>2226383938</v>
      </c>
      <c r="CW309" s="583">
        <v>2226383938</v>
      </c>
      <c r="CX309" s="329">
        <v>2226383938</v>
      </c>
      <c r="CY309" s="47"/>
      <c r="CZ309" s="330">
        <v>45866</v>
      </c>
      <c r="DA309" s="330">
        <v>45893</v>
      </c>
      <c r="DB309" s="331">
        <v>45943</v>
      </c>
      <c r="DC309" s="316" t="s">
        <v>2442</v>
      </c>
      <c r="DD309" s="67">
        <v>812928155</v>
      </c>
      <c r="DE30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09" s="331">
        <v>45957</v>
      </c>
      <c r="DG309" s="316" t="s">
        <v>2443</v>
      </c>
      <c r="DH309" s="67">
        <v>812928155</v>
      </c>
      <c r="DI30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9" s="330">
        <v>45894</v>
      </c>
      <c r="DK309" s="330">
        <v>45963</v>
      </c>
      <c r="DL309" s="331">
        <v>45965</v>
      </c>
      <c r="DM309" s="7" t="s">
        <v>2444</v>
      </c>
      <c r="DN30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09" s="331">
        <v>45973</v>
      </c>
      <c r="DP309" s="316" t="s">
        <v>2445</v>
      </c>
      <c r="DQ309" s="338" t="s">
        <v>365</v>
      </c>
      <c r="DR30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9" s="330">
        <v>45894</v>
      </c>
      <c r="DT309" s="330" t="e">
        <v>#N/A</v>
      </c>
      <c r="DU309" s="330">
        <v>45935</v>
      </c>
      <c r="DV309" s="330" t="e">
        <v>#N/A</v>
      </c>
      <c r="DW309" s="331">
        <v>45965</v>
      </c>
      <c r="DX309" s="316" t="s">
        <v>2446</v>
      </c>
      <c r="DY309" s="332">
        <v>99</v>
      </c>
      <c r="DZ309" s="334">
        <v>99</v>
      </c>
      <c r="EA30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9" s="331">
        <v>46009</v>
      </c>
      <c r="EC309" s="332">
        <v>94</v>
      </c>
      <c r="ED309" s="332">
        <v>94</v>
      </c>
      <c r="EE309" s="425" t="s">
        <v>2447</v>
      </c>
      <c r="EF309" s="35">
        <v>1</v>
      </c>
      <c r="EG309" s="337">
        <v>1</v>
      </c>
      <c r="EH309" s="316" t="str">
        <f>IF(Table1[[#This Row],[PO Material Aktual 
(%)]]&gt;=100%,"Selesai PO = 100%",IF(Table1[[#This Row],[PO Material Aktual 
(%)]]&gt;=50%,"Proses PO &gt; 100%",IF(Table1[[#This Row],[PO Material Aktual 
(%)]]&gt;0%,"Proses PO &gt; 50%",IF(Table1[[#This Row],[PO Material Aktual 
(%)]]=0,"Belum PO = 0%"))))</f>
        <v>Selesai PO = 100%</v>
      </c>
      <c r="EI30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9" s="330">
        <v>45936</v>
      </c>
      <c r="EK309" s="330" t="e">
        <v>#N/A</v>
      </c>
      <c r="EL309" s="330">
        <v>45991</v>
      </c>
      <c r="EM309" s="330" t="e">
        <v>#N/A</v>
      </c>
      <c r="EN309" s="331">
        <v>46127</v>
      </c>
      <c r="EO309" s="332">
        <f>Table1[[#This Row],[Line PO]]</f>
        <v>94</v>
      </c>
      <c r="EP309" s="316">
        <v>94</v>
      </c>
      <c r="EQ309" s="35">
        <v>0.9494949494949495</v>
      </c>
      <c r="ER309" s="35">
        <f>Table1[[#This Row],[Line MOS]]/Table1[[#This Row],[Line PR]]</f>
        <v>0.9494949494949495</v>
      </c>
      <c r="ES309" s="316" t="str">
        <f>IF(Table1[[#This Row],[Progres MOS]]&gt;=100%,"Selesai MOS = 100%",IF(Table1[[#This Row],[Progres MOS]]&gt;=50%,"Proses MOS &gt; 100%",IF(Table1[[#This Row],[Progres MOS]]&gt;0%,"Proses MOS &gt; 50%",IF(Table1[[#This Row],[Progres MOS]]=0,"Belum MOS = 0%"))))</f>
        <v>Proses MOS &gt; 100%</v>
      </c>
      <c r="ET30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9" s="47"/>
      <c r="EV309" s="330">
        <v>45894</v>
      </c>
      <c r="EW309" s="330" t="e">
        <v>#N/A</v>
      </c>
      <c r="EX309" s="330">
        <v>45991</v>
      </c>
      <c r="EY309" s="330" t="e">
        <v>#N/A</v>
      </c>
      <c r="EZ309" s="352" t="s">
        <v>298</v>
      </c>
      <c r="FA309" s="336" t="s">
        <v>259</v>
      </c>
      <c r="FB309" s="330" t="s">
        <v>260</v>
      </c>
      <c r="FC309" s="330">
        <v>45943</v>
      </c>
      <c r="FD309" s="330" t="s">
        <v>260</v>
      </c>
      <c r="FE309" s="330">
        <v>45966</v>
      </c>
      <c r="FF309" s="330">
        <v>45995</v>
      </c>
      <c r="FG309" s="330" t="s">
        <v>260</v>
      </c>
      <c r="FH309" s="330" t="s">
        <v>260</v>
      </c>
      <c r="FI309" s="330">
        <v>46010</v>
      </c>
      <c r="FJ309" s="330" t="s">
        <v>260</v>
      </c>
      <c r="FK309" s="330">
        <v>46114</v>
      </c>
      <c r="FL309" s="336" t="s">
        <v>298</v>
      </c>
      <c r="FM309" s="352">
        <v>45943</v>
      </c>
      <c r="FN309" s="338">
        <f>IF(Table1[[#This Row],[Tanggal Pengajuan Dokumen]]="","",Table1[[#This Row],[PLAN PERMIT
start]]-Table1[[#This Row],[Tanggal Pengajuan Dokumen]])</f>
        <v>-49</v>
      </c>
      <c r="FO309" s="437">
        <v>46097</v>
      </c>
      <c r="FP309" s="316"/>
      <c r="FQ309" s="338"/>
      <c r="FR309" s="338"/>
      <c r="FS309" s="338" t="str">
        <f t="shared" si="14"/>
        <v>Sudah Terbit</v>
      </c>
      <c r="FT30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9" s="344">
        <f ca="1">IF(Table1[[#This Row],[Status Izin]]="Selesai",Table1[[#This Row],[PLAN PERMIT
finish]]-Table1[[#This Row],[Tanggal Terbit/ Target Izin Terbit]],ROUNDUP(Table1[[#This Row],[PLAN PERMIT
finish]]-NOW(),0))</f>
        <v>-106</v>
      </c>
      <c r="FV30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9" s="344"/>
      <c r="FX309" s="47"/>
      <c r="FY309" s="340"/>
      <c r="FZ309" s="341"/>
      <c r="GA30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9" s="330">
        <v>45965</v>
      </c>
      <c r="GC309" s="352">
        <v>45922</v>
      </c>
      <c r="GD30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9" s="330">
        <v>45972</v>
      </c>
      <c r="GF309" s="352">
        <v>45922</v>
      </c>
      <c r="GG30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9" s="330">
        <v>45978</v>
      </c>
      <c r="GI309" s="330">
        <v>45984</v>
      </c>
      <c r="GJ309" s="352">
        <v>45729</v>
      </c>
      <c r="GK30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9" s="330">
        <v>45992</v>
      </c>
      <c r="GM309" s="330" t="e">
        <v>#N/A</v>
      </c>
      <c r="GN309" s="330">
        <v>46061</v>
      </c>
      <c r="GO309" s="330" t="e">
        <v>#N/A</v>
      </c>
      <c r="GP309" s="330"/>
      <c r="GQ30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9" s="330" t="s">
        <v>261</v>
      </c>
      <c r="GS309" s="330" t="s">
        <v>261</v>
      </c>
      <c r="GT309" s="354">
        <v>46036</v>
      </c>
      <c r="GU309" s="344" t="str">
        <f>IF(Table1[[#This Row],[Hydro Tes Actual
(tanggal)]]&lt;&gt;"","Sudah","Belum")</f>
        <v>Sudah</v>
      </c>
      <c r="GV309" s="330" t="s">
        <v>261</v>
      </c>
      <c r="GW309" s="330" t="s">
        <v>261</v>
      </c>
      <c r="GX309" s="331">
        <v>46055</v>
      </c>
      <c r="GY309" s="344" t="str">
        <f>IF(Table1[[#This Row],[Interkoneksi Actual
(tanggal)]]&lt;&gt;"","Sudah","Belum")</f>
        <v>Sudah</v>
      </c>
      <c r="GZ309" s="330" t="s">
        <v>261</v>
      </c>
      <c r="HA309" s="330" t="s">
        <v>261</v>
      </c>
      <c r="HB309" s="331">
        <v>46058</v>
      </c>
      <c r="HC309" s="344" t="str">
        <f>IF(Table1[[#This Row],[Flushing Actual
(tanggal)]]&lt;&gt;"","Sudah","Belum")</f>
        <v>Sudah</v>
      </c>
      <c r="HD309" s="330">
        <v>46041</v>
      </c>
      <c r="HE309" s="330" t="e">
        <v>#N/A</v>
      </c>
      <c r="HF309" s="330">
        <v>46054</v>
      </c>
      <c r="HG309" s="352">
        <v>46065</v>
      </c>
      <c r="HH30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9" s="330" t="s">
        <v>261</v>
      </c>
      <c r="HJ309" s="330" t="s">
        <v>261</v>
      </c>
      <c r="HK309" s="331"/>
      <c r="HL309" s="316"/>
      <c r="HM309" s="330">
        <v>46066</v>
      </c>
      <c r="HN309" s="330">
        <v>46066</v>
      </c>
      <c r="HO309" s="330" t="e">
        <v>#N/A</v>
      </c>
      <c r="HP309" s="331">
        <v>46108</v>
      </c>
      <c r="HQ309"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09" s="330">
        <v>46073</v>
      </c>
      <c r="HS309" s="330"/>
      <c r="HT309" s="330">
        <v>46073</v>
      </c>
      <c r="HU309" s="330"/>
      <c r="HV309" s="331">
        <v>46113</v>
      </c>
      <c r="HW30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09" s="47"/>
      <c r="HY309" s="352"/>
      <c r="HZ309" s="352"/>
      <c r="IB309" s="618">
        <f>IFERROR(ROUND((Table1[[#This Row],[PLAN TC
finish]]-Table1[[#This Row],[PLAN MC-0
start]])/30,2),"")</f>
        <v>2.5299999999999998</v>
      </c>
      <c r="IC309">
        <f>DATEDIF(Table1[[#This Row],[PLAN MC-0
start]],Table1[[#This Row],[PLAN TC
finish]],"m")</f>
        <v>2</v>
      </c>
    </row>
    <row r="310" spans="1:237" s="4" customFormat="1" ht="15" hidden="1" customHeight="1" x14ac:dyDescent="0.2">
      <c r="B310" s="311">
        <f>SUBTOTAL(3,$D$5:D310)</f>
        <v>84</v>
      </c>
      <c r="C310" s="316">
        <v>306</v>
      </c>
      <c r="D310" s="338" t="s">
        <v>244</v>
      </c>
      <c r="E310" s="338" t="s">
        <v>2448</v>
      </c>
      <c r="F310" s="338" t="s">
        <v>2449</v>
      </c>
      <c r="G310" s="349">
        <v>46117</v>
      </c>
      <c r="H310" s="338" t="s">
        <v>681</v>
      </c>
      <c r="I310" s="338" t="s">
        <v>278</v>
      </c>
      <c r="J310" s="480" t="s">
        <v>1830</v>
      </c>
      <c r="K310" s="338" t="s">
        <v>1165</v>
      </c>
      <c r="L310" s="316" t="s">
        <v>250</v>
      </c>
      <c r="M310" s="355" t="s">
        <v>269</v>
      </c>
      <c r="N310" s="107">
        <v>90</v>
      </c>
      <c r="O310" s="31" t="s">
        <v>252</v>
      </c>
      <c r="P31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0" s="35">
        <v>1</v>
      </c>
      <c r="S310" s="34">
        <v>1</v>
      </c>
      <c r="T310" s="34">
        <f>Table1[[#This Row],[Progres Total Aktual
(%)]]</f>
        <v>1</v>
      </c>
      <c r="U310" s="98">
        <f>Table1[[#This Row],[Progres Aktual
(%)]]-Table1[[#This Row],[Target Progres
(%)]]</f>
        <v>0</v>
      </c>
      <c r="V310" s="80">
        <f>Table1[[#This Row],["Volume
BA MC-0"]]</f>
        <v>90</v>
      </c>
      <c r="W310" s="46">
        <f>Table1[[#This Row],[Total Panjang Pipa Aktual
(Sum-&gt;)3]]</f>
        <v>90</v>
      </c>
      <c r="X310" s="47"/>
      <c r="Y310" s="67" t="s">
        <v>2450</v>
      </c>
      <c r="Z310" s="67">
        <v>141544432</v>
      </c>
      <c r="AA310" s="67">
        <f>ROUND((Table1[[#This Row],[Nilai RAB Jaringan
(Exclude Ppn)]]-Table1[[#This Row],[RAB Perizinan]])*1.11+Table1[[#This Row],[RAB Perizinan]],0)</f>
        <v>141544431</v>
      </c>
      <c r="AB310" s="486">
        <f>SUM(Table1[[#This Row],[RAB Kegiatan Umum]:[RAB Perizinan]])</f>
        <v>127606695</v>
      </c>
      <c r="AC310" s="436">
        <v>9413793</v>
      </c>
      <c r="AD310" s="436">
        <v>94137927</v>
      </c>
      <c r="AE310" s="436">
        <v>23154975</v>
      </c>
      <c r="AF310" s="436">
        <v>900000</v>
      </c>
      <c r="AG310" s="483">
        <v>2107039</v>
      </c>
      <c r="AH310" s="33">
        <f>SUM(Table1[[#This Row],[Bobot Keg Umum]:[Bobot Perizinan]])</f>
        <v>1</v>
      </c>
      <c r="AI310" s="33">
        <f>Table1[[#This Row],[RAB Kegiatan Umum]]/Table1[[#This Row],[Nilai RAB Jaringan
(Exclude Ppn)]]</f>
        <v>7.3771936495965196E-2</v>
      </c>
      <c r="AJ310" s="33">
        <f>Table1[[#This Row],[RAB Pemasangan]]/Table1[[#This Row],[Nilai RAB Jaringan
(Exclude Ppn)]]</f>
        <v>0.73771934144991369</v>
      </c>
      <c r="AK310" s="33">
        <f>Table1[[#This Row],[RAB Pengadaan]]/Table1[[#This Row],[Nilai RAB Jaringan
(Exclude Ppn)]]</f>
        <v>0.18145580057535382</v>
      </c>
      <c r="AL310" s="33">
        <f>Table1[[#This Row],[RAB Perizinan]]/Table1[[#This Row],[Nilai RAB Jaringan
(Exclude Ppn)]]</f>
        <v>7.0529214787672387E-3</v>
      </c>
      <c r="AM310" s="47"/>
      <c r="AN310" s="285">
        <v>90</v>
      </c>
      <c r="AO310" s="285">
        <f>SUM(Table1[[#This Row],[Pipa 63 mm]:[Pipa 1,800 mm]])</f>
        <v>0</v>
      </c>
      <c r="AP310" s="285"/>
      <c r="AQ310" s="285"/>
      <c r="AR310" s="285"/>
      <c r="AS310" s="285"/>
      <c r="AT310" s="285"/>
      <c r="AU310" s="285"/>
      <c r="AV310" s="285"/>
      <c r="AW310" s="285"/>
      <c r="AX310" s="285"/>
      <c r="AY310" s="285"/>
      <c r="AZ310" s="285"/>
      <c r="BA310" s="285"/>
      <c r="BB310" s="285"/>
      <c r="BC310" s="285"/>
      <c r="BD310" s="285"/>
      <c r="BE310" s="285"/>
      <c r="BF310" s="285"/>
      <c r="BG310" s="285"/>
      <c r="BH310" s="285"/>
      <c r="BI310" s="285"/>
      <c r="BJ310" s="36">
        <f>SUM(Table1[[#This Row],[Pipa 63 mm2]:[Pipa 1,800 mm21]])</f>
        <v>90</v>
      </c>
      <c r="BK310" s="32">
        <v>90</v>
      </c>
      <c r="BL310" s="32"/>
      <c r="BM310" s="32"/>
      <c r="BN310" s="32"/>
      <c r="BO310" s="32"/>
      <c r="BP310" s="32"/>
      <c r="BQ310" s="32"/>
      <c r="BR310" s="32"/>
      <c r="BS310" s="32"/>
      <c r="BT310" s="32"/>
      <c r="BU310" s="32"/>
      <c r="BV310" s="32"/>
      <c r="BW310" s="32"/>
      <c r="BX310" s="32"/>
      <c r="BY310" s="32"/>
      <c r="BZ310" s="32"/>
      <c r="CA310" s="32"/>
      <c r="CB310" s="32"/>
      <c r="CC310" s="32"/>
      <c r="CD310" s="32"/>
      <c r="CE310" s="32">
        <v>0</v>
      </c>
      <c r="CF310" s="32"/>
      <c r="CG310" s="32"/>
      <c r="CH310" s="32"/>
      <c r="CI310" s="32">
        <f t="shared" si="15"/>
        <v>0</v>
      </c>
      <c r="CJ310" s="65">
        <f>IF((Table1[[#This Row],["Volume
BA MC-0"]]-Table1[[#This Row],[Total Panjang Pipa Aktual
(Sum-&gt;)3]]-Table1[[#This Row],[Total Volume
tidak dapat dipasang]])&gt;=0,Table1[[#This Row],["Volume
BA MC-0"]]-Table1[[#This Row],[Total Panjang Pipa Aktual
(Sum-&gt;)3]]-Table1[[#This Row],[Total Volume
tidak dapat dipasang]],0)</f>
        <v>0</v>
      </c>
      <c r="CK310" s="47"/>
      <c r="CL310" s="484" t="s">
        <v>1821</v>
      </c>
      <c r="CM310" s="34" t="s">
        <v>1821</v>
      </c>
      <c r="CN310" s="484" t="s">
        <v>1821</v>
      </c>
      <c r="CO310" s="484" t="s">
        <v>1821</v>
      </c>
      <c r="CP31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0" s="66">
        <f>IFERROR(Table1[[#This Row],[Progres Keg. Umum
(%)]]*Table1[[#This Row],[Nilai RAB Jaringan
(file pa aji)]],0)</f>
        <v>0</v>
      </c>
      <c r="CR310" s="66">
        <f>IFERROR(Table1[[#This Row],[Progres MOS
(%)]]*Table1[[#This Row],[Nilai RAB Jaringan
(file pa aji)]],0)</f>
        <v>0</v>
      </c>
      <c r="CS310" s="66">
        <f>IFERROR(Table1[[#This Row],[Progres Pemasangan
(%)]]*Table1[[#This Row],[Nilai RAB Jaringan
(file pa aji)]],0)</f>
        <v>0</v>
      </c>
      <c r="CT310" s="66">
        <f>IFERROR(Table1[[#This Row],[Progres Perizinan
(%)]]*Table1[[#This Row],[Nilai RAB Jaringan
(file pa aji)]],0)</f>
        <v>0</v>
      </c>
      <c r="CU310" s="329">
        <v>85659028</v>
      </c>
      <c r="CV310" s="329">
        <v>85659028</v>
      </c>
      <c r="CW310" s="583">
        <v>85659028</v>
      </c>
      <c r="CX310" s="329">
        <v>85659028</v>
      </c>
      <c r="CY310" s="47"/>
      <c r="CZ310" s="330">
        <v>45866</v>
      </c>
      <c r="DA310" s="330">
        <v>45893</v>
      </c>
      <c r="DB310" s="331">
        <v>45867</v>
      </c>
      <c r="DC310" s="316" t="s">
        <v>2451</v>
      </c>
      <c r="DD310" s="67">
        <v>141544432</v>
      </c>
      <c r="DE31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0" s="331">
        <v>45889</v>
      </c>
      <c r="DG310" s="316" t="s">
        <v>2452</v>
      </c>
      <c r="DH310" s="67">
        <v>141544432</v>
      </c>
      <c r="DI31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0" s="330">
        <v>45894</v>
      </c>
      <c r="DK310" s="330">
        <v>45956</v>
      </c>
      <c r="DL310" s="331">
        <v>45940</v>
      </c>
      <c r="DM310" s="316" t="s">
        <v>2453</v>
      </c>
      <c r="DN31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0" s="331">
        <v>45950</v>
      </c>
      <c r="DP310" s="316" t="s">
        <v>2454</v>
      </c>
      <c r="DQ310" s="338" t="s">
        <v>365</v>
      </c>
      <c r="DR31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0" s="330">
        <v>45894</v>
      </c>
      <c r="DT310" s="330" t="e">
        <v>#N/A</v>
      </c>
      <c r="DU310" s="330">
        <v>45935</v>
      </c>
      <c r="DV310" s="330" t="e">
        <v>#N/A</v>
      </c>
      <c r="DW310" s="331">
        <v>45940</v>
      </c>
      <c r="DX310" s="484" t="s">
        <v>2455</v>
      </c>
      <c r="DY310" s="332">
        <v>17</v>
      </c>
      <c r="DZ310" s="334">
        <v>17</v>
      </c>
      <c r="EA31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10" s="331">
        <v>46006</v>
      </c>
      <c r="EC310" s="332">
        <v>15</v>
      </c>
      <c r="ED310" s="332">
        <v>15</v>
      </c>
      <c r="EE310" s="425" t="s">
        <v>2456</v>
      </c>
      <c r="EF310" s="35">
        <v>1</v>
      </c>
      <c r="EG310" s="337">
        <v>1</v>
      </c>
      <c r="EH310" s="316" t="str">
        <f>IF(Table1[[#This Row],[PO Material Aktual 
(%)]]&gt;=100%,"Selesai PO = 100%",IF(Table1[[#This Row],[PO Material Aktual 
(%)]]&gt;=50%,"Proses PO &gt; 100%",IF(Table1[[#This Row],[PO Material Aktual 
(%)]]&gt;0%,"Proses PO &gt; 50%",IF(Table1[[#This Row],[PO Material Aktual 
(%)]]=0,"Belum PO = 0%"))))</f>
        <v>Selesai PO = 100%</v>
      </c>
      <c r="EI31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0" s="330">
        <v>45936</v>
      </c>
      <c r="EK310" s="330" t="e">
        <v>#N/A</v>
      </c>
      <c r="EL310" s="330">
        <v>45984</v>
      </c>
      <c r="EM310" s="330" t="e">
        <v>#N/A</v>
      </c>
      <c r="EN310" s="331">
        <v>46061</v>
      </c>
      <c r="EO310" s="332">
        <f>Table1[[#This Row],[Line PO]]</f>
        <v>15</v>
      </c>
      <c r="EP310" s="316">
        <v>15</v>
      </c>
      <c r="EQ310" s="35">
        <v>0.88235294117647056</v>
      </c>
      <c r="ER310" s="35">
        <f>Table1[[#This Row],[Line MOS]]/Table1[[#This Row],[Line PR]]</f>
        <v>0.88235294117647056</v>
      </c>
      <c r="ES310" s="316" t="str">
        <f>IF(Table1[[#This Row],[Progres MOS]]&gt;=100%,"Selesai MOS = 100%",IF(Table1[[#This Row],[Progres MOS]]&gt;=50%,"Proses MOS &gt; 100%",IF(Table1[[#This Row],[Progres MOS]]&gt;0%,"Proses MOS &gt; 50%",IF(Table1[[#This Row],[Progres MOS]]=0,"Belum MOS = 0%"))))</f>
        <v>Proses MOS &gt; 100%</v>
      </c>
      <c r="ET31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0" s="47"/>
      <c r="EV310" s="330">
        <v>45894</v>
      </c>
      <c r="EW310" s="330" t="e">
        <v>#N/A</v>
      </c>
      <c r="EX310" s="330">
        <v>45984</v>
      </c>
      <c r="EY310" s="330" t="e">
        <v>#N/A</v>
      </c>
      <c r="EZ310" s="352" t="s">
        <v>298</v>
      </c>
      <c r="FA310" s="336" t="s">
        <v>298</v>
      </c>
      <c r="FB310" s="330" t="s">
        <v>260</v>
      </c>
      <c r="FC310" s="330">
        <v>45943</v>
      </c>
      <c r="FD310" s="330" t="s">
        <v>260</v>
      </c>
      <c r="FE310" s="330">
        <v>45966</v>
      </c>
      <c r="FF310" s="330">
        <v>45995</v>
      </c>
      <c r="FG310" s="330" t="s">
        <v>260</v>
      </c>
      <c r="FH310" s="330" t="s">
        <v>260</v>
      </c>
      <c r="FI310" s="330">
        <v>46010</v>
      </c>
      <c r="FJ310" s="330" t="s">
        <v>260</v>
      </c>
      <c r="FK310" s="330"/>
      <c r="FL310" s="336" t="s">
        <v>298</v>
      </c>
      <c r="FM310" s="352">
        <v>45943</v>
      </c>
      <c r="FN310" s="338">
        <f>IF(Table1[[#This Row],[Tanggal Pengajuan Dokumen]]="","",Table1[[#This Row],[PLAN PERMIT
start]]-Table1[[#This Row],[Tanggal Pengajuan Dokumen]])</f>
        <v>-49</v>
      </c>
      <c r="FO310" s="437">
        <v>46097</v>
      </c>
      <c r="FP310" s="316"/>
      <c r="FQ310" s="338"/>
      <c r="FR310" s="338"/>
      <c r="FS310" s="338" t="str">
        <f t="shared" si="14"/>
        <v>On Going</v>
      </c>
      <c r="FT31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0" s="344">
        <f ca="1">IF(Table1[[#This Row],[Status Izin]]="Selesai",Table1[[#This Row],[PLAN PERMIT
finish]]-Table1[[#This Row],[Tanggal Terbit/ Target Izin Terbit]],ROUNDUP(Table1[[#This Row],[PLAN PERMIT
finish]]-NOW(),0))</f>
        <v>-207</v>
      </c>
      <c r="FV31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0" s="344"/>
      <c r="FX310" s="47"/>
      <c r="FY310" s="340"/>
      <c r="FZ310" s="341"/>
      <c r="GA31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0" s="330">
        <v>45958</v>
      </c>
      <c r="GC310" s="438">
        <v>45959</v>
      </c>
      <c r="GD31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10" s="330">
        <v>45965</v>
      </c>
      <c r="GF310" s="438">
        <v>45959</v>
      </c>
      <c r="GG31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0" s="330">
        <v>45971</v>
      </c>
      <c r="GI310" s="330">
        <v>45977</v>
      </c>
      <c r="GJ310" s="352">
        <v>45964</v>
      </c>
      <c r="GK31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0" s="330">
        <v>45985</v>
      </c>
      <c r="GM310" s="330" t="e">
        <v>#N/A</v>
      </c>
      <c r="GN310" s="330">
        <v>46005</v>
      </c>
      <c r="GO310" s="330" t="e">
        <v>#N/A</v>
      </c>
      <c r="GP310" s="330"/>
      <c r="GQ31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0" s="330" t="s">
        <v>261</v>
      </c>
      <c r="GS310" s="330" t="s">
        <v>261</v>
      </c>
      <c r="GT310" s="354">
        <v>46013</v>
      </c>
      <c r="GU310" s="344" t="str">
        <f>IF(Table1[[#This Row],[Hydro Tes Actual
(tanggal)]]&lt;&gt;"","Sudah","Belum")</f>
        <v>Sudah</v>
      </c>
      <c r="GV310" s="330" t="s">
        <v>261</v>
      </c>
      <c r="GW310" s="330" t="s">
        <v>261</v>
      </c>
      <c r="GX310" s="331">
        <v>46064</v>
      </c>
      <c r="GY310" s="344" t="str">
        <f>IF(Table1[[#This Row],[Interkoneksi Actual
(tanggal)]]&lt;&gt;"","Sudah","Belum")</f>
        <v>Sudah</v>
      </c>
      <c r="GZ310" s="330" t="s">
        <v>261</v>
      </c>
      <c r="HA310" s="330" t="s">
        <v>261</v>
      </c>
      <c r="HB310" s="331">
        <v>46079</v>
      </c>
      <c r="HC310" s="344" t="str">
        <f>IF(Table1[[#This Row],[Flushing Actual
(tanggal)]]&lt;&gt;"","Sudah","Belum")</f>
        <v>Sudah</v>
      </c>
      <c r="HD310" s="330">
        <v>45992</v>
      </c>
      <c r="HE310" s="330" t="e">
        <v>#N/A</v>
      </c>
      <c r="HF310" s="330">
        <v>46005</v>
      </c>
      <c r="HG310" s="352">
        <v>46083</v>
      </c>
      <c r="HH31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0" s="330" t="s">
        <v>261</v>
      </c>
      <c r="HJ310" s="330" t="s">
        <v>261</v>
      </c>
      <c r="HK310" s="331"/>
      <c r="HL310" s="316"/>
      <c r="HM310" s="330">
        <v>46010</v>
      </c>
      <c r="HN310" s="330">
        <v>46010</v>
      </c>
      <c r="HO310" s="330" t="e">
        <v>#N/A</v>
      </c>
      <c r="HP310" s="331">
        <v>46098</v>
      </c>
      <c r="HQ310"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10" s="330">
        <v>46017</v>
      </c>
      <c r="HS310" s="330"/>
      <c r="HT310" s="330">
        <v>46017</v>
      </c>
      <c r="HU310" s="330"/>
      <c r="HV310" s="331">
        <v>46099</v>
      </c>
      <c r="HW31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10" s="47"/>
      <c r="HY310" s="352"/>
      <c r="HZ310" s="352"/>
      <c r="IB310" s="618">
        <f>IFERROR(ROUND((Table1[[#This Row],[PLAN TC
finish]]-Table1[[#This Row],[PLAN MC-0
start]])/30,2),"")</f>
        <v>1.1299999999999999</v>
      </c>
      <c r="IC310">
        <f>DATEDIF(Table1[[#This Row],[PLAN MC-0
start]],Table1[[#This Row],[PLAN TC
finish]],"m")</f>
        <v>1</v>
      </c>
    </row>
    <row r="311" spans="1:237" s="4" customFormat="1" ht="15" hidden="1" customHeight="1" x14ac:dyDescent="0.2">
      <c r="B311" s="311">
        <f>SUBTOTAL(3,$D$5:D311)</f>
        <v>84</v>
      </c>
      <c r="C311" s="316">
        <v>307</v>
      </c>
      <c r="D311" s="338" t="s">
        <v>244</v>
      </c>
      <c r="E311" s="338" t="s">
        <v>2457</v>
      </c>
      <c r="F311" s="338" t="s">
        <v>2458</v>
      </c>
      <c r="G311" s="349">
        <v>46117</v>
      </c>
      <c r="H311" s="338" t="s">
        <v>681</v>
      </c>
      <c r="I311" s="338" t="s">
        <v>278</v>
      </c>
      <c r="J311" s="480" t="s">
        <v>1830</v>
      </c>
      <c r="K311" s="338" t="s">
        <v>1165</v>
      </c>
      <c r="L311" s="316" t="s">
        <v>250</v>
      </c>
      <c r="M311" s="355" t="s">
        <v>269</v>
      </c>
      <c r="N311" s="107">
        <v>76</v>
      </c>
      <c r="O311" s="31" t="s">
        <v>252</v>
      </c>
      <c r="P31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1" s="35">
        <v>1.0000000000000002</v>
      </c>
      <c r="S311" s="34">
        <v>1</v>
      </c>
      <c r="T311" s="34">
        <f>Table1[[#This Row],[Progres Total Aktual
(%)]]</f>
        <v>1</v>
      </c>
      <c r="U311" s="98">
        <f>Table1[[#This Row],[Progres Aktual
(%)]]-Table1[[#This Row],[Target Progres
(%)]]</f>
        <v>0</v>
      </c>
      <c r="V311" s="80">
        <f>Table1[[#This Row],["Volume
BA MC-0"]]</f>
        <v>87</v>
      </c>
      <c r="W311" s="46">
        <f>Table1[[#This Row],[Total Panjang Pipa Aktual
(Sum-&gt;)3]]</f>
        <v>89</v>
      </c>
      <c r="X311" s="47"/>
      <c r="Y311" s="67" t="s">
        <v>2459</v>
      </c>
      <c r="Z311" s="67">
        <v>162803600</v>
      </c>
      <c r="AA311" s="67">
        <f>ROUND((Table1[[#This Row],[Nilai RAB Jaringan
(Exclude Ppn)]]-Table1[[#This Row],[RAB Perizinan]])*1.11+Table1[[#This Row],[RAB Perizinan]],0)</f>
        <v>162803600</v>
      </c>
      <c r="AB311" s="486">
        <f>SUM(Table1[[#This Row],[RAB Kegiatan Umum]:[RAB Perizinan]])</f>
        <v>146745225</v>
      </c>
      <c r="AC311" s="436">
        <v>9904612</v>
      </c>
      <c r="AD311" s="436">
        <v>99046114</v>
      </c>
      <c r="AE311" s="436">
        <v>37034499</v>
      </c>
      <c r="AF311" s="436">
        <v>760000</v>
      </c>
      <c r="AG311" s="483">
        <v>42140773</v>
      </c>
      <c r="AH311" s="33">
        <f>SUM(Table1[[#This Row],[Bobot Keg Umum]:[Bobot Perizinan]])</f>
        <v>1</v>
      </c>
      <c r="AI311" s="33">
        <f>Table1[[#This Row],[RAB Kegiatan Umum]]/Table1[[#This Row],[Nilai RAB Jaringan
(Exclude Ppn)]]</f>
        <v>6.7495293288078032E-2</v>
      </c>
      <c r="AJ311" s="33">
        <f>Table1[[#This Row],[RAB Pemasangan]]/Table1[[#This Row],[Nilai RAB Jaringan
(Exclude Ppn)]]</f>
        <v>0.67495289199358954</v>
      </c>
      <c r="AK311" s="33">
        <f>Table1[[#This Row],[RAB Pengadaan]]/Table1[[#This Row],[Nilai RAB Jaringan
(Exclude Ppn)]]</f>
        <v>0.25237277056204044</v>
      </c>
      <c r="AL311" s="33">
        <f>Table1[[#This Row],[RAB Perizinan]]/Table1[[#This Row],[Nilai RAB Jaringan
(Exclude Ppn)]]</f>
        <v>5.1790441562919679E-3</v>
      </c>
      <c r="AM311" s="47"/>
      <c r="AN311" s="285">
        <v>87</v>
      </c>
      <c r="AO311" s="285">
        <f>SUM(Table1[[#This Row],[Pipa 63 mm]:[Pipa 1,800 mm]])</f>
        <v>0</v>
      </c>
      <c r="AP311" s="285"/>
      <c r="AQ311" s="285"/>
      <c r="AR311" s="285"/>
      <c r="AS311" s="285"/>
      <c r="AT311" s="285"/>
      <c r="AU311" s="285"/>
      <c r="AV311" s="285"/>
      <c r="AW311" s="285"/>
      <c r="AX311" s="285"/>
      <c r="AY311" s="285"/>
      <c r="AZ311" s="285"/>
      <c r="BA311" s="285"/>
      <c r="BB311" s="285"/>
      <c r="BC311" s="285"/>
      <c r="BD311" s="285"/>
      <c r="BE311" s="285"/>
      <c r="BF311" s="285"/>
      <c r="BG311" s="285"/>
      <c r="BH311" s="285"/>
      <c r="BI311" s="285"/>
      <c r="BJ311" s="36">
        <f>SUM(Table1[[#This Row],[Pipa 63 mm2]:[Pipa 1,800 mm21]])</f>
        <v>89</v>
      </c>
      <c r="BK311" s="32">
        <v>89</v>
      </c>
      <c r="BL311" s="32"/>
      <c r="BM311" s="32"/>
      <c r="BN311" s="32"/>
      <c r="BO311" s="32"/>
      <c r="BP311" s="32"/>
      <c r="BQ311" s="32"/>
      <c r="BR311" s="32"/>
      <c r="BS311" s="32"/>
      <c r="BT311" s="32"/>
      <c r="BU311" s="32"/>
      <c r="BV311" s="32"/>
      <c r="BW311" s="32"/>
      <c r="BX311" s="32"/>
      <c r="BY311" s="32"/>
      <c r="BZ311" s="32"/>
      <c r="CA311" s="32"/>
      <c r="CB311" s="32"/>
      <c r="CC311" s="32"/>
      <c r="CD311" s="32"/>
      <c r="CE311" s="32">
        <v>0</v>
      </c>
      <c r="CF311" s="32"/>
      <c r="CG311" s="32"/>
      <c r="CH311" s="32"/>
      <c r="CI311" s="32">
        <f t="shared" si="15"/>
        <v>0</v>
      </c>
      <c r="CJ311" s="65">
        <f>IF((Table1[[#This Row],["Volume
BA MC-0"]]-Table1[[#This Row],[Total Panjang Pipa Aktual
(Sum-&gt;)3]]-Table1[[#This Row],[Total Volume
tidak dapat dipasang]])&gt;=0,Table1[[#This Row],["Volume
BA MC-0"]]-Table1[[#This Row],[Total Panjang Pipa Aktual
(Sum-&gt;)3]]-Table1[[#This Row],[Total Volume
tidak dapat dipasang]],0)</f>
        <v>0</v>
      </c>
      <c r="CK311" s="47"/>
      <c r="CL311" s="35" t="s">
        <v>1821</v>
      </c>
      <c r="CM311" s="35" t="s">
        <v>1821</v>
      </c>
      <c r="CN311" s="35" t="s">
        <v>1821</v>
      </c>
      <c r="CO311" s="35" t="s">
        <v>1821</v>
      </c>
      <c r="CP31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1" s="66">
        <f>IFERROR(Table1[[#This Row],[Progres Keg. Umum
(%)]]*Table1[[#This Row],[Nilai RAB Jaringan
(file pa aji)]],0)</f>
        <v>0</v>
      </c>
      <c r="CR311" s="66">
        <f>IFERROR(Table1[[#This Row],[Progres MOS
(%)]]*Table1[[#This Row],[Nilai RAB Jaringan
(file pa aji)]],0)</f>
        <v>0</v>
      </c>
      <c r="CS311" s="66">
        <f>IFERROR(Table1[[#This Row],[Progres Pemasangan
(%)]]*Table1[[#This Row],[Nilai RAB Jaringan
(file pa aji)]],0)</f>
        <v>0</v>
      </c>
      <c r="CT311" s="66">
        <f>IFERROR(Table1[[#This Row],[Progres Perizinan
(%)]]*Table1[[#This Row],[Nilai RAB Jaringan
(file pa aji)]],0)</f>
        <v>0</v>
      </c>
      <c r="CU311" s="329">
        <v>416566801</v>
      </c>
      <c r="CV311" s="329">
        <v>416566801</v>
      </c>
      <c r="CW311" s="583">
        <v>416566801</v>
      </c>
      <c r="CX311" s="329">
        <v>416566801</v>
      </c>
      <c r="CY311" s="47"/>
      <c r="CZ311" s="330">
        <v>45866</v>
      </c>
      <c r="DA311" s="330">
        <v>45893</v>
      </c>
      <c r="DB311" s="331">
        <v>45867</v>
      </c>
      <c r="DC311" s="316" t="s">
        <v>2460</v>
      </c>
      <c r="DD311" s="67">
        <v>162803600</v>
      </c>
      <c r="DE31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1" s="331">
        <v>45889</v>
      </c>
      <c r="DG311" s="316" t="s">
        <v>2461</v>
      </c>
      <c r="DH311" s="67">
        <v>162803600</v>
      </c>
      <c r="DI31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1" s="330">
        <v>45894</v>
      </c>
      <c r="DK311" s="330">
        <v>45956</v>
      </c>
      <c r="DL311" s="331">
        <v>45940</v>
      </c>
      <c r="DM311" s="316" t="s">
        <v>2462</v>
      </c>
      <c r="DN31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1" s="331">
        <v>45950</v>
      </c>
      <c r="DP311" s="316" t="s">
        <v>2463</v>
      </c>
      <c r="DQ311" s="338" t="s">
        <v>365</v>
      </c>
      <c r="DR31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1" s="330">
        <v>45894</v>
      </c>
      <c r="DT311" s="330" t="e">
        <v>#N/A</v>
      </c>
      <c r="DU311" s="330">
        <v>45935</v>
      </c>
      <c r="DV311" s="330" t="e">
        <v>#N/A</v>
      </c>
      <c r="DW311" s="331">
        <v>45940</v>
      </c>
      <c r="DX311" s="484" t="s">
        <v>2464</v>
      </c>
      <c r="DY311" s="332">
        <v>29</v>
      </c>
      <c r="DZ311" s="334">
        <v>29</v>
      </c>
      <c r="EA31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11" s="331">
        <v>46127</v>
      </c>
      <c r="EC311" s="332">
        <v>25</v>
      </c>
      <c r="ED311" s="332">
        <v>25</v>
      </c>
      <c r="EE311" s="425" t="s">
        <v>2465</v>
      </c>
      <c r="EF311" s="35">
        <v>1</v>
      </c>
      <c r="EG311" s="337">
        <v>1</v>
      </c>
      <c r="EH311" s="316" t="str">
        <f>IF(Table1[[#This Row],[PO Material Aktual 
(%)]]&gt;=100%,"Selesai PO = 100%",IF(Table1[[#This Row],[PO Material Aktual 
(%)]]&gt;=50%,"Proses PO &gt; 100%",IF(Table1[[#This Row],[PO Material Aktual 
(%)]]&gt;0%,"Proses PO &gt; 50%",IF(Table1[[#This Row],[PO Material Aktual 
(%)]]=0,"Belum PO = 0%"))))</f>
        <v>Selesai PO = 100%</v>
      </c>
      <c r="EI31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1" s="330">
        <v>45936</v>
      </c>
      <c r="EK311" s="330" t="e">
        <v>#N/A</v>
      </c>
      <c r="EL311" s="330">
        <v>45984</v>
      </c>
      <c r="EM311" s="330" t="e">
        <v>#N/A</v>
      </c>
      <c r="EN311" s="331">
        <v>46148</v>
      </c>
      <c r="EO311" s="332">
        <f>Table1[[#This Row],[Line PO]]</f>
        <v>25</v>
      </c>
      <c r="EP311" s="316">
        <v>25</v>
      </c>
      <c r="EQ311" s="35">
        <v>0.86206896551724133</v>
      </c>
      <c r="ER311" s="35">
        <f>Table1[[#This Row],[Line MOS]]/Table1[[#This Row],[Line PR]]</f>
        <v>0.86206896551724133</v>
      </c>
      <c r="ES311" s="316" t="str">
        <f>IF(Table1[[#This Row],[Progres MOS]]&gt;=100%,"Selesai MOS = 100%",IF(Table1[[#This Row],[Progres MOS]]&gt;=50%,"Proses MOS &gt; 100%",IF(Table1[[#This Row],[Progres MOS]]&gt;0%,"Proses MOS &gt; 50%",IF(Table1[[#This Row],[Progres MOS]]=0,"Belum MOS = 0%"))))</f>
        <v>Proses MOS &gt; 100%</v>
      </c>
      <c r="ET31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1" s="47"/>
      <c r="EV311" s="330">
        <v>45894</v>
      </c>
      <c r="EW311" s="330" t="e">
        <v>#N/A</v>
      </c>
      <c r="EX311" s="330">
        <v>45984</v>
      </c>
      <c r="EY311" s="330" t="e">
        <v>#N/A</v>
      </c>
      <c r="EZ311" s="352" t="s">
        <v>298</v>
      </c>
      <c r="FA311" s="336" t="s">
        <v>298</v>
      </c>
      <c r="FB311" s="330" t="s">
        <v>260</v>
      </c>
      <c r="FC311" s="330">
        <v>45943</v>
      </c>
      <c r="FD311" s="330" t="s">
        <v>260</v>
      </c>
      <c r="FE311" s="330">
        <v>45966</v>
      </c>
      <c r="FF311" s="330">
        <v>45995</v>
      </c>
      <c r="FG311" s="330" t="s">
        <v>260</v>
      </c>
      <c r="FH311" s="330" t="s">
        <v>260</v>
      </c>
      <c r="FI311" s="330">
        <v>46010</v>
      </c>
      <c r="FJ311" s="330" t="s">
        <v>260</v>
      </c>
      <c r="FK311" s="330"/>
      <c r="FL311" s="336" t="s">
        <v>298</v>
      </c>
      <c r="FM311" s="352">
        <v>45943</v>
      </c>
      <c r="FN311" s="338">
        <f>IF(Table1[[#This Row],[Tanggal Pengajuan Dokumen]]="","",Table1[[#This Row],[PLAN PERMIT
start]]-Table1[[#This Row],[Tanggal Pengajuan Dokumen]])</f>
        <v>-49</v>
      </c>
      <c r="FO311" s="437">
        <v>46097</v>
      </c>
      <c r="FP311" s="316"/>
      <c r="FQ311" s="338"/>
      <c r="FR311" s="338"/>
      <c r="FS311" s="338" t="str">
        <f t="shared" si="14"/>
        <v>On Going</v>
      </c>
      <c r="FT31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1" s="344">
        <f ca="1">IF(Table1[[#This Row],[Status Izin]]="Selesai",Table1[[#This Row],[PLAN PERMIT
finish]]-Table1[[#This Row],[Tanggal Terbit/ Target Izin Terbit]],ROUNDUP(Table1[[#This Row],[PLAN PERMIT
finish]]-NOW(),0))</f>
        <v>-207</v>
      </c>
      <c r="FV31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1" s="344"/>
      <c r="FX311" s="47"/>
      <c r="FY311" s="340"/>
      <c r="FZ311" s="341"/>
      <c r="GA31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1" s="330">
        <v>45958</v>
      </c>
      <c r="GC311" s="438">
        <v>45959</v>
      </c>
      <c r="GD31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11" s="330">
        <v>45965</v>
      </c>
      <c r="GF311" s="438">
        <v>45959</v>
      </c>
      <c r="GG31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1" s="330">
        <v>45971</v>
      </c>
      <c r="GI311" s="330">
        <v>45977</v>
      </c>
      <c r="GJ311" s="352">
        <v>45964</v>
      </c>
      <c r="GK31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1" s="330">
        <v>45985</v>
      </c>
      <c r="GM311" s="330" t="e">
        <v>#N/A</v>
      </c>
      <c r="GN311" s="330">
        <v>46005</v>
      </c>
      <c r="GO311" s="330" t="e">
        <v>#N/A</v>
      </c>
      <c r="GP311" s="330"/>
      <c r="GQ31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1" s="330" t="s">
        <v>261</v>
      </c>
      <c r="GS311" s="330" t="s">
        <v>261</v>
      </c>
      <c r="GT311" s="354">
        <v>46013</v>
      </c>
      <c r="GU311" s="344" t="str">
        <f>IF(Table1[[#This Row],[Hydro Tes Actual
(tanggal)]]&lt;&gt;"","Sudah","Belum")</f>
        <v>Sudah</v>
      </c>
      <c r="GV311" s="330" t="s">
        <v>261</v>
      </c>
      <c r="GW311" s="330" t="s">
        <v>261</v>
      </c>
      <c r="GX311" s="331">
        <v>46008</v>
      </c>
      <c r="GY311" s="344" t="str">
        <f>IF(Table1[[#This Row],[Interkoneksi Actual
(tanggal)]]&lt;&gt;"","Sudah","Belum")</f>
        <v>Sudah</v>
      </c>
      <c r="GZ311" s="330" t="s">
        <v>261</v>
      </c>
      <c r="HA311" s="330" t="s">
        <v>261</v>
      </c>
      <c r="HB311" s="331">
        <v>46015</v>
      </c>
      <c r="HC311" s="344" t="str">
        <f>IF(Table1[[#This Row],[Flushing Actual
(tanggal)]]&lt;&gt;"","Sudah","Belum")</f>
        <v>Sudah</v>
      </c>
      <c r="HD311" s="330">
        <v>45992</v>
      </c>
      <c r="HE311" s="330" t="e">
        <v>#N/A</v>
      </c>
      <c r="HF311" s="330">
        <v>46005</v>
      </c>
      <c r="HG311" s="352">
        <v>46035</v>
      </c>
      <c r="HH31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1" s="330" t="s">
        <v>261</v>
      </c>
      <c r="HJ311" s="330" t="s">
        <v>261</v>
      </c>
      <c r="HK311" s="331"/>
      <c r="HL311" s="316"/>
      <c r="HM311" s="330">
        <v>46010</v>
      </c>
      <c r="HN311" s="330">
        <v>46010</v>
      </c>
      <c r="HO311" s="330" t="e">
        <v>#N/A</v>
      </c>
      <c r="HP311" s="331">
        <v>46106</v>
      </c>
      <c r="HQ311"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11" s="330">
        <v>46017</v>
      </c>
      <c r="HS311" s="330"/>
      <c r="HT311" s="330">
        <v>46017</v>
      </c>
      <c r="HU311" s="330"/>
      <c r="HV311" s="331">
        <v>46108</v>
      </c>
      <c r="HW31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11" s="47"/>
      <c r="HY311" s="352"/>
      <c r="HZ311" s="352"/>
      <c r="IB311" s="618">
        <f>IFERROR(ROUND((Table1[[#This Row],[PLAN TC
finish]]-Table1[[#This Row],[PLAN MC-0
start]])/30,2),"")</f>
        <v>1.1299999999999999</v>
      </c>
      <c r="IC311">
        <f>DATEDIF(Table1[[#This Row],[PLAN MC-0
start]],Table1[[#This Row],[PLAN TC
finish]],"m")</f>
        <v>1</v>
      </c>
    </row>
    <row r="312" spans="1:237" s="4" customFormat="1" ht="15" hidden="1" customHeight="1" x14ac:dyDescent="0.2">
      <c r="B312" s="311">
        <f>SUBTOTAL(3,$D$5:D312)</f>
        <v>84</v>
      </c>
      <c r="C312" s="316">
        <v>308</v>
      </c>
      <c r="D312" s="338" t="s">
        <v>244</v>
      </c>
      <c r="E312" s="338" t="s">
        <v>2466</v>
      </c>
      <c r="F312" s="338" t="s">
        <v>2467</v>
      </c>
      <c r="G312" s="349">
        <v>46117</v>
      </c>
      <c r="H312" s="338" t="s">
        <v>681</v>
      </c>
      <c r="I312" s="338" t="s">
        <v>278</v>
      </c>
      <c r="J312" s="480" t="s">
        <v>1830</v>
      </c>
      <c r="K312" s="338" t="s">
        <v>1165</v>
      </c>
      <c r="L312" s="316" t="s">
        <v>250</v>
      </c>
      <c r="M312" s="355" t="s">
        <v>269</v>
      </c>
      <c r="N312" s="107">
        <v>80</v>
      </c>
      <c r="O312" s="31" t="s">
        <v>252</v>
      </c>
      <c r="P31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2" s="35">
        <v>0.99999999999999978</v>
      </c>
      <c r="S312" s="34">
        <v>1</v>
      </c>
      <c r="T312" s="34">
        <f>Table1[[#This Row],[Progres Total Aktual
(%)]]</f>
        <v>1</v>
      </c>
      <c r="U312" s="98">
        <f>Table1[[#This Row],[Progres Aktual
(%)]]-Table1[[#This Row],[Target Progres
(%)]]</f>
        <v>0</v>
      </c>
      <c r="V312" s="80">
        <f>Table1[[#This Row],["Volume
BA MC-0"]]</f>
        <v>80</v>
      </c>
      <c r="W312" s="46">
        <f>Table1[[#This Row],[Total Panjang Pipa Aktual
(Sum-&gt;)3]]</f>
        <v>80</v>
      </c>
      <c r="X312" s="47"/>
      <c r="Y312" s="67" t="s">
        <v>2468</v>
      </c>
      <c r="Z312" s="67">
        <v>140641205</v>
      </c>
      <c r="AA312" s="67">
        <f>ROUND((Table1[[#This Row],[Nilai RAB Jaringan
(Exclude Ppn)]]-Table1[[#This Row],[RAB Perizinan]])*1.11+Table1[[#This Row],[RAB Perizinan]],0)</f>
        <v>140641204</v>
      </c>
      <c r="AB312" s="486">
        <f>SUM(Table1[[#This Row],[RAB Kegiatan Umum]:[RAB Perizinan]])</f>
        <v>126783067</v>
      </c>
      <c r="AC312" s="436">
        <v>9067737</v>
      </c>
      <c r="AD312" s="436">
        <v>90677364</v>
      </c>
      <c r="AE312" s="436">
        <v>26237966</v>
      </c>
      <c r="AF312" s="436">
        <v>800000</v>
      </c>
      <c r="AG312" s="483">
        <v>14749271</v>
      </c>
      <c r="AH312" s="33">
        <f>SUM(Table1[[#This Row],[Bobot Keg Umum]:[Bobot Perizinan]])</f>
        <v>0.99999999999999989</v>
      </c>
      <c r="AI312" s="33">
        <f>Table1[[#This Row],[RAB Kegiatan Umum]]/Table1[[#This Row],[Nilai RAB Jaringan
(Exclude Ppn)]]</f>
        <v>7.1521672527451952E-2</v>
      </c>
      <c r="AJ312" s="33">
        <f>Table1[[#This Row],[RAB Pemasangan]]/Table1[[#This Row],[Nilai RAB Jaringan
(Exclude Ppn)]]</f>
        <v>0.71521667794958765</v>
      </c>
      <c r="AK312" s="33">
        <f>Table1[[#This Row],[RAB Pengadaan]]/Table1[[#This Row],[Nilai RAB Jaringan
(Exclude Ppn)]]</f>
        <v>0.20695165861542061</v>
      </c>
      <c r="AL312" s="33">
        <f>Table1[[#This Row],[RAB Perizinan]]/Table1[[#This Row],[Nilai RAB Jaringan
(Exclude Ppn)]]</f>
        <v>6.3099909075397271E-3</v>
      </c>
      <c r="AM312" s="47"/>
      <c r="AN312" s="285">
        <v>80</v>
      </c>
      <c r="AO312" s="285">
        <f>SUM(Table1[[#This Row],[Pipa 63 mm]:[Pipa 1,800 mm]])</f>
        <v>0</v>
      </c>
      <c r="AP312" s="285"/>
      <c r="AQ312" s="285"/>
      <c r="AR312" s="285"/>
      <c r="AS312" s="285"/>
      <c r="AT312" s="285"/>
      <c r="AU312" s="285"/>
      <c r="AV312" s="285"/>
      <c r="AW312" s="285"/>
      <c r="AX312" s="285"/>
      <c r="AY312" s="285"/>
      <c r="AZ312" s="285"/>
      <c r="BA312" s="285"/>
      <c r="BB312" s="285"/>
      <c r="BC312" s="285"/>
      <c r="BD312" s="285"/>
      <c r="BE312" s="285"/>
      <c r="BF312" s="285"/>
      <c r="BG312" s="285"/>
      <c r="BH312" s="285"/>
      <c r="BI312" s="285"/>
      <c r="BJ312" s="36">
        <f>SUM(Table1[[#This Row],[Pipa 63 mm2]:[Pipa 1,800 mm21]])</f>
        <v>80</v>
      </c>
      <c r="BK312" s="32">
        <v>80</v>
      </c>
      <c r="BL312" s="32"/>
      <c r="BM312" s="32"/>
      <c r="BN312" s="32"/>
      <c r="BO312" s="32"/>
      <c r="BP312" s="32"/>
      <c r="BQ312" s="32"/>
      <c r="BR312" s="32"/>
      <c r="BS312" s="32"/>
      <c r="BT312" s="32"/>
      <c r="BU312" s="32"/>
      <c r="BV312" s="32"/>
      <c r="BW312" s="32"/>
      <c r="BX312" s="32"/>
      <c r="BY312" s="32"/>
      <c r="BZ312" s="32"/>
      <c r="CA312" s="32"/>
      <c r="CB312" s="32"/>
      <c r="CC312" s="32"/>
      <c r="CD312" s="32"/>
      <c r="CE312" s="32">
        <v>0</v>
      </c>
      <c r="CF312" s="32"/>
      <c r="CG312" s="32"/>
      <c r="CH312" s="32"/>
      <c r="CI312" s="32">
        <f t="shared" si="15"/>
        <v>0</v>
      </c>
      <c r="CJ312" s="65">
        <f>IF((Table1[[#This Row],["Volume
BA MC-0"]]-Table1[[#This Row],[Total Panjang Pipa Aktual
(Sum-&gt;)3]]-Table1[[#This Row],[Total Volume
tidak dapat dipasang]])&gt;=0,Table1[[#This Row],["Volume
BA MC-0"]]-Table1[[#This Row],[Total Panjang Pipa Aktual
(Sum-&gt;)3]]-Table1[[#This Row],[Total Volume
tidak dapat dipasang]],0)</f>
        <v>0</v>
      </c>
      <c r="CK312" s="47"/>
      <c r="CL312" s="484" t="s">
        <v>1821</v>
      </c>
      <c r="CM312" s="34" t="s">
        <v>1821</v>
      </c>
      <c r="CN312" s="484" t="s">
        <v>1821</v>
      </c>
      <c r="CO312" s="484" t="s">
        <v>1821</v>
      </c>
      <c r="CP31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2" s="66">
        <f>IFERROR(Table1[[#This Row],[Progres Keg. Umum
(%)]]*Table1[[#This Row],[Nilai RAB Jaringan
(file pa aji)]],0)</f>
        <v>0</v>
      </c>
      <c r="CR312" s="66">
        <f>IFERROR(Table1[[#This Row],[Progres MOS
(%)]]*Table1[[#This Row],[Nilai RAB Jaringan
(file pa aji)]],0)</f>
        <v>0</v>
      </c>
      <c r="CS312" s="66">
        <f>IFERROR(Table1[[#This Row],[Progres Pemasangan
(%)]]*Table1[[#This Row],[Nilai RAB Jaringan
(file pa aji)]],0)</f>
        <v>0</v>
      </c>
      <c r="CT312" s="66">
        <f>IFERROR(Table1[[#This Row],[Progres Perizinan
(%)]]*Table1[[#This Row],[Nilai RAB Jaringan
(file pa aji)]],0)</f>
        <v>0</v>
      </c>
      <c r="CU312" s="329">
        <v>142674955</v>
      </c>
      <c r="CV312" s="329">
        <v>142674955</v>
      </c>
      <c r="CW312" s="583">
        <v>142674955</v>
      </c>
      <c r="CX312" s="329">
        <v>142674955</v>
      </c>
      <c r="CY312" s="47"/>
      <c r="CZ312" s="330">
        <v>45866</v>
      </c>
      <c r="DA312" s="330">
        <v>45893</v>
      </c>
      <c r="DB312" s="331">
        <v>45867</v>
      </c>
      <c r="DC312" s="316" t="s">
        <v>2469</v>
      </c>
      <c r="DD312" s="67">
        <v>140641205</v>
      </c>
      <c r="DE31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2" s="331">
        <v>45889</v>
      </c>
      <c r="DG312" s="316" t="s">
        <v>2470</v>
      </c>
      <c r="DH312" s="67">
        <v>140641205</v>
      </c>
      <c r="DI31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2" s="330">
        <v>45894</v>
      </c>
      <c r="DK312" s="330">
        <v>45956</v>
      </c>
      <c r="DL312" s="331">
        <v>45940</v>
      </c>
      <c r="DM312" s="316" t="s">
        <v>2471</v>
      </c>
      <c r="DN31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2" s="331">
        <v>45950</v>
      </c>
      <c r="DP312" s="316" t="s">
        <v>2472</v>
      </c>
      <c r="DQ312" s="338" t="s">
        <v>365</v>
      </c>
      <c r="DR31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2" s="330">
        <v>45894</v>
      </c>
      <c r="DT312" s="330" t="e">
        <v>#N/A</v>
      </c>
      <c r="DU312" s="330">
        <v>45935</v>
      </c>
      <c r="DV312" s="330" t="e">
        <v>#N/A</v>
      </c>
      <c r="DW312" s="331">
        <v>45940</v>
      </c>
      <c r="DX312" s="484" t="s">
        <v>2473</v>
      </c>
      <c r="DY312" s="332">
        <v>22</v>
      </c>
      <c r="DZ312" s="334">
        <v>22</v>
      </c>
      <c r="EA31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12" s="331">
        <v>46127</v>
      </c>
      <c r="EC312" s="332">
        <v>20</v>
      </c>
      <c r="ED312" s="332">
        <v>20</v>
      </c>
      <c r="EE312" s="425" t="s">
        <v>2474</v>
      </c>
      <c r="EF312" s="35">
        <v>1</v>
      </c>
      <c r="EG312" s="337">
        <v>1</v>
      </c>
      <c r="EH312" s="316" t="str">
        <f>IF(Table1[[#This Row],[PO Material Aktual 
(%)]]&gt;=100%,"Selesai PO = 100%",IF(Table1[[#This Row],[PO Material Aktual 
(%)]]&gt;=50%,"Proses PO &gt; 100%",IF(Table1[[#This Row],[PO Material Aktual 
(%)]]&gt;0%,"Proses PO &gt; 50%",IF(Table1[[#This Row],[PO Material Aktual 
(%)]]=0,"Belum PO = 0%"))))</f>
        <v>Selesai PO = 100%</v>
      </c>
      <c r="EI31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2" s="330">
        <v>45936</v>
      </c>
      <c r="EK312" s="330" t="e">
        <v>#N/A</v>
      </c>
      <c r="EL312" s="330">
        <v>45984</v>
      </c>
      <c r="EM312" s="330" t="e">
        <v>#N/A</v>
      </c>
      <c r="EN312" s="331">
        <v>46148</v>
      </c>
      <c r="EO312" s="332">
        <f>Table1[[#This Row],[Line PO]]</f>
        <v>20</v>
      </c>
      <c r="EP312" s="316">
        <v>20</v>
      </c>
      <c r="EQ312" s="35">
        <v>0.90909090909090906</v>
      </c>
      <c r="ER312" s="35">
        <f>Table1[[#This Row],[Line MOS]]/Table1[[#This Row],[Line PR]]</f>
        <v>0.90909090909090906</v>
      </c>
      <c r="ES312" s="316" t="str">
        <f>IF(Table1[[#This Row],[Progres MOS]]&gt;=100%,"Selesai MOS = 100%",IF(Table1[[#This Row],[Progres MOS]]&gt;=50%,"Proses MOS &gt; 100%",IF(Table1[[#This Row],[Progres MOS]]&gt;0%,"Proses MOS &gt; 50%",IF(Table1[[#This Row],[Progres MOS]]=0,"Belum MOS = 0%"))))</f>
        <v>Proses MOS &gt; 100%</v>
      </c>
      <c r="ET31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2" s="47"/>
      <c r="EV312" s="330">
        <v>45894</v>
      </c>
      <c r="EW312" s="330" t="e">
        <v>#N/A</v>
      </c>
      <c r="EX312" s="330">
        <v>45984</v>
      </c>
      <c r="EY312" s="330" t="e">
        <v>#N/A</v>
      </c>
      <c r="EZ312" s="352" t="s">
        <v>298</v>
      </c>
      <c r="FA312" s="336" t="s">
        <v>298</v>
      </c>
      <c r="FB312" s="330" t="s">
        <v>260</v>
      </c>
      <c r="FC312" s="330">
        <v>45943</v>
      </c>
      <c r="FD312" s="330" t="s">
        <v>260</v>
      </c>
      <c r="FE312" s="330">
        <v>45966</v>
      </c>
      <c r="FF312" s="330">
        <v>45995</v>
      </c>
      <c r="FG312" s="330" t="s">
        <v>260</v>
      </c>
      <c r="FH312" s="330" t="s">
        <v>260</v>
      </c>
      <c r="FI312" s="330">
        <v>46010</v>
      </c>
      <c r="FJ312" s="330" t="s">
        <v>260</v>
      </c>
      <c r="FK312" s="330"/>
      <c r="FL312" s="336" t="s">
        <v>298</v>
      </c>
      <c r="FM312" s="352">
        <v>45943</v>
      </c>
      <c r="FN312" s="338">
        <f>IF(Table1[[#This Row],[Tanggal Pengajuan Dokumen]]="","",Table1[[#This Row],[PLAN PERMIT
start]]-Table1[[#This Row],[Tanggal Pengajuan Dokumen]])</f>
        <v>-49</v>
      </c>
      <c r="FO312" s="437">
        <v>46097</v>
      </c>
      <c r="FP312" s="316" t="s">
        <v>2086</v>
      </c>
      <c r="FQ312" s="338"/>
      <c r="FR312" s="338"/>
      <c r="FS312" s="338" t="str">
        <f t="shared" si="14"/>
        <v>On Going</v>
      </c>
      <c r="FT31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2" s="344">
        <f ca="1">IF(Table1[[#This Row],[Status Izin]]="Selesai",Table1[[#This Row],[PLAN PERMIT
finish]]-Table1[[#This Row],[Tanggal Terbit/ Target Izin Terbit]],ROUNDUP(Table1[[#This Row],[PLAN PERMIT
finish]]-NOW(),0))</f>
        <v>-207</v>
      </c>
      <c r="FV31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2" s="344"/>
      <c r="FX312" s="47"/>
      <c r="FY312" s="340"/>
      <c r="FZ312" s="341"/>
      <c r="GA31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2" s="330">
        <v>45958</v>
      </c>
      <c r="GC312" s="352">
        <v>45909</v>
      </c>
      <c r="GD31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2" s="330">
        <v>45965</v>
      </c>
      <c r="GF312" s="352">
        <v>45909</v>
      </c>
      <c r="GG31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2" s="330">
        <v>45971</v>
      </c>
      <c r="GI312" s="330">
        <v>45977</v>
      </c>
      <c r="GJ312" s="352">
        <v>45951</v>
      </c>
      <c r="GK31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2" s="330">
        <v>45985</v>
      </c>
      <c r="GM312" s="330" t="e">
        <v>#N/A</v>
      </c>
      <c r="GN312" s="330">
        <v>46005</v>
      </c>
      <c r="GO312" s="330" t="e">
        <v>#N/A</v>
      </c>
      <c r="GP312" s="330"/>
      <c r="GQ31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2" s="330" t="s">
        <v>261</v>
      </c>
      <c r="GS312" s="330" t="s">
        <v>261</v>
      </c>
      <c r="GT312" s="354">
        <v>46007</v>
      </c>
      <c r="GU312" s="344" t="str">
        <f>IF(Table1[[#This Row],[Hydro Tes Actual
(tanggal)]]&lt;&gt;"","Sudah","Belum")</f>
        <v>Sudah</v>
      </c>
      <c r="GV312" s="330" t="s">
        <v>261</v>
      </c>
      <c r="GW312" s="330" t="s">
        <v>261</v>
      </c>
      <c r="GX312" s="331">
        <v>45999</v>
      </c>
      <c r="GY312" s="344" t="str">
        <f>IF(Table1[[#This Row],[Interkoneksi Actual
(tanggal)]]&lt;&gt;"","Sudah","Belum")</f>
        <v>Sudah</v>
      </c>
      <c r="GZ312" s="330" t="s">
        <v>261</v>
      </c>
      <c r="HA312" s="330" t="s">
        <v>261</v>
      </c>
      <c r="HB312" s="331">
        <v>46008</v>
      </c>
      <c r="HC312" s="344" t="str">
        <f>IF(Table1[[#This Row],[Flushing Actual
(tanggal)]]&lt;&gt;"","Sudah","Belum")</f>
        <v>Sudah</v>
      </c>
      <c r="HD312" s="330">
        <v>45992</v>
      </c>
      <c r="HE312" s="330" t="e">
        <v>#N/A</v>
      </c>
      <c r="HF312" s="330">
        <v>46005</v>
      </c>
      <c r="HG312" s="352">
        <v>46035</v>
      </c>
      <c r="HH31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2" s="330" t="s">
        <v>261</v>
      </c>
      <c r="HJ312" s="330" t="s">
        <v>261</v>
      </c>
      <c r="HK312" s="331"/>
      <c r="HL312" s="316"/>
      <c r="HM312" s="330">
        <v>46010</v>
      </c>
      <c r="HN312" s="330">
        <v>46010</v>
      </c>
      <c r="HO312" s="330" t="e">
        <v>#N/A</v>
      </c>
      <c r="HP312" s="331">
        <v>46057</v>
      </c>
      <c r="HQ312"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12" s="330">
        <v>46017</v>
      </c>
      <c r="HS312" s="330"/>
      <c r="HT312" s="330">
        <v>46017</v>
      </c>
      <c r="HU312" s="330"/>
      <c r="HV312" s="331">
        <v>46064</v>
      </c>
      <c r="HW31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12" s="47"/>
      <c r="HY312" s="352"/>
      <c r="HZ312" s="352"/>
      <c r="IB312" s="618">
        <f>IFERROR(ROUND((Table1[[#This Row],[PLAN TC
finish]]-Table1[[#This Row],[PLAN MC-0
start]])/30,2),"")</f>
        <v>1.1299999999999999</v>
      </c>
      <c r="IC312">
        <f>DATEDIF(Table1[[#This Row],[PLAN MC-0
start]],Table1[[#This Row],[PLAN TC
finish]],"m")</f>
        <v>1</v>
      </c>
    </row>
    <row r="313" spans="1:237" s="4" customFormat="1" ht="15" hidden="1" customHeight="1" x14ac:dyDescent="0.2">
      <c r="B313" s="311">
        <f>SUBTOTAL(3,$D$5:D313)</f>
        <v>84</v>
      </c>
      <c r="C313" s="316">
        <v>309</v>
      </c>
      <c r="D313" s="338" t="s">
        <v>244</v>
      </c>
      <c r="E313" s="338" t="s">
        <v>2475</v>
      </c>
      <c r="F313" s="338" t="s">
        <v>2476</v>
      </c>
      <c r="G313" s="349">
        <v>46117</v>
      </c>
      <c r="H313" s="338" t="s">
        <v>681</v>
      </c>
      <c r="I313" s="338" t="s">
        <v>278</v>
      </c>
      <c r="J313" s="480" t="s">
        <v>1830</v>
      </c>
      <c r="K313" s="338" t="s">
        <v>1165</v>
      </c>
      <c r="L313" s="316" t="s">
        <v>250</v>
      </c>
      <c r="M313" s="355" t="s">
        <v>269</v>
      </c>
      <c r="N313" s="107">
        <v>285</v>
      </c>
      <c r="O313" s="31" t="s">
        <v>252</v>
      </c>
      <c r="P31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3" s="35">
        <v>1</v>
      </c>
      <c r="S313" s="34">
        <v>1</v>
      </c>
      <c r="T313" s="34">
        <f>Table1[[#This Row],[Progres Total Aktual
(%)]]</f>
        <v>1</v>
      </c>
      <c r="U313" s="98">
        <f>Table1[[#This Row],[Progres Aktual
(%)]]-Table1[[#This Row],[Target Progres
(%)]]</f>
        <v>0</v>
      </c>
      <c r="V313" s="80">
        <f>Table1[[#This Row],["Volume
BA MC-0"]]</f>
        <v>305</v>
      </c>
      <c r="W313" s="46">
        <f>Table1[[#This Row],[Total Panjang Pipa Aktual
(Sum-&gt;)3]]</f>
        <v>305</v>
      </c>
      <c r="X313" s="47"/>
      <c r="Y313" s="67" t="s">
        <v>2477</v>
      </c>
      <c r="Z313" s="67">
        <v>430999438</v>
      </c>
      <c r="AA313" s="67">
        <f>ROUND((Table1[[#This Row],[Nilai RAB Jaringan
(Exclude Ppn)]]-Table1[[#This Row],[RAB Perizinan]])*1.11+Table1[[#This Row],[RAB Perizinan]],0)</f>
        <v>430999438</v>
      </c>
      <c r="AB313" s="486">
        <f>SUM(Table1[[#This Row],[RAB Kegiatan Umum]:[RAB Perizinan]])</f>
        <v>388570214</v>
      </c>
      <c r="AC313" s="436">
        <v>27101172</v>
      </c>
      <c r="AD313" s="436">
        <v>271011719</v>
      </c>
      <c r="AE313" s="436">
        <v>87607323</v>
      </c>
      <c r="AF313" s="436">
        <v>2850000</v>
      </c>
      <c r="AG313" s="483"/>
      <c r="AH313" s="33">
        <f>SUM(Table1[[#This Row],[Bobot Keg Umum]:[Bobot Perizinan]])</f>
        <v>1</v>
      </c>
      <c r="AI313" s="33">
        <f>Table1[[#This Row],[RAB Kegiatan Umum]]/Table1[[#This Row],[Nilai RAB Jaringan
(Exclude Ppn)]]</f>
        <v>6.9745881242456731E-2</v>
      </c>
      <c r="AJ313" s="33">
        <f>Table1[[#This Row],[RAB Pemasangan]]/Table1[[#This Row],[Nilai RAB Jaringan
(Exclude Ppn)]]</f>
        <v>0.69745880985102993</v>
      </c>
      <c r="AK313" s="33">
        <f>Table1[[#This Row],[RAB Pengadaan]]/Table1[[#This Row],[Nilai RAB Jaringan
(Exclude Ppn)]]</f>
        <v>0.22546072715702289</v>
      </c>
      <c r="AL313" s="33">
        <f>Table1[[#This Row],[RAB Perizinan]]/Table1[[#This Row],[Nilai RAB Jaringan
(Exclude Ppn)]]</f>
        <v>7.3345817494904538E-3</v>
      </c>
      <c r="AM313" s="47"/>
      <c r="AN313" s="285">
        <v>305</v>
      </c>
      <c r="AO313" s="285">
        <f>SUM(Table1[[#This Row],[Pipa 63 mm]:[Pipa 1,800 mm]])</f>
        <v>0</v>
      </c>
      <c r="AP313" s="285"/>
      <c r="AQ313" s="285"/>
      <c r="AR313" s="285"/>
      <c r="AS313" s="285"/>
      <c r="AT313" s="285"/>
      <c r="AU313" s="285"/>
      <c r="AV313" s="285"/>
      <c r="AW313" s="285"/>
      <c r="AX313" s="285"/>
      <c r="AY313" s="285"/>
      <c r="AZ313" s="285"/>
      <c r="BA313" s="285"/>
      <c r="BB313" s="285"/>
      <c r="BC313" s="285"/>
      <c r="BD313" s="285"/>
      <c r="BE313" s="285"/>
      <c r="BF313" s="285"/>
      <c r="BG313" s="285"/>
      <c r="BH313" s="285"/>
      <c r="BI313" s="285"/>
      <c r="BJ313" s="36">
        <f>SUM(Table1[[#This Row],[Pipa 63 mm2]:[Pipa 1,800 mm21]])</f>
        <v>305</v>
      </c>
      <c r="BK313" s="32">
        <v>10</v>
      </c>
      <c r="BL313" s="32">
        <v>295</v>
      </c>
      <c r="BM313" s="32"/>
      <c r="BN313" s="32"/>
      <c r="BO313" s="32"/>
      <c r="BP313" s="32"/>
      <c r="BQ313" s="32"/>
      <c r="BR313" s="32"/>
      <c r="BS313" s="32"/>
      <c r="BT313" s="32"/>
      <c r="BU313" s="32"/>
      <c r="BV313" s="32"/>
      <c r="BW313" s="32"/>
      <c r="BX313" s="32"/>
      <c r="BY313" s="32"/>
      <c r="BZ313" s="32"/>
      <c r="CA313" s="32"/>
      <c r="CB313" s="32"/>
      <c r="CC313" s="32"/>
      <c r="CD313" s="32"/>
      <c r="CE313" s="32"/>
      <c r="CF313" s="32"/>
      <c r="CG313" s="32"/>
      <c r="CH313" s="32"/>
      <c r="CI313" s="32"/>
      <c r="CJ313" s="65">
        <f>IF((Table1[[#This Row],["Volume
BA MC-0"]]-Table1[[#This Row],[Total Panjang Pipa Aktual
(Sum-&gt;)3]]-Table1[[#This Row],[Total Volume
tidak dapat dipasang]])&gt;=0,Table1[[#This Row],["Volume
BA MC-0"]]-Table1[[#This Row],[Total Panjang Pipa Aktual
(Sum-&gt;)3]]-Table1[[#This Row],[Total Volume
tidak dapat dipasang]],0)</f>
        <v>0</v>
      </c>
      <c r="CK313" s="47"/>
      <c r="CL313" s="35" t="s">
        <v>1821</v>
      </c>
      <c r="CM313" s="35">
        <v>0.33626000648370458</v>
      </c>
      <c r="CN313" s="35" t="s">
        <v>1821</v>
      </c>
      <c r="CO313" s="35" t="s">
        <v>1821</v>
      </c>
      <c r="CP31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3" s="66">
        <f>IFERROR(Table1[[#This Row],[Progres Keg. Umum
(%)]]*Table1[[#This Row],[Nilai RAB Jaringan
(file pa aji)]],0)</f>
        <v>0</v>
      </c>
      <c r="CR313" s="66">
        <f>IFERROR(Table1[[#This Row],[Progres MOS
(%)]]*Table1[[#This Row],[Nilai RAB Jaringan
(file pa aji)]],0)</f>
        <v>144927873.81635302</v>
      </c>
      <c r="CS313" s="66">
        <f>IFERROR(Table1[[#This Row],[Progres Pemasangan
(%)]]*Table1[[#This Row],[Nilai RAB Jaringan
(file pa aji)]],0)</f>
        <v>0</v>
      </c>
      <c r="CT313" s="66">
        <f>IFERROR(Table1[[#This Row],[Progres Perizinan
(%)]]*Table1[[#This Row],[Nilai RAB Jaringan
(file pa aji)]],0)</f>
        <v>0</v>
      </c>
      <c r="CU313" s="329">
        <v>454315082</v>
      </c>
      <c r="CV313" s="329">
        <v>454315082</v>
      </c>
      <c r="CW313" s="583">
        <v>454315082</v>
      </c>
      <c r="CX313" s="329">
        <v>454315082</v>
      </c>
      <c r="CY313" s="47"/>
      <c r="CZ313" s="330">
        <v>45866</v>
      </c>
      <c r="DA313" s="330">
        <v>45893</v>
      </c>
      <c r="DB313" s="331">
        <v>45887</v>
      </c>
      <c r="DC313" s="316" t="s">
        <v>2478</v>
      </c>
      <c r="DD313" s="67">
        <v>430999438</v>
      </c>
      <c r="DE31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3" s="331">
        <v>45897</v>
      </c>
      <c r="DG313" s="316" t="s">
        <v>2479</v>
      </c>
      <c r="DH313" s="67">
        <v>430999438</v>
      </c>
      <c r="DI31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13" s="330">
        <v>45894</v>
      </c>
      <c r="DK313" s="330">
        <v>45956</v>
      </c>
      <c r="DL313" s="331">
        <v>45899</v>
      </c>
      <c r="DM313" s="316" t="s">
        <v>2480</v>
      </c>
      <c r="DN31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3" s="331">
        <v>45908</v>
      </c>
      <c r="DP313" s="316" t="s">
        <v>2481</v>
      </c>
      <c r="DQ313" s="338" t="s">
        <v>365</v>
      </c>
      <c r="DR31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3" s="330">
        <v>45894</v>
      </c>
      <c r="DT313" s="330" t="e">
        <v>#N/A</v>
      </c>
      <c r="DU313" s="330">
        <v>45935</v>
      </c>
      <c r="DV313" s="330" t="e">
        <v>#N/A</v>
      </c>
      <c r="DW313" s="331">
        <v>45899</v>
      </c>
      <c r="DX313" s="484" t="s">
        <v>2482</v>
      </c>
      <c r="DY313" s="332">
        <v>21</v>
      </c>
      <c r="DZ313" s="334">
        <v>21</v>
      </c>
      <c r="EA31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13" s="331">
        <v>46121</v>
      </c>
      <c r="EC313" s="332">
        <v>19</v>
      </c>
      <c r="ED313" s="332">
        <v>19</v>
      </c>
      <c r="EE313" s="425" t="s">
        <v>2483</v>
      </c>
      <c r="EF313" s="35">
        <v>1</v>
      </c>
      <c r="EG313" s="337">
        <v>1</v>
      </c>
      <c r="EH313" s="316" t="str">
        <f>IF(Table1[[#This Row],[PO Material Aktual 
(%)]]&gt;=100%,"Selesai PO = 100%",IF(Table1[[#This Row],[PO Material Aktual 
(%)]]&gt;=50%,"Proses PO &gt; 100%",IF(Table1[[#This Row],[PO Material Aktual 
(%)]]&gt;0%,"Proses PO &gt; 50%",IF(Table1[[#This Row],[PO Material Aktual 
(%)]]=0,"Belum PO = 0%"))))</f>
        <v>Selesai PO = 100%</v>
      </c>
      <c r="EI31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3" s="330">
        <v>45936</v>
      </c>
      <c r="EK313" s="330" t="e">
        <v>#N/A</v>
      </c>
      <c r="EL313" s="330">
        <v>45984</v>
      </c>
      <c r="EM313" s="330" t="e">
        <v>#N/A</v>
      </c>
      <c r="EN313" s="331">
        <v>46160</v>
      </c>
      <c r="EO313" s="332">
        <f>Table1[[#This Row],[Line PO]]</f>
        <v>19</v>
      </c>
      <c r="EP313" s="316">
        <v>19</v>
      </c>
      <c r="EQ313" s="35">
        <v>0.90476190476190477</v>
      </c>
      <c r="ER313" s="35">
        <f>Table1[[#This Row],[Line MOS]]/Table1[[#This Row],[Line PR]]</f>
        <v>0.90476190476190477</v>
      </c>
      <c r="ES313" s="316" t="str">
        <f>IF(Table1[[#This Row],[Progres MOS]]&gt;=100%,"Selesai MOS = 100%",IF(Table1[[#This Row],[Progres MOS]]&gt;=50%,"Proses MOS &gt; 100%",IF(Table1[[#This Row],[Progres MOS]]&gt;0%,"Proses MOS &gt; 50%",IF(Table1[[#This Row],[Progres MOS]]=0,"Belum MOS = 0%"))))</f>
        <v>Proses MOS &gt; 100%</v>
      </c>
      <c r="ET31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3" s="47"/>
      <c r="EV313" s="330">
        <v>45894</v>
      </c>
      <c r="EW313" s="330" t="e">
        <v>#N/A</v>
      </c>
      <c r="EX313" s="330">
        <v>45984</v>
      </c>
      <c r="EY313" s="330" t="e">
        <v>#N/A</v>
      </c>
      <c r="EZ313" s="352" t="s">
        <v>298</v>
      </c>
      <c r="FA313" s="336" t="s">
        <v>298</v>
      </c>
      <c r="FB313" s="330" t="s">
        <v>260</v>
      </c>
      <c r="FC313" s="330">
        <v>45942</v>
      </c>
      <c r="FD313" s="330" t="s">
        <v>260</v>
      </c>
      <c r="FE313" s="330">
        <v>45966</v>
      </c>
      <c r="FF313" s="330">
        <v>45995</v>
      </c>
      <c r="FG313" s="330" t="s">
        <v>260</v>
      </c>
      <c r="FH313" s="330" t="s">
        <v>260</v>
      </c>
      <c r="FI313" s="330">
        <v>46003</v>
      </c>
      <c r="FJ313" s="330" t="s">
        <v>260</v>
      </c>
      <c r="FK313" s="330"/>
      <c r="FL313" s="336" t="s">
        <v>298</v>
      </c>
      <c r="FM313" s="352">
        <v>45942</v>
      </c>
      <c r="FN313" s="338">
        <f>IF(Table1[[#This Row],[Tanggal Pengajuan Dokumen]]="","",Table1[[#This Row],[PLAN PERMIT
start]]-Table1[[#This Row],[Tanggal Pengajuan Dokumen]])</f>
        <v>-48</v>
      </c>
      <c r="FO313" s="437">
        <v>46086</v>
      </c>
      <c r="FP313" s="316" t="s">
        <v>2086</v>
      </c>
      <c r="FQ313" s="338"/>
      <c r="FR313" s="338"/>
      <c r="FS313" s="338" t="str">
        <f t="shared" si="14"/>
        <v>On Going</v>
      </c>
      <c r="FT31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3" s="344">
        <f ca="1">IF(Table1[[#This Row],[Status Izin]]="Selesai",Table1[[#This Row],[PLAN PERMIT
finish]]-Table1[[#This Row],[Tanggal Terbit/ Target Izin Terbit]],ROUNDUP(Table1[[#This Row],[PLAN PERMIT
finish]]-NOW(),0))</f>
        <v>-207</v>
      </c>
      <c r="FV31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3" s="344"/>
      <c r="FX313" s="47"/>
      <c r="FY313" s="340"/>
      <c r="FZ313" s="341"/>
      <c r="GA31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3" s="330">
        <v>45958</v>
      </c>
      <c r="GC313" s="352">
        <v>45896</v>
      </c>
      <c r="GD31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3" s="330">
        <v>45965</v>
      </c>
      <c r="GF313" s="352">
        <v>45896</v>
      </c>
      <c r="GG31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3" s="330">
        <v>45971</v>
      </c>
      <c r="GI313" s="330">
        <v>45977</v>
      </c>
      <c r="GJ313" s="352">
        <v>45902</v>
      </c>
      <c r="GK31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3" s="330">
        <v>45985</v>
      </c>
      <c r="GM313" s="330" t="e">
        <v>#N/A</v>
      </c>
      <c r="GN313" s="330">
        <v>46005</v>
      </c>
      <c r="GO313" s="330" t="e">
        <v>#N/A</v>
      </c>
      <c r="GP313" s="330">
        <v>45917</v>
      </c>
      <c r="GQ31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313" s="330" t="s">
        <v>261</v>
      </c>
      <c r="GS313" s="330" t="s">
        <v>261</v>
      </c>
      <c r="GT313" s="354">
        <v>45915</v>
      </c>
      <c r="GU313" s="344" t="str">
        <f>IF(Table1[[#This Row],[Hydro Tes Actual
(tanggal)]]&lt;&gt;"","Sudah","Belum")</f>
        <v>Sudah</v>
      </c>
      <c r="GV313" s="330" t="s">
        <v>261</v>
      </c>
      <c r="GW313" s="330" t="s">
        <v>261</v>
      </c>
      <c r="GX313" s="331">
        <v>45913</v>
      </c>
      <c r="GY313" s="344" t="str">
        <f>IF(Table1[[#This Row],[Interkoneksi Actual
(tanggal)]]&lt;&gt;"","Sudah","Belum")</f>
        <v>Sudah</v>
      </c>
      <c r="GZ313" s="330" t="s">
        <v>261</v>
      </c>
      <c r="HA313" s="330" t="s">
        <v>261</v>
      </c>
      <c r="HB313" s="331">
        <v>45915</v>
      </c>
      <c r="HC313" s="344" t="str">
        <f>IF(Table1[[#This Row],[Flushing Actual
(tanggal)]]&lt;&gt;"","Sudah","Belum")</f>
        <v>Sudah</v>
      </c>
      <c r="HD313" s="330">
        <v>45992</v>
      </c>
      <c r="HE313" s="330" t="e">
        <v>#N/A</v>
      </c>
      <c r="HF313" s="330">
        <v>46005</v>
      </c>
      <c r="HG313" s="352">
        <v>45917</v>
      </c>
      <c r="HH31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13" s="330" t="s">
        <v>261</v>
      </c>
      <c r="HJ313" s="330" t="s">
        <v>261</v>
      </c>
      <c r="HK313" s="331"/>
      <c r="HL313" s="316"/>
      <c r="HM313" s="330">
        <v>46010</v>
      </c>
      <c r="HN313" s="330">
        <v>46010</v>
      </c>
      <c r="HO313" s="330" t="e">
        <v>#N/A</v>
      </c>
      <c r="HP313" s="331">
        <v>45929</v>
      </c>
      <c r="HQ31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313" s="330">
        <v>46017</v>
      </c>
      <c r="HS313" s="330"/>
      <c r="HT313" s="330">
        <v>46017</v>
      </c>
      <c r="HU313" s="330"/>
      <c r="HV313" s="331">
        <v>46055</v>
      </c>
      <c r="HW31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13" s="47"/>
      <c r="HY313" s="352"/>
      <c r="HZ313" s="352"/>
      <c r="IB313" s="618">
        <f>IFERROR(ROUND((Table1[[#This Row],[PLAN TC
finish]]-Table1[[#This Row],[PLAN MC-0
start]])/30,2),"")</f>
        <v>1.1299999999999999</v>
      </c>
      <c r="IC313">
        <f>DATEDIF(Table1[[#This Row],[PLAN MC-0
start]],Table1[[#This Row],[PLAN TC
finish]],"m")</f>
        <v>1</v>
      </c>
    </row>
    <row r="314" spans="1:237" s="30" customFormat="1" ht="15" hidden="1" customHeight="1" x14ac:dyDescent="0.2">
      <c r="A314" s="77"/>
      <c r="B314" s="311">
        <f>SUBTOTAL(3,$D$5:D314)</f>
        <v>84</v>
      </c>
      <c r="C314" s="367">
        <v>310</v>
      </c>
      <c r="D314" s="366" t="s">
        <v>244</v>
      </c>
      <c r="E314" s="366" t="s">
        <v>2484</v>
      </c>
      <c r="F314" s="366" t="s">
        <v>2485</v>
      </c>
      <c r="G314" s="364">
        <v>46117</v>
      </c>
      <c r="H314" s="366" t="s">
        <v>681</v>
      </c>
      <c r="I314" s="366" t="s">
        <v>278</v>
      </c>
      <c r="J314" s="385" t="s">
        <v>389</v>
      </c>
      <c r="K314" s="366" t="s">
        <v>1165</v>
      </c>
      <c r="L314" s="367" t="s">
        <v>250</v>
      </c>
      <c r="M314" s="392" t="s">
        <v>269</v>
      </c>
      <c r="N314" s="368">
        <v>60</v>
      </c>
      <c r="O314" s="369" t="s">
        <v>252</v>
      </c>
      <c r="P314"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4" s="385" t="s">
        <v>389</v>
      </c>
      <c r="R314" s="371">
        <v>0.99999999999999978</v>
      </c>
      <c r="S314" s="34">
        <v>1</v>
      </c>
      <c r="T314" s="489">
        <f>Table1[[#This Row],[Progres Total Aktual
(%)]]</f>
        <v>0</v>
      </c>
      <c r="U314" s="490">
        <f>Table1[[#This Row],[Progres Aktual
(%)]]-Table1[[#This Row],[Target Progres
(%)]]</f>
        <v>-1</v>
      </c>
      <c r="V314" s="491">
        <f>Table1[[#This Row],["Volume
BA MC-0"]]</f>
        <v>60</v>
      </c>
      <c r="W314" s="492">
        <f>Table1[[#This Row],[Total Panjang Pipa Aktual
(Sum-&gt;)3]]</f>
        <v>0</v>
      </c>
      <c r="X314" s="47"/>
      <c r="Y314" s="375" t="s">
        <v>2486</v>
      </c>
      <c r="Z314" s="375">
        <v>122770834</v>
      </c>
      <c r="AA314" s="375">
        <f>ROUND((Table1[[#This Row],[Nilai RAB Jaringan
(Exclude Ppn)]]-Table1[[#This Row],[RAB Perizinan]])*1.11+Table1[[#This Row],[RAB Perizinan]],0)</f>
        <v>122770833</v>
      </c>
      <c r="AB314" s="493">
        <f>SUM(Table1[[#This Row],[RAB Kegiatan Umum]:[RAB Perizinan]])</f>
        <v>110663813.90000001</v>
      </c>
      <c r="AC314" s="439">
        <v>7783326.9000000004</v>
      </c>
      <c r="AD314" s="439">
        <v>77833269</v>
      </c>
      <c r="AE314" s="439">
        <v>24447218</v>
      </c>
      <c r="AF314" s="439">
        <v>600000</v>
      </c>
      <c r="AG314" s="494"/>
      <c r="AH314" s="495">
        <f>SUM(Table1[[#This Row],[Bobot Keg Umum]:[Bobot Perizinan]])</f>
        <v>0.99999999999999989</v>
      </c>
      <c r="AI314" s="495">
        <f>Table1[[#This Row],[RAB Kegiatan Umum]]/Table1[[#This Row],[Nilai RAB Jaringan
(Exclude Ppn)]]</f>
        <v>7.0333080215663882E-2</v>
      </c>
      <c r="AJ314" s="495">
        <f>Table1[[#This Row],[RAB Pemasangan]]/Table1[[#This Row],[Nilai RAB Jaringan
(Exclude Ppn)]]</f>
        <v>0.70333080215663879</v>
      </c>
      <c r="AK314" s="495">
        <f>Table1[[#This Row],[RAB Pengadaan]]/Table1[[#This Row],[Nilai RAB Jaringan
(Exclude Ppn)]]</f>
        <v>0.22091429111680019</v>
      </c>
      <c r="AL314" s="495">
        <f>Table1[[#This Row],[RAB Perizinan]]/Table1[[#This Row],[Nilai RAB Jaringan
(Exclude Ppn)]]</f>
        <v>5.4218265108970723E-3</v>
      </c>
      <c r="AM314" s="47"/>
      <c r="AN314" s="376">
        <v>60</v>
      </c>
      <c r="AO314" s="376">
        <f>SUM(Table1[[#This Row],[Pipa 63 mm]:[Pipa 1,800 mm]])</f>
        <v>0</v>
      </c>
      <c r="AP314" s="376"/>
      <c r="AQ314" s="376"/>
      <c r="AR314" s="376"/>
      <c r="AS314" s="376"/>
      <c r="AT314" s="376"/>
      <c r="AU314" s="376"/>
      <c r="AV314" s="376"/>
      <c r="AW314" s="376"/>
      <c r="AX314" s="376"/>
      <c r="AY314" s="376"/>
      <c r="AZ314" s="376"/>
      <c r="BA314" s="376"/>
      <c r="BB314" s="376"/>
      <c r="BC314" s="376"/>
      <c r="BD314" s="376"/>
      <c r="BE314" s="376"/>
      <c r="BF314" s="376"/>
      <c r="BG314" s="376"/>
      <c r="BH314" s="376"/>
      <c r="BI314" s="376"/>
      <c r="BJ314" s="377">
        <f>SUM(Table1[[#This Row],[Pipa 63 mm2]:[Pipa 1,800 mm21]])</f>
        <v>0</v>
      </c>
      <c r="BK314" s="378"/>
      <c r="BL314" s="378"/>
      <c r="BM314" s="378"/>
      <c r="BN314" s="378"/>
      <c r="BO314" s="378"/>
      <c r="BP314" s="378"/>
      <c r="BQ314" s="378"/>
      <c r="BR314" s="378"/>
      <c r="BS314" s="378"/>
      <c r="BT314" s="378"/>
      <c r="BU314" s="378"/>
      <c r="BV314" s="378"/>
      <c r="BW314" s="378"/>
      <c r="BX314" s="378"/>
      <c r="BY314" s="378"/>
      <c r="BZ314" s="378"/>
      <c r="CA314" s="378"/>
      <c r="CB314" s="378"/>
      <c r="CC314" s="378"/>
      <c r="CD314" s="378"/>
      <c r="CE314" s="378"/>
      <c r="CF314" s="378"/>
      <c r="CG314" s="378"/>
      <c r="CH314" s="378"/>
      <c r="CI314" s="378"/>
      <c r="CJ314" s="440">
        <f>IF((Table1[[#This Row],["Volume
BA MC-0"]]-Table1[[#This Row],[Total Panjang Pipa Aktual
(Sum-&gt;)3]]-Table1[[#This Row],[Total Volume
tidak dapat dipasang]])&gt;=0,Table1[[#This Row],["Volume
BA MC-0"]]-Table1[[#This Row],[Total Panjang Pipa Aktual
(Sum-&gt;)3]]-Table1[[#This Row],[Total Volume
tidak dapat dipasang]],0)</f>
        <v>60</v>
      </c>
      <c r="CK314" s="47"/>
      <c r="CL314" s="496" t="s">
        <v>1821</v>
      </c>
      <c r="CM314" s="489" t="s">
        <v>1821</v>
      </c>
      <c r="CN314" s="496" t="s">
        <v>1821</v>
      </c>
      <c r="CO314" s="496" t="s">
        <v>1821</v>
      </c>
      <c r="CP314"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4" s="380">
        <f>IFERROR(Table1[[#This Row],[Progres Keg. Umum
(%)]]*Table1[[#This Row],[Nilai RAB Jaringan
(file pa aji)]],0)</f>
        <v>0</v>
      </c>
      <c r="CR314" s="380">
        <f>IFERROR(Table1[[#This Row],[Progres MOS
(%)]]*Table1[[#This Row],[Nilai RAB Jaringan
(file pa aji)]],0)</f>
        <v>0</v>
      </c>
      <c r="CS314" s="380">
        <f>IFERROR(Table1[[#This Row],[Progres Pemasangan
(%)]]*Table1[[#This Row],[Nilai RAB Jaringan
(file pa aji)]],0)</f>
        <v>0</v>
      </c>
      <c r="CT314" s="380">
        <f>IFERROR(Table1[[#This Row],[Progres Perizinan
(%)]]*Table1[[#This Row],[Nilai RAB Jaringan
(file pa aji)]],0)</f>
        <v>0</v>
      </c>
      <c r="CU314" s="329">
        <v>0</v>
      </c>
      <c r="CV314" s="329">
        <v>0</v>
      </c>
      <c r="CW314" s="582">
        <v>0</v>
      </c>
      <c r="CX314" s="329">
        <v>0</v>
      </c>
      <c r="CY314" s="47"/>
      <c r="CZ314" s="386">
        <v>45901</v>
      </c>
      <c r="DA314" s="386">
        <v>45928</v>
      </c>
      <c r="DB314" s="388">
        <v>45944</v>
      </c>
      <c r="DC314" s="367" t="s">
        <v>2487</v>
      </c>
      <c r="DD314" s="375">
        <v>122770833</v>
      </c>
      <c r="DE31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14" s="388">
        <v>45957</v>
      </c>
      <c r="DG314" s="367" t="s">
        <v>2488</v>
      </c>
      <c r="DH314" s="375">
        <v>122770833</v>
      </c>
      <c r="DI314" s="367"/>
      <c r="DJ314" s="386">
        <v>45929</v>
      </c>
      <c r="DK314" s="386">
        <v>45991</v>
      </c>
      <c r="DL314" s="388">
        <v>45964</v>
      </c>
      <c r="DM314" s="307" t="s">
        <v>2489</v>
      </c>
      <c r="DN314" s="382"/>
      <c r="DO314" s="388">
        <v>45973</v>
      </c>
      <c r="DP314" s="367" t="s">
        <v>2490</v>
      </c>
      <c r="DQ314" s="366" t="s">
        <v>365</v>
      </c>
      <c r="DR314" s="382"/>
      <c r="DS314" s="386">
        <v>45929</v>
      </c>
      <c r="DT314" s="386" t="e">
        <v>#N/A</v>
      </c>
      <c r="DU314" s="386">
        <v>45970</v>
      </c>
      <c r="DV314" s="386" t="e">
        <v>#N/A</v>
      </c>
      <c r="DW314" s="388">
        <v>45964</v>
      </c>
      <c r="DX314" s="367" t="s">
        <v>2491</v>
      </c>
      <c r="DY314" s="442"/>
      <c r="DZ314" s="442"/>
      <c r="EA314" s="382"/>
      <c r="EB314" s="388"/>
      <c r="EC314" s="442"/>
      <c r="ED314" s="442"/>
      <c r="EE314" s="386"/>
      <c r="EF314" s="371"/>
      <c r="EG314" s="371"/>
      <c r="EH314" s="367"/>
      <c r="EI314"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4" s="386">
        <v>45971</v>
      </c>
      <c r="EK314" s="386" t="e">
        <v>#N/A</v>
      </c>
      <c r="EL314" s="386">
        <v>46026</v>
      </c>
      <c r="EM314" s="386" t="e">
        <v>#N/A</v>
      </c>
      <c r="EN314" s="388"/>
      <c r="EO314" s="442"/>
      <c r="EP314" s="367"/>
      <c r="EQ314" s="371"/>
      <c r="ER314" s="371"/>
      <c r="ES314" s="367"/>
      <c r="ET31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4" s="47"/>
      <c r="EV314" s="386">
        <v>45929</v>
      </c>
      <c r="EW314" s="386" t="e">
        <v>#N/A</v>
      </c>
      <c r="EX314" s="386">
        <v>46019</v>
      </c>
      <c r="EY314" s="386" t="e">
        <v>#N/A</v>
      </c>
      <c r="EZ314" s="384" t="s">
        <v>298</v>
      </c>
      <c r="FA314" s="385" t="s">
        <v>389</v>
      </c>
      <c r="FB314" s="386" t="s">
        <v>260</v>
      </c>
      <c r="FC314" s="330">
        <v>45943</v>
      </c>
      <c r="FD314" s="386" t="s">
        <v>260</v>
      </c>
      <c r="FE314" s="386">
        <v>45966</v>
      </c>
      <c r="FF314" s="386">
        <v>45995</v>
      </c>
      <c r="FG314" s="386" t="s">
        <v>260</v>
      </c>
      <c r="FH314" s="386" t="s">
        <v>260</v>
      </c>
      <c r="FI314" s="386">
        <v>46010</v>
      </c>
      <c r="FJ314" s="386" t="s">
        <v>260</v>
      </c>
      <c r="FK314" s="386"/>
      <c r="FL314" s="443" t="s">
        <v>298</v>
      </c>
      <c r="FM314" s="384">
        <v>45943</v>
      </c>
      <c r="FN314" s="366">
        <f>IF(Table1[[#This Row],[Tanggal Pengajuan Dokumen]]="","",Table1[[#This Row],[PLAN PERMIT
start]]-Table1[[#This Row],[Tanggal Pengajuan Dokumen]])</f>
        <v>-14</v>
      </c>
      <c r="FO314" s="444">
        <v>46097</v>
      </c>
      <c r="FP314" s="367"/>
      <c r="FQ314" s="366"/>
      <c r="FR314" s="366"/>
      <c r="FS314" s="366" t="str">
        <f t="shared" si="14"/>
        <v>On Going</v>
      </c>
      <c r="FT314"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4" s="387">
        <f ca="1">IF(Table1[[#This Row],[Status Izin]]="Selesai",Table1[[#This Row],[PLAN PERMIT
finish]]-Table1[[#This Row],[Tanggal Terbit/ Target Izin Terbit]],ROUNDUP(Table1[[#This Row],[PLAN PERMIT
finish]]-NOW(),0))</f>
        <v>-172</v>
      </c>
      <c r="FV314"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4" s="387"/>
      <c r="FX314" s="47"/>
      <c r="FY314" s="340"/>
      <c r="FZ314" s="341"/>
      <c r="GA31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4" s="386">
        <v>45993</v>
      </c>
      <c r="GC314" s="384">
        <v>45978</v>
      </c>
      <c r="GD314"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4" s="386">
        <v>46000</v>
      </c>
      <c r="GF314" s="384">
        <v>45978</v>
      </c>
      <c r="GG314"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4" s="386">
        <v>46006</v>
      </c>
      <c r="GI314" s="386">
        <v>46012</v>
      </c>
      <c r="GJ314" s="384">
        <v>45982</v>
      </c>
      <c r="GK314"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4" s="386">
        <v>46020</v>
      </c>
      <c r="GM314" s="386" t="e">
        <v>#N/A</v>
      </c>
      <c r="GN314" s="386">
        <v>46040</v>
      </c>
      <c r="GO314" s="386" t="e">
        <v>#N/A</v>
      </c>
      <c r="GP314" s="386"/>
      <c r="GQ314"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4" s="386" t="s">
        <v>261</v>
      </c>
      <c r="GS314" s="386" t="s">
        <v>261</v>
      </c>
      <c r="GT314" s="390"/>
      <c r="GU314" s="387" t="str">
        <f>IF(Table1[[#This Row],[Hydro Tes Actual
(tanggal)]]&lt;&gt;"","Sudah","Belum")</f>
        <v>Belum</v>
      </c>
      <c r="GV314" s="386" t="s">
        <v>261</v>
      </c>
      <c r="GW314" s="386" t="s">
        <v>261</v>
      </c>
      <c r="GX314" s="388"/>
      <c r="GY314" s="387" t="str">
        <f>IF(Table1[[#This Row],[Interkoneksi Actual
(tanggal)]]&lt;&gt;"","Sudah","Belum")</f>
        <v>Belum</v>
      </c>
      <c r="GZ314" s="386" t="s">
        <v>261</v>
      </c>
      <c r="HA314" s="386" t="s">
        <v>261</v>
      </c>
      <c r="HB314" s="388"/>
      <c r="HC314" s="387" t="str">
        <f>IF(Table1[[#This Row],[Flushing Actual
(tanggal)]]&lt;&gt;"","Sudah","Belum")</f>
        <v>Belum</v>
      </c>
      <c r="HD314" s="386">
        <v>46020</v>
      </c>
      <c r="HE314" s="386" t="e">
        <v>#N/A</v>
      </c>
      <c r="HF314" s="386">
        <v>46033</v>
      </c>
      <c r="HG314" s="384"/>
      <c r="HH314"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4" s="386" t="s">
        <v>261</v>
      </c>
      <c r="HJ314" s="386" t="s">
        <v>261</v>
      </c>
      <c r="HK314" s="388"/>
      <c r="HL314" s="367"/>
      <c r="HM314" s="386">
        <v>46038</v>
      </c>
      <c r="HN314" s="386">
        <v>46038</v>
      </c>
      <c r="HO314" s="386" t="e">
        <v>#N/A</v>
      </c>
      <c r="HP314" s="388"/>
      <c r="HQ314"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14" s="386">
        <v>46045</v>
      </c>
      <c r="HS314" s="386"/>
      <c r="HT314" s="386">
        <v>46045</v>
      </c>
      <c r="HU314" s="386"/>
      <c r="HV314" s="388"/>
      <c r="HW314"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14" s="47"/>
      <c r="HY314" s="384"/>
      <c r="HZ314" s="384"/>
      <c r="IB314" s="618">
        <f>IFERROR(ROUND((Table1[[#This Row],[PLAN TC
finish]]-Table1[[#This Row],[PLAN MC-0
start]])/30,2),"")</f>
        <v>0.9</v>
      </c>
      <c r="IC314">
        <f>DATEDIF(Table1[[#This Row],[PLAN MC-0
start]],Table1[[#This Row],[PLAN TC
finish]],"m")</f>
        <v>0</v>
      </c>
    </row>
    <row r="315" spans="1:237" s="30" customFormat="1" ht="15" hidden="1" customHeight="1" x14ac:dyDescent="0.2">
      <c r="A315" s="77"/>
      <c r="B315" s="311">
        <f>SUBTOTAL(3,$D$5:D315)</f>
        <v>84</v>
      </c>
      <c r="C315" s="367">
        <v>311</v>
      </c>
      <c r="D315" s="366" t="s">
        <v>244</v>
      </c>
      <c r="E315" s="366" t="s">
        <v>2492</v>
      </c>
      <c r="F315" s="366" t="s">
        <v>2493</v>
      </c>
      <c r="G315" s="364">
        <v>46117</v>
      </c>
      <c r="H315" s="366" t="s">
        <v>681</v>
      </c>
      <c r="I315" s="366" t="s">
        <v>278</v>
      </c>
      <c r="J315" s="385" t="s">
        <v>389</v>
      </c>
      <c r="K315" s="366" t="s">
        <v>1165</v>
      </c>
      <c r="L315" s="367" t="s">
        <v>250</v>
      </c>
      <c r="M315" s="392" t="s">
        <v>269</v>
      </c>
      <c r="N315" s="368">
        <v>72</v>
      </c>
      <c r="O315" s="369" t="s">
        <v>252</v>
      </c>
      <c r="P315"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5" s="385" t="s">
        <v>389</v>
      </c>
      <c r="R315" s="371">
        <v>1.0000000000000002</v>
      </c>
      <c r="S315" s="34">
        <v>1</v>
      </c>
      <c r="T315" s="489">
        <f>Table1[[#This Row],[Progres Total Aktual
(%)]]</f>
        <v>0</v>
      </c>
      <c r="U315" s="490">
        <f>Table1[[#This Row],[Progres Aktual
(%)]]-Table1[[#This Row],[Target Progres
(%)]]</f>
        <v>-1</v>
      </c>
      <c r="V315" s="491">
        <f>Table1[[#This Row],["Volume
BA MC-0"]]</f>
        <v>57.5</v>
      </c>
      <c r="W315" s="492">
        <f>Table1[[#This Row],[Total Panjang Pipa Aktual
(Sum-&gt;)3]]</f>
        <v>0</v>
      </c>
      <c r="X315" s="47"/>
      <c r="Y315" s="375" t="s">
        <v>2494</v>
      </c>
      <c r="Z315" s="375">
        <v>121146186</v>
      </c>
      <c r="AA315" s="375">
        <f>ROUND((Table1[[#This Row],[Nilai RAB Jaringan
(Exclude Ppn)]]-Table1[[#This Row],[RAB Perizinan]])*1.11+Table1[[#This Row],[RAB Perizinan]],0)</f>
        <v>121146185</v>
      </c>
      <c r="AB315" s="493">
        <f>SUM(Table1[[#This Row],[RAB Kegiatan Umum]:[RAB Perizinan]])</f>
        <v>109212059</v>
      </c>
      <c r="AC315" s="439">
        <v>8091502</v>
      </c>
      <c r="AD315" s="439">
        <v>80915012</v>
      </c>
      <c r="AE315" s="439">
        <v>19485545</v>
      </c>
      <c r="AF315" s="439">
        <v>720000</v>
      </c>
      <c r="AG315" s="494"/>
      <c r="AH315" s="495">
        <f>SUM(Table1[[#This Row],[Bobot Keg Umum]:[Bobot Perizinan]])</f>
        <v>1</v>
      </c>
      <c r="AI315" s="495">
        <f>Table1[[#This Row],[RAB Kegiatan Umum]]/Table1[[#This Row],[Nilai RAB Jaringan
(Exclude Ppn)]]</f>
        <v>7.4089821894118849E-2</v>
      </c>
      <c r="AJ315" s="495">
        <f>Table1[[#This Row],[RAB Pemasangan]]/Table1[[#This Row],[Nilai RAB Jaringan
(Exclude Ppn)]]</f>
        <v>0.74089814568920453</v>
      </c>
      <c r="AK315" s="495">
        <f>Table1[[#This Row],[RAB Pengadaan]]/Table1[[#This Row],[Nilai RAB Jaringan
(Exclude Ppn)]]</f>
        <v>0.17841935385541993</v>
      </c>
      <c r="AL315" s="495">
        <f>Table1[[#This Row],[RAB Perizinan]]/Table1[[#This Row],[Nilai RAB Jaringan
(Exclude Ppn)]]</f>
        <v>6.5926785612566829E-3</v>
      </c>
      <c r="AM315" s="47"/>
      <c r="AN315" s="376">
        <v>57.5</v>
      </c>
      <c r="AO315" s="376">
        <f>SUM(Table1[[#This Row],[Pipa 63 mm]:[Pipa 1,800 mm]])</f>
        <v>0</v>
      </c>
      <c r="AP315" s="376"/>
      <c r="AQ315" s="376"/>
      <c r="AR315" s="376"/>
      <c r="AS315" s="376"/>
      <c r="AT315" s="376"/>
      <c r="AU315" s="376"/>
      <c r="AV315" s="376"/>
      <c r="AW315" s="376"/>
      <c r="AX315" s="376"/>
      <c r="AY315" s="376"/>
      <c r="AZ315" s="376"/>
      <c r="BA315" s="376"/>
      <c r="BB315" s="376"/>
      <c r="BC315" s="376"/>
      <c r="BD315" s="376"/>
      <c r="BE315" s="376"/>
      <c r="BF315" s="376"/>
      <c r="BG315" s="376"/>
      <c r="BH315" s="376"/>
      <c r="BI315" s="376"/>
      <c r="BJ315" s="377">
        <f>SUM(Table1[[#This Row],[Pipa 63 mm2]:[Pipa 1,800 mm21]])</f>
        <v>0</v>
      </c>
      <c r="BK315" s="378"/>
      <c r="BL315" s="378"/>
      <c r="BM315" s="378"/>
      <c r="BN315" s="378"/>
      <c r="BO315" s="378"/>
      <c r="BP315" s="378"/>
      <c r="BQ315" s="378"/>
      <c r="BR315" s="378"/>
      <c r="BS315" s="378"/>
      <c r="BT315" s="378"/>
      <c r="BU315" s="378"/>
      <c r="BV315" s="378"/>
      <c r="BW315" s="378"/>
      <c r="BX315" s="378"/>
      <c r="BY315" s="378"/>
      <c r="BZ315" s="378"/>
      <c r="CA315" s="378"/>
      <c r="CB315" s="378"/>
      <c r="CC315" s="378"/>
      <c r="CD315" s="378"/>
      <c r="CE315" s="378"/>
      <c r="CF315" s="378"/>
      <c r="CG315" s="378"/>
      <c r="CH315" s="378"/>
      <c r="CI315" s="378"/>
      <c r="CJ315" s="440">
        <f>IF((Table1[[#This Row],["Volume
BA MC-0"]]-Table1[[#This Row],[Total Panjang Pipa Aktual
(Sum-&gt;)3]]-Table1[[#This Row],[Total Volume
tidak dapat dipasang]])&gt;=0,Table1[[#This Row],["Volume
BA MC-0"]]-Table1[[#This Row],[Total Panjang Pipa Aktual
(Sum-&gt;)3]]-Table1[[#This Row],[Total Volume
tidak dapat dipasang]],0)</f>
        <v>57.5</v>
      </c>
      <c r="CK315" s="47"/>
      <c r="CL315" s="371" t="s">
        <v>1821</v>
      </c>
      <c r="CM315" s="371" t="s">
        <v>1821</v>
      </c>
      <c r="CN315" s="371" t="s">
        <v>1821</v>
      </c>
      <c r="CO315" s="371" t="s">
        <v>1821</v>
      </c>
      <c r="CP315"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5" s="380">
        <f>IFERROR(Table1[[#This Row],[Progres Keg. Umum
(%)]]*Table1[[#This Row],[Nilai RAB Jaringan
(file pa aji)]],0)</f>
        <v>0</v>
      </c>
      <c r="CR315" s="380">
        <f>IFERROR(Table1[[#This Row],[Progres MOS
(%)]]*Table1[[#This Row],[Nilai RAB Jaringan
(file pa aji)]],0)</f>
        <v>0</v>
      </c>
      <c r="CS315" s="380">
        <f>IFERROR(Table1[[#This Row],[Progres Pemasangan
(%)]]*Table1[[#This Row],[Nilai RAB Jaringan
(file pa aji)]],0)</f>
        <v>0</v>
      </c>
      <c r="CT315" s="380">
        <f>IFERROR(Table1[[#This Row],[Progres Perizinan
(%)]]*Table1[[#This Row],[Nilai RAB Jaringan
(file pa aji)]],0)</f>
        <v>0</v>
      </c>
      <c r="CU315" s="329">
        <v>0</v>
      </c>
      <c r="CV315" s="329">
        <v>0</v>
      </c>
      <c r="CW315" s="582">
        <v>0</v>
      </c>
      <c r="CX315" s="329">
        <v>0</v>
      </c>
      <c r="CY315" s="47"/>
      <c r="CZ315" s="386">
        <v>45901</v>
      </c>
      <c r="DA315" s="386">
        <v>45928</v>
      </c>
      <c r="DB315" s="388">
        <v>45914</v>
      </c>
      <c r="DC315" s="367" t="s">
        <v>2495</v>
      </c>
      <c r="DD315" s="375">
        <v>121146186</v>
      </c>
      <c r="DE31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5" s="388">
        <v>45929</v>
      </c>
      <c r="DG315" s="367" t="s">
        <v>2496</v>
      </c>
      <c r="DH315" s="375">
        <v>121146186</v>
      </c>
      <c r="DI315" s="367"/>
      <c r="DJ315" s="386">
        <v>45929</v>
      </c>
      <c r="DK315" s="386">
        <v>45991</v>
      </c>
      <c r="DL315" s="388">
        <v>45943.814618055556</v>
      </c>
      <c r="DM315" s="367" t="s">
        <v>2497</v>
      </c>
      <c r="DN315" s="382"/>
      <c r="DO315" s="388">
        <v>45982</v>
      </c>
      <c r="DP315" s="367" t="s">
        <v>2498</v>
      </c>
      <c r="DQ315" s="366" t="s">
        <v>783</v>
      </c>
      <c r="DR315" s="382"/>
      <c r="DS315" s="386">
        <v>45929</v>
      </c>
      <c r="DT315" s="386" t="e">
        <v>#N/A</v>
      </c>
      <c r="DU315" s="386">
        <v>45970</v>
      </c>
      <c r="DV315" s="386" t="e">
        <v>#N/A</v>
      </c>
      <c r="DW315" s="388">
        <v>45943</v>
      </c>
      <c r="DX315" s="367" t="s">
        <v>2499</v>
      </c>
      <c r="DY315" s="442"/>
      <c r="DZ315" s="442"/>
      <c r="EA315" s="382"/>
      <c r="EB315" s="388"/>
      <c r="EC315" s="442"/>
      <c r="ED315" s="442"/>
      <c r="EE315" s="386"/>
      <c r="EF315" s="371"/>
      <c r="EG315" s="371"/>
      <c r="EH315" s="367"/>
      <c r="EI315"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5" s="386">
        <v>45971</v>
      </c>
      <c r="EK315" s="386" t="e">
        <v>#N/A</v>
      </c>
      <c r="EL315" s="386">
        <v>46026</v>
      </c>
      <c r="EM315" s="386" t="e">
        <v>#N/A</v>
      </c>
      <c r="EN315" s="388"/>
      <c r="EO315" s="442"/>
      <c r="EP315" s="367"/>
      <c r="EQ315" s="371"/>
      <c r="ER315" s="371"/>
      <c r="ES315" s="367"/>
      <c r="ET31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5" s="47"/>
      <c r="EV315" s="386">
        <v>45929</v>
      </c>
      <c r="EW315" s="386" t="e">
        <v>#N/A</v>
      </c>
      <c r="EX315" s="386">
        <v>46019</v>
      </c>
      <c r="EY315" s="386" t="e">
        <v>#N/A</v>
      </c>
      <c r="EZ315" s="384" t="s">
        <v>298</v>
      </c>
      <c r="FA315" s="385" t="s">
        <v>389</v>
      </c>
      <c r="FB315" s="386" t="s">
        <v>260</v>
      </c>
      <c r="FC315" s="330">
        <v>45943</v>
      </c>
      <c r="FD315" s="386" t="s">
        <v>260</v>
      </c>
      <c r="FE315" s="386">
        <v>45966</v>
      </c>
      <c r="FF315" s="386">
        <v>45995</v>
      </c>
      <c r="FG315" s="386" t="s">
        <v>260</v>
      </c>
      <c r="FH315" s="386" t="s">
        <v>260</v>
      </c>
      <c r="FI315" s="386">
        <v>46010</v>
      </c>
      <c r="FJ315" s="386" t="s">
        <v>260</v>
      </c>
      <c r="FK315" s="386"/>
      <c r="FL315" s="443" t="s">
        <v>298</v>
      </c>
      <c r="FM315" s="384">
        <v>45943</v>
      </c>
      <c r="FN315" s="366">
        <f>IF(Table1[[#This Row],[Tanggal Pengajuan Dokumen]]="","",Table1[[#This Row],[PLAN PERMIT
start]]-Table1[[#This Row],[Tanggal Pengajuan Dokumen]])</f>
        <v>-14</v>
      </c>
      <c r="FO315" s="444">
        <v>46097</v>
      </c>
      <c r="FP315" s="367"/>
      <c r="FQ315" s="366"/>
      <c r="FR315" s="366"/>
      <c r="FS315" s="366" t="str">
        <f t="shared" si="14"/>
        <v>On Going</v>
      </c>
      <c r="FT315"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5" s="387">
        <f ca="1">IF(Table1[[#This Row],[Status Izin]]="Selesai",Table1[[#This Row],[PLAN PERMIT
finish]]-Table1[[#This Row],[Tanggal Terbit/ Target Izin Terbit]],ROUNDUP(Table1[[#This Row],[PLAN PERMIT
finish]]-NOW(),0))</f>
        <v>-172</v>
      </c>
      <c r="FV315"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5" s="387"/>
      <c r="FX315" s="47"/>
      <c r="FY315" s="340"/>
      <c r="FZ315" s="341"/>
      <c r="GA31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5" s="386">
        <v>45993</v>
      </c>
      <c r="GC315" s="384">
        <v>45978</v>
      </c>
      <c r="GD315"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5" s="386">
        <v>46000</v>
      </c>
      <c r="GF315" s="384">
        <v>45978</v>
      </c>
      <c r="GG315"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5" s="386">
        <v>46006</v>
      </c>
      <c r="GI315" s="386">
        <v>46012</v>
      </c>
      <c r="GJ315" s="384">
        <v>45982</v>
      </c>
      <c r="GK315"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5" s="386">
        <v>46020</v>
      </c>
      <c r="GM315" s="386" t="e">
        <v>#N/A</v>
      </c>
      <c r="GN315" s="386">
        <v>46040</v>
      </c>
      <c r="GO315" s="386" t="e">
        <v>#N/A</v>
      </c>
      <c r="GP315" s="386"/>
      <c r="GQ315"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5" s="386" t="s">
        <v>261</v>
      </c>
      <c r="GS315" s="386" t="s">
        <v>261</v>
      </c>
      <c r="GT315" s="390"/>
      <c r="GU315" s="387" t="str">
        <f>IF(Table1[[#This Row],[Hydro Tes Actual
(tanggal)]]&lt;&gt;"","Sudah","Belum")</f>
        <v>Belum</v>
      </c>
      <c r="GV315" s="386" t="s">
        <v>261</v>
      </c>
      <c r="GW315" s="386" t="s">
        <v>261</v>
      </c>
      <c r="GX315" s="388"/>
      <c r="GY315" s="387" t="str">
        <f>IF(Table1[[#This Row],[Interkoneksi Actual
(tanggal)]]&lt;&gt;"","Sudah","Belum")</f>
        <v>Belum</v>
      </c>
      <c r="GZ315" s="386" t="s">
        <v>261</v>
      </c>
      <c r="HA315" s="386" t="s">
        <v>261</v>
      </c>
      <c r="HB315" s="388"/>
      <c r="HC315" s="387" t="str">
        <f>IF(Table1[[#This Row],[Flushing Actual
(tanggal)]]&lt;&gt;"","Sudah","Belum")</f>
        <v>Belum</v>
      </c>
      <c r="HD315" s="386">
        <v>46020</v>
      </c>
      <c r="HE315" s="386" t="e">
        <v>#N/A</v>
      </c>
      <c r="HF315" s="386">
        <v>46033</v>
      </c>
      <c r="HG315" s="384"/>
      <c r="HH315"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5" s="386" t="s">
        <v>261</v>
      </c>
      <c r="HJ315" s="386" t="s">
        <v>261</v>
      </c>
      <c r="HK315" s="388"/>
      <c r="HL315" s="367"/>
      <c r="HM315" s="386">
        <v>46038</v>
      </c>
      <c r="HN315" s="386">
        <v>46038</v>
      </c>
      <c r="HO315" s="386" t="e">
        <v>#N/A</v>
      </c>
      <c r="HP315" s="388"/>
      <c r="HQ315"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15" s="386">
        <v>46045</v>
      </c>
      <c r="HS315" s="386"/>
      <c r="HT315" s="386">
        <v>46045</v>
      </c>
      <c r="HU315" s="386"/>
      <c r="HV315" s="388"/>
      <c r="HW315"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15" s="47"/>
      <c r="HY315" s="384"/>
      <c r="HZ315" s="384"/>
      <c r="IB315" s="618">
        <f>IFERROR(ROUND((Table1[[#This Row],[PLAN TC
finish]]-Table1[[#This Row],[PLAN MC-0
start]])/30,2),"")</f>
        <v>0.9</v>
      </c>
      <c r="IC315">
        <f>DATEDIF(Table1[[#This Row],[PLAN MC-0
start]],Table1[[#This Row],[PLAN TC
finish]],"m")</f>
        <v>0</v>
      </c>
    </row>
    <row r="316" spans="1:237" s="30" customFormat="1" ht="15" hidden="1" customHeight="1" x14ac:dyDescent="0.2">
      <c r="A316" s="77"/>
      <c r="B316" s="311">
        <f>SUBTOTAL(3,$D$5:D316)</f>
        <v>84</v>
      </c>
      <c r="C316" s="367">
        <v>312</v>
      </c>
      <c r="D316" s="366" t="s">
        <v>244</v>
      </c>
      <c r="E316" s="366" t="s">
        <v>2500</v>
      </c>
      <c r="F316" s="366" t="s">
        <v>2501</v>
      </c>
      <c r="G316" s="364">
        <v>46117</v>
      </c>
      <c r="H316" s="366" t="s">
        <v>681</v>
      </c>
      <c r="I316" s="366" t="s">
        <v>278</v>
      </c>
      <c r="J316" s="385" t="s">
        <v>389</v>
      </c>
      <c r="K316" s="366" t="s">
        <v>1165</v>
      </c>
      <c r="L316" s="367" t="s">
        <v>250</v>
      </c>
      <c r="M316" s="392" t="s">
        <v>269</v>
      </c>
      <c r="N316" s="368">
        <v>30</v>
      </c>
      <c r="O316" s="369" t="s">
        <v>252</v>
      </c>
      <c r="P316"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6" s="385" t="s">
        <v>389</v>
      </c>
      <c r="R316" s="371">
        <v>0.99999999999999989</v>
      </c>
      <c r="S316" s="34">
        <v>1</v>
      </c>
      <c r="T316" s="489">
        <f>Table1[[#This Row],[Progres Total Aktual
(%)]]</f>
        <v>0</v>
      </c>
      <c r="U316" s="490">
        <f>Table1[[#This Row],[Progres Aktual
(%)]]-Table1[[#This Row],[Target Progres
(%)]]</f>
        <v>-1</v>
      </c>
      <c r="V316" s="491">
        <f>Table1[[#This Row],["Volume
BA MC-0"]]</f>
        <v>35.1</v>
      </c>
      <c r="W316" s="492">
        <f>Table1[[#This Row],[Total Panjang Pipa Aktual
(Sum-&gt;)3]]</f>
        <v>0</v>
      </c>
      <c r="X316" s="47"/>
      <c r="Y316" s="375" t="s">
        <v>2502</v>
      </c>
      <c r="Z316" s="375">
        <v>116864008</v>
      </c>
      <c r="AA316" s="375">
        <f>ROUND((Table1[[#This Row],[Nilai RAB Jaringan
(Exclude Ppn)]]-Table1[[#This Row],[RAB Perizinan]])*1.11+Table1[[#This Row],[RAB Perizinan]],0)</f>
        <v>116864008</v>
      </c>
      <c r="AB316" s="493">
        <f>SUM(Table1[[#This Row],[RAB Kegiatan Umum]:[RAB Perizinan]])</f>
        <v>105312620</v>
      </c>
      <c r="AC316" s="439">
        <v>6159075</v>
      </c>
      <c r="AD316" s="439">
        <v>61590746</v>
      </c>
      <c r="AE316" s="439">
        <v>37262799</v>
      </c>
      <c r="AF316" s="439">
        <v>300000</v>
      </c>
      <c r="AG316" s="494"/>
      <c r="AH316" s="495">
        <f>SUM(Table1[[#This Row],[Bobot Keg Umum]:[Bobot Perizinan]])</f>
        <v>1</v>
      </c>
      <c r="AI316" s="495">
        <f>Table1[[#This Row],[RAB Kegiatan Umum]]/Table1[[#This Row],[Nilai RAB Jaringan
(Exclude Ppn)]]</f>
        <v>5.8483731579368169E-2</v>
      </c>
      <c r="AJ316" s="495">
        <f>Table1[[#This Row],[RAB Pemasangan]]/Table1[[#This Row],[Nilai RAB Jaringan
(Exclude Ppn)]]</f>
        <v>0.58483727781152917</v>
      </c>
      <c r="AK316" s="495">
        <f>Table1[[#This Row],[RAB Pengadaan]]/Table1[[#This Row],[Nilai RAB Jaringan
(Exclude Ppn)]]</f>
        <v>0.35383032916662788</v>
      </c>
      <c r="AL316" s="495">
        <f>Table1[[#This Row],[RAB Perizinan]]/Table1[[#This Row],[Nilai RAB Jaringan
(Exclude Ppn)]]</f>
        <v>2.8486614424747957E-3</v>
      </c>
      <c r="AM316" s="47"/>
      <c r="AN316" s="376">
        <v>35.1</v>
      </c>
      <c r="AO316" s="376">
        <f>SUM(Table1[[#This Row],[Pipa 63 mm]:[Pipa 1,800 mm]])</f>
        <v>0</v>
      </c>
      <c r="AP316" s="376"/>
      <c r="AQ316" s="376"/>
      <c r="AR316" s="376"/>
      <c r="AS316" s="376"/>
      <c r="AT316" s="376"/>
      <c r="AU316" s="376"/>
      <c r="AV316" s="376"/>
      <c r="AW316" s="376"/>
      <c r="AX316" s="376"/>
      <c r="AY316" s="376"/>
      <c r="AZ316" s="376"/>
      <c r="BA316" s="376"/>
      <c r="BB316" s="376"/>
      <c r="BC316" s="376"/>
      <c r="BD316" s="376"/>
      <c r="BE316" s="376"/>
      <c r="BF316" s="376"/>
      <c r="BG316" s="376"/>
      <c r="BH316" s="376"/>
      <c r="BI316" s="376"/>
      <c r="BJ316" s="377">
        <f>SUM(Table1[[#This Row],[Pipa 63 mm2]:[Pipa 1,800 mm21]])</f>
        <v>0</v>
      </c>
      <c r="BK316" s="378"/>
      <c r="BL316" s="378"/>
      <c r="BM316" s="378"/>
      <c r="BN316" s="378"/>
      <c r="BO316" s="378"/>
      <c r="BP316" s="378"/>
      <c r="BQ316" s="378"/>
      <c r="BR316" s="378"/>
      <c r="BS316" s="378"/>
      <c r="BT316" s="378"/>
      <c r="BU316" s="378"/>
      <c r="BV316" s="378"/>
      <c r="BW316" s="378"/>
      <c r="BX316" s="378"/>
      <c r="BY316" s="378"/>
      <c r="BZ316" s="378"/>
      <c r="CA316" s="378"/>
      <c r="CB316" s="378"/>
      <c r="CC316" s="378"/>
      <c r="CD316" s="378"/>
      <c r="CE316" s="378"/>
      <c r="CF316" s="378"/>
      <c r="CG316" s="378"/>
      <c r="CH316" s="378"/>
      <c r="CI316" s="378"/>
      <c r="CJ316" s="440">
        <f>IF((Table1[[#This Row],["Volume
BA MC-0"]]-Table1[[#This Row],[Total Panjang Pipa Aktual
(Sum-&gt;)3]]-Table1[[#This Row],[Total Volume
tidak dapat dipasang]])&gt;=0,Table1[[#This Row],["Volume
BA MC-0"]]-Table1[[#This Row],[Total Panjang Pipa Aktual
(Sum-&gt;)3]]-Table1[[#This Row],[Total Volume
tidak dapat dipasang]],0)</f>
        <v>35.1</v>
      </c>
      <c r="CK316" s="47"/>
      <c r="CL316" s="371" t="s">
        <v>1821</v>
      </c>
      <c r="CM316" s="371" t="s">
        <v>1821</v>
      </c>
      <c r="CN316" s="371" t="s">
        <v>1821</v>
      </c>
      <c r="CO316" s="371" t="s">
        <v>1821</v>
      </c>
      <c r="CP316"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6" s="380">
        <f>IFERROR(Table1[[#This Row],[Progres Keg. Umum
(%)]]*Table1[[#This Row],[Nilai RAB Jaringan
(file pa aji)]],0)</f>
        <v>0</v>
      </c>
      <c r="CR316" s="380">
        <f>IFERROR(Table1[[#This Row],[Progres MOS
(%)]]*Table1[[#This Row],[Nilai RAB Jaringan
(file pa aji)]],0)</f>
        <v>0</v>
      </c>
      <c r="CS316" s="380">
        <f>IFERROR(Table1[[#This Row],[Progres Pemasangan
(%)]]*Table1[[#This Row],[Nilai RAB Jaringan
(file pa aji)]],0)</f>
        <v>0</v>
      </c>
      <c r="CT316" s="380">
        <f>IFERROR(Table1[[#This Row],[Progres Perizinan
(%)]]*Table1[[#This Row],[Nilai RAB Jaringan
(file pa aji)]],0)</f>
        <v>0</v>
      </c>
      <c r="CU316" s="329">
        <v>0</v>
      </c>
      <c r="CV316" s="329">
        <v>0</v>
      </c>
      <c r="CW316" s="582">
        <v>0</v>
      </c>
      <c r="CX316" s="329">
        <v>0</v>
      </c>
      <c r="CY316" s="47"/>
      <c r="CZ316" s="386">
        <v>45901</v>
      </c>
      <c r="DA316" s="386">
        <v>45928</v>
      </c>
      <c r="DB316" s="388">
        <v>45944</v>
      </c>
      <c r="DC316" s="367" t="s">
        <v>2503</v>
      </c>
      <c r="DD316" s="375">
        <v>116864008</v>
      </c>
      <c r="DE31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16" s="388">
        <v>45957</v>
      </c>
      <c r="DG316" s="367" t="s">
        <v>2504</v>
      </c>
      <c r="DH316" s="375">
        <v>116864008</v>
      </c>
      <c r="DI316" s="367"/>
      <c r="DJ316" s="386">
        <v>45929</v>
      </c>
      <c r="DK316" s="386">
        <v>45991</v>
      </c>
      <c r="DL316" s="388">
        <v>45964</v>
      </c>
      <c r="DM316" s="307" t="s">
        <v>2505</v>
      </c>
      <c r="DN316" s="382"/>
      <c r="DO316" s="388">
        <v>45973</v>
      </c>
      <c r="DP316" s="367" t="s">
        <v>2506</v>
      </c>
      <c r="DQ316" s="366" t="s">
        <v>365</v>
      </c>
      <c r="DR316" s="382"/>
      <c r="DS316" s="386">
        <v>45929</v>
      </c>
      <c r="DT316" s="386" t="e">
        <v>#N/A</v>
      </c>
      <c r="DU316" s="386">
        <v>45970</v>
      </c>
      <c r="DV316" s="386" t="e">
        <v>#N/A</v>
      </c>
      <c r="DW316" s="388">
        <v>45964</v>
      </c>
      <c r="DX316" s="367" t="s">
        <v>2507</v>
      </c>
      <c r="DY316" s="442"/>
      <c r="DZ316" s="442"/>
      <c r="EA316" s="382"/>
      <c r="EB316" s="388"/>
      <c r="EC316" s="442"/>
      <c r="ED316" s="442"/>
      <c r="EE316" s="386"/>
      <c r="EF316" s="371"/>
      <c r="EG316" s="371"/>
      <c r="EH316" s="367"/>
      <c r="EI316"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6" s="386">
        <v>45971</v>
      </c>
      <c r="EK316" s="386" t="e">
        <v>#N/A</v>
      </c>
      <c r="EL316" s="386">
        <v>46026</v>
      </c>
      <c r="EM316" s="386" t="e">
        <v>#N/A</v>
      </c>
      <c r="EN316" s="388"/>
      <c r="EO316" s="442"/>
      <c r="EP316" s="367"/>
      <c r="EQ316" s="371"/>
      <c r="ER316" s="371"/>
      <c r="ES316" s="367"/>
      <c r="ET31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6" s="47"/>
      <c r="EV316" s="386">
        <v>45929</v>
      </c>
      <c r="EW316" s="386" t="e">
        <v>#N/A</v>
      </c>
      <c r="EX316" s="386">
        <v>46019</v>
      </c>
      <c r="EY316" s="386" t="e">
        <v>#N/A</v>
      </c>
      <c r="EZ316" s="384" t="s">
        <v>298</v>
      </c>
      <c r="FA316" s="385" t="s">
        <v>389</v>
      </c>
      <c r="FB316" s="386" t="s">
        <v>260</v>
      </c>
      <c r="FC316" s="330">
        <v>45943</v>
      </c>
      <c r="FD316" s="386" t="s">
        <v>260</v>
      </c>
      <c r="FE316" s="386">
        <v>45966</v>
      </c>
      <c r="FF316" s="386">
        <v>45995</v>
      </c>
      <c r="FG316" s="386" t="s">
        <v>260</v>
      </c>
      <c r="FH316" s="386" t="s">
        <v>260</v>
      </c>
      <c r="FI316" s="386">
        <v>46010</v>
      </c>
      <c r="FJ316" s="386" t="s">
        <v>260</v>
      </c>
      <c r="FK316" s="386"/>
      <c r="FL316" s="443" t="s">
        <v>298</v>
      </c>
      <c r="FM316" s="384">
        <v>45943</v>
      </c>
      <c r="FN316" s="366">
        <f>IF(Table1[[#This Row],[Tanggal Pengajuan Dokumen]]="","",Table1[[#This Row],[PLAN PERMIT
start]]-Table1[[#This Row],[Tanggal Pengajuan Dokumen]])</f>
        <v>-14</v>
      </c>
      <c r="FO316" s="444">
        <v>46097</v>
      </c>
      <c r="FP316" s="367" t="s">
        <v>2086</v>
      </c>
      <c r="FQ316" s="366"/>
      <c r="FR316" s="366"/>
      <c r="FS316" s="366" t="str">
        <f t="shared" si="14"/>
        <v>On Going</v>
      </c>
      <c r="FT316"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6" s="387">
        <f ca="1">IF(Table1[[#This Row],[Status Izin]]="Selesai",Table1[[#This Row],[PLAN PERMIT
finish]]-Table1[[#This Row],[Tanggal Terbit/ Target Izin Terbit]],ROUNDUP(Table1[[#This Row],[PLAN PERMIT
finish]]-NOW(),0))</f>
        <v>-172</v>
      </c>
      <c r="FV316"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6" s="387"/>
      <c r="FX316" s="47"/>
      <c r="FY316" s="340"/>
      <c r="FZ316" s="341"/>
      <c r="GA31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6" s="386">
        <v>45993</v>
      </c>
      <c r="GC316" s="384">
        <v>45978</v>
      </c>
      <c r="GD316"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6" s="386">
        <v>46000</v>
      </c>
      <c r="GF316" s="384">
        <v>45978</v>
      </c>
      <c r="GG316"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6" s="386">
        <v>46006</v>
      </c>
      <c r="GI316" s="386">
        <v>46012</v>
      </c>
      <c r="GJ316" s="384">
        <v>45982</v>
      </c>
      <c r="GK316"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6" s="386">
        <v>46020</v>
      </c>
      <c r="GM316" s="386" t="e">
        <v>#N/A</v>
      </c>
      <c r="GN316" s="386">
        <v>46040</v>
      </c>
      <c r="GO316" s="386" t="e">
        <v>#N/A</v>
      </c>
      <c r="GP316" s="386"/>
      <c r="GQ316"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6" s="386" t="s">
        <v>261</v>
      </c>
      <c r="GS316" s="386" t="s">
        <v>261</v>
      </c>
      <c r="GT316" s="390"/>
      <c r="GU316" s="387" t="str">
        <f>IF(Table1[[#This Row],[Hydro Tes Actual
(tanggal)]]&lt;&gt;"","Sudah","Belum")</f>
        <v>Belum</v>
      </c>
      <c r="GV316" s="386" t="s">
        <v>261</v>
      </c>
      <c r="GW316" s="386" t="s">
        <v>261</v>
      </c>
      <c r="GX316" s="388"/>
      <c r="GY316" s="387" t="str">
        <f>IF(Table1[[#This Row],[Interkoneksi Actual
(tanggal)]]&lt;&gt;"","Sudah","Belum")</f>
        <v>Belum</v>
      </c>
      <c r="GZ316" s="386" t="s">
        <v>261</v>
      </c>
      <c r="HA316" s="386" t="s">
        <v>261</v>
      </c>
      <c r="HB316" s="388"/>
      <c r="HC316" s="387" t="str">
        <f>IF(Table1[[#This Row],[Flushing Actual
(tanggal)]]&lt;&gt;"","Sudah","Belum")</f>
        <v>Belum</v>
      </c>
      <c r="HD316" s="386">
        <v>46020</v>
      </c>
      <c r="HE316" s="386" t="e">
        <v>#N/A</v>
      </c>
      <c r="HF316" s="386">
        <v>46033</v>
      </c>
      <c r="HG316" s="384"/>
      <c r="HH316"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6" s="386" t="s">
        <v>261</v>
      </c>
      <c r="HJ316" s="386" t="s">
        <v>261</v>
      </c>
      <c r="HK316" s="388"/>
      <c r="HL316" s="367"/>
      <c r="HM316" s="386">
        <v>46038</v>
      </c>
      <c r="HN316" s="386">
        <v>46038</v>
      </c>
      <c r="HO316" s="386" t="e">
        <v>#N/A</v>
      </c>
      <c r="HP316" s="388"/>
      <c r="HQ316"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16" s="386">
        <v>46045</v>
      </c>
      <c r="HS316" s="386"/>
      <c r="HT316" s="386">
        <v>46045</v>
      </c>
      <c r="HU316" s="386"/>
      <c r="HV316" s="388"/>
      <c r="HW316"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16" s="47"/>
      <c r="HY316" s="384"/>
      <c r="HZ316" s="384"/>
      <c r="IB316" s="618">
        <f>IFERROR(ROUND((Table1[[#This Row],[PLAN TC
finish]]-Table1[[#This Row],[PLAN MC-0
start]])/30,2),"")</f>
        <v>0.9</v>
      </c>
      <c r="IC316">
        <f>DATEDIF(Table1[[#This Row],[PLAN MC-0
start]],Table1[[#This Row],[PLAN TC
finish]],"m")</f>
        <v>0</v>
      </c>
    </row>
    <row r="317" spans="1:237" s="4" customFormat="1" ht="15" hidden="1" customHeight="1" x14ac:dyDescent="0.2">
      <c r="B317" s="311">
        <f>SUBTOTAL(3,$D$5:D317)</f>
        <v>84</v>
      </c>
      <c r="C317" s="316">
        <v>313</v>
      </c>
      <c r="D317" s="338" t="s">
        <v>244</v>
      </c>
      <c r="E317" s="338" t="s">
        <v>2508</v>
      </c>
      <c r="F317" s="338" t="s">
        <v>2509</v>
      </c>
      <c r="G317" s="349">
        <v>46117</v>
      </c>
      <c r="H317" s="338" t="s">
        <v>681</v>
      </c>
      <c r="I317" s="338" t="s">
        <v>278</v>
      </c>
      <c r="J317" s="480" t="s">
        <v>1818</v>
      </c>
      <c r="K317" s="338" t="s">
        <v>1165</v>
      </c>
      <c r="L317" s="316" t="s">
        <v>250</v>
      </c>
      <c r="M317" s="355" t="s">
        <v>269</v>
      </c>
      <c r="N317" s="107">
        <v>234</v>
      </c>
      <c r="O317" s="31" t="s">
        <v>252</v>
      </c>
      <c r="P31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Flushing</v>
      </c>
      <c r="R317" s="35">
        <v>1</v>
      </c>
      <c r="S317" s="34">
        <v>1</v>
      </c>
      <c r="T317" s="34">
        <f>Table1[[#This Row],[Progres Total Aktual
(%)]]</f>
        <v>0.45601809846842045</v>
      </c>
      <c r="U317" s="98">
        <f>Table1[[#This Row],[Progres Aktual
(%)]]-Table1[[#This Row],[Target Progres
(%)]]</f>
        <v>-0.54398190153157955</v>
      </c>
      <c r="V317" s="80">
        <f>Table1[[#This Row],["Volume
BA MC-0"]]</f>
        <v>271.7</v>
      </c>
      <c r="W317" s="46">
        <f>Table1[[#This Row],[Total Panjang Pipa Aktual
(Sum-&gt;)3]]</f>
        <v>160</v>
      </c>
      <c r="X317" s="47"/>
      <c r="Y317" s="67" t="s">
        <v>2510</v>
      </c>
      <c r="Z317" s="67">
        <v>422044898</v>
      </c>
      <c r="AA317" s="67">
        <f>ROUND((Table1[[#This Row],[Nilai RAB Jaringan
(Exclude Ppn)]]-Table1[[#This Row],[RAB Perizinan]])*1.11+Table1[[#This Row],[RAB Perizinan]],0)</f>
        <v>422044897</v>
      </c>
      <c r="AB317" s="486">
        <f>SUM(Table1[[#This Row],[RAB Kegiatan Umum]:[RAB Perizinan]])</f>
        <v>380452520</v>
      </c>
      <c r="AC317" s="436">
        <v>25171997</v>
      </c>
      <c r="AD317" s="436">
        <v>251719970</v>
      </c>
      <c r="AE317" s="436">
        <v>101220553</v>
      </c>
      <c r="AF317" s="436">
        <v>2340000</v>
      </c>
      <c r="AG317" s="483"/>
      <c r="AH317" s="33">
        <f>SUM(Table1[[#This Row],[Bobot Keg Umum]:[Bobot Perizinan]])</f>
        <v>1</v>
      </c>
      <c r="AI317" s="33">
        <f>Table1[[#This Row],[RAB Kegiatan Umum]]/Table1[[#This Row],[Nilai RAB Jaringan
(Exclude Ppn)]]</f>
        <v>6.6163307316245396E-2</v>
      </c>
      <c r="AJ317" s="33">
        <f>Table1[[#This Row],[RAB Pemasangan]]/Table1[[#This Row],[Nilai RAB Jaringan
(Exclude Ppn)]]</f>
        <v>0.66163307316245401</v>
      </c>
      <c r="AK317" s="33">
        <f>Table1[[#This Row],[RAB Pengadaan]]/Table1[[#This Row],[Nilai RAB Jaringan
(Exclude Ppn)]]</f>
        <v>0.26605304914263678</v>
      </c>
      <c r="AL317" s="33">
        <f>Table1[[#This Row],[RAB Perizinan]]/Table1[[#This Row],[Nilai RAB Jaringan
(Exclude Ppn)]]</f>
        <v>6.1505703786638079E-3</v>
      </c>
      <c r="AM317" s="47"/>
      <c r="AN317" s="285">
        <v>271.7</v>
      </c>
      <c r="AO317" s="285">
        <f>SUM(Table1[[#This Row],[Pipa 63 mm]:[Pipa 1,800 mm]])</f>
        <v>0</v>
      </c>
      <c r="AP317" s="285"/>
      <c r="AQ317" s="285"/>
      <c r="AR317" s="285"/>
      <c r="AS317" s="285"/>
      <c r="AT317" s="285"/>
      <c r="AU317" s="285"/>
      <c r="AV317" s="285"/>
      <c r="AW317" s="285"/>
      <c r="AX317" s="285"/>
      <c r="AY317" s="285"/>
      <c r="AZ317" s="285"/>
      <c r="BA317" s="285"/>
      <c r="BB317" s="285"/>
      <c r="BC317" s="285"/>
      <c r="BD317" s="285"/>
      <c r="BE317" s="285"/>
      <c r="BF317" s="285"/>
      <c r="BG317" s="285"/>
      <c r="BH317" s="285"/>
      <c r="BI317" s="285"/>
      <c r="BJ317" s="36">
        <f>SUM(Table1[[#This Row],[Pipa 63 mm2]:[Pipa 1,800 mm21]])</f>
        <v>160</v>
      </c>
      <c r="BK317" s="32">
        <v>160</v>
      </c>
      <c r="BL317" s="32"/>
      <c r="BM317" s="32"/>
      <c r="BN317" s="32"/>
      <c r="BO317" s="32"/>
      <c r="BP317" s="32"/>
      <c r="BQ317" s="32"/>
      <c r="BR317" s="32"/>
      <c r="BS317" s="32"/>
      <c r="BT317" s="32"/>
      <c r="BU317" s="32"/>
      <c r="BV317" s="32"/>
      <c r="BW317" s="32"/>
      <c r="BX317" s="32"/>
      <c r="BY317" s="32"/>
      <c r="BZ317" s="32"/>
      <c r="CA317" s="32"/>
      <c r="CB317" s="32"/>
      <c r="CC317" s="32"/>
      <c r="CD317" s="32"/>
      <c r="CE317" s="32"/>
      <c r="CF317" s="32"/>
      <c r="CG317" s="32"/>
      <c r="CH317" s="32"/>
      <c r="CI317" s="32"/>
      <c r="CJ317" s="65">
        <f>IF((Table1[[#This Row],["Volume
BA MC-0"]]-Table1[[#This Row],[Total Panjang Pipa Aktual
(Sum-&gt;)3]]-Table1[[#This Row],[Total Volume
tidak dapat dipasang]])&gt;=0,Table1[[#This Row],["Volume
BA MC-0"]]-Table1[[#This Row],[Total Panjang Pipa Aktual
(Sum-&gt;)3]]-Table1[[#This Row],[Total Volume
tidak dapat dipasang]],0)</f>
        <v>111.69999999999999</v>
      </c>
      <c r="CK317" s="47"/>
      <c r="CL317" s="35" t="s">
        <v>1821</v>
      </c>
      <c r="CM317" s="35" t="s">
        <v>1821</v>
      </c>
      <c r="CN317" s="35" t="s">
        <v>1821</v>
      </c>
      <c r="CO317" s="35" t="s">
        <v>1821</v>
      </c>
      <c r="CP31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0.45601809846842045</v>
      </c>
      <c r="CQ317" s="66">
        <f>IFERROR(Table1[[#This Row],[Progres Keg. Umum
(%)]]*Table1[[#This Row],[Nilai RAB Jaringan
(file pa aji)]],0)</f>
        <v>0</v>
      </c>
      <c r="CR317" s="66">
        <f>IFERROR(Table1[[#This Row],[Progres MOS
(%)]]*Table1[[#This Row],[Nilai RAB Jaringan
(file pa aji)]],0)</f>
        <v>0</v>
      </c>
      <c r="CS317" s="66">
        <f>IFERROR(Table1[[#This Row],[Progres Pemasangan
(%)]]*Table1[[#This Row],[Nilai RAB Jaringan
(file pa aji)]],0)</f>
        <v>0</v>
      </c>
      <c r="CT317" s="66">
        <f>IFERROR(Table1[[#This Row],[Progres Perizinan
(%)]]*Table1[[#This Row],[Nilai RAB Jaringan
(file pa aji)]],0)</f>
        <v>0</v>
      </c>
      <c r="CU317" s="329">
        <v>192460111.39824036</v>
      </c>
      <c r="CV317" s="329">
        <v>192460111.39824036</v>
      </c>
      <c r="CW317" s="583">
        <v>0</v>
      </c>
      <c r="CX317" s="329">
        <v>0</v>
      </c>
      <c r="CY317" s="47"/>
      <c r="CZ317" s="330">
        <v>45929</v>
      </c>
      <c r="DA317" s="330">
        <v>45956</v>
      </c>
      <c r="DB317" s="331">
        <v>45939</v>
      </c>
      <c r="DC317" s="316" t="s">
        <v>2511</v>
      </c>
      <c r="DD317" s="67">
        <v>422044898</v>
      </c>
      <c r="DE31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7" s="331">
        <v>45946</v>
      </c>
      <c r="DG317" s="316" t="s">
        <v>2512</v>
      </c>
      <c r="DH317" s="67">
        <v>422044898</v>
      </c>
      <c r="DI31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7" s="330">
        <v>45957</v>
      </c>
      <c r="DK317" s="330">
        <v>46019</v>
      </c>
      <c r="DL317" s="331">
        <v>45910</v>
      </c>
      <c r="DM317" s="316" t="s">
        <v>2513</v>
      </c>
      <c r="DN31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7" s="331">
        <v>45926</v>
      </c>
      <c r="DP317" s="316" t="s">
        <v>2514</v>
      </c>
      <c r="DQ317" s="338" t="s">
        <v>783</v>
      </c>
      <c r="DR31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7" s="330">
        <v>45957</v>
      </c>
      <c r="DT317" s="330" t="e">
        <v>#N/A</v>
      </c>
      <c r="DU317" s="330">
        <v>45998</v>
      </c>
      <c r="DV317" s="330" t="e">
        <v>#N/A</v>
      </c>
      <c r="DW317" s="331">
        <v>45910</v>
      </c>
      <c r="DX317" s="484" t="s">
        <v>2515</v>
      </c>
      <c r="DY317" s="334">
        <v>54</v>
      </c>
      <c r="DZ317" s="334">
        <v>54</v>
      </c>
      <c r="EA31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17" s="331"/>
      <c r="EC317" s="332">
        <v>49</v>
      </c>
      <c r="ED317" s="332">
        <v>49</v>
      </c>
      <c r="EE317" s="330"/>
      <c r="EF317" s="35">
        <v>0.90740740740740744</v>
      </c>
      <c r="EG317" s="35">
        <f>Table1[[#This Row],[Line PO (kolom  bantu)2]]/Table1[[#This Row],[Line PR]]</f>
        <v>0.90740740740740744</v>
      </c>
      <c r="EH317" s="316" t="str">
        <f>IF(Table1[[#This Row],[PO Material Aktual 
(%)]]&gt;=100%,"Selesai PO = 100%",IF(Table1[[#This Row],[PO Material Aktual 
(%)]]&gt;=50%,"Proses PO &gt; 100%",IF(Table1[[#This Row],[PO Material Aktual 
(%)]]&gt;0%,"Proses PO &gt; 50%",IF(Table1[[#This Row],[PO Material Aktual 
(%)]]=0,"Belum PO = 0%"))))</f>
        <v>Proses PO &gt; 100%</v>
      </c>
      <c r="EI31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7" s="330">
        <v>45999</v>
      </c>
      <c r="EK317" s="330" t="e">
        <v>#N/A</v>
      </c>
      <c r="EL317" s="330">
        <v>46047</v>
      </c>
      <c r="EM317" s="330" t="e">
        <v>#N/A</v>
      </c>
      <c r="EN317" s="331"/>
      <c r="EO317" s="332">
        <v>46</v>
      </c>
      <c r="EP317" s="316">
        <v>46</v>
      </c>
      <c r="EQ317" s="35">
        <v>0.85185185185185186</v>
      </c>
      <c r="ER317" s="35">
        <f>Table1[[#This Row],[Line MOS]]/Table1[[#This Row],[Line PR]]</f>
        <v>0.85185185185185186</v>
      </c>
      <c r="ES317" s="316" t="str">
        <f>IF(Table1[[#This Row],[Progres MOS]]&gt;=100%,"Selesai MOS = 100%",IF(Table1[[#This Row],[Progres MOS]]&gt;=50%,"Proses MOS &gt; 100%",IF(Table1[[#This Row],[Progres MOS]]&gt;0%,"Proses MOS &gt; 50%",IF(Table1[[#This Row],[Progres MOS]]=0,"Belum MOS = 0%"))))</f>
        <v>Proses MOS &gt; 100%</v>
      </c>
      <c r="ET31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7" s="47"/>
      <c r="EV317" s="330">
        <v>45957</v>
      </c>
      <c r="EW317" s="330" t="e">
        <v>#N/A</v>
      </c>
      <c r="EX317" s="330">
        <v>46047</v>
      </c>
      <c r="EY317" s="330" t="e">
        <v>#N/A</v>
      </c>
      <c r="EZ317" s="352" t="s">
        <v>298</v>
      </c>
      <c r="FA317" s="336" t="s">
        <v>298</v>
      </c>
      <c r="FB317" s="330" t="s">
        <v>260</v>
      </c>
      <c r="FC317" s="330">
        <v>45940</v>
      </c>
      <c r="FD317" s="330" t="s">
        <v>260</v>
      </c>
      <c r="FE317" s="330">
        <v>45966</v>
      </c>
      <c r="FF317" s="330">
        <v>45995</v>
      </c>
      <c r="FG317" s="330" t="s">
        <v>260</v>
      </c>
      <c r="FH317" s="330" t="s">
        <v>260</v>
      </c>
      <c r="FI317" s="330">
        <v>46022</v>
      </c>
      <c r="FJ317" s="330" t="s">
        <v>260</v>
      </c>
      <c r="FK317" s="330"/>
      <c r="FL317" s="336" t="s">
        <v>298</v>
      </c>
      <c r="FM317" s="352">
        <v>45940</v>
      </c>
      <c r="FN317" s="338">
        <f>IF(Table1[[#This Row],[Tanggal Pengajuan Dokumen]]="","",Table1[[#This Row],[PLAN PERMIT
start]]-Table1[[#This Row],[Tanggal Pengajuan Dokumen]])</f>
        <v>17</v>
      </c>
      <c r="FO317" s="437">
        <v>46097</v>
      </c>
      <c r="FP317" s="316" t="s">
        <v>2086</v>
      </c>
      <c r="FQ317" s="338"/>
      <c r="FR317" s="338"/>
      <c r="FS317" s="338" t="str">
        <f t="shared" si="14"/>
        <v>On Going</v>
      </c>
      <c r="FT31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7" s="344">
        <f ca="1">IF(Table1[[#This Row],[Status Izin]]="Selesai",Table1[[#This Row],[PLAN PERMIT
finish]]-Table1[[#This Row],[Tanggal Terbit/ Target Izin Terbit]],ROUNDUP(Table1[[#This Row],[PLAN PERMIT
finish]]-NOW(),0))</f>
        <v>-144</v>
      </c>
      <c r="FV31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7" s="344"/>
      <c r="FX317" s="47"/>
      <c r="FY317" s="340"/>
      <c r="FZ317" s="341"/>
      <c r="GA31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7" s="330">
        <v>46021</v>
      </c>
      <c r="GC317" s="352">
        <v>45922</v>
      </c>
      <c r="GD31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7" s="330">
        <v>46028</v>
      </c>
      <c r="GF317" s="352">
        <v>45922</v>
      </c>
      <c r="GG31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7" s="330">
        <v>46034</v>
      </c>
      <c r="GI317" s="330">
        <v>46040</v>
      </c>
      <c r="GJ317" s="352">
        <v>45937</v>
      </c>
      <c r="GK31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7" s="330">
        <v>46048</v>
      </c>
      <c r="GM317" s="330" t="e">
        <v>#N/A</v>
      </c>
      <c r="GN317" s="330">
        <v>46068</v>
      </c>
      <c r="GO317" s="330" t="e">
        <v>#N/A</v>
      </c>
      <c r="GP317" s="330"/>
      <c r="GQ31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7" s="330" t="s">
        <v>261</v>
      </c>
      <c r="GS317" s="330" t="s">
        <v>261</v>
      </c>
      <c r="GT317" s="488" t="s">
        <v>2516</v>
      </c>
      <c r="GU317" s="344" t="str">
        <f>IF(Table1[[#This Row],[Hydro Tes Actual
(tanggal)]]&lt;&gt;"","Sudah","Belum")</f>
        <v>Sudah</v>
      </c>
      <c r="GV317" s="330" t="s">
        <v>261</v>
      </c>
      <c r="GW317" s="330" t="s">
        <v>261</v>
      </c>
      <c r="GX317" s="395" t="s">
        <v>2517</v>
      </c>
      <c r="GY317" s="344" t="str">
        <f>IF(Table1[[#This Row],[Interkoneksi Actual
(tanggal)]]&lt;&gt;"","Sudah","Belum")</f>
        <v>Sudah</v>
      </c>
      <c r="GZ317" s="330" t="s">
        <v>261</v>
      </c>
      <c r="HA317" s="330" t="s">
        <v>261</v>
      </c>
      <c r="HB317" s="331">
        <v>46178</v>
      </c>
      <c r="HC317" s="344" t="str">
        <f>IF(Table1[[#This Row],[Flushing Actual
(tanggal)]]&lt;&gt;"","Sudah","Belum")</f>
        <v>Sudah</v>
      </c>
      <c r="HD317" s="330">
        <v>46048</v>
      </c>
      <c r="HE317" s="330" t="e">
        <v>#N/A</v>
      </c>
      <c r="HF317" s="330">
        <v>46061</v>
      </c>
      <c r="HG317" s="352"/>
      <c r="HH31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7" s="330" t="s">
        <v>261</v>
      </c>
      <c r="HJ317" s="330" t="s">
        <v>261</v>
      </c>
      <c r="HK317" s="331"/>
      <c r="HL317" s="316"/>
      <c r="HM317" s="330">
        <v>46066</v>
      </c>
      <c r="HN317" s="330">
        <v>46066</v>
      </c>
      <c r="HO317" s="330" t="e">
        <v>#N/A</v>
      </c>
      <c r="HP317" s="331"/>
      <c r="HQ317"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17" s="330">
        <v>46073</v>
      </c>
      <c r="HS317" s="330"/>
      <c r="HT317" s="330">
        <v>46073</v>
      </c>
      <c r="HU317" s="330"/>
      <c r="HV317" s="331"/>
      <c r="HW31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17" s="47"/>
      <c r="HY317" s="500"/>
      <c r="HZ317" s="352"/>
      <c r="IB317" s="618">
        <f>IFERROR(ROUND((Table1[[#This Row],[PLAN TC
finish]]-Table1[[#This Row],[PLAN MC-0
start]])/30,2),"")</f>
        <v>0.9</v>
      </c>
      <c r="IC317">
        <f>DATEDIF(Table1[[#This Row],[PLAN MC-0
start]],Table1[[#This Row],[PLAN TC
finish]],"m")</f>
        <v>0</v>
      </c>
    </row>
    <row r="318" spans="1:237" s="4" customFormat="1" ht="15" hidden="1" customHeight="1" x14ac:dyDescent="0.2">
      <c r="B318" s="311">
        <f>SUBTOTAL(3,$D$5:D318)</f>
        <v>84</v>
      </c>
      <c r="C318" s="316">
        <v>314</v>
      </c>
      <c r="D318" s="338" t="s">
        <v>244</v>
      </c>
      <c r="E318" s="338" t="s">
        <v>2518</v>
      </c>
      <c r="F318" s="338" t="s">
        <v>2519</v>
      </c>
      <c r="G318" s="349">
        <v>46117</v>
      </c>
      <c r="H318" s="338" t="s">
        <v>681</v>
      </c>
      <c r="I318" s="338" t="s">
        <v>278</v>
      </c>
      <c r="J318" s="480" t="s">
        <v>1830</v>
      </c>
      <c r="K318" s="338" t="s">
        <v>1165</v>
      </c>
      <c r="L318" s="316" t="s">
        <v>250</v>
      </c>
      <c r="M318" s="355" t="s">
        <v>269</v>
      </c>
      <c r="N318" s="107">
        <v>1558</v>
      </c>
      <c r="O318" s="31" t="s">
        <v>252</v>
      </c>
      <c r="P31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8" s="35">
        <v>0.65983603625737486</v>
      </c>
      <c r="S318" s="34">
        <v>1</v>
      </c>
      <c r="T318" s="34">
        <f>Table1[[#This Row],[Progres Total Aktual
(%)]]</f>
        <v>1</v>
      </c>
      <c r="U318" s="98">
        <f>Table1[[#This Row],[Progres Aktual
(%)]]-Table1[[#This Row],[Target Progres
(%)]]</f>
        <v>0</v>
      </c>
      <c r="V318" s="80">
        <f>Table1[[#This Row],["Volume
BA MC-0"]]</f>
        <v>1701</v>
      </c>
      <c r="W318" s="46">
        <f>Table1[[#This Row],[Total Panjang Pipa Aktual
(Sum-&gt;)3]]</f>
        <v>1699</v>
      </c>
      <c r="X318" s="47"/>
      <c r="Y318" s="67" t="s">
        <v>2520</v>
      </c>
      <c r="Z318" s="67">
        <v>7896112806</v>
      </c>
      <c r="AA318" s="67">
        <f>ROUND((Table1[[#This Row],[Nilai RAB Jaringan
(Exclude Ppn)]]-Table1[[#This Row],[RAB Perizinan]])*1.11+Table1[[#This Row],[RAB Perizinan]],0)</f>
        <v>7896112805</v>
      </c>
      <c r="AB318" s="486">
        <f>SUM(Table1[[#This Row],[RAB Kegiatan Umum]:[RAB Perizinan]])</f>
        <v>7115159104</v>
      </c>
      <c r="AC318" s="436">
        <v>582546234</v>
      </c>
      <c r="AD318" s="436">
        <v>5825462334</v>
      </c>
      <c r="AE318" s="436">
        <v>691570536</v>
      </c>
      <c r="AF318" s="436">
        <v>15580000</v>
      </c>
      <c r="AG318" s="483"/>
      <c r="AH318" s="33">
        <f>SUM(Table1[[#This Row],[Bobot Keg Umum]:[Bobot Perizinan]])</f>
        <v>1</v>
      </c>
      <c r="AI318" s="33">
        <f>Table1[[#This Row],[RAB Kegiatan Umum]]/Table1[[#This Row],[Nilai RAB Jaringan
(Exclude Ppn)]]</f>
        <v>8.1873957487824015E-2</v>
      </c>
      <c r="AJ318" s="33">
        <f>Table1[[#This Row],[RAB Pemasangan]]/Table1[[#This Row],[Nilai RAB Jaringan
(Exclude Ppn)]]</f>
        <v>0.81873957403497022</v>
      </c>
      <c r="AK318" s="33">
        <f>Table1[[#This Row],[RAB Pengadaan]]/Table1[[#This Row],[Nilai RAB Jaringan
(Exclude Ppn)]]</f>
        <v>9.7196777456629593E-2</v>
      </c>
      <c r="AL318" s="33">
        <f>Table1[[#This Row],[RAB Perizinan]]/Table1[[#This Row],[Nilai RAB Jaringan
(Exclude Ppn)]]</f>
        <v>2.1896910205762279E-3</v>
      </c>
      <c r="AM318" s="47"/>
      <c r="AN318" s="285">
        <v>1701</v>
      </c>
      <c r="AO318" s="285">
        <f>SUM(Table1[[#This Row],[Pipa 63 mm]:[Pipa 1,800 mm]])</f>
        <v>0</v>
      </c>
      <c r="AP318" s="285"/>
      <c r="AQ318" s="285"/>
      <c r="AR318" s="285"/>
      <c r="AS318" s="285"/>
      <c r="AT318" s="285"/>
      <c r="AU318" s="285"/>
      <c r="AV318" s="285"/>
      <c r="AW318" s="285"/>
      <c r="AX318" s="285"/>
      <c r="AY318" s="285"/>
      <c r="AZ318" s="285"/>
      <c r="BA318" s="285"/>
      <c r="BB318" s="285"/>
      <c r="BC318" s="285"/>
      <c r="BD318" s="285"/>
      <c r="BE318" s="285"/>
      <c r="BF318" s="285"/>
      <c r="BG318" s="285"/>
      <c r="BH318" s="285"/>
      <c r="BI318" s="285"/>
      <c r="BJ318" s="36">
        <f>SUM(Table1[[#This Row],[Pipa 63 mm2]:[Pipa 1,800 mm21]])</f>
        <v>1699</v>
      </c>
      <c r="BK318" s="32">
        <v>995</v>
      </c>
      <c r="BL318" s="32">
        <v>343</v>
      </c>
      <c r="BM318" s="32">
        <v>361</v>
      </c>
      <c r="BN318" s="32"/>
      <c r="BO318" s="32"/>
      <c r="BP318" s="32"/>
      <c r="BQ318" s="32"/>
      <c r="BR318" s="32"/>
      <c r="BS318" s="32"/>
      <c r="BT318" s="32"/>
      <c r="BU318" s="32"/>
      <c r="BV318" s="32"/>
      <c r="BW318" s="32"/>
      <c r="BX318" s="32"/>
      <c r="BY318" s="32"/>
      <c r="BZ318" s="32"/>
      <c r="CA318" s="32"/>
      <c r="CB318" s="32"/>
      <c r="CC318" s="32"/>
      <c r="CD318" s="32"/>
      <c r="CE318" s="32"/>
      <c r="CF318" s="32"/>
      <c r="CG318" s="32"/>
      <c r="CH318" s="32"/>
      <c r="CI318" s="32"/>
      <c r="CJ318" s="65">
        <f>IF((Table1[[#This Row],["Volume
BA MC-0"]]-Table1[[#This Row],[Total Panjang Pipa Aktual
(Sum-&gt;)3]]-Table1[[#This Row],[Total Volume
tidak dapat dipasang]])&gt;=0,Table1[[#This Row],["Volume
BA MC-0"]]-Table1[[#This Row],[Total Panjang Pipa Aktual
(Sum-&gt;)3]]-Table1[[#This Row],[Total Volume
tidak dapat dipasang]],0)</f>
        <v>2</v>
      </c>
      <c r="CK318" s="47"/>
      <c r="CL318" s="484" t="s">
        <v>1821</v>
      </c>
      <c r="CM318" s="34" t="s">
        <v>1821</v>
      </c>
      <c r="CN318" s="484" t="s">
        <v>1821</v>
      </c>
      <c r="CO318" s="484" t="s">
        <v>1821</v>
      </c>
      <c r="CP31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8" s="66">
        <f>IFERROR(Table1[[#This Row],[Progres Keg. Umum
(%)]]*Table1[[#This Row],[Nilai RAB Jaringan
(file pa aji)]],0)</f>
        <v>0</v>
      </c>
      <c r="CR318" s="66">
        <f>IFERROR(Table1[[#This Row],[Progres MOS
(%)]]*Table1[[#This Row],[Nilai RAB Jaringan
(file pa aji)]],0)</f>
        <v>0</v>
      </c>
      <c r="CS318" s="66">
        <f>IFERROR(Table1[[#This Row],[Progres Pemasangan
(%)]]*Table1[[#This Row],[Nilai RAB Jaringan
(file pa aji)]],0)</f>
        <v>0</v>
      </c>
      <c r="CT318" s="66">
        <f>IFERROR(Table1[[#This Row],[Progres Perizinan
(%)]]*Table1[[#This Row],[Nilai RAB Jaringan
(file pa aji)]],0)</f>
        <v>0</v>
      </c>
      <c r="CU318" s="329">
        <v>7124261675</v>
      </c>
      <c r="CV318" s="329">
        <v>7124261675</v>
      </c>
      <c r="CW318" s="583">
        <v>7124261675</v>
      </c>
      <c r="CX318" s="329">
        <v>7124261675</v>
      </c>
      <c r="CY318" s="47"/>
      <c r="CZ318" s="330">
        <v>45929</v>
      </c>
      <c r="DA318" s="330">
        <v>45956</v>
      </c>
      <c r="DB318" s="331">
        <v>45962</v>
      </c>
      <c r="DC318" s="316" t="s">
        <v>2521</v>
      </c>
      <c r="DD318" s="67">
        <v>2772012955</v>
      </c>
      <c r="DE31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18" s="331">
        <v>45959</v>
      </c>
      <c r="DG318" s="316" t="s">
        <v>2522</v>
      </c>
      <c r="DH318" s="67">
        <v>2772012955</v>
      </c>
      <c r="DI31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18" s="330">
        <v>45957</v>
      </c>
      <c r="DK318" s="330">
        <v>46019</v>
      </c>
      <c r="DL318" s="331">
        <v>45917</v>
      </c>
      <c r="DM318" s="316" t="s">
        <v>2523</v>
      </c>
      <c r="DN31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8" s="331">
        <v>45937</v>
      </c>
      <c r="DP318" s="485" t="s">
        <v>2524</v>
      </c>
      <c r="DQ318" s="485" t="s">
        <v>312</v>
      </c>
      <c r="DR31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8" s="330">
        <v>45957</v>
      </c>
      <c r="DT318" s="330" t="e">
        <v>#N/A</v>
      </c>
      <c r="DU318" s="330">
        <v>45998</v>
      </c>
      <c r="DV318" s="330" t="e">
        <v>#N/A</v>
      </c>
      <c r="DW318" s="331">
        <v>45917</v>
      </c>
      <c r="DX318" s="484" t="s">
        <v>2525</v>
      </c>
      <c r="DY318" s="332">
        <v>73</v>
      </c>
      <c r="DZ318" s="334">
        <v>73</v>
      </c>
      <c r="EA31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18" s="331">
        <v>46135</v>
      </c>
      <c r="EC318" s="332">
        <v>69</v>
      </c>
      <c r="ED318" s="332">
        <v>69</v>
      </c>
      <c r="EE318" s="425" t="s">
        <v>2526</v>
      </c>
      <c r="EF318" s="35">
        <v>1</v>
      </c>
      <c r="EG318" s="337">
        <v>1</v>
      </c>
      <c r="EH318" s="316" t="str">
        <f>IF(Table1[[#This Row],[PO Material Aktual 
(%)]]&gt;=100%,"Selesai PO = 100%",IF(Table1[[#This Row],[PO Material Aktual 
(%)]]&gt;=50%,"Proses PO &gt; 100%",IF(Table1[[#This Row],[PO Material Aktual 
(%)]]&gt;0%,"Proses PO &gt; 50%",IF(Table1[[#This Row],[PO Material Aktual 
(%)]]=0,"Belum PO = 0%"))))</f>
        <v>Selesai PO = 100%</v>
      </c>
      <c r="EI31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8" s="330">
        <v>45999</v>
      </c>
      <c r="EK318" s="330" t="e">
        <v>#N/A</v>
      </c>
      <c r="EL318" s="330">
        <v>46068</v>
      </c>
      <c r="EM318" s="330" t="e">
        <v>#N/A</v>
      </c>
      <c r="EN318" s="331">
        <v>46160</v>
      </c>
      <c r="EO318" s="332">
        <f>Table1[[#This Row],[Line PO]]</f>
        <v>69</v>
      </c>
      <c r="EP318" s="316">
        <v>69</v>
      </c>
      <c r="EQ318" s="35">
        <v>0.9452054794520548</v>
      </c>
      <c r="ER318" s="35">
        <f>Table1[[#This Row],[Line MOS]]/Table1[[#This Row],[Line PR]]</f>
        <v>0.9452054794520548</v>
      </c>
      <c r="ES318" s="316" t="str">
        <f>IF(Table1[[#This Row],[Progres MOS]]&gt;=100%,"Selesai MOS = 100%",IF(Table1[[#This Row],[Progres MOS]]&gt;=50%,"Proses MOS &gt; 100%",IF(Table1[[#This Row],[Progres MOS]]&gt;0%,"Proses MOS &gt; 50%",IF(Table1[[#This Row],[Progres MOS]]=0,"Belum MOS = 0%"))))</f>
        <v>Proses MOS &gt; 100%</v>
      </c>
      <c r="ET31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8" s="47"/>
      <c r="EV318" s="330">
        <v>45957</v>
      </c>
      <c r="EW318" s="330" t="e">
        <v>#N/A</v>
      </c>
      <c r="EX318" s="330">
        <v>46047</v>
      </c>
      <c r="EY318" s="330" t="e">
        <v>#N/A</v>
      </c>
      <c r="EZ318" s="352" t="s">
        <v>298</v>
      </c>
      <c r="FA318" s="384"/>
      <c r="FB318" s="330" t="s">
        <v>260</v>
      </c>
      <c r="FC318" s="330" t="s">
        <v>282</v>
      </c>
      <c r="FD318" s="330" t="s">
        <v>282</v>
      </c>
      <c r="FE318" s="330" t="s">
        <v>282</v>
      </c>
      <c r="FF318" s="330" t="s">
        <v>282</v>
      </c>
      <c r="FG318" s="330" t="s">
        <v>282</v>
      </c>
      <c r="FH318" s="330" t="s">
        <v>282</v>
      </c>
      <c r="FI318" s="330" t="s">
        <v>282</v>
      </c>
      <c r="FJ318" s="330" t="s">
        <v>282</v>
      </c>
      <c r="FK318" s="330"/>
      <c r="FL318" s="336" t="str">
        <f>Table1[[#This Row],[IPPJU]]</f>
        <v>9.Proses Penerbitan Izin</v>
      </c>
      <c r="FM318" s="336"/>
      <c r="FN318" s="314" t="str">
        <f>IF(Table1[[#This Row],[Tanggal Pengajuan Dokumen]]="","",Table1[[#This Row],[PLAN PERMIT
start]]-Table1[[#This Row],[Tanggal Pengajuan Dokumen]])</f>
        <v/>
      </c>
      <c r="FO318" s="437">
        <v>46097</v>
      </c>
      <c r="FP318" s="316"/>
      <c r="FQ318" s="338"/>
      <c r="FR318" s="338"/>
      <c r="FS318" s="338" t="str">
        <f t="shared" si="14"/>
        <v>On Going</v>
      </c>
      <c r="FT31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8" s="344">
        <f ca="1">IF(Table1[[#This Row],[Status Izin]]="Selesai",Table1[[#This Row],[PLAN PERMIT
finish]]-Table1[[#This Row],[Tanggal Terbit/ Target Izin Terbit]],ROUNDUP(Table1[[#This Row],[PLAN PERMIT
finish]]-NOW(),0))</f>
        <v>-144</v>
      </c>
      <c r="FV31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8" s="344"/>
      <c r="FX318" s="47"/>
      <c r="FY318" s="340"/>
      <c r="FZ318" s="341"/>
      <c r="GA31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8" s="330">
        <v>46021</v>
      </c>
      <c r="GC318" s="352">
        <v>45922</v>
      </c>
      <c r="GD31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8" s="330">
        <v>46028</v>
      </c>
      <c r="GF318" s="352">
        <v>45922</v>
      </c>
      <c r="GG31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8" s="330">
        <v>46034</v>
      </c>
      <c r="GI318" s="330">
        <v>46040</v>
      </c>
      <c r="GJ318" s="352">
        <v>45937</v>
      </c>
      <c r="GK31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8" s="330">
        <v>46048</v>
      </c>
      <c r="GM318" s="330" t="e">
        <v>#N/A</v>
      </c>
      <c r="GN318" s="330">
        <v>46096</v>
      </c>
      <c r="GO318" s="330" t="e">
        <v>#N/A</v>
      </c>
      <c r="GP318" s="330"/>
      <c r="GQ31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8" s="330" t="s">
        <v>261</v>
      </c>
      <c r="GS318" s="330" t="s">
        <v>261</v>
      </c>
      <c r="GT318" s="354">
        <v>45978</v>
      </c>
      <c r="GU318" s="344" t="str">
        <f>IF(Table1[[#This Row],[Hydro Tes Actual
(tanggal)]]&lt;&gt;"","Sudah","Belum")</f>
        <v>Sudah</v>
      </c>
      <c r="GV318" s="330" t="s">
        <v>261</v>
      </c>
      <c r="GW318" s="330" t="s">
        <v>261</v>
      </c>
      <c r="GX318" s="331" t="s">
        <v>2527</v>
      </c>
      <c r="GY318" s="344" t="str">
        <f>IF(Table1[[#This Row],[Interkoneksi Actual
(tanggal)]]&lt;&gt;"","Sudah","Belum")</f>
        <v>Sudah</v>
      </c>
      <c r="GZ318" s="330" t="s">
        <v>261</v>
      </c>
      <c r="HA318" s="330" t="s">
        <v>261</v>
      </c>
      <c r="HB318" s="331">
        <v>46009</v>
      </c>
      <c r="HC318" s="344" t="str">
        <f>IF(Table1[[#This Row],[Flushing Actual
(tanggal)]]&lt;&gt;"","Sudah","Belum")</f>
        <v>Sudah</v>
      </c>
      <c r="HD318" s="330">
        <v>46076</v>
      </c>
      <c r="HE318" s="330" t="e">
        <v>#N/A</v>
      </c>
      <c r="HF318" s="330">
        <v>46089</v>
      </c>
      <c r="HG318" s="352">
        <v>46036</v>
      </c>
      <c r="HH31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18" s="330" t="s">
        <v>261</v>
      </c>
      <c r="HJ318" s="330" t="s">
        <v>261</v>
      </c>
      <c r="HK318" s="331"/>
      <c r="HL318" s="316"/>
      <c r="HM318" s="330">
        <v>46101</v>
      </c>
      <c r="HN318" s="330">
        <v>46101</v>
      </c>
      <c r="HO318" s="330" t="e">
        <v>#N/A</v>
      </c>
      <c r="HP318" s="331">
        <v>46114</v>
      </c>
      <c r="HQ318"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18" s="330">
        <v>46108</v>
      </c>
      <c r="HS318" s="330"/>
      <c r="HT318" s="330">
        <v>46108</v>
      </c>
      <c r="HU318" s="330"/>
      <c r="HV318" s="331">
        <v>46115</v>
      </c>
      <c r="HW31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18" s="47"/>
      <c r="HY318" s="352"/>
      <c r="HZ318" s="352"/>
      <c r="IB318" s="618">
        <f>IFERROR(ROUND((Table1[[#This Row],[PLAN TC
finish]]-Table1[[#This Row],[PLAN MC-0
start]])/30,2),"")</f>
        <v>1.83</v>
      </c>
      <c r="IC318">
        <f>DATEDIF(Table1[[#This Row],[PLAN MC-0
start]],Table1[[#This Row],[PLAN TC
finish]],"m")</f>
        <v>1</v>
      </c>
    </row>
    <row r="319" spans="1:237" s="30" customFormat="1" ht="15" hidden="1" customHeight="1" x14ac:dyDescent="0.2">
      <c r="A319" s="77"/>
      <c r="B319" s="311">
        <f>SUBTOTAL(3,$D$5:D319)</f>
        <v>84</v>
      </c>
      <c r="C319" s="367">
        <v>315</v>
      </c>
      <c r="D319" s="363" t="s">
        <v>673</v>
      </c>
      <c r="E319" s="366" t="s">
        <v>2528</v>
      </c>
      <c r="F319" s="366" t="s">
        <v>2529</v>
      </c>
      <c r="G319" s="364">
        <v>46117</v>
      </c>
      <c r="H319" s="366" t="s">
        <v>681</v>
      </c>
      <c r="I319" s="366" t="s">
        <v>278</v>
      </c>
      <c r="J319" s="385" t="s">
        <v>389</v>
      </c>
      <c r="K319" s="366" t="s">
        <v>676</v>
      </c>
      <c r="L319" s="367" t="s">
        <v>250</v>
      </c>
      <c r="M319" s="392" t="s">
        <v>269</v>
      </c>
      <c r="N319" s="368">
        <v>82</v>
      </c>
      <c r="O319" s="369" t="s">
        <v>252</v>
      </c>
      <c r="P319"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9" s="385" t="s">
        <v>389</v>
      </c>
      <c r="R319" s="371">
        <v>1</v>
      </c>
      <c r="S319" s="34">
        <v>1</v>
      </c>
      <c r="T319" s="489">
        <f>Table1[[#This Row],[Progres Total Aktual
(%)]]</f>
        <v>0</v>
      </c>
      <c r="U319" s="490">
        <f>Table1[[#This Row],[Progres Aktual
(%)]]-Table1[[#This Row],[Target Progres
(%)]]</f>
        <v>-1</v>
      </c>
      <c r="V319" s="491">
        <f>Table1[[#This Row],["Volume
BA MC-0"]]</f>
        <v>75</v>
      </c>
      <c r="W319" s="492">
        <f>Table1[[#This Row],[Total Panjang Pipa Aktual
(Sum-&gt;)3]]</f>
        <v>0</v>
      </c>
      <c r="X319" s="47"/>
      <c r="Y319" s="375" t="s">
        <v>2530</v>
      </c>
      <c r="Z319" s="375">
        <v>183891050</v>
      </c>
      <c r="AA319" s="375">
        <f>ROUND((Table1[[#This Row],[Nilai RAB Jaringan
(Exclude Ppn)]]-Table1[[#This Row],[RAB Perizinan]])*1.11+Table1[[#This Row],[RAB Perizinan]],0)</f>
        <v>183891049</v>
      </c>
      <c r="AB319" s="493">
        <f>SUM(Table1[[#This Row],[RAB Kegiatan Umum]:[RAB Perizinan]])</f>
        <v>165748873</v>
      </c>
      <c r="AC319" s="439">
        <v>11376439</v>
      </c>
      <c r="AD319" s="439">
        <v>113764385</v>
      </c>
      <c r="AE319" s="439">
        <v>39788049</v>
      </c>
      <c r="AF319" s="439">
        <v>820000</v>
      </c>
      <c r="AG319" s="494">
        <v>10248242</v>
      </c>
      <c r="AH319" s="495">
        <f>SUM(Table1[[#This Row],[Bobot Keg Umum]:[Bobot Perizinan]])</f>
        <v>1</v>
      </c>
      <c r="AI319" s="495">
        <f>Table1[[#This Row],[RAB Kegiatan Umum]]/Table1[[#This Row],[Nilai RAB Jaringan
(Exclude Ppn)]]</f>
        <v>6.8636599417481403E-2</v>
      </c>
      <c r="AJ319" s="495">
        <f>Table1[[#This Row],[RAB Pemasangan]]/Table1[[#This Row],[Nilai RAB Jaringan
(Exclude Ppn)]]</f>
        <v>0.68636596400869643</v>
      </c>
      <c r="AK319" s="495">
        <f>Table1[[#This Row],[RAB Pengadaan]]/Table1[[#This Row],[Nilai RAB Jaringan
(Exclude Ppn)]]</f>
        <v>0.24005019328246052</v>
      </c>
      <c r="AL319" s="495">
        <f>Table1[[#This Row],[RAB Perizinan]]/Table1[[#This Row],[Nilai RAB Jaringan
(Exclude Ppn)]]</f>
        <v>4.9472432913616254E-3</v>
      </c>
      <c r="AM319" s="47"/>
      <c r="AN319" s="376">
        <v>75</v>
      </c>
      <c r="AO319" s="376">
        <f>SUM(Table1[[#This Row],[Pipa 63 mm]:[Pipa 1,800 mm]])</f>
        <v>0</v>
      </c>
      <c r="AP319" s="376"/>
      <c r="AQ319" s="376"/>
      <c r="AR319" s="376"/>
      <c r="AS319" s="376"/>
      <c r="AT319" s="376"/>
      <c r="AU319" s="376"/>
      <c r="AV319" s="376"/>
      <c r="AW319" s="376"/>
      <c r="AX319" s="376"/>
      <c r="AY319" s="376"/>
      <c r="AZ319" s="376"/>
      <c r="BA319" s="376"/>
      <c r="BB319" s="376"/>
      <c r="BC319" s="376"/>
      <c r="BD319" s="376"/>
      <c r="BE319" s="376"/>
      <c r="BF319" s="376"/>
      <c r="BG319" s="376"/>
      <c r="BH319" s="376"/>
      <c r="BI319" s="376"/>
      <c r="BJ319" s="262">
        <f>SUM(Table1[[#This Row],[Pipa 63 mm2]:[Pipa 1,800 mm21]])</f>
        <v>0</v>
      </c>
      <c r="BK319" s="378"/>
      <c r="BL319" s="378"/>
      <c r="BM319" s="378"/>
      <c r="BN319" s="378"/>
      <c r="BO319" s="378"/>
      <c r="BP319" s="378"/>
      <c r="BQ319" s="378"/>
      <c r="BR319" s="378"/>
      <c r="BS319" s="378"/>
      <c r="BT319" s="378"/>
      <c r="BU319" s="378"/>
      <c r="BV319" s="378"/>
      <c r="BW319" s="378"/>
      <c r="BX319" s="378"/>
      <c r="BY319" s="378"/>
      <c r="BZ319" s="378"/>
      <c r="CA319" s="378"/>
      <c r="CB319" s="378"/>
      <c r="CC319" s="378"/>
      <c r="CD319" s="378"/>
      <c r="CE319" s="378">
        <v>0</v>
      </c>
      <c r="CF319" s="378"/>
      <c r="CG319" s="378"/>
      <c r="CH319" s="378"/>
      <c r="CI319" s="378">
        <f t="shared" ref="CI319:CI336" si="16">SUM(CE319:CH319)</f>
        <v>0</v>
      </c>
      <c r="CJ319" s="440">
        <f>IF((Table1[[#This Row],["Volume
BA MC-0"]]-Table1[[#This Row],[Total Panjang Pipa Aktual
(Sum-&gt;)3]]-Table1[[#This Row],[Total Volume
tidak dapat dipasang]])&gt;=0,Table1[[#This Row],["Volume
BA MC-0"]]-Table1[[#This Row],[Total Panjang Pipa Aktual
(Sum-&gt;)3]]-Table1[[#This Row],[Total Volume
tidak dapat dipasang]],0)</f>
        <v>75</v>
      </c>
      <c r="CK319" s="47"/>
      <c r="CL319" s="441">
        <v>1.0800000000000001E-2</v>
      </c>
      <c r="CM319" s="489">
        <v>0.15790000000000001</v>
      </c>
      <c r="CN319" s="441">
        <v>0</v>
      </c>
      <c r="CO319" s="441">
        <v>0</v>
      </c>
      <c r="CP319"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9" s="380">
        <f>IFERROR(Table1[[#This Row],[Progres Keg. Umum
(%)]]*Table1[[#This Row],[Nilai RAB Jaringan
(file pa aji)]],0)</f>
        <v>1986023.34</v>
      </c>
      <c r="CR319" s="380">
        <f>IFERROR(Table1[[#This Row],[Progres MOS
(%)]]*Table1[[#This Row],[Nilai RAB Jaringan
(file pa aji)]],0)</f>
        <v>29036396.795000002</v>
      </c>
      <c r="CS319" s="380">
        <f>IFERROR(Table1[[#This Row],[Progres Pemasangan
(%)]]*Table1[[#This Row],[Nilai RAB Jaringan
(file pa aji)]],0)</f>
        <v>0</v>
      </c>
      <c r="CT319" s="380">
        <f>IFERROR(Table1[[#This Row],[Progres Perizinan
(%)]]*Table1[[#This Row],[Nilai RAB Jaringan
(file pa aji)]],0)</f>
        <v>0</v>
      </c>
      <c r="CU319" s="329">
        <v>0</v>
      </c>
      <c r="CV319" s="329">
        <v>0</v>
      </c>
      <c r="CW319" s="582">
        <v>0</v>
      </c>
      <c r="CX319" s="329">
        <v>0</v>
      </c>
      <c r="CY319" s="47"/>
      <c r="CZ319" s="386">
        <v>45803</v>
      </c>
      <c r="DA319" s="386">
        <v>45830</v>
      </c>
      <c r="DB319" s="388">
        <v>45797</v>
      </c>
      <c r="DC319" s="367" t="s">
        <v>2531</v>
      </c>
      <c r="DD319" s="375">
        <v>183891050</v>
      </c>
      <c r="DE31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9" s="388">
        <v>45807</v>
      </c>
      <c r="DG319" s="367" t="s">
        <v>2532</v>
      </c>
      <c r="DH319" s="375">
        <v>183891050</v>
      </c>
      <c r="DI319" s="367"/>
      <c r="DJ319" s="386">
        <v>45831</v>
      </c>
      <c r="DK319" s="386">
        <v>45900</v>
      </c>
      <c r="DL319" s="388">
        <v>45846</v>
      </c>
      <c r="DM319" s="367" t="s">
        <v>2533</v>
      </c>
      <c r="DN319" s="382"/>
      <c r="DO319" s="388">
        <v>45944</v>
      </c>
      <c r="DP319" s="367" t="s">
        <v>2534</v>
      </c>
      <c r="DQ319" s="366" t="s">
        <v>365</v>
      </c>
      <c r="DR319" s="382"/>
      <c r="DS319" s="386">
        <v>45831</v>
      </c>
      <c r="DT319" s="386" t="e">
        <v>#N/A</v>
      </c>
      <c r="DU319" s="386">
        <v>45872</v>
      </c>
      <c r="DV319" s="386" t="e">
        <v>#N/A</v>
      </c>
      <c r="DW319" s="388">
        <v>45846</v>
      </c>
      <c r="DX319" s="367" t="s">
        <v>2535</v>
      </c>
      <c r="DY319" s="442"/>
      <c r="DZ319" s="442"/>
      <c r="EA319" s="382"/>
      <c r="EB319" s="388"/>
      <c r="EC319" s="442"/>
      <c r="ED319" s="442"/>
      <c r="EE319" s="386"/>
      <c r="EF319" s="371"/>
      <c r="EG319" s="371"/>
      <c r="EH319" s="367"/>
      <c r="EI319"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9" s="386">
        <v>45873</v>
      </c>
      <c r="EK319" s="386" t="e">
        <v>#N/A</v>
      </c>
      <c r="EL319" s="386">
        <v>45928</v>
      </c>
      <c r="EM319" s="386" t="e">
        <v>#N/A</v>
      </c>
      <c r="EN319" s="388"/>
      <c r="EO319" s="442"/>
      <c r="EP319" s="367"/>
      <c r="EQ319" s="371"/>
      <c r="ER319" s="371"/>
      <c r="ES319" s="367"/>
      <c r="ET31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9" s="47"/>
      <c r="EV319" s="386">
        <v>45831</v>
      </c>
      <c r="EW319" s="386" t="e">
        <v>#N/A</v>
      </c>
      <c r="EX319" s="386">
        <v>45928</v>
      </c>
      <c r="EY319" s="386" t="e">
        <v>#N/A</v>
      </c>
      <c r="EZ319" s="384" t="s">
        <v>298</v>
      </c>
      <c r="FA319" s="385" t="s">
        <v>389</v>
      </c>
      <c r="FB319" s="386" t="s">
        <v>260</v>
      </c>
      <c r="FC319" s="330"/>
      <c r="FD319" s="386" t="s">
        <v>260</v>
      </c>
      <c r="FE319" s="386">
        <v>45910</v>
      </c>
      <c r="FF319" s="386">
        <v>45944</v>
      </c>
      <c r="FG319" s="386" t="s">
        <v>260</v>
      </c>
      <c r="FH319" s="386" t="s">
        <v>260</v>
      </c>
      <c r="FI319" s="386">
        <v>46010</v>
      </c>
      <c r="FJ319" s="386" t="s">
        <v>260</v>
      </c>
      <c r="FK319" s="386">
        <v>46094</v>
      </c>
      <c r="FL319" s="443" t="s">
        <v>298</v>
      </c>
      <c r="FM319" s="443"/>
      <c r="FN319" s="365" t="str">
        <f>IF(Table1[[#This Row],[Tanggal Pengajuan Dokumen]]="","",Table1[[#This Row],[PLAN PERMIT
start]]-Table1[[#This Row],[Tanggal Pengajuan Dokumen]])</f>
        <v/>
      </c>
      <c r="FO319" s="444">
        <v>46086</v>
      </c>
      <c r="FP319" s="367"/>
      <c r="FQ319" s="366"/>
      <c r="FR319" s="366"/>
      <c r="FS319" s="366" t="str">
        <f t="shared" si="14"/>
        <v>On Going</v>
      </c>
      <c r="FT319"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9" s="387">
        <f ca="1">IF(Table1[[#This Row],[Status Izin]]="Selesai",Table1[[#This Row],[PLAN PERMIT
finish]]-Table1[[#This Row],[Tanggal Terbit/ Target Izin Terbit]],ROUNDUP(Table1[[#This Row],[PLAN PERMIT
finish]]-NOW(),0))</f>
        <v>-263</v>
      </c>
      <c r="FV319"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9" s="387"/>
      <c r="FX319" s="47"/>
      <c r="FY319" s="340"/>
      <c r="FZ319" s="341"/>
      <c r="GA31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9" s="386">
        <v>45902</v>
      </c>
      <c r="GC319" s="384">
        <v>45951</v>
      </c>
      <c r="GD319"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19" s="386">
        <v>45909</v>
      </c>
      <c r="GF319" s="384">
        <v>45951</v>
      </c>
      <c r="GG319"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19" s="386">
        <v>45915</v>
      </c>
      <c r="GI319" s="386">
        <v>45921</v>
      </c>
      <c r="GJ319" s="384">
        <v>45959</v>
      </c>
      <c r="GK319"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19" s="386">
        <v>45929</v>
      </c>
      <c r="GM319" s="386" t="e">
        <v>#N/A</v>
      </c>
      <c r="GN319" s="386">
        <v>45942</v>
      </c>
      <c r="GO319" s="386" t="e">
        <v>#N/A</v>
      </c>
      <c r="GP319" s="386"/>
      <c r="GQ319"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9" s="386" t="s">
        <v>261</v>
      </c>
      <c r="GS319" s="386" t="s">
        <v>261</v>
      </c>
      <c r="GT319" s="390"/>
      <c r="GU319" s="387" t="str">
        <f>IF(Table1[[#This Row],[Hydro Tes Actual
(tanggal)]]&lt;&gt;"","Sudah","Belum")</f>
        <v>Belum</v>
      </c>
      <c r="GV319" s="386" t="s">
        <v>261</v>
      </c>
      <c r="GW319" s="386" t="s">
        <v>261</v>
      </c>
      <c r="GX319" s="388"/>
      <c r="GY319" s="387" t="str">
        <f>IF(Table1[[#This Row],[Interkoneksi Actual
(tanggal)]]&lt;&gt;"","Sudah","Belum")</f>
        <v>Belum</v>
      </c>
      <c r="GZ319" s="386" t="s">
        <v>261</v>
      </c>
      <c r="HA319" s="386" t="s">
        <v>261</v>
      </c>
      <c r="HB319" s="388"/>
      <c r="HC319" s="387" t="str">
        <f>IF(Table1[[#This Row],[Flushing Actual
(tanggal)]]&lt;&gt;"","Sudah","Belum")</f>
        <v>Belum</v>
      </c>
      <c r="HD319" s="386">
        <v>45929</v>
      </c>
      <c r="HE319" s="386" t="e">
        <v>#N/A</v>
      </c>
      <c r="HF319" s="386">
        <v>45942</v>
      </c>
      <c r="HG319" s="384"/>
      <c r="HH319"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9" s="386" t="s">
        <v>261</v>
      </c>
      <c r="HJ319" s="386" t="s">
        <v>261</v>
      </c>
      <c r="HK319" s="388"/>
      <c r="HL319" s="367"/>
      <c r="HM319" s="386">
        <v>45947</v>
      </c>
      <c r="HN319" s="386">
        <v>45947</v>
      </c>
      <c r="HO319" s="386" t="e">
        <v>#N/A</v>
      </c>
      <c r="HP319" s="388"/>
      <c r="HQ319"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19" s="386">
        <v>45954</v>
      </c>
      <c r="HS319" s="386"/>
      <c r="HT319" s="386">
        <v>45954</v>
      </c>
      <c r="HU319" s="386"/>
      <c r="HV319" s="388"/>
      <c r="HW319"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19" s="47"/>
      <c r="HY319" s="384"/>
      <c r="HZ319" s="384"/>
      <c r="IB319" s="618">
        <f>IFERROR(ROUND((Table1[[#This Row],[PLAN TC
finish]]-Table1[[#This Row],[PLAN MC-0
start]])/30,2),"")</f>
        <v>0.9</v>
      </c>
      <c r="IC319">
        <f>DATEDIF(Table1[[#This Row],[PLAN MC-0
start]],Table1[[#This Row],[PLAN TC
finish]],"m")</f>
        <v>0</v>
      </c>
    </row>
    <row r="320" spans="1:237" s="30" customFormat="1" ht="15" hidden="1" customHeight="1" x14ac:dyDescent="0.2">
      <c r="A320" s="77"/>
      <c r="B320" s="311">
        <f>SUBTOTAL(3,$D$5:D320)</f>
        <v>84</v>
      </c>
      <c r="C320" s="316">
        <v>316</v>
      </c>
      <c r="D320" s="363" t="s">
        <v>673</v>
      </c>
      <c r="E320" s="366" t="s">
        <v>2536</v>
      </c>
      <c r="F320" s="366" t="s">
        <v>2537</v>
      </c>
      <c r="G320" s="364">
        <v>46117</v>
      </c>
      <c r="H320" s="366" t="s">
        <v>681</v>
      </c>
      <c r="I320" s="338" t="s">
        <v>278</v>
      </c>
      <c r="J320" s="385" t="s">
        <v>389</v>
      </c>
      <c r="K320" s="338" t="s">
        <v>676</v>
      </c>
      <c r="L320" s="316" t="s">
        <v>250</v>
      </c>
      <c r="M320" s="392" t="s">
        <v>269</v>
      </c>
      <c r="N320" s="368">
        <v>81</v>
      </c>
      <c r="O320" s="369" t="s">
        <v>252</v>
      </c>
      <c r="P32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0" s="385" t="s">
        <v>389</v>
      </c>
      <c r="R320" s="35">
        <v>0.99999999999999989</v>
      </c>
      <c r="S320" s="34">
        <v>1</v>
      </c>
      <c r="T320" s="489">
        <f>Table1[[#This Row],[Progres Total Aktual
(%)]]</f>
        <v>0</v>
      </c>
      <c r="U320" s="490">
        <f>Table1[[#This Row],[Progres Aktual
(%)]]-Table1[[#This Row],[Target Progres
(%)]]</f>
        <v>-1</v>
      </c>
      <c r="V320" s="491">
        <f>Table1[[#This Row],["Volume
BA MC-0"]]</f>
        <v>81</v>
      </c>
      <c r="W320" s="492">
        <f>Table1[[#This Row],[Total Panjang Pipa Aktual
(Sum-&gt;)3]]</f>
        <v>0</v>
      </c>
      <c r="X320" s="47"/>
      <c r="Y320" s="375" t="s">
        <v>2538</v>
      </c>
      <c r="Z320" s="375">
        <v>270314452</v>
      </c>
      <c r="AA320" s="375">
        <f>ROUND((Table1[[#This Row],[Nilai RAB Jaringan
(Exclude Ppn)]]-Table1[[#This Row],[RAB Perizinan]])*1.11+Table1[[#This Row],[RAB Perizinan]],0)</f>
        <v>268232190</v>
      </c>
      <c r="AB320" s="493">
        <f>SUM(Table1[[#This Row],[RAB Kegiatan Umum]:[RAB Perizinan]])</f>
        <v>241730892</v>
      </c>
      <c r="AC320" s="439">
        <v>15709353</v>
      </c>
      <c r="AD320" s="439">
        <v>157093525</v>
      </c>
      <c r="AE320" s="439">
        <v>68118014</v>
      </c>
      <c r="AF320" s="439">
        <v>810000</v>
      </c>
      <c r="AG320" s="494">
        <v>18963348</v>
      </c>
      <c r="AH320" s="495">
        <f>SUM(Table1[[#This Row],[Bobot Keg Umum]:[Bobot Perizinan]])</f>
        <v>1</v>
      </c>
      <c r="AI320" s="495">
        <f>Table1[[#This Row],[RAB Kegiatan Umum]]/Table1[[#This Row],[Nilai RAB Jaringan
(Exclude Ppn)]]</f>
        <v>6.4986948378943643E-2</v>
      </c>
      <c r="AJ320" s="495">
        <f>Table1[[#This Row],[RAB Pemasangan]]/Table1[[#This Row],[Nilai RAB Jaringan
(Exclude Ppn)]]</f>
        <v>0.64986946310527827</v>
      </c>
      <c r="AK320" s="495">
        <f>Table1[[#This Row],[RAB Pengadaan]]/Table1[[#This Row],[Nilai RAB Jaringan
(Exclude Ppn)]]</f>
        <v>0.28179275489539002</v>
      </c>
      <c r="AL320" s="495">
        <f>Table1[[#This Row],[RAB Perizinan]]/Table1[[#This Row],[Nilai RAB Jaringan
(Exclude Ppn)]]</f>
        <v>3.35083362038808E-3</v>
      </c>
      <c r="AM320" s="47"/>
      <c r="AN320" s="376">
        <v>81</v>
      </c>
      <c r="AO320" s="376">
        <f>SUM(Table1[[#This Row],[Pipa 63 mm]:[Pipa 1,800 mm]])</f>
        <v>0</v>
      </c>
      <c r="AP320" s="376"/>
      <c r="AQ320" s="376"/>
      <c r="AR320" s="376"/>
      <c r="AS320" s="376"/>
      <c r="AT320" s="376"/>
      <c r="AU320" s="376"/>
      <c r="AV320" s="376"/>
      <c r="AW320" s="376"/>
      <c r="AX320" s="376"/>
      <c r="AY320" s="376"/>
      <c r="AZ320" s="376"/>
      <c r="BA320" s="376"/>
      <c r="BB320" s="376"/>
      <c r="BC320" s="376"/>
      <c r="BD320" s="376"/>
      <c r="BE320" s="376"/>
      <c r="BF320" s="376"/>
      <c r="BG320" s="376"/>
      <c r="BH320" s="376"/>
      <c r="BI320" s="376"/>
      <c r="BJ320" s="262">
        <f>SUM(Table1[[#This Row],[Pipa 63 mm2]:[Pipa 1,800 mm21]])</f>
        <v>0</v>
      </c>
      <c r="BK320" s="378"/>
      <c r="BL320" s="378"/>
      <c r="BM320" s="378"/>
      <c r="BN320" s="378"/>
      <c r="BO320" s="378"/>
      <c r="BP320" s="378"/>
      <c r="BQ320" s="378"/>
      <c r="BR320" s="378"/>
      <c r="BS320" s="378"/>
      <c r="BT320" s="378"/>
      <c r="BU320" s="378"/>
      <c r="BV320" s="378"/>
      <c r="BW320" s="378"/>
      <c r="BX320" s="378"/>
      <c r="BY320" s="378"/>
      <c r="BZ320" s="378"/>
      <c r="CA320" s="378"/>
      <c r="CB320" s="378"/>
      <c r="CC320" s="378"/>
      <c r="CD320" s="378"/>
      <c r="CE320" s="378">
        <v>0</v>
      </c>
      <c r="CF320" s="378"/>
      <c r="CG320" s="378"/>
      <c r="CH320" s="378"/>
      <c r="CI320" s="378">
        <f t="shared" si="16"/>
        <v>0</v>
      </c>
      <c r="CJ320" s="440">
        <f>IF((Table1[[#This Row],["Volume
BA MC-0"]]-Table1[[#This Row],[Total Panjang Pipa Aktual
(Sum-&gt;)3]]-Table1[[#This Row],[Total Volume
tidak dapat dipasang]])&gt;=0,Table1[[#This Row],["Volume
BA MC-0"]]-Table1[[#This Row],[Total Panjang Pipa Aktual
(Sum-&gt;)3]]-Table1[[#This Row],[Total Volume
tidak dapat dipasang]],0)</f>
        <v>81</v>
      </c>
      <c r="CK320" s="47"/>
      <c r="CL320" s="327">
        <v>1.1299999999999999E-2</v>
      </c>
      <c r="CM320" s="34">
        <v>0.1731</v>
      </c>
      <c r="CN320" s="327">
        <v>0</v>
      </c>
      <c r="CO320" s="327">
        <v>0</v>
      </c>
      <c r="CP32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20" s="66">
        <f>IFERROR(Table1[[#This Row],[Progres Keg. Umum
(%)]]*Table1[[#This Row],[Nilai RAB Jaringan
(file pa aji)]],0)</f>
        <v>3054553.3075999999</v>
      </c>
      <c r="CR320" s="66">
        <f>IFERROR(Table1[[#This Row],[Progres MOS
(%)]]*Table1[[#This Row],[Nilai RAB Jaringan
(file pa aji)]],0)</f>
        <v>46791431.641199999</v>
      </c>
      <c r="CS320" s="66">
        <f>IFERROR(Table1[[#This Row],[Progres Pemasangan
(%)]]*Table1[[#This Row],[Nilai RAB Jaringan
(file pa aji)]],0)</f>
        <v>0</v>
      </c>
      <c r="CT320" s="66">
        <f>IFERROR(Table1[[#This Row],[Progres Perizinan
(%)]]*Table1[[#This Row],[Nilai RAB Jaringan
(file pa aji)]],0)</f>
        <v>0</v>
      </c>
      <c r="CU320" s="329">
        <v>0</v>
      </c>
      <c r="CV320" s="329">
        <v>0</v>
      </c>
      <c r="CW320" s="583">
        <v>0</v>
      </c>
      <c r="CX320" s="329">
        <v>0</v>
      </c>
      <c r="CY320" s="47"/>
      <c r="CZ320" s="386">
        <v>45803</v>
      </c>
      <c r="DA320" s="386">
        <v>45830</v>
      </c>
      <c r="DB320" s="388">
        <v>45797</v>
      </c>
      <c r="DC320" s="367" t="s">
        <v>2539</v>
      </c>
      <c r="DD320" s="375">
        <v>270314452</v>
      </c>
      <c r="DE32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0" s="388">
        <v>45803</v>
      </c>
      <c r="DG320" s="367" t="s">
        <v>2540</v>
      </c>
      <c r="DH320" s="375">
        <v>270314452</v>
      </c>
      <c r="DI320"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0" s="386">
        <v>45831</v>
      </c>
      <c r="DK320" s="386">
        <v>45900</v>
      </c>
      <c r="DL320" s="388">
        <v>45841</v>
      </c>
      <c r="DM320" s="367" t="s">
        <v>2541</v>
      </c>
      <c r="DN320" s="3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0" s="388">
        <v>45960</v>
      </c>
      <c r="DP320" s="77" t="s">
        <v>2542</v>
      </c>
      <c r="DQ320" s="77" t="s">
        <v>365</v>
      </c>
      <c r="DR320" s="3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0" s="386">
        <v>45831</v>
      </c>
      <c r="DT320" s="386" t="e">
        <v>#N/A</v>
      </c>
      <c r="DU320" s="386">
        <v>45872</v>
      </c>
      <c r="DV320" s="386" t="e">
        <v>#N/A</v>
      </c>
      <c r="DW320" s="388">
        <v>45841</v>
      </c>
      <c r="DX320" s="367" t="s">
        <v>2543</v>
      </c>
      <c r="DY320" s="442"/>
      <c r="DZ320" s="442"/>
      <c r="EA320" s="3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0" s="388"/>
      <c r="EC320" s="442"/>
      <c r="ED320" s="442"/>
      <c r="EE320" s="386"/>
      <c r="EF320" s="371"/>
      <c r="EG320" s="371"/>
      <c r="EH320" s="367" t="str">
        <f>IF(Table1[[#This Row],[PO Material Aktual 
(%)]]&gt;=100%,"Selesai PO = 100%",IF(Table1[[#This Row],[PO Material Aktual 
(%)]]&gt;=50%,"Proses PO &gt; 100%",IF(Table1[[#This Row],[PO Material Aktual 
(%)]]&gt;0%,"Proses PO &gt; 50%",IF(Table1[[#This Row],[PO Material Aktual 
(%)]]=0,"Belum PO = 0%"))))</f>
        <v>Belum PO = 0%</v>
      </c>
      <c r="EI320"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0" s="386">
        <v>45873</v>
      </c>
      <c r="EK320" s="386" t="e">
        <v>#N/A</v>
      </c>
      <c r="EL320" s="386">
        <v>45928</v>
      </c>
      <c r="EM320" s="386" t="e">
        <v>#N/A</v>
      </c>
      <c r="EN320" s="388"/>
      <c r="EO320" s="442"/>
      <c r="EP320" s="367"/>
      <c r="EQ320" s="371"/>
      <c r="ER320" s="371"/>
      <c r="ES320" s="367"/>
      <c r="ET32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0" s="47"/>
      <c r="EV320" s="330">
        <v>45831</v>
      </c>
      <c r="EW320" s="330" t="e">
        <v>#N/A</v>
      </c>
      <c r="EX320" s="330">
        <v>45928</v>
      </c>
      <c r="EY320" s="330" t="e">
        <v>#N/A</v>
      </c>
      <c r="EZ320" s="352" t="s">
        <v>298</v>
      </c>
      <c r="FA320" s="385" t="s">
        <v>389</v>
      </c>
      <c r="FB320" s="330" t="s">
        <v>260</v>
      </c>
      <c r="FC320" s="330"/>
      <c r="FD320" s="330" t="s">
        <v>260</v>
      </c>
      <c r="FE320" s="330">
        <v>45863</v>
      </c>
      <c r="FF320" s="330">
        <v>45958</v>
      </c>
      <c r="FG320" s="330" t="s">
        <v>260</v>
      </c>
      <c r="FH320" s="330" t="s">
        <v>260</v>
      </c>
      <c r="FI320" s="330">
        <v>46003</v>
      </c>
      <c r="FJ320" s="330" t="s">
        <v>260</v>
      </c>
      <c r="FK320" s="330">
        <v>46111</v>
      </c>
      <c r="FL320" s="336" t="s">
        <v>298</v>
      </c>
      <c r="FM320" s="336"/>
      <c r="FN320" s="314" t="str">
        <f>IF(Table1[[#This Row],[Tanggal Pengajuan Dokumen]]="","",Table1[[#This Row],[PLAN PERMIT
start]]-Table1[[#This Row],[Tanggal Pengajuan Dokumen]])</f>
        <v/>
      </c>
      <c r="FO320" s="437">
        <v>46087</v>
      </c>
      <c r="FP320" s="316"/>
      <c r="FQ320" s="338"/>
      <c r="FR320" s="338"/>
      <c r="FS320" s="338" t="str">
        <f t="shared" si="14"/>
        <v>On Going</v>
      </c>
      <c r="FT32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0" s="344">
        <f ca="1">IF(Table1[[#This Row],[Status Izin]]="Selesai",Table1[[#This Row],[PLAN PERMIT
finish]]-Table1[[#This Row],[Tanggal Terbit/ Target Izin Terbit]],ROUNDUP(Table1[[#This Row],[PLAN PERMIT
finish]]-NOW(),0))</f>
        <v>-263</v>
      </c>
      <c r="FV32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0" s="344"/>
      <c r="FX320" s="47"/>
      <c r="FY320" s="340"/>
      <c r="FZ320" s="341"/>
      <c r="GA32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0" s="330">
        <v>45902</v>
      </c>
      <c r="GC320" s="352">
        <v>45951</v>
      </c>
      <c r="GD32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0" s="330">
        <v>45909</v>
      </c>
      <c r="GF320" s="352">
        <v>45951</v>
      </c>
      <c r="GG32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0" s="330">
        <v>45915</v>
      </c>
      <c r="GI320" s="330">
        <v>45921</v>
      </c>
      <c r="GJ320" s="352">
        <v>45964</v>
      </c>
      <c r="GK32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0" s="330">
        <v>45929</v>
      </c>
      <c r="GM320" s="330" t="e">
        <v>#N/A</v>
      </c>
      <c r="GN320" s="330">
        <v>45942</v>
      </c>
      <c r="GO320" s="330" t="e">
        <v>#N/A</v>
      </c>
      <c r="GP320" s="330"/>
      <c r="GQ32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0" s="330" t="s">
        <v>261</v>
      </c>
      <c r="GS320" s="330" t="s">
        <v>261</v>
      </c>
      <c r="GT320" s="354"/>
      <c r="GU320" s="344" t="str">
        <f>IF(Table1[[#This Row],[Hydro Tes Actual
(tanggal)]]&lt;&gt;"","Sudah","Belum")</f>
        <v>Belum</v>
      </c>
      <c r="GV320" s="330" t="s">
        <v>261</v>
      </c>
      <c r="GW320" s="330" t="s">
        <v>261</v>
      </c>
      <c r="GX320" s="331"/>
      <c r="GY320" s="344" t="str">
        <f>IF(Table1[[#This Row],[Interkoneksi Actual
(tanggal)]]&lt;&gt;"","Sudah","Belum")</f>
        <v>Belum</v>
      </c>
      <c r="GZ320" s="330" t="s">
        <v>261</v>
      </c>
      <c r="HA320" s="330" t="s">
        <v>261</v>
      </c>
      <c r="HB320" s="331"/>
      <c r="HC320" s="344" t="str">
        <f>IF(Table1[[#This Row],[Flushing Actual
(tanggal)]]&lt;&gt;"","Sudah","Belum")</f>
        <v>Belum</v>
      </c>
      <c r="HD320" s="330">
        <v>45929</v>
      </c>
      <c r="HE320" s="330" t="e">
        <v>#N/A</v>
      </c>
      <c r="HF320" s="330">
        <v>45942</v>
      </c>
      <c r="HG320" s="352"/>
      <c r="HH32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0" s="330" t="s">
        <v>261</v>
      </c>
      <c r="HJ320" s="330" t="s">
        <v>261</v>
      </c>
      <c r="HK320" s="331"/>
      <c r="HL320" s="316"/>
      <c r="HM320" s="330">
        <v>45947</v>
      </c>
      <c r="HN320" s="330">
        <v>45947</v>
      </c>
      <c r="HO320" s="330" t="e">
        <v>#N/A</v>
      </c>
      <c r="HP320" s="331"/>
      <c r="HQ320"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20" s="330">
        <v>45954</v>
      </c>
      <c r="HS320" s="330"/>
      <c r="HT320" s="330">
        <v>45954</v>
      </c>
      <c r="HU320" s="330"/>
      <c r="HV320" s="331"/>
      <c r="HW32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20" s="47"/>
      <c r="HY320" s="352"/>
      <c r="HZ320" s="352"/>
      <c r="IB320" s="618">
        <f>IFERROR(ROUND((Table1[[#This Row],[PLAN TC
finish]]-Table1[[#This Row],[PLAN MC-0
start]])/30,2),"")</f>
        <v>0.9</v>
      </c>
      <c r="IC320">
        <f>DATEDIF(Table1[[#This Row],[PLAN MC-0
start]],Table1[[#This Row],[PLAN TC
finish]],"m")</f>
        <v>0</v>
      </c>
    </row>
    <row r="321" spans="1:237" s="4" customFormat="1" ht="15" hidden="1" customHeight="1" x14ac:dyDescent="0.2">
      <c r="B321" s="311">
        <f>SUBTOTAL(3,$D$5:D321)</f>
        <v>84</v>
      </c>
      <c r="C321" s="316">
        <v>317</v>
      </c>
      <c r="D321" s="315" t="s">
        <v>673</v>
      </c>
      <c r="E321" s="338" t="s">
        <v>2544</v>
      </c>
      <c r="F321" s="338" t="s">
        <v>2545</v>
      </c>
      <c r="G321" s="349">
        <v>46117</v>
      </c>
      <c r="H321" s="338" t="s">
        <v>681</v>
      </c>
      <c r="I321" s="338" t="s">
        <v>278</v>
      </c>
      <c r="J321" s="480" t="s">
        <v>1818</v>
      </c>
      <c r="K321" s="338" t="s">
        <v>676</v>
      </c>
      <c r="L321" s="316" t="s">
        <v>250</v>
      </c>
      <c r="M321" s="355" t="s">
        <v>269</v>
      </c>
      <c r="N321" s="107">
        <v>318</v>
      </c>
      <c r="O321" s="31" t="s">
        <v>252</v>
      </c>
      <c r="P32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1" s="35">
        <v>1</v>
      </c>
      <c r="S321" s="34">
        <v>1</v>
      </c>
      <c r="T321" s="34">
        <f>Table1[[#This Row],[Progres Total Aktual
(%)]]</f>
        <v>0.77016596469681486</v>
      </c>
      <c r="U321" s="98">
        <f>Table1[[#This Row],[Progres Aktual
(%)]]-Table1[[#This Row],[Target Progres
(%)]]</f>
        <v>-0.22983403530318514</v>
      </c>
      <c r="V321" s="80">
        <f>Table1[[#This Row],["Volume
BA MC-0"]]</f>
        <v>598</v>
      </c>
      <c r="W321" s="46">
        <f>Table1[[#This Row],[Total Panjang Pipa Aktual
(Sum-&gt;)3]]</f>
        <v>431</v>
      </c>
      <c r="X321" s="47"/>
      <c r="Y321" s="67" t="s">
        <v>2546</v>
      </c>
      <c r="Z321" s="67">
        <v>741158073</v>
      </c>
      <c r="AA321" s="67">
        <f>ROUND((Table1[[#This Row],[Nilai RAB Jaringan
(Exclude Ppn)]]-Table1[[#This Row],[RAB Perizinan]])*1.11+Table1[[#This Row],[RAB Perizinan]],0)</f>
        <v>574183224</v>
      </c>
      <c r="AB321" s="486">
        <f>SUM(Table1[[#This Row],[RAB Kegiatan Umum]:[RAB Perizinan]])</f>
        <v>517597319</v>
      </c>
      <c r="AC321" s="436">
        <v>36796950</v>
      </c>
      <c r="AD321" s="436">
        <v>367969498</v>
      </c>
      <c r="AE321" s="436">
        <v>109650871</v>
      </c>
      <c r="AF321" s="436">
        <v>3180000</v>
      </c>
      <c r="AG321" s="483">
        <v>69532275</v>
      </c>
      <c r="AH321" s="33">
        <f>SUM(Table1[[#This Row],[Bobot Keg Umum]:[Bobot Perizinan]])</f>
        <v>1</v>
      </c>
      <c r="AI321" s="33">
        <f>Table1[[#This Row],[RAB Kegiatan Umum]]/Table1[[#This Row],[Nilai RAB Jaringan
(Exclude Ppn)]]</f>
        <v>7.1091848139963026E-2</v>
      </c>
      <c r="AJ321" s="33">
        <f>Table1[[#This Row],[RAB Pemasangan]]/Table1[[#This Row],[Nilai RAB Jaringan
(Exclude Ppn)]]</f>
        <v>0.71091847753562265</v>
      </c>
      <c r="AK321" s="33">
        <f>Table1[[#This Row],[RAB Pengadaan]]/Table1[[#This Row],[Nilai RAB Jaringan
(Exclude Ppn)]]</f>
        <v>0.21184590216163773</v>
      </c>
      <c r="AL321" s="33">
        <f>Table1[[#This Row],[RAB Perizinan]]/Table1[[#This Row],[Nilai RAB Jaringan
(Exclude Ppn)]]</f>
        <v>6.1437721627766008E-3</v>
      </c>
      <c r="AM321" s="47"/>
      <c r="AN321" s="285">
        <v>598</v>
      </c>
      <c r="AO321" s="285">
        <f>SUM(Table1[[#This Row],[Pipa 63 mm]:[Pipa 1,800 mm]])</f>
        <v>598</v>
      </c>
      <c r="AP321" s="285">
        <v>318</v>
      </c>
      <c r="AQ321" s="285">
        <v>280</v>
      </c>
      <c r="AR321" s="285"/>
      <c r="AS321" s="285"/>
      <c r="AT321" s="285"/>
      <c r="AU321" s="285"/>
      <c r="AV321" s="285"/>
      <c r="AW321" s="285"/>
      <c r="AX321" s="285"/>
      <c r="AY321" s="285"/>
      <c r="AZ321" s="285"/>
      <c r="BA321" s="285"/>
      <c r="BB321" s="285"/>
      <c r="BC321" s="285"/>
      <c r="BD321" s="285"/>
      <c r="BE321" s="285"/>
      <c r="BF321" s="285"/>
      <c r="BG321" s="285"/>
      <c r="BH321" s="285"/>
      <c r="BI321" s="285"/>
      <c r="BJ321" s="262">
        <f>SUM(Table1[[#This Row],[Pipa 63 mm2]:[Pipa 1,800 mm21]])</f>
        <v>431</v>
      </c>
      <c r="BK321" s="32">
        <v>297</v>
      </c>
      <c r="BL321" s="32">
        <v>134</v>
      </c>
      <c r="BM321" s="32"/>
      <c r="BN321" s="32"/>
      <c r="BO321" s="32"/>
      <c r="BP321" s="32"/>
      <c r="BQ321" s="32"/>
      <c r="BR321" s="32"/>
      <c r="BS321" s="32"/>
      <c r="BT321" s="32"/>
      <c r="BU321" s="32"/>
      <c r="BV321" s="32"/>
      <c r="BW321" s="32"/>
      <c r="BX321" s="32"/>
      <c r="BY321" s="32"/>
      <c r="BZ321" s="32"/>
      <c r="CA321" s="32"/>
      <c r="CB321" s="32"/>
      <c r="CC321" s="32"/>
      <c r="CD321" s="32"/>
      <c r="CE321" s="32">
        <v>0</v>
      </c>
      <c r="CF321" s="32"/>
      <c r="CG321" s="32"/>
      <c r="CH321" s="32"/>
      <c r="CI321" s="32">
        <f t="shared" si="16"/>
        <v>0</v>
      </c>
      <c r="CJ321" s="65">
        <f>IF((Table1[[#This Row],["Volume
BA MC-0"]]-Table1[[#This Row],[Total Panjang Pipa Aktual
(Sum-&gt;)3]]-Table1[[#This Row],[Total Volume
tidak dapat dipasang]])&gt;=0,Table1[[#This Row],["Volume
BA MC-0"]]-Table1[[#This Row],[Total Panjang Pipa Aktual
(Sum-&gt;)3]]-Table1[[#This Row],[Total Volume
tidak dapat dipasang]],0)</f>
        <v>167</v>
      </c>
      <c r="CK321" s="47"/>
      <c r="CL321" s="327">
        <v>5.0000000000000001E-3</v>
      </c>
      <c r="CM321" s="34">
        <f>Table1[[#This Row],[RAB Pengadaan]]/Table1[[#This Row],[Nilai RAB Jaringan
(Exclude Ppn)]]*Table1[[#This Row],[Progres MOS]]*80%</f>
        <v>8.9926423774736031E-2</v>
      </c>
      <c r="CN321" s="327">
        <v>0</v>
      </c>
      <c r="CO321" s="327">
        <v>0</v>
      </c>
      <c r="CP32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0.77016596469681486</v>
      </c>
      <c r="CQ321" s="66">
        <f>IFERROR(Table1[[#This Row],[Progres Keg. Umum
(%)]]*Table1[[#This Row],[Nilai RAB Jaringan
(file pa aji)]],0)</f>
        <v>3705790.3650000002</v>
      </c>
      <c r="CR321" s="66">
        <f>IFERROR(Table1[[#This Row],[Progres MOS
(%)]]*Table1[[#This Row],[Nilai RAB Jaringan
(file pa aji)]],0)</f>
        <v>66649694.956664741</v>
      </c>
      <c r="CS321" s="66">
        <f>IFERROR(Table1[[#This Row],[Progres Pemasangan
(%)]]*Table1[[#This Row],[Nilai RAB Jaringan
(file pa aji)]],0)</f>
        <v>0</v>
      </c>
      <c r="CT321" s="66">
        <f>IFERROR(Table1[[#This Row],[Progres Perizinan
(%)]]*Table1[[#This Row],[Nilai RAB Jaringan
(file pa aji)]],0)</f>
        <v>0</v>
      </c>
      <c r="CU321" s="329">
        <v>442216376.62468731</v>
      </c>
      <c r="CV321" s="329">
        <v>442216376.62468731</v>
      </c>
      <c r="CW321" s="583">
        <v>0</v>
      </c>
      <c r="CX321" s="329">
        <v>0</v>
      </c>
      <c r="CY321" s="47"/>
      <c r="CZ321" s="330">
        <v>45803</v>
      </c>
      <c r="DA321" s="330">
        <v>45830</v>
      </c>
      <c r="DB321" s="331">
        <v>45797</v>
      </c>
      <c r="DC321" s="316" t="s">
        <v>2547</v>
      </c>
      <c r="DD321" s="67">
        <v>574183224</v>
      </c>
      <c r="DE32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1" s="331">
        <v>45803</v>
      </c>
      <c r="DG321" s="316" t="s">
        <v>2548</v>
      </c>
      <c r="DH321" s="67">
        <v>574183224</v>
      </c>
      <c r="DI32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1" s="330">
        <v>45831</v>
      </c>
      <c r="DK321" s="330">
        <v>45900</v>
      </c>
      <c r="DL321" s="331">
        <v>45868</v>
      </c>
      <c r="DM321" s="316" t="s">
        <v>2549</v>
      </c>
      <c r="DN32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1" s="331">
        <v>45937</v>
      </c>
      <c r="DP321" s="316" t="s">
        <v>2550</v>
      </c>
      <c r="DQ321" s="338" t="s">
        <v>762</v>
      </c>
      <c r="DR32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1" s="330">
        <v>45831</v>
      </c>
      <c r="DT321" s="330" t="e">
        <v>#N/A</v>
      </c>
      <c r="DU321" s="330">
        <v>45872</v>
      </c>
      <c r="DV321" s="330" t="e">
        <v>#N/A</v>
      </c>
      <c r="DW321" s="331">
        <v>45869</v>
      </c>
      <c r="DX321" s="316" t="s">
        <v>2551</v>
      </c>
      <c r="DY321" s="334">
        <v>49</v>
      </c>
      <c r="DZ321" s="334">
        <v>49</v>
      </c>
      <c r="EA32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1" s="331">
        <v>46127</v>
      </c>
      <c r="EC321" s="332">
        <v>44</v>
      </c>
      <c r="ED321" s="332">
        <v>44</v>
      </c>
      <c r="EE321" s="330"/>
      <c r="EF321" s="35">
        <v>0.89795918367346939</v>
      </c>
      <c r="EG321" s="35">
        <f>Table1[[#This Row],[Line PO (kolom  bantu)2]]/Table1[[#This Row],[Line PR]]</f>
        <v>0.89795918367346939</v>
      </c>
      <c r="EH321" s="316" t="str">
        <f>IF(Table1[[#This Row],[PO Material Aktual 
(%)]]&gt;=100%,"Selesai PO = 100%",IF(Table1[[#This Row],[PO Material Aktual 
(%)]]&gt;=50%,"Proses PO &gt; 100%",IF(Table1[[#This Row],[PO Material Aktual 
(%)]]&gt;0%,"Proses PO &gt; 50%",IF(Table1[[#This Row],[PO Material Aktual 
(%)]]=0,"Belum PO = 0%"))))</f>
        <v>Proses PO &gt; 100%</v>
      </c>
      <c r="EI32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21" s="330">
        <v>45873</v>
      </c>
      <c r="EK321" s="330" t="e">
        <v>#N/A</v>
      </c>
      <c r="EL321" s="330">
        <v>45928</v>
      </c>
      <c r="EM321" s="330" t="e">
        <v>#N/A</v>
      </c>
      <c r="EN321" s="331">
        <v>46091</v>
      </c>
      <c r="EO321" s="332">
        <v>26</v>
      </c>
      <c r="EP321" s="316">
        <v>26</v>
      </c>
      <c r="EQ321" s="35">
        <v>0.53061224489795922</v>
      </c>
      <c r="ER321" s="35">
        <f>Table1[[#This Row],[Line MOS]]/Table1[[#This Row],[Line PR]]</f>
        <v>0.53061224489795922</v>
      </c>
      <c r="ES321" s="316" t="str">
        <f>IF(Table1[[#This Row],[Progres MOS]]&gt;=100%,"Selesai MOS = 100%",IF(Table1[[#This Row],[Progres MOS]]&gt;=50%,"Proses MOS &gt; 100%",IF(Table1[[#This Row],[Progres MOS]]&gt;0%,"Proses MOS &gt; 50%",IF(Table1[[#This Row],[Progres MOS]]=0,"Belum MOS = 0%"))))</f>
        <v>Proses MOS &gt; 100%</v>
      </c>
      <c r="ET32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21" s="47"/>
      <c r="EV321" s="330">
        <v>45831</v>
      </c>
      <c r="EW321" s="330" t="e">
        <v>#N/A</v>
      </c>
      <c r="EX321" s="330">
        <v>45928</v>
      </c>
      <c r="EY321" s="330" t="e">
        <v>#N/A</v>
      </c>
      <c r="EZ321" s="352" t="s">
        <v>298</v>
      </c>
      <c r="FA321" s="336" t="s">
        <v>259</v>
      </c>
      <c r="FB321" s="330" t="s">
        <v>260</v>
      </c>
      <c r="FC321" s="330"/>
      <c r="FD321" s="330" t="s">
        <v>260</v>
      </c>
      <c r="FE321" s="330">
        <v>45910</v>
      </c>
      <c r="FF321" s="330">
        <v>45929</v>
      </c>
      <c r="FG321" s="330" t="s">
        <v>260</v>
      </c>
      <c r="FH321" s="330" t="s">
        <v>260</v>
      </c>
      <c r="FI321" s="330">
        <v>46010</v>
      </c>
      <c r="FJ321" s="330" t="s">
        <v>260</v>
      </c>
      <c r="FK321" s="330">
        <v>46094</v>
      </c>
      <c r="FL321" s="336" t="s">
        <v>298</v>
      </c>
      <c r="FM321" s="336"/>
      <c r="FN321" s="314" t="str">
        <f>IF(Table1[[#This Row],[Tanggal Pengajuan Dokumen]]="","",Table1[[#This Row],[PLAN PERMIT
start]]-Table1[[#This Row],[Tanggal Pengajuan Dokumen]])</f>
        <v/>
      </c>
      <c r="FO321" s="437">
        <v>46088</v>
      </c>
      <c r="FP321" s="316"/>
      <c r="FQ321" s="338"/>
      <c r="FR321" s="338"/>
      <c r="FS321" s="338" t="str">
        <f t="shared" ref="FS321:FS344" si="17">IF(AND(COUNTIF(EZ321:FR321,"*terbit*")&gt;=1,COUNTBLANK(FP321:FR321)=3),"Sudah Terbit",IF(COUNTIF(EZ321:FR321,"*terbit*")=COUNTA(EZ321:FR321),"Sudah Terbit","On Going"))</f>
        <v>Sudah Terbit</v>
      </c>
      <c r="FT32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1" s="344">
        <f ca="1">IF(Table1[[#This Row],[Status Izin]]="Selesai",Table1[[#This Row],[PLAN PERMIT
finish]]-Table1[[#This Row],[Tanggal Terbit/ Target Izin Terbit]],ROUNDUP(Table1[[#This Row],[PLAN PERMIT
finish]]-NOW(),0))</f>
        <v>-160</v>
      </c>
      <c r="FV32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1" s="344"/>
      <c r="FX321" s="47"/>
      <c r="FY321" s="340"/>
      <c r="FZ321" s="341"/>
      <c r="GA32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1" s="330">
        <v>45902</v>
      </c>
      <c r="GC321" s="352">
        <v>45950</v>
      </c>
      <c r="GD32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1" s="330">
        <v>45909</v>
      </c>
      <c r="GF321" s="352">
        <v>45950</v>
      </c>
      <c r="GG32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1" s="330">
        <v>45915</v>
      </c>
      <c r="GI321" s="330">
        <v>45921</v>
      </c>
      <c r="GJ321" s="352">
        <v>45954</v>
      </c>
      <c r="GK32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1" s="330">
        <v>45929</v>
      </c>
      <c r="GM321" s="330" t="e">
        <v>#N/A</v>
      </c>
      <c r="GN321" s="330">
        <v>45942</v>
      </c>
      <c r="GO321" s="330" t="e">
        <v>#N/A</v>
      </c>
      <c r="GP321" s="330"/>
      <c r="GQ32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1" s="330" t="s">
        <v>261</v>
      </c>
      <c r="GS321" s="330" t="s">
        <v>261</v>
      </c>
      <c r="GT321" s="354"/>
      <c r="GU321" s="344" t="str">
        <f>IF(Table1[[#This Row],[Hydro Tes Actual
(tanggal)]]&lt;&gt;"","Sudah","Belum")</f>
        <v>Belum</v>
      </c>
      <c r="GV321" s="330" t="s">
        <v>261</v>
      </c>
      <c r="GW321" s="330" t="s">
        <v>261</v>
      </c>
      <c r="GX321" s="331"/>
      <c r="GY321" s="344" t="str">
        <f>IF(Table1[[#This Row],[Interkoneksi Actual
(tanggal)]]&lt;&gt;"","Sudah","Belum")</f>
        <v>Belum</v>
      </c>
      <c r="GZ321" s="330" t="s">
        <v>261</v>
      </c>
      <c r="HA321" s="330" t="s">
        <v>261</v>
      </c>
      <c r="HB321" s="331"/>
      <c r="HC321" s="344" t="str">
        <f>IF(Table1[[#This Row],[Flushing Actual
(tanggal)]]&lt;&gt;"","Sudah","Belum")</f>
        <v>Belum</v>
      </c>
      <c r="HD321" s="330">
        <v>45929</v>
      </c>
      <c r="HE321" s="330" t="e">
        <v>#N/A</v>
      </c>
      <c r="HF321" s="330">
        <v>45942</v>
      </c>
      <c r="HG321" s="352"/>
      <c r="HH32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1" s="330" t="s">
        <v>261</v>
      </c>
      <c r="HJ321" s="330" t="s">
        <v>261</v>
      </c>
      <c r="HK321" s="331"/>
      <c r="HL321" s="316"/>
      <c r="HM321" s="330">
        <v>45947</v>
      </c>
      <c r="HN321" s="330">
        <v>45947</v>
      </c>
      <c r="HO321" s="330" t="e">
        <v>#N/A</v>
      </c>
      <c r="HP321" s="331"/>
      <c r="HQ321"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21" s="330">
        <v>45954</v>
      </c>
      <c r="HS321" s="330"/>
      <c r="HT321" s="330">
        <v>45954</v>
      </c>
      <c r="HU321" s="330"/>
      <c r="HV321" s="331"/>
      <c r="HW32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21" s="47"/>
      <c r="HY321" s="352"/>
      <c r="HZ321" s="352"/>
      <c r="IB321" s="618">
        <f>IFERROR(ROUND((Table1[[#This Row],[PLAN TC
finish]]-Table1[[#This Row],[PLAN MC-0
start]])/30,2),"")</f>
        <v>0.9</v>
      </c>
      <c r="IC321">
        <f>DATEDIF(Table1[[#This Row],[PLAN MC-0
start]],Table1[[#This Row],[PLAN TC
finish]],"m")</f>
        <v>0</v>
      </c>
    </row>
    <row r="322" spans="1:237" s="30" customFormat="1" ht="15" hidden="1" customHeight="1" x14ac:dyDescent="0.2">
      <c r="A322" s="77"/>
      <c r="B322" s="311">
        <f>SUBTOTAL(3,$D$5:D322)</f>
        <v>84</v>
      </c>
      <c r="C322" s="367">
        <v>318</v>
      </c>
      <c r="D322" s="363" t="s">
        <v>673</v>
      </c>
      <c r="E322" s="366" t="s">
        <v>2552</v>
      </c>
      <c r="F322" s="366" t="s">
        <v>2553</v>
      </c>
      <c r="G322" s="364">
        <v>46117</v>
      </c>
      <c r="H322" s="366" t="s">
        <v>681</v>
      </c>
      <c r="I322" s="366" t="s">
        <v>278</v>
      </c>
      <c r="J322" s="385" t="s">
        <v>389</v>
      </c>
      <c r="K322" s="366" t="s">
        <v>676</v>
      </c>
      <c r="L322" s="367" t="s">
        <v>250</v>
      </c>
      <c r="M322" s="392" t="s">
        <v>269</v>
      </c>
      <c r="N322" s="368">
        <v>182</v>
      </c>
      <c r="O322" s="369" t="s">
        <v>252</v>
      </c>
      <c r="P322"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2" s="385" t="s">
        <v>389</v>
      </c>
      <c r="R322" s="371">
        <v>1</v>
      </c>
      <c r="S322" s="34">
        <v>1</v>
      </c>
      <c r="T322" s="489">
        <f>Table1[[#This Row],[Progres Total Aktual
(%)]]</f>
        <v>0</v>
      </c>
      <c r="U322" s="490">
        <f>Table1[[#This Row],[Progres Aktual
(%)]]-Table1[[#This Row],[Target Progres
(%)]]</f>
        <v>-1</v>
      </c>
      <c r="V322" s="491">
        <f>Table1[[#This Row],["Volume
BA MC-0"]]</f>
        <v>0</v>
      </c>
      <c r="W322" s="492">
        <f>Table1[[#This Row],[Total Panjang Pipa Aktual
(Sum-&gt;)3]]</f>
        <v>0</v>
      </c>
      <c r="X322" s="47"/>
      <c r="Y322" s="375" t="s">
        <v>2554</v>
      </c>
      <c r="Z322" s="375">
        <v>214319720</v>
      </c>
      <c r="AA322" s="375">
        <f>ROUND((Table1[[#This Row],[Nilai RAB Jaringan
(Exclude Ppn)]]-Table1[[#This Row],[RAB Perizinan]])*1.11+Table1[[#This Row],[RAB Perizinan]],0)</f>
        <v>0</v>
      </c>
      <c r="AB322" s="493">
        <f>SUM(Table1[[#This Row],[RAB Kegiatan Umum]:[RAB Perizinan]])</f>
        <v>0</v>
      </c>
      <c r="AC322" s="439"/>
      <c r="AD322" s="439"/>
      <c r="AE322" s="439"/>
      <c r="AF322" s="439"/>
      <c r="AG322" s="494">
        <v>52675966</v>
      </c>
      <c r="AH322" s="495" t="e">
        <f>SUM(Table1[[#This Row],[Bobot Keg Umum]:[Bobot Perizinan]])</f>
        <v>#DIV/0!</v>
      </c>
      <c r="AI322" s="495" t="e">
        <f>Table1[[#This Row],[RAB Kegiatan Umum]]/Table1[[#This Row],[Nilai RAB Jaringan
(Exclude Ppn)]]</f>
        <v>#DIV/0!</v>
      </c>
      <c r="AJ322" s="495" t="e">
        <f>Table1[[#This Row],[RAB Pemasangan]]/Table1[[#This Row],[Nilai RAB Jaringan
(Exclude Ppn)]]</f>
        <v>#DIV/0!</v>
      </c>
      <c r="AK322" s="495" t="e">
        <f>Table1[[#This Row],[RAB Pengadaan]]/Table1[[#This Row],[Nilai RAB Jaringan
(Exclude Ppn)]]</f>
        <v>#DIV/0!</v>
      </c>
      <c r="AL322" s="495" t="e">
        <f>Table1[[#This Row],[RAB Perizinan]]/Table1[[#This Row],[Nilai RAB Jaringan
(Exclude Ppn)]]</f>
        <v>#DIV/0!</v>
      </c>
      <c r="AM322" s="47"/>
      <c r="AN322" s="376"/>
      <c r="AO322" s="376">
        <f>SUM(Table1[[#This Row],[Pipa 63 mm]:[Pipa 1,800 mm]])</f>
        <v>0</v>
      </c>
      <c r="AP322" s="376"/>
      <c r="AQ322" s="376"/>
      <c r="AR322" s="376"/>
      <c r="AS322" s="376"/>
      <c r="AT322" s="376"/>
      <c r="AU322" s="376"/>
      <c r="AV322" s="376"/>
      <c r="AW322" s="376"/>
      <c r="AX322" s="376"/>
      <c r="AY322" s="376"/>
      <c r="AZ322" s="376"/>
      <c r="BA322" s="376"/>
      <c r="BB322" s="376"/>
      <c r="BC322" s="376"/>
      <c r="BD322" s="376"/>
      <c r="BE322" s="376"/>
      <c r="BF322" s="376"/>
      <c r="BG322" s="376"/>
      <c r="BH322" s="376"/>
      <c r="BI322" s="376"/>
      <c r="BJ322" s="262">
        <f>SUM(Table1[[#This Row],[Pipa 63 mm2]:[Pipa 1,800 mm21]])</f>
        <v>0</v>
      </c>
      <c r="BK322" s="378"/>
      <c r="BL322" s="378"/>
      <c r="BM322" s="378"/>
      <c r="BN322" s="378"/>
      <c r="BO322" s="378"/>
      <c r="BP322" s="378"/>
      <c r="BQ322" s="378"/>
      <c r="BR322" s="378"/>
      <c r="BS322" s="378"/>
      <c r="BT322" s="378"/>
      <c r="BU322" s="378"/>
      <c r="BV322" s="378"/>
      <c r="BW322" s="378"/>
      <c r="BX322" s="378"/>
      <c r="BY322" s="378"/>
      <c r="BZ322" s="378"/>
      <c r="CA322" s="378"/>
      <c r="CB322" s="378"/>
      <c r="CC322" s="378"/>
      <c r="CD322" s="378"/>
      <c r="CE322" s="378">
        <v>0</v>
      </c>
      <c r="CF322" s="378"/>
      <c r="CG322" s="378"/>
      <c r="CH322" s="378"/>
      <c r="CI322" s="378">
        <f t="shared" si="16"/>
        <v>0</v>
      </c>
      <c r="CJ322" s="378">
        <f>IF((Table1[[#This Row],["Volume
BA MC-0"]]-Table1[[#This Row],[Total Panjang Pipa Aktual
(Sum-&gt;)3]]-Table1[[#This Row],[Total Volume
tidak dapat dipasang]])&gt;=0,Table1[[#This Row],["Volume
BA MC-0"]]-Table1[[#This Row],[Total Panjang Pipa Aktual
(Sum-&gt;)3]]-Table1[[#This Row],[Total Volume
tidak dapat dipasang]],0)</f>
        <v>0</v>
      </c>
      <c r="CK322" s="47"/>
      <c r="CL322" s="441">
        <v>4.0000000000000001E-3</v>
      </c>
      <c r="CM322" s="489">
        <v>0.06</v>
      </c>
      <c r="CN322" s="441">
        <v>0</v>
      </c>
      <c r="CO322" s="441">
        <v>0</v>
      </c>
      <c r="CP322"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22" s="380">
        <f>IFERROR(Table1[[#This Row],[Progres Keg. Umum
(%)]]*Table1[[#This Row],[Nilai RAB Jaringan
(file pa aji)]],0)</f>
        <v>857278.88</v>
      </c>
      <c r="CR322" s="380">
        <f>IFERROR(Table1[[#This Row],[Progres MOS
(%)]]*Table1[[#This Row],[Nilai RAB Jaringan
(file pa aji)]],0)</f>
        <v>12859183.199999999</v>
      </c>
      <c r="CS322" s="380">
        <f>IFERROR(Table1[[#This Row],[Progres Pemasangan
(%)]]*Table1[[#This Row],[Nilai RAB Jaringan
(file pa aji)]],0)</f>
        <v>0</v>
      </c>
      <c r="CT322" s="380">
        <f>IFERROR(Table1[[#This Row],[Progres Perizinan
(%)]]*Table1[[#This Row],[Nilai RAB Jaringan
(file pa aji)]],0)</f>
        <v>0</v>
      </c>
      <c r="CU322" s="329">
        <v>0</v>
      </c>
      <c r="CV322" s="329">
        <v>0</v>
      </c>
      <c r="CW322" s="582">
        <v>0</v>
      </c>
      <c r="CX322" s="329">
        <v>0</v>
      </c>
      <c r="CY322" s="47"/>
      <c r="CZ322" s="386">
        <v>45803</v>
      </c>
      <c r="DA322" s="386">
        <v>45830</v>
      </c>
      <c r="DB322" s="388">
        <v>45797</v>
      </c>
      <c r="DC322" s="367" t="s">
        <v>2555</v>
      </c>
      <c r="DD322" s="375">
        <v>214319721</v>
      </c>
      <c r="DE32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2" s="388">
        <v>45807</v>
      </c>
      <c r="DG322" s="367" t="s">
        <v>2556</v>
      </c>
      <c r="DH322" s="375">
        <v>214319721</v>
      </c>
      <c r="DI322" s="367"/>
      <c r="DJ322" s="386">
        <v>45831</v>
      </c>
      <c r="DK322" s="386">
        <v>45900</v>
      </c>
      <c r="DL322" s="388">
        <v>45868</v>
      </c>
      <c r="DM322" s="367" t="s">
        <v>2557</v>
      </c>
      <c r="DN322" s="382"/>
      <c r="DO322" s="388">
        <v>45944</v>
      </c>
      <c r="DP322" s="367" t="s">
        <v>2558</v>
      </c>
      <c r="DQ322" s="366" t="s">
        <v>365</v>
      </c>
      <c r="DR322" s="382"/>
      <c r="DS322" s="386">
        <v>45831</v>
      </c>
      <c r="DT322" s="386" t="e">
        <v>#N/A</v>
      </c>
      <c r="DU322" s="386">
        <v>45872</v>
      </c>
      <c r="DV322" s="386" t="e">
        <v>#N/A</v>
      </c>
      <c r="DW322" s="388">
        <v>45871</v>
      </c>
      <c r="DX322" s="367" t="s">
        <v>2559</v>
      </c>
      <c r="DY322" s="442"/>
      <c r="DZ322" s="442"/>
      <c r="EA322" s="382"/>
      <c r="EB322" s="388"/>
      <c r="EC322" s="442"/>
      <c r="ED322" s="442"/>
      <c r="EE322" s="386"/>
      <c r="EF322" s="371"/>
      <c r="EG322" s="371"/>
      <c r="EH322" s="367"/>
      <c r="EI322"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2" s="386">
        <v>45873</v>
      </c>
      <c r="EK322" s="386" t="e">
        <v>#N/A</v>
      </c>
      <c r="EL322" s="386">
        <v>45928</v>
      </c>
      <c r="EM322" s="386" t="e">
        <v>#N/A</v>
      </c>
      <c r="EN322" s="388"/>
      <c r="EO322" s="442"/>
      <c r="EP322" s="367"/>
      <c r="EQ322" s="371"/>
      <c r="ER322" s="371"/>
      <c r="ES322" s="367"/>
      <c r="ET32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2" s="47"/>
      <c r="EV322" s="386">
        <v>45831</v>
      </c>
      <c r="EW322" s="386" t="e">
        <v>#N/A</v>
      </c>
      <c r="EX322" s="386">
        <v>45928</v>
      </c>
      <c r="EY322" s="386" t="e">
        <v>#N/A</v>
      </c>
      <c r="EZ322" s="384" t="s">
        <v>298</v>
      </c>
      <c r="FA322" s="385" t="s">
        <v>389</v>
      </c>
      <c r="FB322" s="386" t="s">
        <v>260</v>
      </c>
      <c r="FC322" s="330"/>
      <c r="FD322" s="386"/>
      <c r="FE322" s="386"/>
      <c r="FF322" s="386"/>
      <c r="FG322" s="386"/>
      <c r="FH322" s="386"/>
      <c r="FI322" s="386"/>
      <c r="FJ322" s="386"/>
      <c r="FK322" s="386"/>
      <c r="FL322" s="443" t="str">
        <f>Table1[[#This Row],[IPPJU]]</f>
        <v>9.Proses Penerbitan Izin</v>
      </c>
      <c r="FM322" s="443"/>
      <c r="FN322" s="365" t="str">
        <f>IF(Table1[[#This Row],[Tanggal Pengajuan Dokumen]]="","",Table1[[#This Row],[PLAN PERMIT
start]]-Table1[[#This Row],[Tanggal Pengajuan Dokumen]])</f>
        <v/>
      </c>
      <c r="FO322" s="444">
        <v>45724</v>
      </c>
      <c r="FP322" s="367"/>
      <c r="FQ322" s="366"/>
      <c r="FR322" s="366"/>
      <c r="FS322" s="366" t="str">
        <f t="shared" si="17"/>
        <v>On Going</v>
      </c>
      <c r="FT322"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2" s="387">
        <f ca="1">IF(Table1[[#This Row],[Status Izin]]="Selesai",Table1[[#This Row],[PLAN PERMIT
finish]]-Table1[[#This Row],[Tanggal Terbit/ Target Izin Terbit]],ROUNDUP(Table1[[#This Row],[PLAN PERMIT
finish]]-NOW(),0))</f>
        <v>-263</v>
      </c>
      <c r="FV322"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322" s="387"/>
      <c r="FX322" s="47"/>
      <c r="FY322" s="340"/>
      <c r="FZ322" s="341"/>
      <c r="GA32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2" s="386">
        <v>45902</v>
      </c>
      <c r="GC322" s="384">
        <v>45951</v>
      </c>
      <c r="GD322"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2" s="386">
        <v>45909</v>
      </c>
      <c r="GF322" s="384">
        <v>45951</v>
      </c>
      <c r="GG322"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2" s="386">
        <v>45915</v>
      </c>
      <c r="GI322" s="386">
        <v>45921</v>
      </c>
      <c r="GJ322" s="384">
        <v>45964</v>
      </c>
      <c r="GK322"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2" s="386">
        <v>45929</v>
      </c>
      <c r="GM322" s="386" t="e">
        <v>#N/A</v>
      </c>
      <c r="GN322" s="386">
        <v>45942</v>
      </c>
      <c r="GO322" s="386" t="e">
        <v>#N/A</v>
      </c>
      <c r="GP322" s="386"/>
      <c r="GQ322"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2" s="386" t="s">
        <v>261</v>
      </c>
      <c r="GS322" s="386" t="s">
        <v>261</v>
      </c>
      <c r="GT322" s="390"/>
      <c r="GU322" s="387" t="str">
        <f>IF(Table1[[#This Row],[Hydro Tes Actual
(tanggal)]]&lt;&gt;"","Sudah","Belum")</f>
        <v>Belum</v>
      </c>
      <c r="GV322" s="386" t="s">
        <v>261</v>
      </c>
      <c r="GW322" s="386" t="s">
        <v>261</v>
      </c>
      <c r="GX322" s="388"/>
      <c r="GY322" s="387" t="str">
        <f>IF(Table1[[#This Row],[Interkoneksi Actual
(tanggal)]]&lt;&gt;"","Sudah","Belum")</f>
        <v>Belum</v>
      </c>
      <c r="GZ322" s="386" t="s">
        <v>261</v>
      </c>
      <c r="HA322" s="386" t="s">
        <v>261</v>
      </c>
      <c r="HB322" s="388"/>
      <c r="HC322" s="387" t="str">
        <f>IF(Table1[[#This Row],[Flushing Actual
(tanggal)]]&lt;&gt;"","Sudah","Belum")</f>
        <v>Belum</v>
      </c>
      <c r="HD322" s="386">
        <v>45929</v>
      </c>
      <c r="HE322" s="386" t="e">
        <v>#N/A</v>
      </c>
      <c r="HF322" s="386">
        <v>45942</v>
      </c>
      <c r="HG322" s="384"/>
      <c r="HH322"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2" s="386" t="s">
        <v>261</v>
      </c>
      <c r="HJ322" s="386" t="s">
        <v>261</v>
      </c>
      <c r="HK322" s="388"/>
      <c r="HL322" s="367"/>
      <c r="HM322" s="386">
        <v>45947</v>
      </c>
      <c r="HN322" s="386">
        <v>45947</v>
      </c>
      <c r="HO322" s="386" t="e">
        <v>#N/A</v>
      </c>
      <c r="HP322" s="388"/>
      <c r="HQ322"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22" s="386">
        <v>45954</v>
      </c>
      <c r="HS322" s="386"/>
      <c r="HT322" s="386">
        <v>45954</v>
      </c>
      <c r="HU322" s="386"/>
      <c r="HV322" s="388"/>
      <c r="HW322"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22" s="47"/>
      <c r="HY322" s="384"/>
      <c r="HZ322" s="384"/>
      <c r="IB322" s="618">
        <f>IFERROR(ROUND((Table1[[#This Row],[PLAN TC
finish]]-Table1[[#This Row],[PLAN MC-0
start]])/30,2),"")</f>
        <v>0.9</v>
      </c>
      <c r="IC322">
        <f>DATEDIF(Table1[[#This Row],[PLAN MC-0
start]],Table1[[#This Row],[PLAN TC
finish]],"m")</f>
        <v>0</v>
      </c>
    </row>
    <row r="323" spans="1:237" s="4" customFormat="1" ht="15" hidden="1" customHeight="1" x14ac:dyDescent="0.2">
      <c r="B323" s="311">
        <f>SUBTOTAL(3,$D$5:D323)</f>
        <v>84</v>
      </c>
      <c r="C323" s="316">
        <v>319</v>
      </c>
      <c r="D323" s="315" t="s">
        <v>673</v>
      </c>
      <c r="E323" s="338" t="s">
        <v>2560</v>
      </c>
      <c r="F323" s="448" t="s">
        <v>2561</v>
      </c>
      <c r="G323" s="349">
        <v>46117</v>
      </c>
      <c r="H323" s="338" t="s">
        <v>681</v>
      </c>
      <c r="I323" s="338" t="s">
        <v>278</v>
      </c>
      <c r="J323" s="480" t="s">
        <v>1818</v>
      </c>
      <c r="K323" s="338" t="s">
        <v>676</v>
      </c>
      <c r="L323" s="316" t="s">
        <v>250</v>
      </c>
      <c r="M323" s="355" t="s">
        <v>269</v>
      </c>
      <c r="N323" s="107">
        <v>365</v>
      </c>
      <c r="O323" s="31" t="s">
        <v>252</v>
      </c>
      <c r="P32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3" s="35">
        <v>1</v>
      </c>
      <c r="S323" s="34">
        <v>1</v>
      </c>
      <c r="T323" s="34">
        <f>Table1[[#This Row],[Progres Total Aktual
(%)]]</f>
        <v>0.91516250224600015</v>
      </c>
      <c r="U323" s="98">
        <f>Table1[[#This Row],[Progres Aktual
(%)]]-Table1[[#This Row],[Target Progres
(%)]]</f>
        <v>-8.4837497753999846E-2</v>
      </c>
      <c r="V323" s="80">
        <f>Table1[[#This Row],["Volume
BA MC-0"]]</f>
        <v>369</v>
      </c>
      <c r="W323" s="46">
        <f>Table1[[#This Row],[Total Panjang Pipa Aktual
(Sum-&gt;)3]]</f>
        <v>715</v>
      </c>
      <c r="X323" s="47"/>
      <c r="Y323" s="67" t="s">
        <v>2562</v>
      </c>
      <c r="Z323" s="67">
        <v>451317929</v>
      </c>
      <c r="AA323" s="501">
        <f>ROUND((Table1[[#This Row],[Nilai RAB Jaringan
(Exclude Ppn)]]-Table1[[#This Row],[RAB Perizinan]])*1.11+Table1[[#This Row],[RAB Perizinan]],0)</f>
        <v>451317928</v>
      </c>
      <c r="AB323" s="486">
        <f>SUM(Table1[[#This Row],[RAB Kegiatan Umum]:[RAB Perizinan]])</f>
        <v>406954440</v>
      </c>
      <c r="AC323" s="436">
        <v>32291915</v>
      </c>
      <c r="AD323" s="436">
        <v>322919142</v>
      </c>
      <c r="AE323" s="502">
        <v>48093383</v>
      </c>
      <c r="AF323" s="436">
        <v>3650000</v>
      </c>
      <c r="AG323" s="483">
        <v>10535194</v>
      </c>
      <c r="AH323" s="33">
        <f>SUM(Table1[[#This Row],[Bobot Keg Umum]:[Bobot Perizinan]])</f>
        <v>1</v>
      </c>
      <c r="AI323" s="33">
        <f>Table1[[#This Row],[RAB Kegiatan Umum]]/Table1[[#This Row],[Nilai RAB Jaringan
(Exclude Ppn)]]</f>
        <v>7.935019703925579E-2</v>
      </c>
      <c r="AJ323" s="33">
        <f>Table1[[#This Row],[RAB Pemasangan]]/Table1[[#This Row],[Nilai RAB Jaringan
(Exclude Ppn)]]</f>
        <v>0.79350195073433771</v>
      </c>
      <c r="AK323" s="33">
        <f>Table1[[#This Row],[RAB Pengadaan]]/Table1[[#This Row],[Nilai RAB Jaringan
(Exclude Ppn)]]</f>
        <v>0.11817878925218263</v>
      </c>
      <c r="AL323" s="33">
        <f>Table1[[#This Row],[RAB Perizinan]]/Table1[[#This Row],[Nilai RAB Jaringan
(Exclude Ppn)]]</f>
        <v>8.9690629742238473E-3</v>
      </c>
      <c r="AM323" s="47"/>
      <c r="AN323" s="285">
        <v>369</v>
      </c>
      <c r="AO323" s="285">
        <f>SUM(Table1[[#This Row],[Pipa 63 mm]:[Pipa 1,800 mm]])</f>
        <v>369</v>
      </c>
      <c r="AP323" s="285">
        <v>369</v>
      </c>
      <c r="AQ323" s="285"/>
      <c r="AR323" s="285"/>
      <c r="AS323" s="285"/>
      <c r="AT323" s="285"/>
      <c r="AU323" s="285"/>
      <c r="AV323" s="285"/>
      <c r="AW323" s="285"/>
      <c r="AX323" s="285"/>
      <c r="AY323" s="285"/>
      <c r="AZ323" s="285"/>
      <c r="BA323" s="285"/>
      <c r="BB323" s="285"/>
      <c r="BC323" s="285"/>
      <c r="BD323" s="285"/>
      <c r="BE323" s="285"/>
      <c r="BF323" s="285"/>
      <c r="BG323" s="285"/>
      <c r="BH323" s="285"/>
      <c r="BI323" s="285"/>
      <c r="BJ323" s="262">
        <f>SUM(Table1[[#This Row],[Pipa 63 mm2]:[Pipa 1,800 mm21]])</f>
        <v>715</v>
      </c>
      <c r="BK323" s="32">
        <v>715</v>
      </c>
      <c r="BL323" s="32"/>
      <c r="BM323" s="32"/>
      <c r="BN323" s="32"/>
      <c r="BO323" s="32"/>
      <c r="BP323" s="32"/>
      <c r="BQ323" s="32"/>
      <c r="BR323" s="32"/>
      <c r="BS323" s="32"/>
      <c r="BT323" s="32"/>
      <c r="BU323" s="32"/>
      <c r="BV323" s="32"/>
      <c r="BW323" s="32"/>
      <c r="BX323" s="32"/>
      <c r="BY323" s="32"/>
      <c r="BZ323" s="32"/>
      <c r="CA323" s="32"/>
      <c r="CB323" s="32"/>
      <c r="CC323" s="32"/>
      <c r="CD323" s="32"/>
      <c r="CE323" s="32">
        <v>0</v>
      </c>
      <c r="CF323" s="32"/>
      <c r="CG323" s="32"/>
      <c r="CH323" s="32"/>
      <c r="CI323" s="32">
        <f t="shared" si="16"/>
        <v>0</v>
      </c>
      <c r="CJ323" s="65">
        <f>IF((Table1[[#This Row],["Volume
BA MC-0"]]-Table1[[#This Row],[Total Panjang Pipa Aktual
(Sum-&gt;)3]]-Table1[[#This Row],[Total Volume
tidak dapat dipasang]])&gt;=0,Table1[[#This Row],["Volume
BA MC-0"]]-Table1[[#This Row],[Total Panjang Pipa Aktual
(Sum-&gt;)3]]-Table1[[#This Row],[Total Volume
tidak dapat dipasang]],0)</f>
        <v>0</v>
      </c>
      <c r="CK323" s="47"/>
      <c r="CL323" s="484" t="s">
        <v>1821</v>
      </c>
      <c r="CM323" s="34">
        <f>Table1[[#This Row],[RAB Pengadaan]]/Table1[[#This Row],[Nilai RAB Jaringan
(Exclude Ppn)]]*Table1[[#This Row],[Progres MOS]]*80%</f>
        <v>7.8335654590018206E-2</v>
      </c>
      <c r="CN323" s="484" t="s">
        <v>1821</v>
      </c>
      <c r="CO323" s="484" t="s">
        <v>1821</v>
      </c>
      <c r="CP32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0.91516250224600015</v>
      </c>
      <c r="CQ323" s="66">
        <f>IFERROR(Table1[[#This Row],[Progres Keg. Umum
(%)]]*Table1[[#This Row],[Nilai RAB Jaringan
(file pa aji)]],0)</f>
        <v>0</v>
      </c>
      <c r="CR323" s="66">
        <f>IFERROR(Table1[[#This Row],[Progres MOS
(%)]]*Table1[[#This Row],[Nilai RAB Jaringan
(file pa aji)]],0)</f>
        <v>35354285.396426357</v>
      </c>
      <c r="CS323" s="66">
        <f>IFERROR(Table1[[#This Row],[Progres Pemasangan
(%)]]*Table1[[#This Row],[Nilai RAB Jaringan
(file pa aji)]],0)</f>
        <v>0</v>
      </c>
      <c r="CT323" s="66">
        <f>IFERROR(Table1[[#This Row],[Progres Perizinan
(%)]]*Table1[[#This Row],[Nilai RAB Jaringan
(file pa aji)]],0)</f>
        <v>0</v>
      </c>
      <c r="CU323" s="329">
        <v>413029244.29696012</v>
      </c>
      <c r="CV323" s="329">
        <v>413029244.29696012</v>
      </c>
      <c r="CW323" s="583">
        <v>0</v>
      </c>
      <c r="CX323" s="329">
        <v>0</v>
      </c>
      <c r="CY323" s="47"/>
      <c r="CZ323" s="330">
        <v>45803</v>
      </c>
      <c r="DA323" s="330">
        <v>45830</v>
      </c>
      <c r="DB323" s="331">
        <v>45797</v>
      </c>
      <c r="DC323" s="316" t="s">
        <v>2563</v>
      </c>
      <c r="DD323" s="67">
        <v>451317930</v>
      </c>
      <c r="DE32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3" s="331">
        <v>45803</v>
      </c>
      <c r="DG323" s="316" t="s">
        <v>2564</v>
      </c>
      <c r="DH323" s="67">
        <v>451317930</v>
      </c>
      <c r="DI32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3" s="330">
        <v>45831</v>
      </c>
      <c r="DK323" s="330">
        <v>45900</v>
      </c>
      <c r="DL323" s="331">
        <v>45840</v>
      </c>
      <c r="DM323" s="316" t="s">
        <v>2565</v>
      </c>
      <c r="DN32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3" s="331">
        <v>45889</v>
      </c>
      <c r="DP323" s="316" t="s">
        <v>2566</v>
      </c>
      <c r="DQ323" s="338" t="s">
        <v>365</v>
      </c>
      <c r="DR32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3" s="330">
        <v>45831</v>
      </c>
      <c r="DT323" s="330" t="e">
        <v>#N/A</v>
      </c>
      <c r="DU323" s="330">
        <v>45872</v>
      </c>
      <c r="DV323" s="330" t="e">
        <v>#N/A</v>
      </c>
      <c r="DW323" s="331">
        <v>45840</v>
      </c>
      <c r="DX323" s="316" t="s">
        <v>2567</v>
      </c>
      <c r="DY323" s="334">
        <v>35</v>
      </c>
      <c r="DZ323" s="334">
        <v>35</v>
      </c>
      <c r="EA32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3" s="331"/>
      <c r="EC323" s="332">
        <v>31</v>
      </c>
      <c r="ED323" s="332">
        <v>31</v>
      </c>
      <c r="EE323" s="330"/>
      <c r="EF323" s="35">
        <v>0.88571428571428568</v>
      </c>
      <c r="EG323" s="35">
        <f>Table1[[#This Row],[Line PO (kolom  bantu)2]]/Table1[[#This Row],[Line PR]]</f>
        <v>0.88571428571428568</v>
      </c>
      <c r="EH323" s="316" t="str">
        <f>IF(Table1[[#This Row],[PO Material Aktual 
(%)]]&gt;=100%,"Selesai PO = 100%",IF(Table1[[#This Row],[PO Material Aktual 
(%)]]&gt;=50%,"Proses PO &gt; 100%",IF(Table1[[#This Row],[PO Material Aktual 
(%)]]&gt;0%,"Proses PO &gt; 50%",IF(Table1[[#This Row],[PO Material Aktual 
(%)]]=0,"Belum PO = 0%"))))</f>
        <v>Proses PO &gt; 100%</v>
      </c>
      <c r="EI32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3" s="330">
        <v>45873</v>
      </c>
      <c r="EK323" s="330" t="e">
        <v>#N/A</v>
      </c>
      <c r="EL323" s="330">
        <v>45928</v>
      </c>
      <c r="EM323" s="330" t="e">
        <v>#N/A</v>
      </c>
      <c r="EN323" s="331"/>
      <c r="EO323" s="332">
        <v>29</v>
      </c>
      <c r="EP323" s="316">
        <v>29</v>
      </c>
      <c r="EQ323" s="35">
        <v>0.82857142857142863</v>
      </c>
      <c r="ER323" s="35">
        <f>Table1[[#This Row],[Line MOS]]/Table1[[#This Row],[Line PR]]</f>
        <v>0.82857142857142863</v>
      </c>
      <c r="ES323" s="316" t="str">
        <f>IF(Table1[[#This Row],[Progres MOS]]&gt;=100%,"Selesai MOS = 100%",IF(Table1[[#This Row],[Progres MOS]]&gt;=50%,"Proses MOS &gt; 100%",IF(Table1[[#This Row],[Progres MOS]]&gt;0%,"Proses MOS &gt; 50%",IF(Table1[[#This Row],[Progres MOS]]=0,"Belum MOS = 0%"))))</f>
        <v>Proses MOS &gt; 100%</v>
      </c>
      <c r="ET32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3" s="47"/>
      <c r="EV323" s="330">
        <v>45831</v>
      </c>
      <c r="EW323" s="330" t="e">
        <v>#N/A</v>
      </c>
      <c r="EX323" s="330">
        <v>45928</v>
      </c>
      <c r="EY323" s="330" t="e">
        <v>#N/A</v>
      </c>
      <c r="EZ323" s="352" t="s">
        <v>298</v>
      </c>
      <c r="FA323" s="336" t="s">
        <v>259</v>
      </c>
      <c r="FB323" s="330" t="s">
        <v>260</v>
      </c>
      <c r="FC323" s="330"/>
      <c r="FD323" s="330" t="s">
        <v>260</v>
      </c>
      <c r="FE323" s="330">
        <v>45910</v>
      </c>
      <c r="FF323" s="330">
        <v>45929</v>
      </c>
      <c r="FG323" s="330" t="s">
        <v>260</v>
      </c>
      <c r="FH323" s="330" t="s">
        <v>260</v>
      </c>
      <c r="FI323" s="330">
        <v>46010</v>
      </c>
      <c r="FJ323" s="330" t="s">
        <v>260</v>
      </c>
      <c r="FK323" s="330">
        <v>46094</v>
      </c>
      <c r="FL323" s="336" t="s">
        <v>298</v>
      </c>
      <c r="FM323" s="336"/>
      <c r="FN323" s="314" t="str">
        <f>IF(Table1[[#This Row],[Tanggal Pengajuan Dokumen]]="","",Table1[[#This Row],[PLAN PERMIT
start]]-Table1[[#This Row],[Tanggal Pengajuan Dokumen]])</f>
        <v/>
      </c>
      <c r="FO323" s="437">
        <v>46090</v>
      </c>
      <c r="FP323" s="316"/>
      <c r="FQ323" s="338"/>
      <c r="FR323" s="338"/>
      <c r="FS323" s="338" t="str">
        <f t="shared" si="17"/>
        <v>Sudah Terbit</v>
      </c>
      <c r="FT32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3" s="344">
        <f ca="1">IF(Table1[[#This Row],[Status Izin]]="Selesai",Table1[[#This Row],[PLAN PERMIT
finish]]-Table1[[#This Row],[Tanggal Terbit/ Target Izin Terbit]],ROUNDUP(Table1[[#This Row],[PLAN PERMIT
finish]]-NOW(),0))</f>
        <v>-162</v>
      </c>
      <c r="FV32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3" s="344"/>
      <c r="FX323" s="47"/>
      <c r="FY323" s="340"/>
      <c r="FZ323" s="341"/>
      <c r="GA32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3" s="330">
        <v>45902</v>
      </c>
      <c r="GC323" s="352">
        <v>45951</v>
      </c>
      <c r="GD32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3" s="330">
        <v>45909</v>
      </c>
      <c r="GF323" s="352">
        <v>45951</v>
      </c>
      <c r="GG32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3" s="330">
        <v>45915</v>
      </c>
      <c r="GI323" s="330">
        <v>45921</v>
      </c>
      <c r="GJ323" s="352">
        <v>45964</v>
      </c>
      <c r="GK32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3" s="330">
        <v>45929</v>
      </c>
      <c r="GM323" s="330" t="e">
        <v>#N/A</v>
      </c>
      <c r="GN323" s="330">
        <v>45942</v>
      </c>
      <c r="GO323" s="330" t="e">
        <v>#N/A</v>
      </c>
      <c r="GP323" s="330"/>
      <c r="GQ32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3" s="330" t="s">
        <v>261</v>
      </c>
      <c r="GS323" s="330" t="s">
        <v>261</v>
      </c>
      <c r="GT323" s="622" t="s">
        <v>2568</v>
      </c>
      <c r="GU323" s="344" t="str">
        <f>IF(Table1[[#This Row],[Hydro Tes Actual
(tanggal)]]&lt;&gt;"","Sudah","Belum")</f>
        <v>Sudah</v>
      </c>
      <c r="GV323" s="330" t="s">
        <v>261</v>
      </c>
      <c r="GW323" s="330" t="s">
        <v>261</v>
      </c>
      <c r="GX323" s="331">
        <v>46185</v>
      </c>
      <c r="GY323" s="344" t="str">
        <f>IF(Table1[[#This Row],[Interkoneksi Actual
(tanggal)]]&lt;&gt;"","Sudah","Belum")</f>
        <v>Sudah</v>
      </c>
      <c r="GZ323" s="330" t="s">
        <v>261</v>
      </c>
      <c r="HA323" s="330" t="s">
        <v>261</v>
      </c>
      <c r="HB323" s="331"/>
      <c r="HC323" s="344" t="str">
        <f>IF(Table1[[#This Row],[Flushing Actual
(tanggal)]]&lt;&gt;"","Sudah","Belum")</f>
        <v>Belum</v>
      </c>
      <c r="HD323" s="330">
        <v>45929</v>
      </c>
      <c r="HE323" s="330" t="e">
        <v>#N/A</v>
      </c>
      <c r="HF323" s="330">
        <v>45942</v>
      </c>
      <c r="HG323" s="352"/>
      <c r="HH32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3" s="330" t="s">
        <v>261</v>
      </c>
      <c r="HJ323" s="330" t="s">
        <v>261</v>
      </c>
      <c r="HK323" s="331"/>
      <c r="HL323" s="316"/>
      <c r="HM323" s="330">
        <v>45947</v>
      </c>
      <c r="HN323" s="330">
        <v>45947</v>
      </c>
      <c r="HO323" s="330" t="e">
        <v>#N/A</v>
      </c>
      <c r="HP323" s="331"/>
      <c r="HQ32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23" s="330">
        <v>45954</v>
      </c>
      <c r="HS323" s="330"/>
      <c r="HT323" s="330">
        <v>45954</v>
      </c>
      <c r="HU323" s="330"/>
      <c r="HV323" s="331"/>
      <c r="HW32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23" s="47"/>
      <c r="HY323" s="352"/>
      <c r="HZ323" s="352"/>
      <c r="IB323" s="618">
        <f>IFERROR(ROUND((Table1[[#This Row],[PLAN TC
finish]]-Table1[[#This Row],[PLAN MC-0
start]])/30,2),"")</f>
        <v>0.9</v>
      </c>
      <c r="IC323">
        <f>DATEDIF(Table1[[#This Row],[PLAN MC-0
start]],Table1[[#This Row],[PLAN TC
finish]],"m")</f>
        <v>0</v>
      </c>
    </row>
    <row r="324" spans="1:237" s="4" customFormat="1" ht="15" hidden="1" customHeight="1" x14ac:dyDescent="0.2">
      <c r="B324" s="311">
        <f>SUBTOTAL(3,$D$5:D324)</f>
        <v>84</v>
      </c>
      <c r="C324" s="316">
        <v>320</v>
      </c>
      <c r="D324" s="315" t="s">
        <v>673</v>
      </c>
      <c r="E324" s="338" t="s">
        <v>2569</v>
      </c>
      <c r="F324" s="338" t="s">
        <v>2570</v>
      </c>
      <c r="G324" s="349">
        <v>46117</v>
      </c>
      <c r="H324" s="338" t="s">
        <v>681</v>
      </c>
      <c r="I324" s="338" t="s">
        <v>278</v>
      </c>
      <c r="J324" s="480" t="s">
        <v>1818</v>
      </c>
      <c r="K324" s="338" t="s">
        <v>676</v>
      </c>
      <c r="L324" s="316" t="s">
        <v>250</v>
      </c>
      <c r="M324" s="355" t="s">
        <v>269</v>
      </c>
      <c r="N324" s="107">
        <v>10695</v>
      </c>
      <c r="O324" s="31" t="s">
        <v>252</v>
      </c>
      <c r="P32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MC-100</v>
      </c>
      <c r="R324" s="35">
        <v>1</v>
      </c>
      <c r="S324" s="34">
        <v>1</v>
      </c>
      <c r="T324" s="34">
        <f>Table1[[#This Row],[Progres Total Aktual
(%)]]</f>
        <v>0.88212576657363251</v>
      </c>
      <c r="U324" s="98">
        <f>Table1[[#This Row],[Progres Aktual
(%)]]-Table1[[#This Row],[Target Progres
(%)]]</f>
        <v>-0.11787423342636749</v>
      </c>
      <c r="V324" s="80">
        <f>Table1[[#This Row],["Volume
BA MC-0"]]</f>
        <v>11652</v>
      </c>
      <c r="W324" s="46">
        <f>Table1[[#This Row],[Total Panjang Pipa Aktual
(Sum-&gt;)3]]</f>
        <v>10434</v>
      </c>
      <c r="X324" s="47"/>
      <c r="Y324" s="67" t="s">
        <v>2571</v>
      </c>
      <c r="Z324" s="67">
        <v>20589661159</v>
      </c>
      <c r="AA324" s="67">
        <f>ROUND((Table1[[#This Row],[Nilai RAB Jaringan
(Exclude Ppn)]]-Table1[[#This Row],[RAB Perizinan]])*1.11+Table1[[#This Row],[RAB Perizinan]],0)</f>
        <v>20589661159</v>
      </c>
      <c r="AB324" s="486">
        <f>SUM(Table1[[#This Row],[RAB Kegiatan Umum]:[RAB Perizinan]])</f>
        <v>18559842936</v>
      </c>
      <c r="AC324" s="436">
        <v>1394120454</v>
      </c>
      <c r="AD324" s="436">
        <v>13941204531</v>
      </c>
      <c r="AE324" s="436">
        <v>3117567951</v>
      </c>
      <c r="AF324" s="436">
        <v>106950000</v>
      </c>
      <c r="AG324" s="483">
        <v>1000843350</v>
      </c>
      <c r="AH324" s="33">
        <f>SUM(Table1[[#This Row],[Bobot Keg Umum]:[Bobot Perizinan]])</f>
        <v>0.99999999999999989</v>
      </c>
      <c r="AI324" s="33">
        <f>Table1[[#This Row],[RAB Kegiatan Umum]]/Table1[[#This Row],[Nilai RAB Jaringan
(Exclude Ppn)]]</f>
        <v>7.5114884258845965E-2</v>
      </c>
      <c r="AJ324" s="33">
        <f>Table1[[#This Row],[RAB Pemasangan]]/Table1[[#This Row],[Nilai RAB Jaringan
(Exclude Ppn)]]</f>
        <v>0.75114884210354183</v>
      </c>
      <c r="AK324" s="33">
        <f>Table1[[#This Row],[RAB Pengadaan]]/Table1[[#This Row],[Nilai RAB Jaringan
(Exclude Ppn)]]</f>
        <v>0.16797383263157589</v>
      </c>
      <c r="AL324" s="33">
        <f>Table1[[#This Row],[RAB Perizinan]]/Table1[[#This Row],[Nilai RAB Jaringan
(Exclude Ppn)]]</f>
        <v>5.7624410060363243E-3</v>
      </c>
      <c r="AM324" s="47"/>
      <c r="AN324" s="285">
        <v>11652</v>
      </c>
      <c r="AO324" s="285">
        <f>SUM(Table1[[#This Row],[Pipa 63 mm]:[Pipa 1,800 mm]])</f>
        <v>11652</v>
      </c>
      <c r="AP324" s="285">
        <v>8346</v>
      </c>
      <c r="AQ324" s="285">
        <v>1402</v>
      </c>
      <c r="AR324" s="285">
        <v>756</v>
      </c>
      <c r="AS324" s="285">
        <v>751</v>
      </c>
      <c r="AT324" s="285">
        <v>322</v>
      </c>
      <c r="AU324" s="285">
        <v>75</v>
      </c>
      <c r="AV324" s="285"/>
      <c r="AW324" s="285"/>
      <c r="AX324" s="285"/>
      <c r="AY324" s="285"/>
      <c r="AZ324" s="285"/>
      <c r="BA324" s="285"/>
      <c r="BB324" s="285"/>
      <c r="BC324" s="285"/>
      <c r="BD324" s="285"/>
      <c r="BE324" s="285"/>
      <c r="BF324" s="285"/>
      <c r="BG324" s="285"/>
      <c r="BH324" s="285"/>
      <c r="BI324" s="285"/>
      <c r="BJ324" s="262">
        <f>SUM(Table1[[#This Row],[Pipa 63 mm2]:[Pipa 1,800 mm21]])</f>
        <v>10434</v>
      </c>
      <c r="BK324" s="36">
        <v>7990</v>
      </c>
      <c r="BL324" s="36">
        <v>1135</v>
      </c>
      <c r="BM324" s="36">
        <v>334</v>
      </c>
      <c r="BN324" s="36">
        <v>932</v>
      </c>
      <c r="BO324" s="36"/>
      <c r="BP324" s="36">
        <v>43</v>
      </c>
      <c r="BQ324" s="36"/>
      <c r="BR324" s="36"/>
      <c r="BS324" s="36"/>
      <c r="BT324" s="36"/>
      <c r="BU324" s="36"/>
      <c r="BV324" s="36"/>
      <c r="BW324" s="36"/>
      <c r="BX324" s="36"/>
      <c r="BY324" s="36"/>
      <c r="BZ324" s="36"/>
      <c r="CA324" s="36"/>
      <c r="CB324" s="36"/>
      <c r="CC324" s="36"/>
      <c r="CD324" s="36"/>
      <c r="CE324" s="32">
        <v>0</v>
      </c>
      <c r="CF324" s="32"/>
      <c r="CG324" s="32"/>
      <c r="CH324" s="32"/>
      <c r="CI324" s="32">
        <f t="shared" si="16"/>
        <v>0</v>
      </c>
      <c r="CJ324" s="65">
        <f>IF((Table1[[#This Row],["Volume
BA MC-0"]]-Table1[[#This Row],[Total Panjang Pipa Aktual
(Sum-&gt;)3]]-Table1[[#This Row],[Total Volume
tidak dapat dipasang]])&gt;=0,Table1[[#This Row],["Volume
BA MC-0"]]-Table1[[#This Row],[Total Panjang Pipa Aktual
(Sum-&gt;)3]]-Table1[[#This Row],[Total Volume
tidak dapat dipasang]],0)</f>
        <v>1218</v>
      </c>
      <c r="CK324" s="47"/>
      <c r="CL324" s="484" t="s">
        <v>1821</v>
      </c>
      <c r="CM324" s="34" t="s">
        <v>1821</v>
      </c>
      <c r="CN324" s="484" t="s">
        <v>1821</v>
      </c>
      <c r="CO324" s="484" t="s">
        <v>1821</v>
      </c>
      <c r="CP32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0.88212576657363251</v>
      </c>
      <c r="CQ324" s="66">
        <f>IFERROR(Table1[[#This Row],[Progres Keg. Umum
(%)]]*Table1[[#This Row],[Nilai RAB Jaringan
(file pa aji)]],0)</f>
        <v>0</v>
      </c>
      <c r="CR324" s="66">
        <f>IFERROR(Table1[[#This Row],[Progres MOS
(%)]]*Table1[[#This Row],[Nilai RAB Jaringan
(file pa aji)]],0)</f>
        <v>0</v>
      </c>
      <c r="CS324" s="66">
        <f>IFERROR(Table1[[#This Row],[Progres Pemasangan
(%)]]*Table1[[#This Row],[Nilai RAB Jaringan
(file pa aji)]],0)</f>
        <v>0</v>
      </c>
      <c r="CT324" s="66">
        <f>IFERROR(Table1[[#This Row],[Progres Perizinan
(%)]]*Table1[[#This Row],[Nilai RAB Jaringan
(file pa aji)]],0)</f>
        <v>0</v>
      </c>
      <c r="CU324" s="329">
        <v>18162670633.374222</v>
      </c>
      <c r="CV324" s="329">
        <v>18162670633.374222</v>
      </c>
      <c r="CW324" s="583">
        <v>0</v>
      </c>
      <c r="CX324" s="329">
        <v>0</v>
      </c>
      <c r="CY324" s="47"/>
      <c r="CZ324" s="330">
        <v>45803</v>
      </c>
      <c r="DA324" s="330">
        <v>45830</v>
      </c>
      <c r="DB324" s="331">
        <v>45797</v>
      </c>
      <c r="DC324" s="316" t="s">
        <v>2572</v>
      </c>
      <c r="DD324" s="67">
        <v>20589661160</v>
      </c>
      <c r="DE32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4" s="331">
        <v>45803</v>
      </c>
      <c r="DG324" s="316" t="s">
        <v>2573</v>
      </c>
      <c r="DH324" s="67">
        <v>20589661160</v>
      </c>
      <c r="DI32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4" s="330">
        <v>45831</v>
      </c>
      <c r="DK324" s="330">
        <v>45900</v>
      </c>
      <c r="DL324" s="331">
        <v>45840</v>
      </c>
      <c r="DM324" s="316" t="s">
        <v>2574</v>
      </c>
      <c r="DN32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4" s="331">
        <v>45889</v>
      </c>
      <c r="DP324" s="316" t="s">
        <v>2575</v>
      </c>
      <c r="DQ324" s="338" t="s">
        <v>365</v>
      </c>
      <c r="DR32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4" s="330">
        <v>45831</v>
      </c>
      <c r="DT324" s="330" t="e">
        <v>#N/A</v>
      </c>
      <c r="DU324" s="330">
        <v>45872</v>
      </c>
      <c r="DV324" s="330" t="e">
        <v>#N/A</v>
      </c>
      <c r="DW324" s="331">
        <v>45840</v>
      </c>
      <c r="DX324" s="316" t="s">
        <v>2576</v>
      </c>
      <c r="DY324" s="334">
        <v>102</v>
      </c>
      <c r="DZ324" s="334">
        <v>102</v>
      </c>
      <c r="EA32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4" s="331"/>
      <c r="EC324" s="332">
        <v>95</v>
      </c>
      <c r="ED324" s="332">
        <v>95</v>
      </c>
      <c r="EE324" s="330"/>
      <c r="EF324" s="35">
        <v>0.93137254901960786</v>
      </c>
      <c r="EG324" s="35">
        <f>Table1[[#This Row],[Line PO (kolom  bantu)2]]/Table1[[#This Row],[Line PR]]</f>
        <v>0.93137254901960786</v>
      </c>
      <c r="EH324" s="316" t="str">
        <f>IF(Table1[[#This Row],[PO Material Aktual 
(%)]]&gt;=100%,"Selesai PO = 100%",IF(Table1[[#This Row],[PO Material Aktual 
(%)]]&gt;=50%,"Proses PO &gt; 100%",IF(Table1[[#This Row],[PO Material Aktual 
(%)]]&gt;0%,"Proses PO &gt; 50%",IF(Table1[[#This Row],[PO Material Aktual 
(%)]]=0,"Belum PO = 0%"))))</f>
        <v>Proses PO &gt; 100%</v>
      </c>
      <c r="EI32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4" s="330">
        <v>45873</v>
      </c>
      <c r="EK324" s="330" t="e">
        <v>#N/A</v>
      </c>
      <c r="EL324" s="330">
        <v>45991</v>
      </c>
      <c r="EM324" s="330" t="e">
        <v>#N/A</v>
      </c>
      <c r="EN324" s="331"/>
      <c r="EO324" s="332">
        <v>95</v>
      </c>
      <c r="EP324" s="316">
        <v>95</v>
      </c>
      <c r="EQ324" s="35">
        <v>0.93137254901960786</v>
      </c>
      <c r="ER324" s="35">
        <f>Table1[[#This Row],[Line MOS]]/Table1[[#This Row],[Line PR]]</f>
        <v>0.93137254901960786</v>
      </c>
      <c r="ES324" s="316" t="str">
        <f>IF(Table1[[#This Row],[Progres MOS]]&gt;=100%,"Selesai MOS = 100%",IF(Table1[[#This Row],[Progres MOS]]&gt;=50%,"Proses MOS &gt; 100%",IF(Table1[[#This Row],[Progres MOS]]&gt;0%,"Proses MOS &gt; 50%",IF(Table1[[#This Row],[Progres MOS]]=0,"Belum MOS = 0%"))))</f>
        <v>Proses MOS &gt; 100%</v>
      </c>
      <c r="ET32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4" s="47"/>
      <c r="EV324" s="330">
        <v>45831</v>
      </c>
      <c r="EW324" s="330" t="e">
        <v>#N/A</v>
      </c>
      <c r="EX324" s="330">
        <v>45928</v>
      </c>
      <c r="EY324" s="330" t="e">
        <v>#N/A</v>
      </c>
      <c r="EZ324" s="352" t="s">
        <v>298</v>
      </c>
      <c r="FA324" s="336" t="s">
        <v>298</v>
      </c>
      <c r="FB324" s="330" t="s">
        <v>260</v>
      </c>
      <c r="FC324" s="330">
        <v>45803</v>
      </c>
      <c r="FD324" s="330" t="s">
        <v>260</v>
      </c>
      <c r="FE324" s="330">
        <v>45910</v>
      </c>
      <c r="FF324" s="330">
        <v>45944</v>
      </c>
      <c r="FG324" s="330" t="s">
        <v>260</v>
      </c>
      <c r="FH324" s="330" t="s">
        <v>260</v>
      </c>
      <c r="FI324" s="330">
        <v>46008</v>
      </c>
      <c r="FJ324" s="330" t="s">
        <v>260</v>
      </c>
      <c r="FK324" s="330"/>
      <c r="FL324" s="336" t="s">
        <v>298</v>
      </c>
      <c r="FM324" s="352">
        <v>45803</v>
      </c>
      <c r="FN324" s="338">
        <f>IF(Table1[[#This Row],[Tanggal Pengajuan Dokumen]]="","",Table1[[#This Row],[PLAN PERMIT
start]]-Table1[[#This Row],[Tanggal Pengajuan Dokumen]])</f>
        <v>28</v>
      </c>
      <c r="FO324" s="437">
        <v>46091</v>
      </c>
      <c r="FP324" s="316"/>
      <c r="FQ324" s="338"/>
      <c r="FR324" s="338"/>
      <c r="FS324" s="338" t="str">
        <f t="shared" si="17"/>
        <v>On Going</v>
      </c>
      <c r="FT32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4" s="344">
        <f ca="1">IF(Table1[[#This Row],[Status Izin]]="Selesai",Table1[[#This Row],[PLAN PERMIT
finish]]-Table1[[#This Row],[Tanggal Terbit/ Target Izin Terbit]],ROUNDUP(Table1[[#This Row],[PLAN PERMIT
finish]]-NOW(),0))</f>
        <v>-263</v>
      </c>
      <c r="FV32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4" s="344"/>
      <c r="FX324" s="47"/>
      <c r="FY324" s="340"/>
      <c r="FZ324" s="341"/>
      <c r="GA32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4" s="330">
        <v>45902</v>
      </c>
      <c r="GC324" s="352">
        <v>45951</v>
      </c>
      <c r="GD32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4" s="330">
        <v>45909</v>
      </c>
      <c r="GF324" s="352">
        <v>45951</v>
      </c>
      <c r="GG32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4" s="330">
        <v>45915</v>
      </c>
      <c r="GI324" s="330">
        <v>45921</v>
      </c>
      <c r="GJ324" s="352">
        <v>45959</v>
      </c>
      <c r="GK32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4" s="330">
        <v>45929</v>
      </c>
      <c r="GM324" s="330" t="e">
        <v>#N/A</v>
      </c>
      <c r="GN324" s="330">
        <v>46061</v>
      </c>
      <c r="GO324" s="330" t="e">
        <v>#N/A</v>
      </c>
      <c r="GP324" s="330"/>
      <c r="GQ32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4" s="330" t="s">
        <v>261</v>
      </c>
      <c r="GS324" s="330" t="s">
        <v>261</v>
      </c>
      <c r="GT324" s="354">
        <v>46139</v>
      </c>
      <c r="GU324" s="344" t="str">
        <f>IF(Table1[[#This Row],[Hydro Tes Actual
(tanggal)]]&lt;&gt;"","Sudah","Belum")</f>
        <v>Sudah</v>
      </c>
      <c r="GV324" s="330" t="s">
        <v>261</v>
      </c>
      <c r="GW324" s="330" t="s">
        <v>261</v>
      </c>
      <c r="GX324" s="331">
        <v>46149</v>
      </c>
      <c r="GY324" s="344" t="str">
        <f>IF(Table1[[#This Row],[Interkoneksi Actual
(tanggal)]]&lt;&gt;"","Sudah","Belum")</f>
        <v>Sudah</v>
      </c>
      <c r="GZ324" s="330" t="s">
        <v>261</v>
      </c>
      <c r="HA324" s="330" t="s">
        <v>261</v>
      </c>
      <c r="HB324" s="331">
        <v>46154</v>
      </c>
      <c r="HC324" s="344" t="str">
        <f>IF(Table1[[#This Row],[Flushing Actual
(tanggal)]]&lt;&gt;"","Sudah","Belum")</f>
        <v>Sudah</v>
      </c>
      <c r="HD324" s="330">
        <v>46034</v>
      </c>
      <c r="HE324" s="330" t="e">
        <v>#N/A</v>
      </c>
      <c r="HF324" s="330">
        <v>46047</v>
      </c>
      <c r="HG324" s="352">
        <v>46167</v>
      </c>
      <c r="HH32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24" s="330" t="s">
        <v>261</v>
      </c>
      <c r="HJ324" s="330" t="s">
        <v>261</v>
      </c>
      <c r="HK324" s="331"/>
      <c r="HL324" s="316"/>
      <c r="HM324" s="330">
        <v>46066</v>
      </c>
      <c r="HN324" s="330">
        <v>46066</v>
      </c>
      <c r="HO324" s="330" t="e">
        <v>#N/A</v>
      </c>
      <c r="HP324" s="331">
        <v>46183</v>
      </c>
      <c r="HQ324"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24" s="330">
        <v>46073</v>
      </c>
      <c r="HS324" s="330"/>
      <c r="HT324" s="330">
        <v>46073</v>
      </c>
      <c r="HU324" s="330"/>
      <c r="HV324" s="331"/>
      <c r="HW32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24" s="47"/>
      <c r="HY324" s="352"/>
      <c r="HZ324" s="352"/>
      <c r="IB324" s="618">
        <f>IFERROR(ROUND((Table1[[#This Row],[PLAN TC
finish]]-Table1[[#This Row],[PLAN MC-0
start]])/30,2),"")</f>
        <v>4.4000000000000004</v>
      </c>
      <c r="IC324">
        <f>DATEDIF(Table1[[#This Row],[PLAN MC-0
start]],Table1[[#This Row],[PLAN TC
finish]],"m")</f>
        <v>4</v>
      </c>
    </row>
    <row r="325" spans="1:237" s="4" customFormat="1" ht="15" hidden="1" customHeight="1" x14ac:dyDescent="0.2">
      <c r="B325" s="311">
        <f>SUBTOTAL(3,$D$5:D325)</f>
        <v>84</v>
      </c>
      <c r="C325" s="316">
        <v>321</v>
      </c>
      <c r="D325" s="315" t="s">
        <v>673</v>
      </c>
      <c r="E325" s="338" t="s">
        <v>2577</v>
      </c>
      <c r="F325" s="338" t="s">
        <v>2578</v>
      </c>
      <c r="G325" s="349">
        <v>46117</v>
      </c>
      <c r="H325" s="338" t="s">
        <v>681</v>
      </c>
      <c r="I325" s="338" t="s">
        <v>278</v>
      </c>
      <c r="J325" s="480" t="s">
        <v>1818</v>
      </c>
      <c r="K325" s="338" t="s">
        <v>676</v>
      </c>
      <c r="L325" s="316" t="s">
        <v>250</v>
      </c>
      <c r="M325" s="355" t="s">
        <v>269</v>
      </c>
      <c r="N325" s="107">
        <v>6155</v>
      </c>
      <c r="O325" s="31" t="s">
        <v>252</v>
      </c>
      <c r="P32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5" s="35">
        <v>1.0000000000000002</v>
      </c>
      <c r="S325" s="34">
        <v>1</v>
      </c>
      <c r="T325" s="34">
        <f>Table1[[#This Row],[Progres Total Aktual
(%)]]</f>
        <v>0.9055814731635895</v>
      </c>
      <c r="U325" s="98">
        <f>Table1[[#This Row],[Progres Aktual
(%)]]-Table1[[#This Row],[Target Progres
(%)]]</f>
        <v>-9.4418526836410499E-2</v>
      </c>
      <c r="V325" s="80">
        <f>Table1[[#This Row],["Volume
BA MC-0"]]</f>
        <v>6459</v>
      </c>
      <c r="W325" s="46">
        <f>Table1[[#This Row],[Total Panjang Pipa Aktual
(Sum-&gt;)3]]</f>
        <v>6342</v>
      </c>
      <c r="X325" s="47"/>
      <c r="Y325" s="67" t="s">
        <v>2579</v>
      </c>
      <c r="Z325" s="67">
        <v>90555389652</v>
      </c>
      <c r="AA325" s="67">
        <f>ROUND((Table1[[#This Row],[Nilai RAB Jaringan
(Exclude Ppn)]]-Table1[[#This Row],[RAB Perizinan]])*1.11+Table1[[#This Row],[RAB Perizinan]],0)</f>
        <v>90555389651</v>
      </c>
      <c r="AB325" s="486">
        <f>SUM(Table1[[#This Row],[RAB Kegiatan Umum]:[RAB Perizinan]])</f>
        <v>81597447721.800003</v>
      </c>
      <c r="AC325" s="503">
        <v>3784693448.8000002</v>
      </c>
      <c r="AD325" s="436">
        <v>47308668110</v>
      </c>
      <c r="AE325" s="436">
        <v>30342474163</v>
      </c>
      <c r="AF325" s="436">
        <v>161612000</v>
      </c>
      <c r="AG325" s="483">
        <v>0</v>
      </c>
      <c r="AH325" s="33">
        <f>SUM(Table1[[#This Row],[Bobot Keg Umum]:[Bobot Perizinan]])</f>
        <v>1</v>
      </c>
      <c r="AI325" s="33">
        <f>Table1[[#This Row],[RAB Kegiatan Umum]]/Table1[[#This Row],[Nilai RAB Jaringan
(Exclude Ppn)]]</f>
        <v>4.638249791468492E-2</v>
      </c>
      <c r="AJ325" s="33">
        <f>Table1[[#This Row],[RAB Pemasangan]]/Table1[[#This Row],[Nilai RAB Jaringan
(Exclude Ppn)]]</f>
        <v>0.57978122393356146</v>
      </c>
      <c r="AK325" s="33">
        <f>Table1[[#This Row],[RAB Pengadaan]]/Table1[[#This Row],[Nilai RAB Jaringan
(Exclude Ppn)]]</f>
        <v>0.3718556769869843</v>
      </c>
      <c r="AL325" s="33">
        <f>Table1[[#This Row],[RAB Perizinan]]/Table1[[#This Row],[Nilai RAB Jaringan
(Exclude Ppn)]]</f>
        <v>1.9806011647693104E-3</v>
      </c>
      <c r="AM325" s="47"/>
      <c r="AN325" s="285">
        <v>6459</v>
      </c>
      <c r="AO325" s="285">
        <f>SUM(Table1[[#This Row],[Pipa 63 mm]:[Pipa 1,800 mm]])</f>
        <v>6459</v>
      </c>
      <c r="AP325" s="285"/>
      <c r="AQ325" s="285"/>
      <c r="AR325" s="285"/>
      <c r="AS325" s="285"/>
      <c r="AT325" s="285">
        <v>378</v>
      </c>
      <c r="AU325" s="285"/>
      <c r="AV325" s="285"/>
      <c r="AW325" s="285"/>
      <c r="AX325" s="285">
        <v>60</v>
      </c>
      <c r="AY325" s="285">
        <v>6021</v>
      </c>
      <c r="AZ325" s="285"/>
      <c r="BA325" s="285"/>
      <c r="BB325" s="285"/>
      <c r="BC325" s="285"/>
      <c r="BD325" s="285"/>
      <c r="BE325" s="285"/>
      <c r="BF325" s="285"/>
      <c r="BG325" s="285"/>
      <c r="BH325" s="285"/>
      <c r="BI325" s="285"/>
      <c r="BJ325" s="262">
        <f>SUM(Table1[[#This Row],[Pipa 63 mm2]:[Pipa 1,800 mm21]])</f>
        <v>6342</v>
      </c>
      <c r="BK325" s="32"/>
      <c r="BL325" s="32"/>
      <c r="BM325" s="32"/>
      <c r="BN325" s="32"/>
      <c r="BO325" s="32">
        <v>373</v>
      </c>
      <c r="BP325" s="32"/>
      <c r="BQ325" s="32"/>
      <c r="BR325" s="32"/>
      <c r="BS325" s="32">
        <v>84</v>
      </c>
      <c r="BT325" s="32">
        <v>5885</v>
      </c>
      <c r="BU325" s="32"/>
      <c r="BV325" s="32"/>
      <c r="BW325" s="32"/>
      <c r="BX325" s="32"/>
      <c r="BY325" s="32"/>
      <c r="BZ325" s="32"/>
      <c r="CA325" s="32"/>
      <c r="CB325" s="32"/>
      <c r="CC325" s="32"/>
      <c r="CD325" s="32"/>
      <c r="CE325" s="32">
        <v>0</v>
      </c>
      <c r="CF325" s="32"/>
      <c r="CG325" s="32"/>
      <c r="CH325" s="32"/>
      <c r="CI325" s="32">
        <f t="shared" si="16"/>
        <v>0</v>
      </c>
      <c r="CJ325" s="65">
        <f>IF((Table1[[#This Row],["Volume
BA MC-0"]]-Table1[[#This Row],[Total Panjang Pipa Aktual
(Sum-&gt;)3]]-Table1[[#This Row],[Total Volume
tidak dapat dipasang]])&gt;=0,Table1[[#This Row],["Volume
BA MC-0"]]-Table1[[#This Row],[Total Panjang Pipa Aktual
(Sum-&gt;)3]]-Table1[[#This Row],[Total Volume
tidak dapat dipasang]],0)</f>
        <v>117</v>
      </c>
      <c r="CK325" s="47"/>
      <c r="CL325" s="327">
        <v>2.0303009634967256E-2</v>
      </c>
      <c r="CM325" s="34">
        <v>0.28676922286563661</v>
      </c>
      <c r="CN325" s="327">
        <v>0.15096075175350193</v>
      </c>
      <c r="CO325" s="484">
        <v>0</v>
      </c>
      <c r="CP32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0.9055814731635895</v>
      </c>
      <c r="CQ325" s="66">
        <f>IFERROR(Table1[[#This Row],[Progres Keg. Umum
(%)]]*Table1[[#This Row],[Nilai RAB Jaringan
(file pa aji)]],0)</f>
        <v>1838546948.6027701</v>
      </c>
      <c r="CR325" s="66">
        <f>IFERROR(Table1[[#This Row],[Progres MOS
(%)]]*Table1[[#This Row],[Nilai RAB Jaringan
(file pa aji)]],0)</f>
        <v>25968498716.79895</v>
      </c>
      <c r="CS325" s="66">
        <f>IFERROR(Table1[[#This Row],[Progres Pemasangan
(%)]]*Table1[[#This Row],[Nilai RAB Jaringan
(file pa aji)]],0)</f>
        <v>13670309697.19721</v>
      </c>
      <c r="CT325" s="66">
        <f>IFERROR(Table1[[#This Row],[Progres Perizinan
(%)]]*Table1[[#This Row],[Nilai RAB Jaringan
(file pa aji)]],0)</f>
        <v>0</v>
      </c>
      <c r="CU325" s="329">
        <v>82005283163.05545</v>
      </c>
      <c r="CV325" s="329">
        <v>82005283163.05545</v>
      </c>
      <c r="CW325" s="583">
        <v>0</v>
      </c>
      <c r="CX325" s="329">
        <v>0</v>
      </c>
      <c r="CY325" s="47"/>
      <c r="CZ325" s="330">
        <v>45747</v>
      </c>
      <c r="DA325" s="330">
        <v>45774</v>
      </c>
      <c r="DB325" s="331">
        <v>45779</v>
      </c>
      <c r="DC325" s="316" t="s">
        <v>2580</v>
      </c>
      <c r="DD325" s="67">
        <v>23030864394</v>
      </c>
      <c r="DE32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25" s="331">
        <v>45805</v>
      </c>
      <c r="DG325" s="316" t="s">
        <v>2581</v>
      </c>
      <c r="DH325" s="67">
        <v>23030864394</v>
      </c>
      <c r="DI32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25" s="330">
        <v>45775</v>
      </c>
      <c r="DK325" s="330">
        <v>45837</v>
      </c>
      <c r="DL325" s="331">
        <v>45827</v>
      </c>
      <c r="DM325" s="316" t="s">
        <v>2582</v>
      </c>
      <c r="DN32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5" s="331">
        <v>45847</v>
      </c>
      <c r="DP325" s="316" t="s">
        <v>2583</v>
      </c>
      <c r="DQ325" s="338" t="s">
        <v>1873</v>
      </c>
      <c r="DR32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5" s="330">
        <v>45775</v>
      </c>
      <c r="DT325" s="330" t="e">
        <v>#N/A</v>
      </c>
      <c r="DU325" s="330">
        <v>45816</v>
      </c>
      <c r="DV325" s="330" t="e">
        <v>#N/A</v>
      </c>
      <c r="DW325" s="331">
        <v>45828</v>
      </c>
      <c r="DX325" s="316" t="s">
        <v>2584</v>
      </c>
      <c r="DY325" s="334">
        <v>30</v>
      </c>
      <c r="DZ325" s="334">
        <v>30</v>
      </c>
      <c r="EA32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25" s="331">
        <v>46051</v>
      </c>
      <c r="EC325" s="332">
        <v>28</v>
      </c>
      <c r="ED325" s="332">
        <v>28</v>
      </c>
      <c r="EE325" s="330"/>
      <c r="EF325" s="35">
        <v>0.93333333333333335</v>
      </c>
      <c r="EG325" s="35">
        <f>Table1[[#This Row],[Line PO (kolom  bantu)2]]/Table1[[#This Row],[Line PR]]</f>
        <v>0.93333333333333335</v>
      </c>
      <c r="EH325" s="316" t="str">
        <f>IF(Table1[[#This Row],[PO Material Aktual 
(%)]]&gt;=100%,"Selesai PO = 100%",IF(Table1[[#This Row],[PO Material Aktual 
(%)]]&gt;=50%,"Proses PO &gt; 100%",IF(Table1[[#This Row],[PO Material Aktual 
(%)]]&gt;0%,"Proses PO &gt; 50%",IF(Table1[[#This Row],[PO Material Aktual 
(%)]]=0,"Belum PO = 0%"))))</f>
        <v>Proses PO &gt; 100%</v>
      </c>
      <c r="EI32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25" s="330">
        <v>45817</v>
      </c>
      <c r="EK325" s="330" t="e">
        <v>#N/A</v>
      </c>
      <c r="EL325" s="330">
        <v>45928</v>
      </c>
      <c r="EM325" s="330" t="e">
        <v>#N/A</v>
      </c>
      <c r="EN325" s="331">
        <v>46059</v>
      </c>
      <c r="EO325" s="332">
        <v>16</v>
      </c>
      <c r="EP325" s="316">
        <v>16</v>
      </c>
      <c r="EQ325" s="35">
        <v>0.53333333333333333</v>
      </c>
      <c r="ER325" s="35">
        <f>Table1[[#This Row],[Line MOS]]/Table1[[#This Row],[Line PR]]</f>
        <v>0.53333333333333333</v>
      </c>
      <c r="ES325" s="316" t="str">
        <f>IF(Table1[[#This Row],[Progres MOS]]&gt;=100%,"Selesai MOS = 100%",IF(Table1[[#This Row],[Progres MOS]]&gt;=50%,"Proses MOS &gt; 100%",IF(Table1[[#This Row],[Progres MOS]]&gt;0%,"Proses MOS &gt; 50%",IF(Table1[[#This Row],[Progres MOS]]=0,"Belum MOS = 0%"))))</f>
        <v>Proses MOS &gt; 100%</v>
      </c>
      <c r="ET32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25" s="47"/>
      <c r="EV325" s="330">
        <v>45775</v>
      </c>
      <c r="EW325" s="330" t="e">
        <v>#N/A</v>
      </c>
      <c r="EX325" s="330">
        <v>45865</v>
      </c>
      <c r="EY325" s="330" t="e">
        <v>#N/A</v>
      </c>
      <c r="EZ325" s="352" t="s">
        <v>298</v>
      </c>
      <c r="FA325" s="336" t="s">
        <v>259</v>
      </c>
      <c r="FB325" s="330" t="s">
        <v>260</v>
      </c>
      <c r="FC325" s="330">
        <v>45112</v>
      </c>
      <c r="FD325" s="330" t="s">
        <v>260</v>
      </c>
      <c r="FE325" s="330"/>
      <c r="FF325" s="330"/>
      <c r="FG325" s="330" t="s">
        <v>260</v>
      </c>
      <c r="FH325" s="330" t="s">
        <v>260</v>
      </c>
      <c r="FI325" s="330"/>
      <c r="FJ325" s="330" t="s">
        <v>260</v>
      </c>
      <c r="FK325" s="330"/>
      <c r="FL325" s="336" t="s">
        <v>298</v>
      </c>
      <c r="FM325" s="352">
        <v>45112</v>
      </c>
      <c r="FN325" s="338">
        <f>IF(Table1[[#This Row],[Tanggal Pengajuan Dokumen]]="","",Table1[[#This Row],[PLAN PERMIT
start]]-Table1[[#This Row],[Tanggal Pengajuan Dokumen]])</f>
        <v>663</v>
      </c>
      <c r="FO325" s="437">
        <v>46097</v>
      </c>
      <c r="FP325" s="316"/>
      <c r="FQ325" s="338"/>
      <c r="FR325" s="338"/>
      <c r="FS325" s="338" t="str">
        <f t="shared" si="17"/>
        <v>Sudah Terbit</v>
      </c>
      <c r="FT32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5" s="344">
        <f ca="1">IF(Table1[[#This Row],[Status Izin]]="Selesai",Table1[[#This Row],[PLAN PERMIT
finish]]-Table1[[#This Row],[Tanggal Terbit/ Target Izin Terbit]],ROUNDUP(Table1[[#This Row],[PLAN PERMIT
finish]]-NOW(),0))</f>
        <v>-232</v>
      </c>
      <c r="FV32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5" s="344"/>
      <c r="FX325" s="47"/>
      <c r="FY325" s="340"/>
      <c r="FZ325" s="341"/>
      <c r="GA32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5" s="330">
        <v>45839</v>
      </c>
      <c r="GC325" s="352">
        <v>45880</v>
      </c>
      <c r="GD32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5" s="330">
        <v>45846</v>
      </c>
      <c r="GF325" s="352">
        <v>45880</v>
      </c>
      <c r="GG32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5" s="330">
        <v>45852</v>
      </c>
      <c r="GI325" s="330">
        <v>45858</v>
      </c>
      <c r="GJ325" s="352">
        <v>45882</v>
      </c>
      <c r="GK32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5" s="330">
        <v>45866</v>
      </c>
      <c r="GM325" s="330" t="e">
        <v>#N/A</v>
      </c>
      <c r="GN325" s="330">
        <v>46005</v>
      </c>
      <c r="GO325" s="330" t="e">
        <v>#N/A</v>
      </c>
      <c r="GP325" s="330"/>
      <c r="GQ32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5" s="330" t="s">
        <v>261</v>
      </c>
      <c r="GS325" s="330" t="s">
        <v>261</v>
      </c>
      <c r="GT325" s="354"/>
      <c r="GU325" s="344" t="str">
        <f>IF(Table1[[#This Row],[Hydro Tes Actual
(tanggal)]]&lt;&gt;"","Sudah","Belum")</f>
        <v>Belum</v>
      </c>
      <c r="GV325" s="330" t="s">
        <v>261</v>
      </c>
      <c r="GW325" s="330" t="s">
        <v>261</v>
      </c>
      <c r="GX325" s="331"/>
      <c r="GY325" s="344" t="str">
        <f>IF(Table1[[#This Row],[Interkoneksi Actual
(tanggal)]]&lt;&gt;"","Sudah","Belum")</f>
        <v>Belum</v>
      </c>
      <c r="GZ325" s="330" t="s">
        <v>261</v>
      </c>
      <c r="HA325" s="330" t="s">
        <v>261</v>
      </c>
      <c r="HB325" s="331"/>
      <c r="HC325" s="344" t="str">
        <f>IF(Table1[[#This Row],[Flushing Actual
(tanggal)]]&lt;&gt;"","Sudah","Belum")</f>
        <v>Belum</v>
      </c>
      <c r="HD325" s="330">
        <v>45978</v>
      </c>
      <c r="HE325" s="330" t="e">
        <v>#N/A</v>
      </c>
      <c r="HF325" s="330">
        <v>45991</v>
      </c>
      <c r="HG325" s="352"/>
      <c r="HH32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5" s="330" t="s">
        <v>261</v>
      </c>
      <c r="HJ325" s="330" t="s">
        <v>261</v>
      </c>
      <c r="HK325" s="331"/>
      <c r="HL325" s="316"/>
      <c r="HM325" s="330">
        <v>46010</v>
      </c>
      <c r="HN325" s="330">
        <v>46010</v>
      </c>
      <c r="HO325" s="330" t="e">
        <v>#N/A</v>
      </c>
      <c r="HP325" s="331"/>
      <c r="HQ325"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25" s="330">
        <v>46018</v>
      </c>
      <c r="HS325" s="330"/>
      <c r="HT325" s="330">
        <v>46018</v>
      </c>
      <c r="HU325" s="330"/>
      <c r="HV325" s="331"/>
      <c r="HW32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25" s="47"/>
      <c r="HY325" s="352"/>
      <c r="HZ325" s="352"/>
      <c r="IB325" s="618">
        <f>IFERROR(ROUND((Table1[[#This Row],[PLAN TC
finish]]-Table1[[#This Row],[PLAN MC-0
start]])/30,2),"")</f>
        <v>4.63</v>
      </c>
      <c r="IC325">
        <f>DATEDIF(Table1[[#This Row],[PLAN MC-0
start]],Table1[[#This Row],[PLAN TC
finish]],"m")</f>
        <v>4</v>
      </c>
    </row>
    <row r="326" spans="1:237" s="4" customFormat="1" ht="15" hidden="1" customHeight="1" x14ac:dyDescent="0.2">
      <c r="B326" s="311">
        <f>SUBTOTAL(3,$D$5:D326)</f>
        <v>84</v>
      </c>
      <c r="C326" s="316">
        <v>322</v>
      </c>
      <c r="D326" s="315" t="s">
        <v>673</v>
      </c>
      <c r="E326" s="338" t="s">
        <v>2585</v>
      </c>
      <c r="F326" s="338" t="s">
        <v>2586</v>
      </c>
      <c r="G326" s="349">
        <v>46117</v>
      </c>
      <c r="H326" s="338" t="s">
        <v>681</v>
      </c>
      <c r="I326" s="338" t="s">
        <v>278</v>
      </c>
      <c r="J326" s="480" t="s">
        <v>1830</v>
      </c>
      <c r="K326" s="338" t="s">
        <v>676</v>
      </c>
      <c r="L326" s="316" t="s">
        <v>250</v>
      </c>
      <c r="M326" s="355" t="s">
        <v>269</v>
      </c>
      <c r="N326" s="107">
        <v>272</v>
      </c>
      <c r="O326" s="31" t="s">
        <v>252</v>
      </c>
      <c r="P32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6" s="35">
        <v>1</v>
      </c>
      <c r="S326" s="34">
        <v>1</v>
      </c>
      <c r="T326" s="34">
        <f>Table1[[#This Row],[Progres Total Aktual
(%)]]</f>
        <v>1</v>
      </c>
      <c r="U326" s="98">
        <f>Table1[[#This Row],[Progres Aktual
(%)]]-Table1[[#This Row],[Target Progres
(%)]]</f>
        <v>0</v>
      </c>
      <c r="V326" s="80">
        <f>Table1[[#This Row],["Volume
BA MC-0"]]</f>
        <v>275</v>
      </c>
      <c r="W326" s="46">
        <f>Table1[[#This Row],[Total Panjang Pipa Aktual
(Sum-&gt;)3]]</f>
        <v>275</v>
      </c>
      <c r="X326" s="47"/>
      <c r="Y326" s="67" t="s">
        <v>746</v>
      </c>
      <c r="Z326" s="67">
        <v>505488651</v>
      </c>
      <c r="AA326" s="67">
        <f>ROUND((Table1[[#This Row],[Nilai RAB Jaringan
(Exclude Ppn)]]-Table1[[#This Row],[RAB Perizinan]])*1.11+Table1[[#This Row],[RAB Perizinan]],0)</f>
        <v>505488650</v>
      </c>
      <c r="AB326" s="486">
        <f>SUM(Table1[[#This Row],[RAB Kegiatan Umum]:[RAB Perizinan]])</f>
        <v>455664730</v>
      </c>
      <c r="AC326" s="436">
        <v>32534585</v>
      </c>
      <c r="AD326" s="436">
        <v>325345847</v>
      </c>
      <c r="AE326" s="436">
        <v>95064298</v>
      </c>
      <c r="AF326" s="436">
        <v>2720000</v>
      </c>
      <c r="AG326" s="483">
        <v>50568928</v>
      </c>
      <c r="AH326" s="33">
        <f>SUM(Table1[[#This Row],[Bobot Keg Umum]:[Bobot Perizinan]])</f>
        <v>0.99999999999999989</v>
      </c>
      <c r="AI326" s="33">
        <f>Table1[[#This Row],[RAB Kegiatan Umum]]/Table1[[#This Row],[Nilai RAB Jaringan
(Exclude Ppn)]]</f>
        <v>7.140027054540736E-2</v>
      </c>
      <c r="AJ326" s="33">
        <f>Table1[[#This Row],[RAB Pemasangan]]/Table1[[#This Row],[Nilai RAB Jaringan
(Exclude Ppn)]]</f>
        <v>0.71400269887028567</v>
      </c>
      <c r="AK326" s="33">
        <f>Table1[[#This Row],[RAB Pengadaan]]/Table1[[#This Row],[Nilai RAB Jaringan
(Exclude Ppn)]]</f>
        <v>0.20862772942729185</v>
      </c>
      <c r="AL326" s="33">
        <f>Table1[[#This Row],[RAB Perizinan]]/Table1[[#This Row],[Nilai RAB Jaringan
(Exclude Ppn)]]</f>
        <v>5.9693011570151593E-3</v>
      </c>
      <c r="AM326" s="47"/>
      <c r="AN326" s="285">
        <v>275</v>
      </c>
      <c r="AO326" s="285">
        <f>SUM(Table1[[#This Row],[Pipa 63 mm]:[Pipa 1,800 mm]])</f>
        <v>275</v>
      </c>
      <c r="AP326" s="285"/>
      <c r="AQ326" s="285">
        <v>275</v>
      </c>
      <c r="AR326" s="285"/>
      <c r="AS326" s="285"/>
      <c r="AT326" s="285"/>
      <c r="AU326" s="285"/>
      <c r="AV326" s="285"/>
      <c r="AW326" s="285"/>
      <c r="AX326" s="285"/>
      <c r="AY326" s="285"/>
      <c r="AZ326" s="285"/>
      <c r="BA326" s="285"/>
      <c r="BB326" s="285"/>
      <c r="BC326" s="285"/>
      <c r="BD326" s="285"/>
      <c r="BE326" s="285"/>
      <c r="BF326" s="285"/>
      <c r="BG326" s="285"/>
      <c r="BH326" s="285"/>
      <c r="BI326" s="285"/>
      <c r="BJ326" s="262">
        <f>SUM(Table1[[#This Row],[Pipa 63 mm2]:[Pipa 1,800 mm21]])</f>
        <v>275</v>
      </c>
      <c r="BK326" s="32"/>
      <c r="BL326" s="32">
        <v>275</v>
      </c>
      <c r="BM326" s="32"/>
      <c r="BN326" s="32"/>
      <c r="BO326" s="32"/>
      <c r="BP326" s="32"/>
      <c r="BQ326" s="32"/>
      <c r="BR326" s="32"/>
      <c r="BS326" s="32"/>
      <c r="BT326" s="32"/>
      <c r="BU326" s="32"/>
      <c r="BV326" s="32"/>
      <c r="BW326" s="32"/>
      <c r="BX326" s="32"/>
      <c r="BY326" s="32"/>
      <c r="BZ326" s="32"/>
      <c r="CA326" s="32"/>
      <c r="CB326" s="32"/>
      <c r="CC326" s="32"/>
      <c r="CD326" s="32"/>
      <c r="CE326" s="32">
        <v>0</v>
      </c>
      <c r="CF326" s="32"/>
      <c r="CG326" s="32"/>
      <c r="CH326" s="32"/>
      <c r="CI326" s="32">
        <f t="shared" si="16"/>
        <v>0</v>
      </c>
      <c r="CJ326" s="65">
        <f>IF((Table1[[#This Row],["Volume
BA MC-0"]]-Table1[[#This Row],[Total Panjang Pipa Aktual
(Sum-&gt;)3]]-Table1[[#This Row],[Total Volume
tidak dapat dipasang]])&gt;=0,Table1[[#This Row],["Volume
BA MC-0"]]-Table1[[#This Row],[Total Panjang Pipa Aktual
(Sum-&gt;)3]]-Table1[[#This Row],[Total Volume
tidak dapat dipasang]],0)</f>
        <v>0</v>
      </c>
      <c r="CK326" s="47"/>
      <c r="CL326" s="484" t="s">
        <v>1821</v>
      </c>
      <c r="CM326" s="34">
        <f>Table1[[#This Row],[RAB Pengadaan]]/Table1[[#This Row],[Nilai RAB Jaringan
(Exclude Ppn)]]*Table1[[#This Row],[Progres MOS]]*80%</f>
        <v>0.13352174683346682</v>
      </c>
      <c r="CN326" s="484" t="s">
        <v>1821</v>
      </c>
      <c r="CO326" s="484" t="s">
        <v>1821</v>
      </c>
      <c r="CP32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26" s="66">
        <f>IFERROR(Table1[[#This Row],[Progres Keg. Umum
(%)]]*Table1[[#This Row],[Nilai RAB Jaringan
(file pa aji)]],0)</f>
        <v>0</v>
      </c>
      <c r="CR326" s="66">
        <f>IFERROR(Table1[[#This Row],[Progres MOS
(%)]]*Table1[[#This Row],[Nilai RAB Jaringan
(file pa aji)]],0)</f>
        <v>67493727.68601267</v>
      </c>
      <c r="CS326" s="66">
        <f>IFERROR(Table1[[#This Row],[Progres Pemasangan
(%)]]*Table1[[#This Row],[Nilai RAB Jaringan
(file pa aji)]],0)</f>
        <v>0</v>
      </c>
      <c r="CT326" s="66">
        <f>IFERROR(Table1[[#This Row],[Progres Perizinan
(%)]]*Table1[[#This Row],[Nilai RAB Jaringan
(file pa aji)]],0)</f>
        <v>0</v>
      </c>
      <c r="CU326" s="329">
        <v>507402315</v>
      </c>
      <c r="CV326" s="329">
        <v>507402315</v>
      </c>
      <c r="CW326" s="583">
        <v>507402315</v>
      </c>
      <c r="CX326" s="329">
        <v>507402315</v>
      </c>
      <c r="CY326" s="47"/>
      <c r="CZ326" s="330">
        <v>45838</v>
      </c>
      <c r="DA326" s="330">
        <v>45865</v>
      </c>
      <c r="DB326" s="331">
        <v>45818</v>
      </c>
      <c r="DC326" s="316" t="s">
        <v>2587</v>
      </c>
      <c r="DD326" s="67">
        <v>505488651</v>
      </c>
      <c r="DE32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6" s="331">
        <v>45831</v>
      </c>
      <c r="DG326" s="316" t="s">
        <v>2588</v>
      </c>
      <c r="DH326" s="67">
        <v>505488651</v>
      </c>
      <c r="DI32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6" s="330">
        <v>45866</v>
      </c>
      <c r="DK326" s="330">
        <v>45928</v>
      </c>
      <c r="DL326" s="331">
        <v>45863</v>
      </c>
      <c r="DM326" s="316" t="s">
        <v>2589</v>
      </c>
      <c r="DN32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6" s="331">
        <v>45883</v>
      </c>
      <c r="DP326" s="316" t="s">
        <v>2590</v>
      </c>
      <c r="DQ326" s="338" t="s">
        <v>560</v>
      </c>
      <c r="DR32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6" s="330">
        <v>45866</v>
      </c>
      <c r="DT326" s="330" t="e">
        <v>#N/A</v>
      </c>
      <c r="DU326" s="330">
        <v>45907</v>
      </c>
      <c r="DV326" s="330" t="e">
        <v>#N/A</v>
      </c>
      <c r="DW326" s="331">
        <v>45863</v>
      </c>
      <c r="DX326" s="316" t="s">
        <v>2591</v>
      </c>
      <c r="DY326" s="332">
        <v>25</v>
      </c>
      <c r="DZ326" s="334">
        <v>25</v>
      </c>
      <c r="EA32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6" s="331">
        <v>46122</v>
      </c>
      <c r="EC326" s="332">
        <v>20</v>
      </c>
      <c r="ED326" s="332">
        <v>20</v>
      </c>
      <c r="EE326" s="425" t="s">
        <v>2592</v>
      </c>
      <c r="EF326" s="35">
        <v>1</v>
      </c>
      <c r="EG326" s="337">
        <v>1</v>
      </c>
      <c r="EH326" s="316" t="str">
        <f>IF(Table1[[#This Row],[PO Material Aktual 
(%)]]&gt;=100%,"Selesai PO = 100%",IF(Table1[[#This Row],[PO Material Aktual 
(%)]]&gt;=50%,"Proses PO &gt; 100%",IF(Table1[[#This Row],[PO Material Aktual 
(%)]]&gt;0%,"Proses PO &gt; 50%",IF(Table1[[#This Row],[PO Material Aktual 
(%)]]=0,"Belum PO = 0%"))))</f>
        <v>Selesai PO = 100%</v>
      </c>
      <c r="EI32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26" s="330">
        <v>45908</v>
      </c>
      <c r="EK326" s="330" t="e">
        <v>#N/A</v>
      </c>
      <c r="EL326" s="330">
        <v>45956</v>
      </c>
      <c r="EM326" s="330" t="e">
        <v>#N/A</v>
      </c>
      <c r="EN326" s="331">
        <v>46160</v>
      </c>
      <c r="EO326" s="332">
        <f>Table1[[#This Row],[Line PO]]</f>
        <v>20</v>
      </c>
      <c r="EP326" s="316">
        <v>20</v>
      </c>
      <c r="EQ326" s="35">
        <v>0.8</v>
      </c>
      <c r="ER326" s="35">
        <f>Table1[[#This Row],[Line MOS]]/Table1[[#This Row],[Line PR]]</f>
        <v>0.8</v>
      </c>
      <c r="ES326" s="316" t="str">
        <f>IF(Table1[[#This Row],[Progres MOS]]&gt;=100%,"Selesai MOS = 100%",IF(Table1[[#This Row],[Progres MOS]]&gt;=50%,"Proses MOS &gt; 100%",IF(Table1[[#This Row],[Progres MOS]]&gt;0%,"Proses MOS &gt; 50%",IF(Table1[[#This Row],[Progres MOS]]=0,"Belum MOS = 0%"))))</f>
        <v>Proses MOS &gt; 100%</v>
      </c>
      <c r="ET32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26" s="47"/>
      <c r="EV326" s="330">
        <v>45866</v>
      </c>
      <c r="EW326" s="330" t="e">
        <v>#N/A</v>
      </c>
      <c r="EX326" s="330">
        <v>45956</v>
      </c>
      <c r="EY326" s="330" t="e">
        <v>#N/A</v>
      </c>
      <c r="EZ326" s="352" t="s">
        <v>298</v>
      </c>
      <c r="FA326" s="336" t="s">
        <v>259</v>
      </c>
      <c r="FB326" s="330" t="s">
        <v>260</v>
      </c>
      <c r="FC326" s="330">
        <v>45944</v>
      </c>
      <c r="FD326" s="330" t="s">
        <v>260</v>
      </c>
      <c r="FE326" s="330">
        <v>45966</v>
      </c>
      <c r="FF326" s="330">
        <v>45993</v>
      </c>
      <c r="FG326" s="330" t="s">
        <v>260</v>
      </c>
      <c r="FH326" s="330" t="s">
        <v>260</v>
      </c>
      <c r="FI326" s="330">
        <v>46010</v>
      </c>
      <c r="FJ326" s="330" t="s">
        <v>260</v>
      </c>
      <c r="FK326" s="330">
        <v>46097</v>
      </c>
      <c r="FL326" s="336" t="s">
        <v>298</v>
      </c>
      <c r="FM326" s="352">
        <v>45944</v>
      </c>
      <c r="FN326" s="338">
        <f>IF(Table1[[#This Row],[Tanggal Pengajuan Dokumen]]="","",Table1[[#This Row],[PLAN PERMIT
start]]-Table1[[#This Row],[Tanggal Pengajuan Dokumen]])</f>
        <v>-78</v>
      </c>
      <c r="FO326" s="437">
        <v>46097</v>
      </c>
      <c r="FP326" s="316"/>
      <c r="FQ326" s="338"/>
      <c r="FR326" s="338"/>
      <c r="FS326" s="338" t="str">
        <f t="shared" si="17"/>
        <v>Sudah Terbit</v>
      </c>
      <c r="FT32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6" s="344">
        <f ca="1">IF(Table1[[#This Row],[Status Izin]]="Selesai",Table1[[#This Row],[PLAN PERMIT
finish]]-Table1[[#This Row],[Tanggal Terbit/ Target Izin Terbit]],ROUNDUP(Table1[[#This Row],[PLAN PERMIT
finish]]-NOW(),0))</f>
        <v>-141</v>
      </c>
      <c r="FV32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6" s="344"/>
      <c r="FX326" s="47"/>
      <c r="FY326" s="340"/>
      <c r="FZ326" s="341"/>
      <c r="GA32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6" s="330">
        <v>45930</v>
      </c>
      <c r="GC326" s="352">
        <v>45888</v>
      </c>
      <c r="GD32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26" s="330">
        <v>45937</v>
      </c>
      <c r="GF326" s="352">
        <v>45888</v>
      </c>
      <c r="GG32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26" s="330">
        <v>45943</v>
      </c>
      <c r="GI326" s="330">
        <v>45949</v>
      </c>
      <c r="GJ326" s="352">
        <v>45894</v>
      </c>
      <c r="GK32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26" s="330">
        <v>45957</v>
      </c>
      <c r="GM326" s="330" t="e">
        <v>#N/A</v>
      </c>
      <c r="GN326" s="330">
        <v>45977</v>
      </c>
      <c r="GO326" s="330" t="e">
        <v>#N/A</v>
      </c>
      <c r="GP326" s="330"/>
      <c r="GQ32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6" s="330" t="s">
        <v>261</v>
      </c>
      <c r="GS326" s="330" t="s">
        <v>261</v>
      </c>
      <c r="GT326" s="354">
        <v>46052</v>
      </c>
      <c r="GU326" s="344" t="str">
        <f>IF(Table1[[#This Row],[Hydro Tes Actual
(tanggal)]]&lt;&gt;"","Sudah","Belum")</f>
        <v>Sudah</v>
      </c>
      <c r="GV326" s="330" t="s">
        <v>261</v>
      </c>
      <c r="GW326" s="330" t="s">
        <v>261</v>
      </c>
      <c r="GX326" s="331">
        <v>46059</v>
      </c>
      <c r="GY326" s="344" t="str">
        <f>IF(Table1[[#This Row],[Interkoneksi Actual
(tanggal)]]&lt;&gt;"","Sudah","Belum")</f>
        <v>Sudah</v>
      </c>
      <c r="GZ326" s="330" t="s">
        <v>261</v>
      </c>
      <c r="HA326" s="330" t="s">
        <v>261</v>
      </c>
      <c r="HB326" s="331">
        <v>46061</v>
      </c>
      <c r="HC326" s="344" t="str">
        <f>IF(Table1[[#This Row],[Flushing Actual
(tanggal)]]&lt;&gt;"","Sudah","Belum")</f>
        <v>Sudah</v>
      </c>
      <c r="HD326" s="330">
        <v>45964</v>
      </c>
      <c r="HE326" s="330" t="e">
        <v>#N/A</v>
      </c>
      <c r="HF326" s="330">
        <v>45977</v>
      </c>
      <c r="HG326" s="352">
        <v>46080</v>
      </c>
      <c r="HH32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26" s="330" t="s">
        <v>261</v>
      </c>
      <c r="HJ326" s="330" t="s">
        <v>261</v>
      </c>
      <c r="HK326" s="331"/>
      <c r="HL326" s="316"/>
      <c r="HM326" s="330">
        <v>45982</v>
      </c>
      <c r="HN326" s="330">
        <v>45982</v>
      </c>
      <c r="HO326" s="330" t="e">
        <v>#N/A</v>
      </c>
      <c r="HP326" s="331">
        <v>46093</v>
      </c>
      <c r="HQ326"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26" s="330">
        <v>45989</v>
      </c>
      <c r="HS326" s="330"/>
      <c r="HT326" s="330">
        <v>45989</v>
      </c>
      <c r="HU326" s="330"/>
      <c r="HV326" s="331">
        <v>46099</v>
      </c>
      <c r="HW32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26" s="47"/>
      <c r="HY326" s="352"/>
      <c r="HZ326" s="352"/>
      <c r="IB326" s="618">
        <f>IFERROR(ROUND((Table1[[#This Row],[PLAN TC
finish]]-Table1[[#This Row],[PLAN MC-0
start]])/30,2),"")</f>
        <v>1.1299999999999999</v>
      </c>
      <c r="IC326">
        <f>DATEDIF(Table1[[#This Row],[PLAN MC-0
start]],Table1[[#This Row],[PLAN TC
finish]],"m")</f>
        <v>1</v>
      </c>
    </row>
    <row r="327" spans="1:237" s="30" customFormat="1" ht="15" hidden="1" customHeight="1" x14ac:dyDescent="0.2">
      <c r="A327" s="77"/>
      <c r="B327" s="311">
        <f>SUBTOTAL(3,$D$5:D327)</f>
        <v>84</v>
      </c>
      <c r="C327" s="367">
        <v>323</v>
      </c>
      <c r="D327" s="363" t="s">
        <v>673</v>
      </c>
      <c r="E327" s="366" t="s">
        <v>2593</v>
      </c>
      <c r="F327" s="366" t="s">
        <v>2594</v>
      </c>
      <c r="G327" s="364">
        <v>46117</v>
      </c>
      <c r="H327" s="366" t="s">
        <v>681</v>
      </c>
      <c r="I327" s="366" t="s">
        <v>278</v>
      </c>
      <c r="J327" s="385" t="s">
        <v>389</v>
      </c>
      <c r="K327" s="366" t="s">
        <v>676</v>
      </c>
      <c r="L327" s="367" t="s">
        <v>250</v>
      </c>
      <c r="M327" s="392" t="s">
        <v>269</v>
      </c>
      <c r="N327" s="368">
        <v>6362</v>
      </c>
      <c r="O327" s="369" t="s">
        <v>252</v>
      </c>
      <c r="P327"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7" s="385" t="s">
        <v>389</v>
      </c>
      <c r="R327" s="371">
        <v>0.99999999999999978</v>
      </c>
      <c r="S327" s="34">
        <v>1</v>
      </c>
      <c r="T327" s="489">
        <f>Table1[[#This Row],[Progres Total Aktual
(%)]]</f>
        <v>0</v>
      </c>
      <c r="U327" s="490">
        <f>Table1[[#This Row],[Progres Aktual
(%)]]-Table1[[#This Row],[Target Progres
(%)]]</f>
        <v>-1</v>
      </c>
      <c r="V327" s="491">
        <f>Table1[[#This Row],["Volume
BA MC-0"]]</f>
        <v>0</v>
      </c>
      <c r="W327" s="492">
        <f>Table1[[#This Row],[Total Panjang Pipa Aktual
(Sum-&gt;)3]]</f>
        <v>0</v>
      </c>
      <c r="X327" s="47"/>
      <c r="Y327" s="375" t="s">
        <v>2579</v>
      </c>
      <c r="Z327" s="375">
        <v>12075777390</v>
      </c>
      <c r="AA327" s="375">
        <f>ROUND((Table1[[#This Row],[Nilai RAB Jaringan
(Exclude Ppn)]]-Table1[[#This Row],[RAB Perizinan]])*1.11+Table1[[#This Row],[RAB Perizinan]],0)</f>
        <v>0</v>
      </c>
      <c r="AB327" s="493">
        <f>SUM(Table1[[#This Row],[RAB Kegiatan Umum]:[RAB Perizinan]])</f>
        <v>0</v>
      </c>
      <c r="AC327" s="439"/>
      <c r="AD327" s="439"/>
      <c r="AE327" s="439"/>
      <c r="AF327" s="439"/>
      <c r="AG327" s="494">
        <v>1325327299</v>
      </c>
      <c r="AH327" s="495" t="e">
        <f>SUM(Table1[[#This Row],[Bobot Keg Umum]:[Bobot Perizinan]])</f>
        <v>#DIV/0!</v>
      </c>
      <c r="AI327" s="495" t="e">
        <f>Table1[[#This Row],[RAB Kegiatan Umum]]/Table1[[#This Row],[Nilai RAB Jaringan
(Exclude Ppn)]]</f>
        <v>#DIV/0!</v>
      </c>
      <c r="AJ327" s="495" t="e">
        <f>Table1[[#This Row],[RAB Pemasangan]]/Table1[[#This Row],[Nilai RAB Jaringan
(Exclude Ppn)]]</f>
        <v>#DIV/0!</v>
      </c>
      <c r="AK327" s="495" t="e">
        <f>Table1[[#This Row],[RAB Pengadaan]]/Table1[[#This Row],[Nilai RAB Jaringan
(Exclude Ppn)]]</f>
        <v>#DIV/0!</v>
      </c>
      <c r="AL327" s="495" t="e">
        <f>Table1[[#This Row],[RAB Perizinan]]/Table1[[#This Row],[Nilai RAB Jaringan
(Exclude Ppn)]]</f>
        <v>#DIV/0!</v>
      </c>
      <c r="AM327" s="47"/>
      <c r="AN327" s="376"/>
      <c r="AO327" s="376">
        <f>SUM(Table1[[#This Row],[Pipa 63 mm]:[Pipa 1,800 mm]])</f>
        <v>0</v>
      </c>
      <c r="AP327" s="376"/>
      <c r="AQ327" s="376"/>
      <c r="AR327" s="376"/>
      <c r="AS327" s="376"/>
      <c r="AT327" s="376"/>
      <c r="AU327" s="376"/>
      <c r="AV327" s="376"/>
      <c r="AW327" s="376"/>
      <c r="AX327" s="376"/>
      <c r="AY327" s="376"/>
      <c r="AZ327" s="376"/>
      <c r="BA327" s="376"/>
      <c r="BB327" s="376"/>
      <c r="BC327" s="376"/>
      <c r="BD327" s="376"/>
      <c r="BE327" s="376"/>
      <c r="BF327" s="376"/>
      <c r="BG327" s="376"/>
      <c r="BH327" s="376"/>
      <c r="BI327" s="376"/>
      <c r="BJ327" s="262">
        <f>SUM(Table1[[#This Row],[Pipa 63 mm2]:[Pipa 1,800 mm21]])</f>
        <v>0</v>
      </c>
      <c r="BK327" s="378"/>
      <c r="BL327" s="378"/>
      <c r="BM327" s="378"/>
      <c r="BN327" s="378"/>
      <c r="BO327" s="378"/>
      <c r="BP327" s="378"/>
      <c r="BQ327" s="378"/>
      <c r="BR327" s="378"/>
      <c r="BS327" s="378"/>
      <c r="BT327" s="378"/>
      <c r="BU327" s="378"/>
      <c r="BV327" s="378"/>
      <c r="BW327" s="378"/>
      <c r="BX327" s="378"/>
      <c r="BY327" s="378"/>
      <c r="BZ327" s="378"/>
      <c r="CA327" s="378"/>
      <c r="CB327" s="378"/>
      <c r="CC327" s="378"/>
      <c r="CD327" s="378"/>
      <c r="CE327" s="378">
        <v>0</v>
      </c>
      <c r="CF327" s="378"/>
      <c r="CG327" s="378"/>
      <c r="CH327" s="378"/>
      <c r="CI327" s="378">
        <f t="shared" si="16"/>
        <v>0</v>
      </c>
      <c r="CJ327" s="378">
        <f>IF((Table1[[#This Row],["Volume
BA MC-0"]]-Table1[[#This Row],[Total Panjang Pipa Aktual
(Sum-&gt;)3]]-Table1[[#This Row],[Total Volume
tidak dapat dipasang]])&gt;=0,Table1[[#This Row],["Volume
BA MC-0"]]-Table1[[#This Row],[Total Panjang Pipa Aktual
(Sum-&gt;)3]]-Table1[[#This Row],[Total Volume
tidak dapat dipasang]],0)</f>
        <v>0</v>
      </c>
      <c r="CK327" s="47"/>
      <c r="CL327" s="496" t="s">
        <v>1821</v>
      </c>
      <c r="CM327" s="489" t="s">
        <v>1821</v>
      </c>
      <c r="CN327" s="496" t="s">
        <v>1821</v>
      </c>
      <c r="CO327" s="496" t="s">
        <v>1821</v>
      </c>
      <c r="CP327"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27" s="380">
        <f>IFERROR(Table1[[#This Row],[Progres Keg. Umum
(%)]]*Table1[[#This Row],[Nilai RAB Jaringan
(file pa aji)]],0)</f>
        <v>0</v>
      </c>
      <c r="CR327" s="380">
        <f>IFERROR(Table1[[#This Row],[Progres MOS
(%)]]*Table1[[#This Row],[Nilai RAB Jaringan
(file pa aji)]],0)</f>
        <v>0</v>
      </c>
      <c r="CS327" s="380">
        <f>IFERROR(Table1[[#This Row],[Progres Pemasangan
(%)]]*Table1[[#This Row],[Nilai RAB Jaringan
(file pa aji)]],0)</f>
        <v>0</v>
      </c>
      <c r="CT327" s="380">
        <f>IFERROR(Table1[[#This Row],[Progres Perizinan
(%)]]*Table1[[#This Row],[Nilai RAB Jaringan
(file pa aji)]],0)</f>
        <v>0</v>
      </c>
      <c r="CU327" s="329">
        <v>0</v>
      </c>
      <c r="CV327" s="329">
        <v>0</v>
      </c>
      <c r="CW327" s="582">
        <v>0</v>
      </c>
      <c r="CX327" s="329">
        <v>0</v>
      </c>
      <c r="CY327" s="47"/>
      <c r="CZ327" s="386">
        <v>45838</v>
      </c>
      <c r="DA327" s="386">
        <v>45865</v>
      </c>
      <c r="DB327" s="388">
        <v>45821</v>
      </c>
      <c r="DC327" s="367" t="s">
        <v>2595</v>
      </c>
      <c r="DD327" s="375">
        <v>12075777391</v>
      </c>
      <c r="DE32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7" s="388">
        <v>45831</v>
      </c>
      <c r="DG327" s="367" t="s">
        <v>2596</v>
      </c>
      <c r="DH327" s="375">
        <v>12075777391</v>
      </c>
      <c r="DI327" s="367"/>
      <c r="DJ327" s="386">
        <v>45866</v>
      </c>
      <c r="DK327" s="386">
        <v>45928</v>
      </c>
      <c r="DL327" s="388">
        <v>45899</v>
      </c>
      <c r="DM327" s="367" t="s">
        <v>2597</v>
      </c>
      <c r="DN327" s="382"/>
      <c r="DO327" s="388">
        <v>45916</v>
      </c>
      <c r="DP327" s="367" t="s">
        <v>2598</v>
      </c>
      <c r="DQ327" s="366" t="s">
        <v>1873</v>
      </c>
      <c r="DR327" s="382"/>
      <c r="DS327" s="386">
        <v>45866</v>
      </c>
      <c r="DT327" s="386" t="e">
        <v>#N/A</v>
      </c>
      <c r="DU327" s="386">
        <v>45907</v>
      </c>
      <c r="DV327" s="386" t="e">
        <v>#N/A</v>
      </c>
      <c r="DW327" s="388">
        <v>45871</v>
      </c>
      <c r="DX327" s="367" t="s">
        <v>2599</v>
      </c>
      <c r="DY327" s="442"/>
      <c r="DZ327" s="442"/>
      <c r="EA327" s="382"/>
      <c r="EB327" s="388"/>
      <c r="EC327" s="442"/>
      <c r="ED327" s="442"/>
      <c r="EE327" s="386"/>
      <c r="EF327" s="371"/>
      <c r="EG327" s="371"/>
      <c r="EH327" s="367"/>
      <c r="EI327"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7" s="386">
        <v>45908</v>
      </c>
      <c r="EK327" s="386" t="e">
        <v>#N/A</v>
      </c>
      <c r="EL327" s="386">
        <v>46005</v>
      </c>
      <c r="EM327" s="386" t="e">
        <v>#N/A</v>
      </c>
      <c r="EN327" s="388"/>
      <c r="EO327" s="442"/>
      <c r="EP327" s="367"/>
      <c r="EQ327" s="371"/>
      <c r="ER327" s="371"/>
      <c r="ES327" s="367"/>
      <c r="ET32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7" s="47"/>
      <c r="EV327" s="386">
        <v>45866</v>
      </c>
      <c r="EW327" s="386" t="e">
        <v>#N/A</v>
      </c>
      <c r="EX327" s="386">
        <v>45956</v>
      </c>
      <c r="EY327" s="386" t="e">
        <v>#N/A</v>
      </c>
      <c r="EZ327" s="384" t="s">
        <v>298</v>
      </c>
      <c r="FA327" s="385" t="s">
        <v>389</v>
      </c>
      <c r="FB327" s="386" t="s">
        <v>260</v>
      </c>
      <c r="FC327" s="330"/>
      <c r="FD327" s="386"/>
      <c r="FE327" s="386"/>
      <c r="FF327" s="386"/>
      <c r="FG327" s="386"/>
      <c r="FH327" s="386"/>
      <c r="FI327" s="386"/>
      <c r="FJ327" s="386"/>
      <c r="FK327" s="386"/>
      <c r="FL327" s="443" t="str">
        <f>Table1[[#This Row],[IPPJU]]</f>
        <v>9.Proses Penerbitan Izin</v>
      </c>
      <c r="FM327" s="443"/>
      <c r="FN327" s="365" t="str">
        <f>IF(Table1[[#This Row],[Tanggal Pengajuan Dokumen]]="","",Table1[[#This Row],[PLAN PERMIT
start]]-Table1[[#This Row],[Tanggal Pengajuan Dokumen]])</f>
        <v/>
      </c>
      <c r="FO327" s="444">
        <v>46097</v>
      </c>
      <c r="FP327" s="367"/>
      <c r="FQ327" s="366"/>
      <c r="FR327" s="366"/>
      <c r="FS327" s="366" t="str">
        <f t="shared" si="17"/>
        <v>On Going</v>
      </c>
      <c r="FT327"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7" s="387">
        <f ca="1">IF(Table1[[#This Row],[Status Izin]]="Selesai",Table1[[#This Row],[PLAN PERMIT
finish]]-Table1[[#This Row],[Tanggal Terbit/ Target Izin Terbit]],ROUNDUP(Table1[[#This Row],[PLAN PERMIT
finish]]-NOW(),0))</f>
        <v>-235</v>
      </c>
      <c r="FV327"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7" s="387"/>
      <c r="FX327" s="47"/>
      <c r="FY327" s="340"/>
      <c r="FZ327" s="341"/>
      <c r="GA32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7" s="386">
        <v>45930</v>
      </c>
      <c r="GC327" s="384">
        <v>45888</v>
      </c>
      <c r="GD327"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27" s="386">
        <v>45937</v>
      </c>
      <c r="GF327" s="384">
        <v>45951</v>
      </c>
      <c r="GG327"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7" s="386">
        <v>45943</v>
      </c>
      <c r="GI327" s="386">
        <v>45949</v>
      </c>
      <c r="GJ327" s="384"/>
      <c r="GK327"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27" s="386">
        <v>45957</v>
      </c>
      <c r="GM327" s="386" t="e">
        <v>#N/A</v>
      </c>
      <c r="GN327" s="386">
        <v>46061</v>
      </c>
      <c r="GO327" s="386" t="e">
        <v>#N/A</v>
      </c>
      <c r="GP327" s="386"/>
      <c r="GQ327"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7" s="386" t="s">
        <v>261</v>
      </c>
      <c r="GS327" s="386" t="s">
        <v>261</v>
      </c>
      <c r="GT327" s="390"/>
      <c r="GU327" s="387" t="str">
        <f>IF(Table1[[#This Row],[Hydro Tes Actual
(tanggal)]]&lt;&gt;"","Sudah","Belum")</f>
        <v>Belum</v>
      </c>
      <c r="GV327" s="386" t="s">
        <v>261</v>
      </c>
      <c r="GW327" s="386" t="s">
        <v>261</v>
      </c>
      <c r="GX327" s="388"/>
      <c r="GY327" s="387" t="str">
        <f>IF(Table1[[#This Row],[Interkoneksi Actual
(tanggal)]]&lt;&gt;"","Sudah","Belum")</f>
        <v>Belum</v>
      </c>
      <c r="GZ327" s="386" t="s">
        <v>261</v>
      </c>
      <c r="HA327" s="386" t="s">
        <v>261</v>
      </c>
      <c r="HB327" s="388"/>
      <c r="HC327" s="387" t="str">
        <f>IF(Table1[[#This Row],[Flushing Actual
(tanggal)]]&lt;&gt;"","Sudah","Belum")</f>
        <v>Belum</v>
      </c>
      <c r="HD327" s="386">
        <v>46027</v>
      </c>
      <c r="HE327" s="386" t="e">
        <v>#N/A</v>
      </c>
      <c r="HF327" s="386">
        <v>46040</v>
      </c>
      <c r="HG327" s="384"/>
      <c r="HH327"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7" s="386" t="s">
        <v>261</v>
      </c>
      <c r="HJ327" s="386" t="s">
        <v>261</v>
      </c>
      <c r="HK327" s="388"/>
      <c r="HL327" s="367"/>
      <c r="HM327" s="386">
        <v>46066</v>
      </c>
      <c r="HN327" s="386">
        <v>46066</v>
      </c>
      <c r="HO327" s="386" t="e">
        <v>#N/A</v>
      </c>
      <c r="HP327" s="388"/>
      <c r="HQ327"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27" s="386">
        <v>46073</v>
      </c>
      <c r="HS327" s="386"/>
      <c r="HT327" s="386">
        <v>46073</v>
      </c>
      <c r="HU327" s="386"/>
      <c r="HV327" s="388"/>
      <c r="HW327"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27" s="47"/>
      <c r="HY327" s="384"/>
      <c r="HZ327" s="384"/>
      <c r="IB327" s="618">
        <f>IFERROR(ROUND((Table1[[#This Row],[PLAN TC
finish]]-Table1[[#This Row],[PLAN MC-0
start]])/30,2),"")</f>
        <v>3.23</v>
      </c>
      <c r="IC327">
        <f>DATEDIF(Table1[[#This Row],[PLAN MC-0
start]],Table1[[#This Row],[PLAN TC
finish]],"m")</f>
        <v>3</v>
      </c>
    </row>
    <row r="328" spans="1:237" s="4" customFormat="1" ht="15" hidden="1" customHeight="1" x14ac:dyDescent="0.2">
      <c r="B328" s="311">
        <f>SUBTOTAL(3,$D$5:D328)</f>
        <v>84</v>
      </c>
      <c r="C328" s="316">
        <v>324</v>
      </c>
      <c r="D328" s="315" t="s">
        <v>673</v>
      </c>
      <c r="E328" s="338" t="s">
        <v>2600</v>
      </c>
      <c r="F328" s="338" t="s">
        <v>2601</v>
      </c>
      <c r="G328" s="349">
        <v>46117</v>
      </c>
      <c r="H328" s="338" t="s">
        <v>681</v>
      </c>
      <c r="I328" s="338" t="s">
        <v>278</v>
      </c>
      <c r="J328" s="480" t="s">
        <v>1818</v>
      </c>
      <c r="K328" s="338" t="s">
        <v>676</v>
      </c>
      <c r="L328" s="316" t="s">
        <v>250</v>
      </c>
      <c r="M328" s="355" t="s">
        <v>269</v>
      </c>
      <c r="N328" s="107">
        <v>5058</v>
      </c>
      <c r="O328" s="31" t="s">
        <v>252</v>
      </c>
      <c r="P32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8" s="35">
        <v>1.0000000000000002</v>
      </c>
      <c r="S328" s="34">
        <v>1</v>
      </c>
      <c r="T328" s="34">
        <f>Table1[[#This Row],[Progres Total Aktual
(%)]]</f>
        <v>0.2501558953785683</v>
      </c>
      <c r="U328" s="98">
        <f>Table1[[#This Row],[Progres Aktual
(%)]]-Table1[[#This Row],[Target Progres
(%)]]</f>
        <v>-0.7498441046214317</v>
      </c>
      <c r="V328" s="80">
        <f>Table1[[#This Row],["Volume
BA MC-0"]]</f>
        <v>5219</v>
      </c>
      <c r="W328" s="46">
        <f>Table1[[#This Row],[Total Panjang Pipa Aktual
(Sum-&gt;)3]]</f>
        <v>2731</v>
      </c>
      <c r="X328" s="47"/>
      <c r="Y328" s="67" t="s">
        <v>2579</v>
      </c>
      <c r="Z328" s="67">
        <v>18074312563</v>
      </c>
      <c r="AA328" s="501">
        <f>ROUND((Table1[[#This Row],[Nilai RAB Jaringan
(Exclude Ppn)]]-Table1[[#This Row],[RAB Perizinan]])*1.11+Table1[[#This Row],[RAB Perizinan]],0)</f>
        <v>18074312562</v>
      </c>
      <c r="AB328" s="486">
        <f>SUM(Table1[[#This Row],[RAB Kegiatan Umum]:[RAB Perizinan]])</f>
        <v>16289808074</v>
      </c>
      <c r="AC328" s="436">
        <v>985264382</v>
      </c>
      <c r="AD328" s="436">
        <v>12315804763</v>
      </c>
      <c r="AE328" s="436">
        <v>2921698929</v>
      </c>
      <c r="AF328" s="436">
        <v>67040000</v>
      </c>
      <c r="AG328" s="483">
        <v>0</v>
      </c>
      <c r="AH328" s="33">
        <f>SUM(Table1[[#This Row],[Bobot Keg Umum]:[Bobot Perizinan]])</f>
        <v>0.99999999999999989</v>
      </c>
      <c r="AI328" s="33">
        <f>Table1[[#This Row],[RAB Kegiatan Umum]]/Table1[[#This Row],[Nilai RAB Jaringan
(Exclude Ppn)]]</f>
        <v>6.048348620955029E-2</v>
      </c>
      <c r="AJ328" s="33">
        <f>Table1[[#This Row],[RAB Pemasangan]]/Table1[[#This Row],[Nilai RAB Jaringan
(Exclude Ppn)]]</f>
        <v>0.75604357688272172</v>
      </c>
      <c r="AK328" s="33">
        <f>Table1[[#This Row],[RAB Pengadaan]]/Table1[[#This Row],[Nilai RAB Jaringan
(Exclude Ppn)]]</f>
        <v>0.17935748019421385</v>
      </c>
      <c r="AL328" s="33">
        <f>Table1[[#This Row],[RAB Perizinan]]/Table1[[#This Row],[Nilai RAB Jaringan
(Exclude Ppn)]]</f>
        <v>4.1154567135141314E-3</v>
      </c>
      <c r="AM328" s="47"/>
      <c r="AN328" s="285">
        <v>5219</v>
      </c>
      <c r="AO328" s="285">
        <f>SUM(Table1[[#This Row],[Pipa 63 mm]:[Pipa 1,800 mm]])</f>
        <v>5219</v>
      </c>
      <c r="AP328" s="285"/>
      <c r="AQ328" s="285">
        <v>34</v>
      </c>
      <c r="AR328" s="285">
        <v>2735</v>
      </c>
      <c r="AS328" s="285">
        <v>1389</v>
      </c>
      <c r="AT328" s="285">
        <v>577</v>
      </c>
      <c r="AU328" s="285"/>
      <c r="AV328" s="285">
        <v>302</v>
      </c>
      <c r="AW328" s="285"/>
      <c r="AX328" s="285">
        <v>182</v>
      </c>
      <c r="AY328" s="285"/>
      <c r="AZ328" s="285"/>
      <c r="BA328" s="285"/>
      <c r="BB328" s="285"/>
      <c r="BC328" s="285"/>
      <c r="BD328" s="285"/>
      <c r="BE328" s="285"/>
      <c r="BF328" s="285"/>
      <c r="BG328" s="285"/>
      <c r="BH328" s="285"/>
      <c r="BI328" s="285"/>
      <c r="BJ328" s="262">
        <f>SUM(Table1[[#This Row],[Pipa 63 mm2]:[Pipa 1,800 mm21]])</f>
        <v>2731</v>
      </c>
      <c r="BK328" s="32"/>
      <c r="BL328" s="32"/>
      <c r="BM328" s="32">
        <v>697</v>
      </c>
      <c r="BN328" s="32">
        <v>1410</v>
      </c>
      <c r="BO328" s="32">
        <v>624</v>
      </c>
      <c r="BP328" s="32"/>
      <c r="BQ328" s="32"/>
      <c r="BR328" s="32"/>
      <c r="BS328" s="32"/>
      <c r="BT328" s="32"/>
      <c r="BU328" s="32"/>
      <c r="BV328" s="32"/>
      <c r="BW328" s="32"/>
      <c r="BX328" s="32"/>
      <c r="BY328" s="32"/>
      <c r="BZ328" s="32"/>
      <c r="CA328" s="32"/>
      <c r="CB328" s="32"/>
      <c r="CC328" s="32"/>
      <c r="CD328" s="32"/>
      <c r="CE328" s="32">
        <v>0</v>
      </c>
      <c r="CF328" s="32"/>
      <c r="CG328" s="32"/>
      <c r="CH328" s="32"/>
      <c r="CI328" s="32">
        <f t="shared" si="16"/>
        <v>0</v>
      </c>
      <c r="CJ328" s="65">
        <f>IF((Table1[[#This Row],["Volume
BA MC-0"]]-Table1[[#This Row],[Total Panjang Pipa Aktual
(Sum-&gt;)3]]-Table1[[#This Row],[Total Volume
tidak dapat dipasang]])&gt;=0,Table1[[#This Row],["Volume
BA MC-0"]]-Table1[[#This Row],[Total Panjang Pipa Aktual
(Sum-&gt;)3]]-Table1[[#This Row],[Total Volume
tidak dapat dipasang]],0)</f>
        <v>2488</v>
      </c>
      <c r="CK328" s="47"/>
      <c r="CL328" s="484" t="s">
        <v>1821</v>
      </c>
      <c r="CM328" s="34" t="s">
        <v>1821</v>
      </c>
      <c r="CN328" s="484" t="s">
        <v>1821</v>
      </c>
      <c r="CO328" s="484" t="s">
        <v>1821</v>
      </c>
      <c r="CP32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0.2501558953785683</v>
      </c>
      <c r="CQ328" s="66">
        <f>IFERROR(Table1[[#This Row],[Progres Keg. Umum
(%)]]*Table1[[#This Row],[Nilai RAB Jaringan
(file pa aji)]],0)</f>
        <v>0</v>
      </c>
      <c r="CR328" s="66">
        <f>IFERROR(Table1[[#This Row],[Progres MOS
(%)]]*Table1[[#This Row],[Nilai RAB Jaringan
(file pa aji)]],0)</f>
        <v>0</v>
      </c>
      <c r="CS328" s="66">
        <f>IFERROR(Table1[[#This Row],[Progres Pemasangan
(%)]]*Table1[[#This Row],[Nilai RAB Jaringan
(file pa aji)]],0)</f>
        <v>0</v>
      </c>
      <c r="CT328" s="66">
        <f>IFERROR(Table1[[#This Row],[Progres Perizinan
(%)]]*Table1[[#This Row],[Nilai RAB Jaringan
(file pa aji)]],0)</f>
        <v>0</v>
      </c>
      <c r="CU328" s="329">
        <v>4521395842.2992144</v>
      </c>
      <c r="CV328" s="329">
        <v>4521395842.2992144</v>
      </c>
      <c r="CW328" s="583">
        <v>0</v>
      </c>
      <c r="CX328" s="329">
        <v>0</v>
      </c>
      <c r="CY328" s="47"/>
      <c r="CZ328" s="330">
        <v>45838</v>
      </c>
      <c r="DA328" s="330">
        <v>45865</v>
      </c>
      <c r="DB328" s="331">
        <v>45821</v>
      </c>
      <c r="DC328" s="316" t="s">
        <v>2602</v>
      </c>
      <c r="DD328" s="67">
        <v>18081312563</v>
      </c>
      <c r="DE32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8" s="331">
        <v>45831</v>
      </c>
      <c r="DG328" s="316" t="s">
        <v>2603</v>
      </c>
      <c r="DH328" s="67">
        <v>18081312563</v>
      </c>
      <c r="DI32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8" s="330">
        <v>45866</v>
      </c>
      <c r="DK328" s="330">
        <v>45928</v>
      </c>
      <c r="DL328" s="331">
        <v>45868</v>
      </c>
      <c r="DM328" s="316" t="s">
        <v>2604</v>
      </c>
      <c r="DN32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8" s="331">
        <v>45937</v>
      </c>
      <c r="DP328" s="316" t="s">
        <v>2605</v>
      </c>
      <c r="DQ328" s="338" t="s">
        <v>762</v>
      </c>
      <c r="DR32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8" s="330">
        <v>45866</v>
      </c>
      <c r="DT328" s="330" t="e">
        <v>#N/A</v>
      </c>
      <c r="DU328" s="330">
        <v>45907</v>
      </c>
      <c r="DV328" s="330" t="e">
        <v>#N/A</v>
      </c>
      <c r="DW328" s="331">
        <v>45863</v>
      </c>
      <c r="DX328" s="316" t="s">
        <v>2606</v>
      </c>
      <c r="DY328" s="334">
        <v>126</v>
      </c>
      <c r="DZ328" s="334">
        <v>126</v>
      </c>
      <c r="EA32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8" s="331"/>
      <c r="EC328" s="332">
        <v>100</v>
      </c>
      <c r="ED328" s="332">
        <v>100</v>
      </c>
      <c r="EE328" s="330"/>
      <c r="EF328" s="35">
        <v>0.79365079365079361</v>
      </c>
      <c r="EG328" s="35">
        <f>Table1[[#This Row],[Line PO (kolom  bantu)2]]/Table1[[#This Row],[Line PR]]</f>
        <v>0.79365079365079361</v>
      </c>
      <c r="EH328" s="316" t="str">
        <f>IF(Table1[[#This Row],[PO Material Aktual 
(%)]]&gt;=100%,"Selesai PO = 100%",IF(Table1[[#This Row],[PO Material Aktual 
(%)]]&gt;=50%,"Proses PO &gt; 100%",IF(Table1[[#This Row],[PO Material Aktual 
(%)]]&gt;0%,"Proses PO &gt; 50%",IF(Table1[[#This Row],[PO Material Aktual 
(%)]]=0,"Belum PO = 0%"))))</f>
        <v>Proses PO &gt; 100%</v>
      </c>
      <c r="EI32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8" s="330">
        <v>45908</v>
      </c>
      <c r="EK328" s="330" t="e">
        <v>#N/A</v>
      </c>
      <c r="EL328" s="330">
        <v>45991</v>
      </c>
      <c r="EM328" s="330" t="e">
        <v>#N/A</v>
      </c>
      <c r="EN328" s="331"/>
      <c r="EO328" s="332">
        <v>100</v>
      </c>
      <c r="EP328" s="316">
        <v>100</v>
      </c>
      <c r="EQ328" s="35">
        <v>0.79365079365079361</v>
      </c>
      <c r="ER328" s="35">
        <f>Table1[[#This Row],[Line MOS]]/Table1[[#This Row],[Line PR]]</f>
        <v>0.79365079365079361</v>
      </c>
      <c r="ES328" s="316" t="str">
        <f>IF(Table1[[#This Row],[Progres MOS]]&gt;=100%,"Selesai MOS = 100%",IF(Table1[[#This Row],[Progres MOS]]&gt;=50%,"Proses MOS &gt; 100%",IF(Table1[[#This Row],[Progres MOS]]&gt;0%,"Proses MOS &gt; 50%",IF(Table1[[#This Row],[Progres MOS]]=0,"Belum MOS = 0%"))))</f>
        <v>Proses MOS &gt; 100%</v>
      </c>
      <c r="ET32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8" s="47"/>
      <c r="EV328" s="330">
        <v>45866</v>
      </c>
      <c r="EW328" s="330" t="e">
        <v>#N/A</v>
      </c>
      <c r="EX328" s="330">
        <v>45956</v>
      </c>
      <c r="EY328" s="330" t="e">
        <v>#N/A</v>
      </c>
      <c r="EZ328" s="352" t="s">
        <v>298</v>
      </c>
      <c r="FA328" s="336" t="s">
        <v>298</v>
      </c>
      <c r="FB328" s="330" t="s">
        <v>260</v>
      </c>
      <c r="FC328" s="330">
        <v>45943</v>
      </c>
      <c r="FD328" s="330" t="s">
        <v>260</v>
      </c>
      <c r="FE328" s="330">
        <v>45966</v>
      </c>
      <c r="FF328" s="330">
        <v>45993</v>
      </c>
      <c r="FG328" s="330" t="s">
        <v>260</v>
      </c>
      <c r="FH328" s="330" t="s">
        <v>260</v>
      </c>
      <c r="FI328" s="330">
        <v>46010</v>
      </c>
      <c r="FJ328" s="330" t="s">
        <v>260</v>
      </c>
      <c r="FK328" s="330"/>
      <c r="FL328" s="336" t="s">
        <v>298</v>
      </c>
      <c r="FM328" s="352">
        <v>45943</v>
      </c>
      <c r="FN328" s="338">
        <f>IF(Table1[[#This Row],[Tanggal Pengajuan Dokumen]]="","",Table1[[#This Row],[PLAN PERMIT
start]]-Table1[[#This Row],[Tanggal Pengajuan Dokumen]])</f>
        <v>-77</v>
      </c>
      <c r="FO328" s="437">
        <v>46097</v>
      </c>
      <c r="FP328" s="316" t="s">
        <v>2086</v>
      </c>
      <c r="FQ328" s="338"/>
      <c r="FR328" s="338"/>
      <c r="FS328" s="338" t="str">
        <f t="shared" si="17"/>
        <v>On Going</v>
      </c>
      <c r="FT32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8" s="344">
        <f ca="1">IF(Table1[[#This Row],[Status Izin]]="Selesai",Table1[[#This Row],[PLAN PERMIT
finish]]-Table1[[#This Row],[Tanggal Terbit/ Target Izin Terbit]],ROUNDUP(Table1[[#This Row],[PLAN PERMIT
finish]]-NOW(),0))</f>
        <v>-235</v>
      </c>
      <c r="FV32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8" s="344"/>
      <c r="FX328" s="47"/>
      <c r="FY328" s="340"/>
      <c r="FZ328" s="341"/>
      <c r="GA32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8" s="330">
        <v>45930</v>
      </c>
      <c r="GC328" s="352">
        <v>45937</v>
      </c>
      <c r="GD32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8" s="330">
        <v>45937</v>
      </c>
      <c r="GF328" s="352">
        <v>45950</v>
      </c>
      <c r="GG32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8" s="330">
        <v>45943</v>
      </c>
      <c r="GI328" s="330">
        <v>45949</v>
      </c>
      <c r="GJ328" s="352">
        <v>45954</v>
      </c>
      <c r="GK32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8" s="330">
        <v>45957</v>
      </c>
      <c r="GM328" s="330" t="e">
        <v>#N/A</v>
      </c>
      <c r="GN328" s="330">
        <v>46033</v>
      </c>
      <c r="GO328" s="330" t="e">
        <v>#N/A</v>
      </c>
      <c r="GP328" s="330"/>
      <c r="GQ32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8" s="330" t="s">
        <v>261</v>
      </c>
      <c r="GS328" s="330" t="s">
        <v>261</v>
      </c>
      <c r="GT328" s="354"/>
      <c r="GU328" s="344" t="str">
        <f>IF(Table1[[#This Row],[Hydro Tes Actual
(tanggal)]]&lt;&gt;"","Sudah","Belum")</f>
        <v>Belum</v>
      </c>
      <c r="GV328" s="330" t="s">
        <v>261</v>
      </c>
      <c r="GW328" s="330" t="s">
        <v>261</v>
      </c>
      <c r="GX328" s="331"/>
      <c r="GY328" s="344" t="str">
        <f>IF(Table1[[#This Row],[Interkoneksi Actual
(tanggal)]]&lt;&gt;"","Sudah","Belum")</f>
        <v>Belum</v>
      </c>
      <c r="GZ328" s="330" t="s">
        <v>261</v>
      </c>
      <c r="HA328" s="330" t="s">
        <v>261</v>
      </c>
      <c r="HB328" s="331"/>
      <c r="HC328" s="344" t="str">
        <f>IF(Table1[[#This Row],[Flushing Actual
(tanggal)]]&lt;&gt;"","Sudah","Belum")</f>
        <v>Belum</v>
      </c>
      <c r="HD328" s="330">
        <v>46006</v>
      </c>
      <c r="HE328" s="330" t="e">
        <v>#N/A</v>
      </c>
      <c r="HF328" s="330">
        <v>46019</v>
      </c>
      <c r="HG328" s="352"/>
      <c r="HH32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8" s="330" t="s">
        <v>261</v>
      </c>
      <c r="HJ328" s="330" t="s">
        <v>261</v>
      </c>
      <c r="HK328" s="331"/>
      <c r="HL328" s="316"/>
      <c r="HM328" s="330">
        <v>46038</v>
      </c>
      <c r="HN328" s="330">
        <v>46038</v>
      </c>
      <c r="HO328" s="330" t="e">
        <v>#N/A</v>
      </c>
      <c r="HP328" s="331"/>
      <c r="HQ328"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28" s="330">
        <v>46045</v>
      </c>
      <c r="HS328" s="330"/>
      <c r="HT328" s="330">
        <v>46045</v>
      </c>
      <c r="HU328" s="330"/>
      <c r="HV328" s="331"/>
      <c r="HW32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28" s="47"/>
      <c r="HY328" s="352"/>
      <c r="HZ328" s="352"/>
      <c r="IB328" s="618">
        <f>IFERROR(ROUND((Table1[[#This Row],[PLAN TC
finish]]-Table1[[#This Row],[PLAN MC-0
start]])/30,2),"")</f>
        <v>2.5299999999999998</v>
      </c>
      <c r="IC328">
        <f>DATEDIF(Table1[[#This Row],[PLAN MC-0
start]],Table1[[#This Row],[PLAN TC
finish]],"m")</f>
        <v>2</v>
      </c>
    </row>
    <row r="329" spans="1:237" s="4" customFormat="1" ht="15" hidden="1" customHeight="1" x14ac:dyDescent="0.2">
      <c r="B329" s="311">
        <f>SUBTOTAL(3,$D$5:D329)</f>
        <v>84</v>
      </c>
      <c r="C329" s="316">
        <v>325</v>
      </c>
      <c r="D329" s="315" t="s">
        <v>673</v>
      </c>
      <c r="E329" s="338" t="s">
        <v>2607</v>
      </c>
      <c r="F329" s="338" t="s">
        <v>2608</v>
      </c>
      <c r="G329" s="349">
        <v>46117</v>
      </c>
      <c r="H329" s="338" t="s">
        <v>681</v>
      </c>
      <c r="I329" s="338" t="s">
        <v>278</v>
      </c>
      <c r="J329" s="480" t="s">
        <v>1818</v>
      </c>
      <c r="K329" s="338" t="s">
        <v>676</v>
      </c>
      <c r="L329" s="316" t="s">
        <v>250</v>
      </c>
      <c r="M329" s="355" t="s">
        <v>269</v>
      </c>
      <c r="N329" s="107">
        <v>1242</v>
      </c>
      <c r="O329" s="31" t="s">
        <v>252</v>
      </c>
      <c r="P32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9" s="35">
        <v>1</v>
      </c>
      <c r="S329" s="34">
        <v>1</v>
      </c>
      <c r="T329" s="34">
        <f>Table1[[#This Row],[Progres Total Aktual
(%)]]</f>
        <v>0.85965595879998635</v>
      </c>
      <c r="U329" s="98">
        <f>Table1[[#This Row],[Progres Aktual
(%)]]-Table1[[#This Row],[Target Progres
(%)]]</f>
        <v>-0.14034404120001365</v>
      </c>
      <c r="V329" s="80">
        <f>Table1[[#This Row],["Volume
BA MC-0"]]</f>
        <v>1206</v>
      </c>
      <c r="W329" s="46">
        <f>Table1[[#This Row],[Total Panjang Pipa Aktual
(Sum-&gt;)3]]</f>
        <v>1189</v>
      </c>
      <c r="X329" s="47"/>
      <c r="Y329" s="67" t="s">
        <v>2609</v>
      </c>
      <c r="Z329" s="67">
        <v>2502693494</v>
      </c>
      <c r="AA329" s="67">
        <f>ROUND((Table1[[#This Row],[Nilai RAB Jaringan
(Exclude Ppn)]]-Table1[[#This Row],[RAB Perizinan]])*1.11+Table1[[#This Row],[RAB Perizinan]],0)</f>
        <v>2502693494</v>
      </c>
      <c r="AB329" s="486">
        <f>SUM(Table1[[#This Row],[RAB Kegiatan Umum]:[RAB Perizinan]])</f>
        <v>2255909634</v>
      </c>
      <c r="AC329" s="436">
        <v>176137552</v>
      </c>
      <c r="AD329" s="436">
        <v>1761375511</v>
      </c>
      <c r="AE329" s="436">
        <v>305976571</v>
      </c>
      <c r="AF329" s="436">
        <v>12420000</v>
      </c>
      <c r="AG329" s="483">
        <v>0</v>
      </c>
      <c r="AH329" s="33">
        <f>SUM(Table1[[#This Row],[Bobot Keg Umum]:[Bobot Perizinan]])</f>
        <v>1</v>
      </c>
      <c r="AI329" s="33">
        <f>Table1[[#This Row],[RAB Kegiatan Umum]]/Table1[[#This Row],[Nilai RAB Jaringan
(Exclude Ppn)]]</f>
        <v>7.8078283520464808E-2</v>
      </c>
      <c r="AJ329" s="33">
        <f>Table1[[#This Row],[RAB Pemasangan]]/Table1[[#This Row],[Nilai RAB Jaringan
(Exclude Ppn)]]</f>
        <v>0.78078283121512659</v>
      </c>
      <c r="AK329" s="33">
        <f>Table1[[#This Row],[RAB Pengadaan]]/Table1[[#This Row],[Nilai RAB Jaringan
(Exclude Ppn)]]</f>
        <v>0.13563334558639506</v>
      </c>
      <c r="AL329" s="33">
        <f>Table1[[#This Row],[RAB Perizinan]]/Table1[[#This Row],[Nilai RAB Jaringan
(Exclude Ppn)]]</f>
        <v>5.5055396780135388E-3</v>
      </c>
      <c r="AM329" s="47"/>
      <c r="AN329" s="285">
        <v>1206</v>
      </c>
      <c r="AO329" s="285">
        <f>SUM(Table1[[#This Row],[Pipa 63 mm]:[Pipa 1,800 mm]])</f>
        <v>1206</v>
      </c>
      <c r="AP329" s="285"/>
      <c r="AQ329" s="285">
        <v>402</v>
      </c>
      <c r="AR329" s="285">
        <v>799</v>
      </c>
      <c r="AS329" s="285">
        <v>5</v>
      </c>
      <c r="AT329" s="285"/>
      <c r="AU329" s="285"/>
      <c r="AV329" s="285"/>
      <c r="AW329" s="285"/>
      <c r="AX329" s="285"/>
      <c r="AY329" s="285"/>
      <c r="AZ329" s="285"/>
      <c r="BA329" s="285"/>
      <c r="BB329" s="285"/>
      <c r="BC329" s="285"/>
      <c r="BD329" s="285"/>
      <c r="BE329" s="285"/>
      <c r="BF329" s="285"/>
      <c r="BG329" s="285"/>
      <c r="BH329" s="285"/>
      <c r="BI329" s="285"/>
      <c r="BJ329" s="262">
        <f>SUM(Table1[[#This Row],[Pipa 63 mm2]:[Pipa 1,800 mm21]])</f>
        <v>1189</v>
      </c>
      <c r="BK329" s="32"/>
      <c r="BL329" s="32">
        <v>400</v>
      </c>
      <c r="BM329" s="32">
        <v>789</v>
      </c>
      <c r="BN329" s="32"/>
      <c r="BO329" s="32"/>
      <c r="BP329" s="32"/>
      <c r="BQ329" s="32"/>
      <c r="BR329" s="32"/>
      <c r="BS329" s="32"/>
      <c r="BT329" s="32"/>
      <c r="BU329" s="32"/>
      <c r="BV329" s="32"/>
      <c r="BW329" s="32"/>
      <c r="BX329" s="32"/>
      <c r="BY329" s="32"/>
      <c r="BZ329" s="32"/>
      <c r="CA329" s="32"/>
      <c r="CB329" s="32"/>
      <c r="CC329" s="32"/>
      <c r="CD329" s="32"/>
      <c r="CE329" s="32">
        <v>0</v>
      </c>
      <c r="CF329" s="32"/>
      <c r="CG329" s="32"/>
      <c r="CH329" s="32"/>
      <c r="CI329" s="32">
        <f t="shared" si="16"/>
        <v>0</v>
      </c>
      <c r="CJ329" s="65">
        <f>IF((Table1[[#This Row],["Volume
BA MC-0"]]-Table1[[#This Row],[Total Panjang Pipa Aktual
(Sum-&gt;)3]]-Table1[[#This Row],[Total Volume
tidak dapat dipasang]])&gt;=0,Table1[[#This Row],["Volume
BA MC-0"]]-Table1[[#This Row],[Total Panjang Pipa Aktual
(Sum-&gt;)3]]-Table1[[#This Row],[Total Volume
tidak dapat dipasang]],0)</f>
        <v>17</v>
      </c>
      <c r="CK329" s="47"/>
      <c r="CL329" s="484" t="s">
        <v>1821</v>
      </c>
      <c r="CM329" s="34" t="s">
        <v>1821</v>
      </c>
      <c r="CN329" s="484" t="s">
        <v>1821</v>
      </c>
      <c r="CO329" s="484" t="s">
        <v>1821</v>
      </c>
      <c r="CP32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0.85965595879998635</v>
      </c>
      <c r="CQ329" s="66">
        <f>IFERROR(Table1[[#This Row],[Progres Keg. Umum
(%)]]*Table1[[#This Row],[Nilai RAB Jaringan
(file pa aji)]],0)</f>
        <v>0</v>
      </c>
      <c r="CR329" s="66">
        <f>IFERROR(Table1[[#This Row],[Progres MOS
(%)]]*Table1[[#This Row],[Nilai RAB Jaringan
(file pa aji)]],0)</f>
        <v>0</v>
      </c>
      <c r="CS329" s="66">
        <f>IFERROR(Table1[[#This Row],[Progres Pemasangan
(%)]]*Table1[[#This Row],[Nilai RAB Jaringan
(file pa aji)]],0)</f>
        <v>0</v>
      </c>
      <c r="CT329" s="66">
        <f>IFERROR(Table1[[#This Row],[Progres Perizinan
(%)]]*Table1[[#This Row],[Nilai RAB Jaringan
(file pa aji)]],0)</f>
        <v>0</v>
      </c>
      <c r="CU329" s="329">
        <v>2151455375.167058</v>
      </c>
      <c r="CV329" s="329">
        <v>2151455375.167058</v>
      </c>
      <c r="CW329" s="583">
        <v>0</v>
      </c>
      <c r="CX329" s="329">
        <v>0</v>
      </c>
      <c r="CY329" s="47"/>
      <c r="CZ329" s="330">
        <v>45838</v>
      </c>
      <c r="DA329" s="330">
        <v>45865</v>
      </c>
      <c r="DB329" s="331">
        <v>45821</v>
      </c>
      <c r="DC329" s="316" t="s">
        <v>2610</v>
      </c>
      <c r="DD329" s="67">
        <v>2502693494</v>
      </c>
      <c r="DE32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9" s="331">
        <v>45831</v>
      </c>
      <c r="DG329" s="316" t="s">
        <v>2611</v>
      </c>
      <c r="DH329" s="67">
        <v>2502693494</v>
      </c>
      <c r="DI32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9" s="330">
        <v>45866</v>
      </c>
      <c r="DK329" s="330">
        <v>45928</v>
      </c>
      <c r="DL329" s="331">
        <v>45868</v>
      </c>
      <c r="DM329" s="316" t="s">
        <v>2612</v>
      </c>
      <c r="DN32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9" s="331">
        <v>45917</v>
      </c>
      <c r="DP329" s="316" t="s">
        <v>2613</v>
      </c>
      <c r="DQ329" s="338" t="s">
        <v>1873</v>
      </c>
      <c r="DR32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9" s="330">
        <v>45866</v>
      </c>
      <c r="DT329" s="330" t="e">
        <v>#N/A</v>
      </c>
      <c r="DU329" s="330">
        <v>45907</v>
      </c>
      <c r="DV329" s="330" t="e">
        <v>#N/A</v>
      </c>
      <c r="DW329" s="331">
        <v>45863</v>
      </c>
      <c r="DX329" s="316" t="s">
        <v>2614</v>
      </c>
      <c r="DY329" s="334">
        <v>46</v>
      </c>
      <c r="DZ329" s="334">
        <v>46</v>
      </c>
      <c r="EA32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9" s="331"/>
      <c r="EC329" s="332">
        <v>37</v>
      </c>
      <c r="ED329" s="332">
        <v>37</v>
      </c>
      <c r="EE329" s="330"/>
      <c r="EF329" s="35">
        <v>0.80434782608695654</v>
      </c>
      <c r="EG329" s="35">
        <f>Table1[[#This Row],[Line PO (kolom  bantu)2]]/Table1[[#This Row],[Line PR]]</f>
        <v>0.80434782608695654</v>
      </c>
      <c r="EH329" s="316" t="str">
        <f>IF(Table1[[#This Row],[PO Material Aktual 
(%)]]&gt;=100%,"Selesai PO = 100%",IF(Table1[[#This Row],[PO Material Aktual 
(%)]]&gt;=50%,"Proses PO &gt; 100%",IF(Table1[[#This Row],[PO Material Aktual 
(%)]]&gt;0%,"Proses PO &gt; 50%",IF(Table1[[#This Row],[PO Material Aktual 
(%)]]=0,"Belum PO = 0%"))))</f>
        <v>Proses PO &gt; 100%</v>
      </c>
      <c r="EI32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9" s="330">
        <v>45908</v>
      </c>
      <c r="EK329" s="330" t="e">
        <v>#N/A</v>
      </c>
      <c r="EL329" s="330">
        <v>45977</v>
      </c>
      <c r="EM329" s="330" t="e">
        <v>#N/A</v>
      </c>
      <c r="EN329" s="331"/>
      <c r="EO329" s="332">
        <v>37</v>
      </c>
      <c r="EP329" s="316">
        <v>37</v>
      </c>
      <c r="EQ329" s="35">
        <v>0.80434782608695654</v>
      </c>
      <c r="ER329" s="35">
        <f>Table1[[#This Row],[Line MOS]]/Table1[[#This Row],[Line PR]]</f>
        <v>0.80434782608695654</v>
      </c>
      <c r="ES329" s="316" t="str">
        <f>IF(Table1[[#This Row],[Progres MOS]]&gt;=100%,"Selesai MOS = 100%",IF(Table1[[#This Row],[Progres MOS]]&gt;=50%,"Proses MOS &gt; 100%",IF(Table1[[#This Row],[Progres MOS]]&gt;0%,"Proses MOS &gt; 50%",IF(Table1[[#This Row],[Progres MOS]]=0,"Belum MOS = 0%"))))</f>
        <v>Proses MOS &gt; 100%</v>
      </c>
      <c r="ET32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9" s="47"/>
      <c r="EV329" s="330">
        <v>45866</v>
      </c>
      <c r="EW329" s="330" t="e">
        <v>#N/A</v>
      </c>
      <c r="EX329" s="330">
        <v>45956</v>
      </c>
      <c r="EY329" s="330" t="e">
        <v>#N/A</v>
      </c>
      <c r="EZ329" s="352" t="s">
        <v>298</v>
      </c>
      <c r="FA329" s="336" t="s">
        <v>298</v>
      </c>
      <c r="FB329" s="330" t="s">
        <v>260</v>
      </c>
      <c r="FC329" s="330">
        <v>45943</v>
      </c>
      <c r="FD329" s="330" t="s">
        <v>260</v>
      </c>
      <c r="FE329" s="330">
        <v>45966</v>
      </c>
      <c r="FF329" s="330">
        <v>45993</v>
      </c>
      <c r="FG329" s="330" t="s">
        <v>260</v>
      </c>
      <c r="FH329" s="330" t="s">
        <v>260</v>
      </c>
      <c r="FI329" s="330">
        <v>46010</v>
      </c>
      <c r="FJ329" s="330" t="s">
        <v>260</v>
      </c>
      <c r="FK329" s="330"/>
      <c r="FL329" s="336" t="s">
        <v>298</v>
      </c>
      <c r="FM329" s="352">
        <v>45943</v>
      </c>
      <c r="FN329" s="338">
        <f>IF(Table1[[#This Row],[Tanggal Pengajuan Dokumen]]="","",Table1[[#This Row],[PLAN PERMIT
start]]-Table1[[#This Row],[Tanggal Pengajuan Dokumen]])</f>
        <v>-77</v>
      </c>
      <c r="FO329" s="437">
        <v>46097</v>
      </c>
      <c r="FP329" s="316"/>
      <c r="FQ329" s="338"/>
      <c r="FR329" s="338"/>
      <c r="FS329" s="338" t="str">
        <f t="shared" si="17"/>
        <v>On Going</v>
      </c>
      <c r="FT32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9" s="344">
        <f ca="1">IF(Table1[[#This Row],[Status Izin]]="Selesai",Table1[[#This Row],[PLAN PERMIT
finish]]-Table1[[#This Row],[Tanggal Terbit/ Target Izin Terbit]],ROUNDUP(Table1[[#This Row],[PLAN PERMIT
finish]]-NOW(),0))</f>
        <v>-235</v>
      </c>
      <c r="FV32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9" s="344"/>
      <c r="FX329" s="47"/>
      <c r="FY329" s="340"/>
      <c r="FZ329" s="341"/>
      <c r="GA32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9" s="330">
        <v>45930</v>
      </c>
      <c r="GC329" s="352">
        <v>45937</v>
      </c>
      <c r="GD32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9" s="330">
        <v>45937</v>
      </c>
      <c r="GF329" s="352">
        <v>45951</v>
      </c>
      <c r="GG32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9" s="330">
        <v>45943</v>
      </c>
      <c r="GI329" s="330">
        <v>45949</v>
      </c>
      <c r="GJ329" s="352">
        <v>45959</v>
      </c>
      <c r="GK32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9" s="330">
        <v>45957</v>
      </c>
      <c r="GM329" s="330" t="e">
        <v>#N/A</v>
      </c>
      <c r="GN329" s="330">
        <v>46005</v>
      </c>
      <c r="GO329" s="330" t="e">
        <v>#N/A</v>
      </c>
      <c r="GP329" s="330"/>
      <c r="GQ32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9" s="330" t="s">
        <v>261</v>
      </c>
      <c r="GS329" s="330" t="s">
        <v>261</v>
      </c>
      <c r="GT329" s="354">
        <v>46020</v>
      </c>
      <c r="GU329" s="344" t="str">
        <f>IF(Table1[[#This Row],[Hydro Tes Actual
(tanggal)]]&lt;&gt;"","Sudah","Belum")</f>
        <v>Sudah</v>
      </c>
      <c r="GV329" s="330" t="s">
        <v>261</v>
      </c>
      <c r="GW329" s="330" t="s">
        <v>261</v>
      </c>
      <c r="GX329" s="331"/>
      <c r="GY329" s="344" t="str">
        <f>IF(Table1[[#This Row],[Interkoneksi Actual
(tanggal)]]&lt;&gt;"","Sudah","Belum")</f>
        <v>Belum</v>
      </c>
      <c r="GZ329" s="330" t="s">
        <v>261</v>
      </c>
      <c r="HA329" s="330" t="s">
        <v>261</v>
      </c>
      <c r="HB329" s="331"/>
      <c r="HC329" s="344" t="str">
        <f>IF(Table1[[#This Row],[Flushing Actual
(tanggal)]]&lt;&gt;"","Sudah","Belum")</f>
        <v>Belum</v>
      </c>
      <c r="HD329" s="330">
        <v>45978</v>
      </c>
      <c r="HE329" s="330" t="e">
        <v>#N/A</v>
      </c>
      <c r="HF329" s="330">
        <v>45998</v>
      </c>
      <c r="HG329" s="352"/>
      <c r="HH32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9" s="330" t="s">
        <v>261</v>
      </c>
      <c r="HJ329" s="330" t="s">
        <v>261</v>
      </c>
      <c r="HK329" s="331"/>
      <c r="HL329" s="316"/>
      <c r="HM329" s="330">
        <v>46010</v>
      </c>
      <c r="HN329" s="330">
        <v>46010</v>
      </c>
      <c r="HO329" s="330" t="e">
        <v>#N/A</v>
      </c>
      <c r="HP329" s="331"/>
      <c r="HQ329"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29" s="330">
        <v>46017</v>
      </c>
      <c r="HS329" s="330"/>
      <c r="HT329" s="330">
        <v>46017</v>
      </c>
      <c r="HU329" s="330"/>
      <c r="HV329" s="331"/>
      <c r="HW32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29" s="47"/>
      <c r="HY329" s="352"/>
      <c r="HZ329" s="352"/>
      <c r="IB329" s="618">
        <f>IFERROR(ROUND((Table1[[#This Row],[PLAN TC
finish]]-Table1[[#This Row],[PLAN MC-0
start]])/30,2),"")</f>
        <v>1.83</v>
      </c>
      <c r="IC329">
        <f>DATEDIF(Table1[[#This Row],[PLAN MC-0
start]],Table1[[#This Row],[PLAN TC
finish]],"m")</f>
        <v>1</v>
      </c>
    </row>
    <row r="330" spans="1:237" s="4" customFormat="1" ht="15" hidden="1" customHeight="1" x14ac:dyDescent="0.2">
      <c r="B330" s="311">
        <f>SUBTOTAL(3,$D$5:D330)</f>
        <v>84</v>
      </c>
      <c r="C330" s="316">
        <v>326</v>
      </c>
      <c r="D330" s="315" t="s">
        <v>673</v>
      </c>
      <c r="E330" s="338" t="s">
        <v>2615</v>
      </c>
      <c r="F330" s="448" t="s">
        <v>2616</v>
      </c>
      <c r="G330" s="349">
        <v>46117</v>
      </c>
      <c r="H330" s="338" t="s">
        <v>681</v>
      </c>
      <c r="I330" s="338" t="s">
        <v>278</v>
      </c>
      <c r="J330" s="480" t="s">
        <v>1818</v>
      </c>
      <c r="K330" s="338" t="s">
        <v>676</v>
      </c>
      <c r="L330" s="316" t="s">
        <v>250</v>
      </c>
      <c r="M330" s="355" t="s">
        <v>269</v>
      </c>
      <c r="N330" s="107">
        <v>350</v>
      </c>
      <c r="O330" s="31" t="s">
        <v>252</v>
      </c>
      <c r="P33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0" s="35">
        <v>0.99999999999999956</v>
      </c>
      <c r="S330" s="34">
        <v>1</v>
      </c>
      <c r="T330" s="34">
        <f>Table1[[#This Row],[Progres Total Aktual
(%)]]</f>
        <v>8.9484958966922851E-2</v>
      </c>
      <c r="U330" s="98">
        <f>Table1[[#This Row],[Progres Aktual
(%)]]-Table1[[#This Row],[Target Progres
(%)]]</f>
        <v>-0.91051504103307712</v>
      </c>
      <c r="V330" s="80">
        <f>Table1[[#This Row],["Volume
BA MC-0"]]</f>
        <v>360</v>
      </c>
      <c r="W330" s="46">
        <f>Table1[[#This Row],[Total Panjang Pipa Aktual
(Sum-&gt;)3]]</f>
        <v>1</v>
      </c>
      <c r="X330" s="47"/>
      <c r="Y330" s="67" t="s">
        <v>2617</v>
      </c>
      <c r="Z330" s="67">
        <v>494384995</v>
      </c>
      <c r="AA330" s="67">
        <f>ROUND((Table1[[#This Row],[Nilai RAB Jaringan
(Exclude Ppn)]]-Table1[[#This Row],[RAB Perizinan]])*1.11+Table1[[#This Row],[RAB Perizinan]],0)</f>
        <v>494384995</v>
      </c>
      <c r="AB330" s="486">
        <f>SUM(Table1[[#This Row],[RAB Kegiatan Umum]:[RAB Perizinan]])</f>
        <v>445738734</v>
      </c>
      <c r="AC330" s="436">
        <v>35979071</v>
      </c>
      <c r="AD330" s="436">
        <v>359790701</v>
      </c>
      <c r="AE330" s="436">
        <v>46468962</v>
      </c>
      <c r="AF330" s="436">
        <v>3500000</v>
      </c>
      <c r="AG330" s="483">
        <v>2107039</v>
      </c>
      <c r="AH330" s="33">
        <f>SUM(Table1[[#This Row],[Bobot Keg Umum]:[Bobot Perizinan]])</f>
        <v>1</v>
      </c>
      <c r="AI330" s="33">
        <f>Table1[[#This Row],[RAB Kegiatan Umum]]/Table1[[#This Row],[Nilai RAB Jaringan
(Exclude Ppn)]]</f>
        <v>8.0717847150344357E-2</v>
      </c>
      <c r="AJ330" s="33">
        <f>Table1[[#This Row],[RAB Pemasangan]]/Table1[[#This Row],[Nilai RAB Jaringan
(Exclude Ppn)]]</f>
        <v>0.80717845131224342</v>
      </c>
      <c r="AK330" s="33">
        <f>Table1[[#This Row],[RAB Pengadaan]]/Table1[[#This Row],[Nilai RAB Jaringan
(Exclude Ppn)]]</f>
        <v>0.1042515681394653</v>
      </c>
      <c r="AL330" s="33">
        <f>Table1[[#This Row],[RAB Perizinan]]/Table1[[#This Row],[Nilai RAB Jaringan
(Exclude Ppn)]]</f>
        <v>7.8521333979469695E-3</v>
      </c>
      <c r="AM330" s="47"/>
      <c r="AN330" s="285">
        <v>360</v>
      </c>
      <c r="AO330" s="285">
        <f>SUM(Table1[[#This Row],[Pipa 63 mm]:[Pipa 1,800 mm]])</f>
        <v>360</v>
      </c>
      <c r="AP330" s="285">
        <v>250</v>
      </c>
      <c r="AQ330" s="285">
        <v>110</v>
      </c>
      <c r="AR330" s="285"/>
      <c r="AS330" s="285"/>
      <c r="AT330" s="285"/>
      <c r="AU330" s="285"/>
      <c r="AV330" s="285"/>
      <c r="AW330" s="285"/>
      <c r="AX330" s="285"/>
      <c r="AY330" s="285"/>
      <c r="AZ330" s="285"/>
      <c r="BA330" s="285"/>
      <c r="BB330" s="285"/>
      <c r="BC330" s="285"/>
      <c r="BD330" s="285"/>
      <c r="BE330" s="285"/>
      <c r="BF330" s="285"/>
      <c r="BG330" s="285"/>
      <c r="BH330" s="285"/>
      <c r="BI330" s="285"/>
      <c r="BJ330" s="262">
        <f>SUM(Table1[[#This Row],[Pipa 63 mm2]:[Pipa 1,800 mm21]])</f>
        <v>1</v>
      </c>
      <c r="BK330" s="32">
        <v>1</v>
      </c>
      <c r="BL330" s="32"/>
      <c r="BM330" s="32"/>
      <c r="BN330" s="32"/>
      <c r="BO330" s="32"/>
      <c r="BP330" s="32"/>
      <c r="BQ330" s="32"/>
      <c r="BR330" s="32"/>
      <c r="BS330" s="32"/>
      <c r="BT330" s="32"/>
      <c r="BU330" s="32"/>
      <c r="BV330" s="32"/>
      <c r="BW330" s="32"/>
      <c r="BX330" s="32"/>
      <c r="BY330" s="32"/>
      <c r="BZ330" s="32"/>
      <c r="CA330" s="32"/>
      <c r="CB330" s="32"/>
      <c r="CC330" s="32"/>
      <c r="CD330" s="32"/>
      <c r="CE330" s="32">
        <v>0</v>
      </c>
      <c r="CF330" s="32"/>
      <c r="CG330" s="32"/>
      <c r="CH330" s="32"/>
      <c r="CI330" s="32">
        <f t="shared" si="16"/>
        <v>0</v>
      </c>
      <c r="CJ330" s="65">
        <f>IF((Table1[[#This Row],["Volume
BA MC-0"]]-Table1[[#This Row],[Total Panjang Pipa Aktual
(Sum-&gt;)3]]-Table1[[#This Row],[Total Volume
tidak dapat dipasang]])&gt;=0,Table1[[#This Row],["Volume
BA MC-0"]]-Table1[[#This Row],[Total Panjang Pipa Aktual
(Sum-&gt;)3]]-Table1[[#This Row],[Total Volume
tidak dapat dipasang]],0)</f>
        <v>359</v>
      </c>
      <c r="CK330" s="47"/>
      <c r="CL330" s="484" t="s">
        <v>1821</v>
      </c>
      <c r="CM330" s="34" t="s">
        <v>1821</v>
      </c>
      <c r="CN330" s="484" t="s">
        <v>1821</v>
      </c>
      <c r="CO330" s="484" t="s">
        <v>1821</v>
      </c>
      <c r="CP33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8.9484958966922851E-2</v>
      </c>
      <c r="CQ330" s="66">
        <f>IFERROR(Table1[[#This Row],[Progres Keg. Umum
(%)]]*Table1[[#This Row],[Nilai RAB Jaringan
(file pa aji)]],0)</f>
        <v>0</v>
      </c>
      <c r="CR330" s="66">
        <f>IFERROR(Table1[[#This Row],[Progres MOS
(%)]]*Table1[[#This Row],[Nilai RAB Jaringan
(file pa aji)]],0)</f>
        <v>0</v>
      </c>
      <c r="CS330" s="66">
        <f>IFERROR(Table1[[#This Row],[Progres Pemasangan
(%)]]*Table1[[#This Row],[Nilai RAB Jaringan
(file pa aji)]],0)</f>
        <v>0</v>
      </c>
      <c r="CT330" s="66">
        <f>IFERROR(Table1[[#This Row],[Progres Perizinan
(%)]]*Table1[[#This Row],[Nilai RAB Jaringan
(file pa aji)]],0)</f>
        <v>0</v>
      </c>
      <c r="CU330" s="329">
        <v>44240020.991437361</v>
      </c>
      <c r="CV330" s="329">
        <v>44240020.991437361</v>
      </c>
      <c r="CW330" s="583">
        <v>0</v>
      </c>
      <c r="CX330" s="329">
        <v>0</v>
      </c>
      <c r="CY330" s="47"/>
      <c r="CZ330" s="330">
        <v>45866</v>
      </c>
      <c r="DA330" s="330">
        <v>45893</v>
      </c>
      <c r="DB330" s="331">
        <v>45901</v>
      </c>
      <c r="DC330" s="316" t="s">
        <v>2618</v>
      </c>
      <c r="DD330" s="67">
        <v>494384994.74000001</v>
      </c>
      <c r="DE33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0" s="331">
        <v>45915</v>
      </c>
      <c r="DG330" s="316" t="s">
        <v>2619</v>
      </c>
      <c r="DH330" s="67">
        <v>494384994.74000001</v>
      </c>
      <c r="DI33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0" s="330">
        <v>45894</v>
      </c>
      <c r="DK330" s="330">
        <v>45963</v>
      </c>
      <c r="DL330" s="331">
        <v>45937</v>
      </c>
      <c r="DM330" s="316" t="s">
        <v>2620</v>
      </c>
      <c r="DN33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0" s="331">
        <v>45946</v>
      </c>
      <c r="DP330" s="316" t="s">
        <v>2621</v>
      </c>
      <c r="DQ330" s="338" t="s">
        <v>762</v>
      </c>
      <c r="DR33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0" s="330">
        <v>45894</v>
      </c>
      <c r="DT330" s="330" t="e">
        <v>#N/A</v>
      </c>
      <c r="DU330" s="330">
        <v>45935</v>
      </c>
      <c r="DV330" s="330" t="e">
        <v>#N/A</v>
      </c>
      <c r="DW330" s="331">
        <v>45937</v>
      </c>
      <c r="DX330" s="484" t="s">
        <v>2622</v>
      </c>
      <c r="DY330" s="334">
        <v>20</v>
      </c>
      <c r="DZ330" s="334">
        <v>20</v>
      </c>
      <c r="EA33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0" s="331"/>
      <c r="EC330" s="332">
        <v>19</v>
      </c>
      <c r="ED330" s="332">
        <v>19</v>
      </c>
      <c r="EE330" s="330"/>
      <c r="EF330" s="35">
        <v>0.95</v>
      </c>
      <c r="EG330" s="35">
        <f>Table1[[#This Row],[Line PO (kolom  bantu)2]]/Table1[[#This Row],[Line PR]]</f>
        <v>0.95</v>
      </c>
      <c r="EH330" s="316" t="str">
        <f>IF(Table1[[#This Row],[PO Material Aktual 
(%)]]&gt;=100%,"Selesai PO = 100%",IF(Table1[[#This Row],[PO Material Aktual 
(%)]]&gt;=50%,"Proses PO &gt; 100%",IF(Table1[[#This Row],[PO Material Aktual 
(%)]]&gt;0%,"Proses PO &gt; 50%",IF(Table1[[#This Row],[PO Material Aktual 
(%)]]=0,"Belum PO = 0%"))))</f>
        <v>Proses PO &gt; 100%</v>
      </c>
      <c r="EI33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0" s="330">
        <v>45936</v>
      </c>
      <c r="EK330" s="330" t="e">
        <v>#N/A</v>
      </c>
      <c r="EL330" s="330">
        <v>45991</v>
      </c>
      <c r="EM330" s="330" t="e">
        <v>#N/A</v>
      </c>
      <c r="EN330" s="331"/>
      <c r="EO330" s="332">
        <v>19</v>
      </c>
      <c r="EP330" s="316">
        <v>19</v>
      </c>
      <c r="EQ330" s="35">
        <v>0.95</v>
      </c>
      <c r="ER330" s="35">
        <f>Table1[[#This Row],[Line MOS]]/Table1[[#This Row],[Line PR]]</f>
        <v>0.95</v>
      </c>
      <c r="ES330" s="316" t="str">
        <f>IF(Table1[[#This Row],[Progres MOS]]&gt;=100%,"Selesai MOS = 100%",IF(Table1[[#This Row],[Progres MOS]]&gt;=50%,"Proses MOS &gt; 100%",IF(Table1[[#This Row],[Progres MOS]]&gt;0%,"Proses MOS &gt; 50%",IF(Table1[[#This Row],[Progres MOS]]=0,"Belum MOS = 0%"))))</f>
        <v>Proses MOS &gt; 100%</v>
      </c>
      <c r="ET33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0" s="47"/>
      <c r="EV330" s="330">
        <v>45894</v>
      </c>
      <c r="EW330" s="330" t="e">
        <v>#N/A</v>
      </c>
      <c r="EX330" s="330">
        <v>45991</v>
      </c>
      <c r="EY330" s="330" t="e">
        <v>#N/A</v>
      </c>
      <c r="EZ330" s="352" t="s">
        <v>298</v>
      </c>
      <c r="FA330" s="336" t="s">
        <v>259</v>
      </c>
      <c r="FB330" s="330" t="s">
        <v>260</v>
      </c>
      <c r="FC330" s="330">
        <v>45945</v>
      </c>
      <c r="FD330" s="330" t="s">
        <v>260</v>
      </c>
      <c r="FE330" s="330">
        <v>45966</v>
      </c>
      <c r="FF330" s="330">
        <v>45993</v>
      </c>
      <c r="FG330" s="330" t="s">
        <v>260</v>
      </c>
      <c r="FH330" s="330" t="s">
        <v>260</v>
      </c>
      <c r="FI330" s="330">
        <v>46013</v>
      </c>
      <c r="FJ330" s="330" t="s">
        <v>260</v>
      </c>
      <c r="FK330" s="330">
        <v>46142</v>
      </c>
      <c r="FL330" s="336" t="s">
        <v>298</v>
      </c>
      <c r="FM330" s="352">
        <v>45945</v>
      </c>
      <c r="FN330" s="338">
        <f>IF(Table1[[#This Row],[Tanggal Pengajuan Dokumen]]="","",Table1[[#This Row],[PLAN PERMIT
start]]-Table1[[#This Row],[Tanggal Pengajuan Dokumen]])</f>
        <v>-51</v>
      </c>
      <c r="FO330" s="437">
        <v>46097</v>
      </c>
      <c r="FP330" s="316"/>
      <c r="FQ330" s="338"/>
      <c r="FR330" s="338"/>
      <c r="FS330" s="338" t="str">
        <f t="shared" si="17"/>
        <v>Sudah Terbit</v>
      </c>
      <c r="FT33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0" s="344">
        <f ca="1">IF(Table1[[#This Row],[Status Izin]]="Selesai",Table1[[#This Row],[PLAN PERMIT
finish]]-Table1[[#This Row],[Tanggal Terbit/ Target Izin Terbit]],ROUNDUP(Table1[[#This Row],[PLAN PERMIT
finish]]-NOW(),0))</f>
        <v>-106</v>
      </c>
      <c r="FV33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0" s="344"/>
      <c r="FX330" s="47"/>
      <c r="FY330" s="340"/>
      <c r="FZ330" s="341"/>
      <c r="GA33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0" s="330">
        <v>45965</v>
      </c>
      <c r="GC330" s="352">
        <v>45950</v>
      </c>
      <c r="GD33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0" s="330">
        <v>45972</v>
      </c>
      <c r="GF330" s="352">
        <v>45950</v>
      </c>
      <c r="GG33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0" s="330">
        <v>45978</v>
      </c>
      <c r="GI330" s="330">
        <v>45984</v>
      </c>
      <c r="GJ330" s="352">
        <v>45954</v>
      </c>
      <c r="GK33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0" s="330">
        <v>45992</v>
      </c>
      <c r="GM330" s="330" t="e">
        <v>#N/A</v>
      </c>
      <c r="GN330" s="330">
        <v>46033</v>
      </c>
      <c r="GO330" s="330" t="e">
        <v>#N/A</v>
      </c>
      <c r="GP330" s="330"/>
      <c r="GQ33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0" s="330" t="s">
        <v>261</v>
      </c>
      <c r="GS330" s="330" t="s">
        <v>261</v>
      </c>
      <c r="GT330" s="354"/>
      <c r="GU330" s="344" t="str">
        <f>IF(Table1[[#This Row],[Hydro Tes Actual
(tanggal)]]&lt;&gt;"","Sudah","Belum")</f>
        <v>Belum</v>
      </c>
      <c r="GV330" s="330" t="s">
        <v>261</v>
      </c>
      <c r="GW330" s="330" t="s">
        <v>261</v>
      </c>
      <c r="GX330" s="331"/>
      <c r="GY330" s="344" t="str">
        <f>IF(Table1[[#This Row],[Interkoneksi Actual
(tanggal)]]&lt;&gt;"","Sudah","Belum")</f>
        <v>Belum</v>
      </c>
      <c r="GZ330" s="330" t="s">
        <v>261</v>
      </c>
      <c r="HA330" s="330" t="s">
        <v>261</v>
      </c>
      <c r="HB330" s="331"/>
      <c r="HC330" s="344" t="str">
        <f>IF(Table1[[#This Row],[Flushing Actual
(tanggal)]]&lt;&gt;"","Sudah","Belum")</f>
        <v>Belum</v>
      </c>
      <c r="HD330" s="330">
        <v>46013</v>
      </c>
      <c r="HE330" s="330" t="e">
        <v>#N/A</v>
      </c>
      <c r="HF330" s="330">
        <v>46026</v>
      </c>
      <c r="HG330" s="352"/>
      <c r="HH33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0" s="330" t="s">
        <v>261</v>
      </c>
      <c r="HJ330" s="330" t="s">
        <v>261</v>
      </c>
      <c r="HK330" s="331"/>
      <c r="HL330" s="316"/>
      <c r="HM330" s="330">
        <v>46038</v>
      </c>
      <c r="HN330" s="330">
        <v>46038</v>
      </c>
      <c r="HO330" s="330" t="e">
        <v>#N/A</v>
      </c>
      <c r="HP330" s="331"/>
      <c r="HQ330"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30" s="330">
        <v>46045</v>
      </c>
      <c r="HS330" s="330"/>
      <c r="HT330" s="330">
        <v>46045</v>
      </c>
      <c r="HU330" s="330"/>
      <c r="HV330" s="331"/>
      <c r="HW33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30" s="47"/>
      <c r="HY330" s="352"/>
      <c r="HZ330" s="352"/>
      <c r="IB330" s="618">
        <f>IFERROR(ROUND((Table1[[#This Row],[PLAN TC
finish]]-Table1[[#This Row],[PLAN MC-0
start]])/30,2),"")</f>
        <v>1.6</v>
      </c>
      <c r="IC330">
        <f>DATEDIF(Table1[[#This Row],[PLAN MC-0
start]],Table1[[#This Row],[PLAN TC
finish]],"m")</f>
        <v>1</v>
      </c>
    </row>
    <row r="331" spans="1:237" s="4" customFormat="1" ht="15" hidden="1" customHeight="1" x14ac:dyDescent="0.2">
      <c r="B331" s="311">
        <f>SUBTOTAL(3,$D$5:D331)</f>
        <v>84</v>
      </c>
      <c r="C331" s="316">
        <v>327</v>
      </c>
      <c r="D331" s="315" t="s">
        <v>673</v>
      </c>
      <c r="E331" s="338" t="s">
        <v>2623</v>
      </c>
      <c r="F331" s="338" t="s">
        <v>2624</v>
      </c>
      <c r="G331" s="349">
        <v>46117</v>
      </c>
      <c r="H331" s="338" t="s">
        <v>681</v>
      </c>
      <c r="I331" s="338" t="s">
        <v>278</v>
      </c>
      <c r="J331" s="480" t="s">
        <v>1830</v>
      </c>
      <c r="K331" s="338" t="s">
        <v>676</v>
      </c>
      <c r="L331" s="316" t="s">
        <v>250</v>
      </c>
      <c r="M331" s="355" t="s">
        <v>269</v>
      </c>
      <c r="N331" s="107">
        <v>193</v>
      </c>
      <c r="O331" s="31" t="s">
        <v>252</v>
      </c>
      <c r="P33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1" s="35">
        <v>1</v>
      </c>
      <c r="S331" s="34">
        <v>1</v>
      </c>
      <c r="T331" s="34">
        <f>Table1[[#This Row],[Progres Total Aktual
(%)]]</f>
        <v>1</v>
      </c>
      <c r="U331" s="98">
        <f>Table1[[#This Row],[Progres Aktual
(%)]]-Table1[[#This Row],[Target Progres
(%)]]</f>
        <v>0</v>
      </c>
      <c r="V331" s="80">
        <f>Table1[[#This Row],["Volume
BA MC-0"]]</f>
        <v>200</v>
      </c>
      <c r="W331" s="46">
        <f>Table1[[#This Row],[Total Panjang Pipa Aktual
(Sum-&gt;)3]]</f>
        <v>200</v>
      </c>
      <c r="X331" s="47"/>
      <c r="Y331" s="67" t="s">
        <v>2625</v>
      </c>
      <c r="Z331" s="67">
        <v>491752264</v>
      </c>
      <c r="AA331" s="67">
        <f>ROUND((Table1[[#This Row],[Nilai RAB Jaringan
(Exclude Ppn)]]-Table1[[#This Row],[RAB Perizinan]])*1.11+Table1[[#This Row],[RAB Perizinan]],0)</f>
        <v>491752264</v>
      </c>
      <c r="AB331" s="486">
        <f>SUM(Table1[[#This Row],[RAB Kegiatan Umum]:[RAB Perizinan]])</f>
        <v>443905012.23890841</v>
      </c>
      <c r="AC331" s="436">
        <v>34439500.748991676</v>
      </c>
      <c r="AD331" s="436">
        <v>344395007.48991674</v>
      </c>
      <c r="AE331" s="436">
        <v>56140504</v>
      </c>
      <c r="AF331" s="436">
        <v>8930000</v>
      </c>
      <c r="AG331" s="483">
        <v>2107039</v>
      </c>
      <c r="AH331" s="33">
        <f>SUM(Table1[[#This Row],[Bobot Keg Umum]:[Bobot Perizinan]])</f>
        <v>1</v>
      </c>
      <c r="AI331" s="33">
        <f>Table1[[#This Row],[RAB Kegiatan Umum]]/Table1[[#This Row],[Nilai RAB Jaringan
(Exclude Ppn)]]</f>
        <v>7.7583040964755851E-2</v>
      </c>
      <c r="AJ331" s="33">
        <f>Table1[[#This Row],[RAB Pemasangan]]/Table1[[#This Row],[Nilai RAB Jaringan
(Exclude Ppn)]]</f>
        <v>0.77583040964755845</v>
      </c>
      <c r="AK331" s="33">
        <f>Table1[[#This Row],[RAB Pengadaan]]/Table1[[#This Row],[Nilai RAB Jaringan
(Exclude Ppn)]]</f>
        <v>0.12646963303443245</v>
      </c>
      <c r="AL331" s="33">
        <f>Table1[[#This Row],[RAB Perizinan]]/Table1[[#This Row],[Nilai RAB Jaringan
(Exclude Ppn)]]</f>
        <v>2.0116916353253293E-2</v>
      </c>
      <c r="AM331" s="47"/>
      <c r="AN331" s="285">
        <v>200</v>
      </c>
      <c r="AO331" s="285">
        <f>SUM(Table1[[#This Row],[Pipa 63 mm]:[Pipa 1,800 mm]])</f>
        <v>200</v>
      </c>
      <c r="AP331" s="285">
        <v>200</v>
      </c>
      <c r="AQ331" s="285"/>
      <c r="AR331" s="285"/>
      <c r="AS331" s="285"/>
      <c r="AT331" s="285"/>
      <c r="AU331" s="285"/>
      <c r="AV331" s="285"/>
      <c r="AW331" s="285"/>
      <c r="AX331" s="285"/>
      <c r="AY331" s="285"/>
      <c r="AZ331" s="285"/>
      <c r="BA331" s="285"/>
      <c r="BB331" s="285"/>
      <c r="BC331" s="285"/>
      <c r="BD331" s="285"/>
      <c r="BE331" s="285"/>
      <c r="BF331" s="285"/>
      <c r="BG331" s="285"/>
      <c r="BH331" s="285"/>
      <c r="BI331" s="285"/>
      <c r="BJ331" s="262">
        <f>SUM(Table1[[#This Row],[Pipa 63 mm2]:[Pipa 1,800 mm21]])</f>
        <v>200</v>
      </c>
      <c r="BK331" s="32">
        <v>200</v>
      </c>
      <c r="BL331" s="32"/>
      <c r="BM331" s="32"/>
      <c r="BN331" s="32"/>
      <c r="BO331" s="32"/>
      <c r="BP331" s="32"/>
      <c r="BQ331" s="32"/>
      <c r="BR331" s="32"/>
      <c r="BS331" s="32"/>
      <c r="BT331" s="32"/>
      <c r="BU331" s="32"/>
      <c r="BV331" s="32"/>
      <c r="BW331" s="32"/>
      <c r="BX331" s="32"/>
      <c r="BY331" s="32"/>
      <c r="BZ331" s="32"/>
      <c r="CA331" s="32"/>
      <c r="CB331" s="32"/>
      <c r="CC331" s="32"/>
      <c r="CD331" s="32"/>
      <c r="CE331" s="32">
        <v>0</v>
      </c>
      <c r="CF331" s="32"/>
      <c r="CG331" s="32"/>
      <c r="CH331" s="32"/>
      <c r="CI331" s="32">
        <f t="shared" si="16"/>
        <v>0</v>
      </c>
      <c r="CJ331" s="65">
        <f>IF((Table1[[#This Row],["Volume
BA MC-0"]]-Table1[[#This Row],[Total Panjang Pipa Aktual
(Sum-&gt;)3]]-Table1[[#This Row],[Total Volume
tidak dapat dipasang]])&gt;=0,Table1[[#This Row],["Volume
BA MC-0"]]-Table1[[#This Row],[Total Panjang Pipa Aktual
(Sum-&gt;)3]]-Table1[[#This Row],[Total Volume
tidak dapat dipasang]],0)</f>
        <v>0</v>
      </c>
      <c r="CK331" s="47"/>
      <c r="CL331" s="484" t="s">
        <v>1821</v>
      </c>
      <c r="CM331" s="34" t="s">
        <v>1821</v>
      </c>
      <c r="CN331" s="484" t="s">
        <v>1821</v>
      </c>
      <c r="CO331" s="484" t="s">
        <v>1821</v>
      </c>
      <c r="CP33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1" s="66">
        <f>IFERROR(Table1[[#This Row],[Progres Keg. Umum
(%)]]*Table1[[#This Row],[Nilai RAB Jaringan
(file pa aji)]],0)</f>
        <v>0</v>
      </c>
      <c r="CR331" s="66">
        <f>IFERROR(Table1[[#This Row],[Progres MOS
(%)]]*Table1[[#This Row],[Nilai RAB Jaringan
(file pa aji)]],0)</f>
        <v>0</v>
      </c>
      <c r="CS331" s="66">
        <f>IFERROR(Table1[[#This Row],[Progres Pemasangan
(%)]]*Table1[[#This Row],[Nilai RAB Jaringan
(file pa aji)]],0)</f>
        <v>0</v>
      </c>
      <c r="CT331" s="66">
        <f>IFERROR(Table1[[#This Row],[Progres Perizinan
(%)]]*Table1[[#This Row],[Nilai RAB Jaringan
(file pa aji)]],0)</f>
        <v>0</v>
      </c>
      <c r="CU331" s="329">
        <v>432025761</v>
      </c>
      <c r="CV331" s="329">
        <v>432025761</v>
      </c>
      <c r="CW331" s="583">
        <v>432025761</v>
      </c>
      <c r="CX331" s="329">
        <v>432025761</v>
      </c>
      <c r="CY331" s="47"/>
      <c r="CZ331" s="330">
        <v>45866</v>
      </c>
      <c r="DA331" s="330">
        <v>45893</v>
      </c>
      <c r="DB331" s="331">
        <v>45901</v>
      </c>
      <c r="DC331" s="316" t="s">
        <v>2626</v>
      </c>
      <c r="DD331" s="67">
        <v>491752263.31999999</v>
      </c>
      <c r="DE33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1" s="331">
        <v>45915</v>
      </c>
      <c r="DG331" s="316" t="s">
        <v>2627</v>
      </c>
      <c r="DH331" s="67">
        <v>491752263.31999999</v>
      </c>
      <c r="DI33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1" s="330">
        <v>45894</v>
      </c>
      <c r="DK331" s="330">
        <v>45956</v>
      </c>
      <c r="DL331" s="331">
        <v>45937</v>
      </c>
      <c r="DM331" s="316" t="s">
        <v>2628</v>
      </c>
      <c r="DN33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1" s="331">
        <v>45960</v>
      </c>
      <c r="DP331" s="316" t="s">
        <v>2629</v>
      </c>
      <c r="DQ331" s="338" t="s">
        <v>365</v>
      </c>
      <c r="DR33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1" s="330">
        <v>45894</v>
      </c>
      <c r="DT331" s="330" t="e">
        <v>#N/A</v>
      </c>
      <c r="DU331" s="330">
        <v>45935</v>
      </c>
      <c r="DV331" s="330" t="e">
        <v>#N/A</v>
      </c>
      <c r="DW331" s="331">
        <v>45937</v>
      </c>
      <c r="DX331" s="484" t="s">
        <v>2630</v>
      </c>
      <c r="DY331" s="332">
        <v>46</v>
      </c>
      <c r="DZ331" s="334">
        <v>46</v>
      </c>
      <c r="EA33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1" s="331">
        <v>46127</v>
      </c>
      <c r="EC331" s="332">
        <v>41</v>
      </c>
      <c r="ED331" s="332">
        <v>41</v>
      </c>
      <c r="EE331" s="425" t="s">
        <v>2631</v>
      </c>
      <c r="EF331" s="35">
        <v>1</v>
      </c>
      <c r="EG331" s="337">
        <v>1</v>
      </c>
      <c r="EH331" s="316" t="str">
        <f>IF(Table1[[#This Row],[PO Material Aktual 
(%)]]&gt;=100%,"Selesai PO = 100%",IF(Table1[[#This Row],[PO Material Aktual 
(%)]]&gt;=50%,"Proses PO &gt; 100%",IF(Table1[[#This Row],[PO Material Aktual 
(%)]]&gt;0%,"Proses PO &gt; 50%",IF(Table1[[#This Row],[PO Material Aktual 
(%)]]=0,"Belum PO = 0%"))))</f>
        <v>Selesai PO = 100%</v>
      </c>
      <c r="EI33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1" s="330">
        <v>45936</v>
      </c>
      <c r="EK331" s="330" t="e">
        <v>#N/A</v>
      </c>
      <c r="EL331" s="330">
        <v>45984</v>
      </c>
      <c r="EM331" s="330" t="e">
        <v>#N/A</v>
      </c>
      <c r="EN331" s="331">
        <v>46149</v>
      </c>
      <c r="EO331" s="332">
        <f>Table1[[#This Row],[Line PO]]</f>
        <v>41</v>
      </c>
      <c r="EP331" s="316">
        <v>41</v>
      </c>
      <c r="EQ331" s="35">
        <v>0.89130434782608692</v>
      </c>
      <c r="ER331" s="35">
        <f>Table1[[#This Row],[Line MOS]]/Table1[[#This Row],[Line PR]]</f>
        <v>0.89130434782608692</v>
      </c>
      <c r="ES331" s="316" t="str">
        <f>IF(Table1[[#This Row],[Progres MOS]]&gt;=100%,"Selesai MOS = 100%",IF(Table1[[#This Row],[Progres MOS]]&gt;=50%,"Proses MOS &gt; 100%",IF(Table1[[#This Row],[Progres MOS]]&gt;0%,"Proses MOS &gt; 50%",IF(Table1[[#This Row],[Progres MOS]]=0,"Belum MOS = 0%"))))</f>
        <v>Proses MOS &gt; 100%</v>
      </c>
      <c r="ET33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1" s="47"/>
      <c r="EV331" s="330">
        <v>45894</v>
      </c>
      <c r="EW331" s="330" t="e">
        <v>#N/A</v>
      </c>
      <c r="EX331" s="330">
        <v>45984</v>
      </c>
      <c r="EY331" s="330" t="e">
        <v>#N/A</v>
      </c>
      <c r="EZ331" s="352" t="s">
        <v>298</v>
      </c>
      <c r="FA331" s="336" t="s">
        <v>259</v>
      </c>
      <c r="FB331" s="330" t="s">
        <v>260</v>
      </c>
      <c r="FC331" s="330">
        <v>45945</v>
      </c>
      <c r="FD331" s="330" t="s">
        <v>260</v>
      </c>
      <c r="FE331" s="330">
        <v>45966</v>
      </c>
      <c r="FF331" s="330">
        <v>45993</v>
      </c>
      <c r="FG331" s="330" t="s">
        <v>260</v>
      </c>
      <c r="FH331" s="330" t="s">
        <v>260</v>
      </c>
      <c r="FI331" s="330">
        <v>46010</v>
      </c>
      <c r="FJ331" s="330" t="s">
        <v>260</v>
      </c>
      <c r="FK331" s="330">
        <v>46098</v>
      </c>
      <c r="FL331" s="336" t="s">
        <v>298</v>
      </c>
      <c r="FM331" s="352">
        <v>45945</v>
      </c>
      <c r="FN331" s="338">
        <f>IF(Table1[[#This Row],[Tanggal Pengajuan Dokumen]]="","",Table1[[#This Row],[PLAN PERMIT
start]]-Table1[[#This Row],[Tanggal Pengajuan Dokumen]])</f>
        <v>-51</v>
      </c>
      <c r="FO331" s="437">
        <v>46097</v>
      </c>
      <c r="FP331" s="316"/>
      <c r="FQ331" s="338"/>
      <c r="FR331" s="338"/>
      <c r="FS331" s="338" t="str">
        <f t="shared" si="17"/>
        <v>Sudah Terbit</v>
      </c>
      <c r="FT33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1" s="344">
        <f ca="1">IF(Table1[[#This Row],[Status Izin]]="Selesai",Table1[[#This Row],[PLAN PERMIT
finish]]-Table1[[#This Row],[Tanggal Terbit/ Target Izin Terbit]],ROUNDUP(Table1[[#This Row],[PLAN PERMIT
finish]]-NOW(),0))</f>
        <v>-113</v>
      </c>
      <c r="FV33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1" s="344"/>
      <c r="FX331" s="47"/>
      <c r="FY331" s="340"/>
      <c r="FZ331" s="341"/>
      <c r="GA33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1" s="330">
        <v>45958</v>
      </c>
      <c r="GC331" s="352">
        <v>45965</v>
      </c>
      <c r="GD33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1" s="330">
        <v>45965</v>
      </c>
      <c r="GF331" s="352">
        <v>45951</v>
      </c>
      <c r="GG33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1" s="330">
        <v>45971</v>
      </c>
      <c r="GI331" s="330">
        <v>45977</v>
      </c>
      <c r="GJ331" s="352">
        <v>45959</v>
      </c>
      <c r="GK33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1" s="330">
        <v>45985</v>
      </c>
      <c r="GM331" s="330" t="e">
        <v>#N/A</v>
      </c>
      <c r="GN331" s="330">
        <v>46005</v>
      </c>
      <c r="GO331" s="330" t="e">
        <v>#N/A</v>
      </c>
      <c r="GP331" s="330"/>
      <c r="GQ33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1" s="330" t="s">
        <v>261</v>
      </c>
      <c r="GS331" s="330" t="s">
        <v>261</v>
      </c>
      <c r="GT331" s="354">
        <v>45996</v>
      </c>
      <c r="GU331" s="344" t="str">
        <f>IF(Table1[[#This Row],[Hydro Tes Actual
(tanggal)]]&lt;&gt;"","Sudah","Belum")</f>
        <v>Sudah</v>
      </c>
      <c r="GV331" s="330" t="s">
        <v>261</v>
      </c>
      <c r="GW331" s="330" t="s">
        <v>261</v>
      </c>
      <c r="GX331" s="331">
        <v>45996</v>
      </c>
      <c r="GY331" s="344" t="str">
        <f>IF(Table1[[#This Row],[Interkoneksi Actual
(tanggal)]]&lt;&gt;"","Sudah","Belum")</f>
        <v>Sudah</v>
      </c>
      <c r="GZ331" s="330" t="s">
        <v>261</v>
      </c>
      <c r="HA331" s="330" t="s">
        <v>261</v>
      </c>
      <c r="HB331" s="331">
        <v>45997</v>
      </c>
      <c r="HC331" s="344" t="str">
        <f>IF(Table1[[#This Row],[Flushing Actual
(tanggal)]]&lt;&gt;"","Sudah","Belum")</f>
        <v>Sudah</v>
      </c>
      <c r="HD331" s="330">
        <v>45992</v>
      </c>
      <c r="HE331" s="330" t="e">
        <v>#N/A</v>
      </c>
      <c r="HF331" s="330">
        <v>46005</v>
      </c>
      <c r="HG331" s="352">
        <v>46010</v>
      </c>
      <c r="HH33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1" s="330" t="s">
        <v>261</v>
      </c>
      <c r="HJ331" s="330" t="s">
        <v>261</v>
      </c>
      <c r="HK331" s="331"/>
      <c r="HL331" s="316"/>
      <c r="HM331" s="330">
        <v>46010</v>
      </c>
      <c r="HN331" s="330">
        <v>46010</v>
      </c>
      <c r="HO331" s="330" t="e">
        <v>#N/A</v>
      </c>
      <c r="HP331" s="331">
        <v>46044</v>
      </c>
      <c r="HQ331"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31" s="330">
        <v>46017</v>
      </c>
      <c r="HS331" s="330"/>
      <c r="HT331" s="330">
        <v>46017</v>
      </c>
      <c r="HU331" s="330"/>
      <c r="HV331" s="331">
        <v>46056</v>
      </c>
      <c r="HW33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31" s="47"/>
      <c r="HY331" s="352"/>
      <c r="HZ331" s="352"/>
      <c r="IB331" s="618">
        <f>IFERROR(ROUND((Table1[[#This Row],[PLAN TC
finish]]-Table1[[#This Row],[PLAN MC-0
start]])/30,2),"")</f>
        <v>1.1299999999999999</v>
      </c>
      <c r="IC331">
        <f>DATEDIF(Table1[[#This Row],[PLAN MC-0
start]],Table1[[#This Row],[PLAN TC
finish]],"m")</f>
        <v>1</v>
      </c>
    </row>
    <row r="332" spans="1:237" s="30" customFormat="1" ht="15" hidden="1" customHeight="1" x14ac:dyDescent="0.2">
      <c r="A332" s="77"/>
      <c r="B332" s="311">
        <f>SUBTOTAL(3,$D$5:D332)</f>
        <v>84</v>
      </c>
      <c r="C332" s="367">
        <v>328</v>
      </c>
      <c r="D332" s="363" t="s">
        <v>673</v>
      </c>
      <c r="E332" s="366" t="s">
        <v>2632</v>
      </c>
      <c r="F332" s="366" t="s">
        <v>2633</v>
      </c>
      <c r="G332" s="364">
        <v>46117</v>
      </c>
      <c r="H332" s="366" t="s">
        <v>681</v>
      </c>
      <c r="I332" s="366" t="s">
        <v>278</v>
      </c>
      <c r="J332" s="385" t="s">
        <v>389</v>
      </c>
      <c r="K332" s="366" t="s">
        <v>676</v>
      </c>
      <c r="L332" s="367" t="s">
        <v>250</v>
      </c>
      <c r="M332" s="392" t="s">
        <v>269</v>
      </c>
      <c r="N332" s="368">
        <v>95</v>
      </c>
      <c r="O332" s="369" t="s">
        <v>252</v>
      </c>
      <c r="P332" s="43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2" s="385" t="s">
        <v>389</v>
      </c>
      <c r="R332" s="371">
        <v>1</v>
      </c>
      <c r="S332" s="34">
        <v>1</v>
      </c>
      <c r="T332" s="489">
        <f>Table1[[#This Row],[Progres Total Aktual
(%)]]</f>
        <v>0</v>
      </c>
      <c r="U332" s="490">
        <f>Table1[[#This Row],[Progres Aktual
(%)]]-Table1[[#This Row],[Target Progres
(%)]]</f>
        <v>-1</v>
      </c>
      <c r="V332" s="491">
        <f>Table1[[#This Row],["Volume
BA MC-0"]]</f>
        <v>0</v>
      </c>
      <c r="W332" s="492">
        <f>Table1[[#This Row],[Total Panjang Pipa Aktual
(Sum-&gt;)3]]</f>
        <v>0</v>
      </c>
      <c r="X332" s="47"/>
      <c r="Y332" s="375" t="s">
        <v>2634</v>
      </c>
      <c r="Z332" s="375">
        <v>213781927</v>
      </c>
      <c r="AA332" s="375">
        <f>ROUND((Table1[[#This Row],[Nilai RAB Jaringan
(Exclude Ppn)]]-Table1[[#This Row],[RAB Perizinan]])*1.11+Table1[[#This Row],[RAB Perizinan]],0)</f>
        <v>0</v>
      </c>
      <c r="AB332" s="493">
        <f>SUM(Table1[[#This Row],[RAB Kegiatan Umum]:[RAB Perizinan]])</f>
        <v>0</v>
      </c>
      <c r="AC332" s="439"/>
      <c r="AD332" s="439"/>
      <c r="AE332" s="439"/>
      <c r="AF332" s="439"/>
      <c r="AG332" s="494">
        <v>8428155</v>
      </c>
      <c r="AH332" s="495" t="e">
        <f>SUM(Table1[[#This Row],[Bobot Keg Umum]:[Bobot Perizinan]])</f>
        <v>#DIV/0!</v>
      </c>
      <c r="AI332" s="495" t="e">
        <f>Table1[[#This Row],[RAB Kegiatan Umum]]/Table1[[#This Row],[Nilai RAB Jaringan
(Exclude Ppn)]]</f>
        <v>#DIV/0!</v>
      </c>
      <c r="AJ332" s="495" t="e">
        <f>Table1[[#This Row],[RAB Pemasangan]]/Table1[[#This Row],[Nilai RAB Jaringan
(Exclude Ppn)]]</f>
        <v>#DIV/0!</v>
      </c>
      <c r="AK332" s="495" t="e">
        <f>Table1[[#This Row],[RAB Pengadaan]]/Table1[[#This Row],[Nilai RAB Jaringan
(Exclude Ppn)]]</f>
        <v>#DIV/0!</v>
      </c>
      <c r="AL332" s="495" t="e">
        <f>Table1[[#This Row],[RAB Perizinan]]/Table1[[#This Row],[Nilai RAB Jaringan
(Exclude Ppn)]]</f>
        <v>#DIV/0!</v>
      </c>
      <c r="AM332" s="47"/>
      <c r="AN332" s="376"/>
      <c r="AO332" s="376">
        <f>SUM(Table1[[#This Row],[Pipa 63 mm]:[Pipa 1,800 mm]])</f>
        <v>0</v>
      </c>
      <c r="AP332" s="376"/>
      <c r="AQ332" s="376"/>
      <c r="AR332" s="376"/>
      <c r="AS332" s="376"/>
      <c r="AT332" s="376"/>
      <c r="AU332" s="376"/>
      <c r="AV332" s="376"/>
      <c r="AW332" s="376"/>
      <c r="AX332" s="376"/>
      <c r="AY332" s="376"/>
      <c r="AZ332" s="376"/>
      <c r="BA332" s="376"/>
      <c r="BB332" s="376"/>
      <c r="BC332" s="376"/>
      <c r="BD332" s="376"/>
      <c r="BE332" s="376"/>
      <c r="BF332" s="376"/>
      <c r="BG332" s="376"/>
      <c r="BH332" s="376"/>
      <c r="BI332" s="376"/>
      <c r="BJ332" s="262">
        <f>SUM(Table1[[#This Row],[Pipa 63 mm2]:[Pipa 1,800 mm21]])</f>
        <v>0</v>
      </c>
      <c r="BK332" s="378"/>
      <c r="BL332" s="378"/>
      <c r="BM332" s="378"/>
      <c r="BN332" s="378"/>
      <c r="BO332" s="378"/>
      <c r="BP332" s="378"/>
      <c r="BQ332" s="378"/>
      <c r="BR332" s="378"/>
      <c r="BS332" s="378"/>
      <c r="BT332" s="378"/>
      <c r="BU332" s="378"/>
      <c r="BV332" s="378"/>
      <c r="BW332" s="378"/>
      <c r="BX332" s="378"/>
      <c r="BY332" s="378"/>
      <c r="BZ332" s="378"/>
      <c r="CA332" s="378"/>
      <c r="CB332" s="378"/>
      <c r="CC332" s="378"/>
      <c r="CD332" s="378"/>
      <c r="CE332" s="378">
        <v>0</v>
      </c>
      <c r="CF332" s="378"/>
      <c r="CG332" s="378"/>
      <c r="CH332" s="378"/>
      <c r="CI332" s="378">
        <f t="shared" si="16"/>
        <v>0</v>
      </c>
      <c r="CJ332" s="378">
        <f>IF((Table1[[#This Row],["Volume
BA MC-0"]]-Table1[[#This Row],[Total Panjang Pipa Aktual
(Sum-&gt;)3]]-Table1[[#This Row],[Total Volume
tidak dapat dipasang]])&gt;=0,Table1[[#This Row],["Volume
BA MC-0"]]-Table1[[#This Row],[Total Panjang Pipa Aktual
(Sum-&gt;)3]]-Table1[[#This Row],[Total Volume
tidak dapat dipasang]],0)</f>
        <v>0</v>
      </c>
      <c r="CK332" s="47"/>
      <c r="CL332" s="496" t="s">
        <v>1821</v>
      </c>
      <c r="CM332" s="489" t="s">
        <v>1821</v>
      </c>
      <c r="CN332" s="496" t="s">
        <v>1821</v>
      </c>
      <c r="CO332" s="496" t="s">
        <v>1821</v>
      </c>
      <c r="CP332"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32" s="380">
        <f>IFERROR(Table1[[#This Row],[Progres Keg. Umum
(%)]]*Table1[[#This Row],[Nilai RAB Jaringan
(file pa aji)]],0)</f>
        <v>0</v>
      </c>
      <c r="CR332" s="380">
        <f>IFERROR(Table1[[#This Row],[Progres MOS
(%)]]*Table1[[#This Row],[Nilai RAB Jaringan
(file pa aji)]],0)</f>
        <v>0</v>
      </c>
      <c r="CS332" s="380">
        <f>IFERROR(Table1[[#This Row],[Progres Pemasangan
(%)]]*Table1[[#This Row],[Nilai RAB Jaringan
(file pa aji)]],0)</f>
        <v>0</v>
      </c>
      <c r="CT332" s="380">
        <f>IFERROR(Table1[[#This Row],[Progres Perizinan
(%)]]*Table1[[#This Row],[Nilai RAB Jaringan
(file pa aji)]],0)</f>
        <v>0</v>
      </c>
      <c r="CU332" s="329">
        <v>0</v>
      </c>
      <c r="CV332" s="329">
        <v>0</v>
      </c>
      <c r="CW332" s="582">
        <v>0</v>
      </c>
      <c r="CX332" s="329">
        <v>0</v>
      </c>
      <c r="CY332" s="47"/>
      <c r="CZ332" s="386">
        <v>45866</v>
      </c>
      <c r="DA332" s="386">
        <v>45893</v>
      </c>
      <c r="DB332" s="388">
        <v>45901</v>
      </c>
      <c r="DC332" s="367" t="s">
        <v>2635</v>
      </c>
      <c r="DD332" s="375">
        <v>213781926.14000002</v>
      </c>
      <c r="DE33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2" s="388">
        <v>45915</v>
      </c>
      <c r="DG332" s="367" t="s">
        <v>2636</v>
      </c>
      <c r="DH332" s="375">
        <v>213781926.14000002</v>
      </c>
      <c r="DI332" s="367"/>
      <c r="DJ332" s="386">
        <v>45894</v>
      </c>
      <c r="DK332" s="386">
        <v>45956</v>
      </c>
      <c r="DL332" s="388">
        <v>45938</v>
      </c>
      <c r="DM332" s="367" t="s">
        <v>2637</v>
      </c>
      <c r="DN332" s="382"/>
      <c r="DO332" s="388">
        <v>45946</v>
      </c>
      <c r="DP332" s="367" t="s">
        <v>2638</v>
      </c>
      <c r="DQ332" s="366" t="s">
        <v>297</v>
      </c>
      <c r="DR332" s="382"/>
      <c r="DS332" s="386">
        <v>45894</v>
      </c>
      <c r="DT332" s="386" t="e">
        <v>#N/A</v>
      </c>
      <c r="DU332" s="386">
        <v>45935</v>
      </c>
      <c r="DV332" s="386" t="e">
        <v>#N/A</v>
      </c>
      <c r="DW332" s="388">
        <v>45938</v>
      </c>
      <c r="DX332" s="496" t="s">
        <v>2639</v>
      </c>
      <c r="DY332" s="442"/>
      <c r="DZ332" s="442"/>
      <c r="EA332" s="382"/>
      <c r="EB332" s="388"/>
      <c r="EC332" s="442"/>
      <c r="ED332" s="442"/>
      <c r="EE332" s="386"/>
      <c r="EF332" s="371"/>
      <c r="EG332" s="371"/>
      <c r="EH332" s="367"/>
      <c r="EI332"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2" s="386">
        <v>45936</v>
      </c>
      <c r="EK332" s="386" t="e">
        <v>#N/A</v>
      </c>
      <c r="EL332" s="386">
        <v>45984</v>
      </c>
      <c r="EM332" s="386" t="e">
        <v>#N/A</v>
      </c>
      <c r="EN332" s="388"/>
      <c r="EO332" s="442"/>
      <c r="EP332" s="367"/>
      <c r="EQ332" s="371"/>
      <c r="ER332" s="371"/>
      <c r="ES332" s="367"/>
      <c r="ET33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2" s="47"/>
      <c r="EV332" s="386">
        <v>45894</v>
      </c>
      <c r="EW332" s="386" t="e">
        <v>#N/A</v>
      </c>
      <c r="EX332" s="386">
        <v>45984</v>
      </c>
      <c r="EY332" s="386" t="e">
        <v>#N/A</v>
      </c>
      <c r="EZ332" s="384" t="s">
        <v>298</v>
      </c>
      <c r="FA332" s="385" t="s">
        <v>389</v>
      </c>
      <c r="FB332" s="386" t="s">
        <v>260</v>
      </c>
      <c r="FC332" s="330"/>
      <c r="FD332" s="386"/>
      <c r="FE332" s="386"/>
      <c r="FF332" s="386"/>
      <c r="FG332" s="386"/>
      <c r="FH332" s="386"/>
      <c r="FI332" s="386"/>
      <c r="FJ332" s="386"/>
      <c r="FK332" s="386"/>
      <c r="FL332" s="443" t="str">
        <f>Table1[[#This Row],[IPPJU]]</f>
        <v>9.Proses Penerbitan Izin</v>
      </c>
      <c r="FM332" s="443"/>
      <c r="FN332" s="365" t="str">
        <f>IF(Table1[[#This Row],[Tanggal Pengajuan Dokumen]]="","",Table1[[#This Row],[PLAN PERMIT
start]]-Table1[[#This Row],[Tanggal Pengajuan Dokumen]])</f>
        <v/>
      </c>
      <c r="FO332" s="444">
        <v>46097</v>
      </c>
      <c r="FP332" s="367"/>
      <c r="FQ332" s="366"/>
      <c r="FR332" s="366"/>
      <c r="FS332" s="366" t="str">
        <f t="shared" si="17"/>
        <v>On Going</v>
      </c>
      <c r="FT332" s="36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2" s="387">
        <f ca="1">IF(Table1[[#This Row],[Status Izin]]="Selesai",Table1[[#This Row],[PLAN PERMIT
finish]]-Table1[[#This Row],[Tanggal Terbit/ Target Izin Terbit]],ROUNDUP(Table1[[#This Row],[PLAN PERMIT
finish]]-NOW(),0))</f>
        <v>-207</v>
      </c>
      <c r="FV332" s="38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2" s="387"/>
      <c r="FX332" s="47"/>
      <c r="FY332" s="340"/>
      <c r="FZ332" s="341"/>
      <c r="GA33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2" s="386">
        <v>45958</v>
      </c>
      <c r="GC332" s="384">
        <v>45965</v>
      </c>
      <c r="GD332"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2" s="386">
        <v>45965</v>
      </c>
      <c r="GF332" s="384">
        <v>45964</v>
      </c>
      <c r="GG332"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2" s="386">
        <v>45971</v>
      </c>
      <c r="GI332" s="386">
        <v>45977</v>
      </c>
      <c r="GJ332" s="384"/>
      <c r="GK332"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32" s="386">
        <v>45985</v>
      </c>
      <c r="GM332" s="386" t="e">
        <v>#N/A</v>
      </c>
      <c r="GN332" s="386">
        <v>46005</v>
      </c>
      <c r="GO332" s="386" t="e">
        <v>#N/A</v>
      </c>
      <c r="GP332" s="386"/>
      <c r="GQ332"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2" s="386" t="s">
        <v>261</v>
      </c>
      <c r="GS332" s="386" t="s">
        <v>261</v>
      </c>
      <c r="GT332" s="390"/>
      <c r="GU332" s="387" t="str">
        <f>IF(Table1[[#This Row],[Hydro Tes Actual
(tanggal)]]&lt;&gt;"","Sudah","Belum")</f>
        <v>Belum</v>
      </c>
      <c r="GV332" s="386" t="s">
        <v>261</v>
      </c>
      <c r="GW332" s="386" t="s">
        <v>261</v>
      </c>
      <c r="GX332" s="388"/>
      <c r="GY332" s="387" t="str">
        <f>IF(Table1[[#This Row],[Interkoneksi Actual
(tanggal)]]&lt;&gt;"","Sudah","Belum")</f>
        <v>Belum</v>
      </c>
      <c r="GZ332" s="386" t="s">
        <v>261</v>
      </c>
      <c r="HA332" s="386" t="s">
        <v>261</v>
      </c>
      <c r="HB332" s="388"/>
      <c r="HC332" s="387" t="str">
        <f>IF(Table1[[#This Row],[Flushing Actual
(tanggal)]]&lt;&gt;"","Sudah","Belum")</f>
        <v>Belum</v>
      </c>
      <c r="HD332" s="386">
        <v>45992</v>
      </c>
      <c r="HE332" s="386" t="e">
        <v>#N/A</v>
      </c>
      <c r="HF332" s="386">
        <v>46005</v>
      </c>
      <c r="HG332" s="384"/>
      <c r="HH332"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2" s="386" t="s">
        <v>261</v>
      </c>
      <c r="HJ332" s="386" t="s">
        <v>261</v>
      </c>
      <c r="HK332" s="388"/>
      <c r="HL332" s="367"/>
      <c r="HM332" s="386">
        <v>46010</v>
      </c>
      <c r="HN332" s="386">
        <v>46010</v>
      </c>
      <c r="HO332" s="386" t="e">
        <v>#N/A</v>
      </c>
      <c r="HP332" s="388"/>
      <c r="HQ332" s="367"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32" s="386">
        <v>46017</v>
      </c>
      <c r="HS332" s="386"/>
      <c r="HT332" s="386">
        <v>46017</v>
      </c>
      <c r="HU332" s="386"/>
      <c r="HV332" s="388"/>
      <c r="HW332" s="38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32" s="47"/>
      <c r="HY332" s="384"/>
      <c r="HZ332" s="384"/>
      <c r="IB332" s="618">
        <f>IFERROR(ROUND((Table1[[#This Row],[PLAN TC
finish]]-Table1[[#This Row],[PLAN MC-0
start]])/30,2),"")</f>
        <v>1.1299999999999999</v>
      </c>
      <c r="IC332">
        <f>DATEDIF(Table1[[#This Row],[PLAN MC-0
start]],Table1[[#This Row],[PLAN TC
finish]],"m")</f>
        <v>1</v>
      </c>
    </row>
    <row r="333" spans="1:237" s="30" customFormat="1" ht="15" hidden="1" customHeight="1" x14ac:dyDescent="0.2">
      <c r="A333" s="77"/>
      <c r="B333" s="311">
        <f>SUBTOTAL(3,$D$5:D333)</f>
        <v>84</v>
      </c>
      <c r="C333" s="316">
        <v>329</v>
      </c>
      <c r="D333" s="363" t="s">
        <v>673</v>
      </c>
      <c r="E333" s="366" t="s">
        <v>2640</v>
      </c>
      <c r="F333" s="366" t="s">
        <v>2641</v>
      </c>
      <c r="G333" s="364">
        <v>46117</v>
      </c>
      <c r="H333" s="366" t="s">
        <v>681</v>
      </c>
      <c r="I333" s="338" t="s">
        <v>278</v>
      </c>
      <c r="J333" s="385" t="s">
        <v>389</v>
      </c>
      <c r="K333" s="338" t="s">
        <v>676</v>
      </c>
      <c r="L333" s="316" t="s">
        <v>250</v>
      </c>
      <c r="M333" s="392" t="s">
        <v>269</v>
      </c>
      <c r="N333" s="368">
        <v>92</v>
      </c>
      <c r="O333" s="369" t="s">
        <v>252</v>
      </c>
      <c r="P33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3" s="385" t="s">
        <v>389</v>
      </c>
      <c r="R333" s="35">
        <v>1.0000000000000002</v>
      </c>
      <c r="S333" s="34">
        <v>1</v>
      </c>
      <c r="T333" s="489">
        <f>Table1[[#This Row],[Progres Total Aktual
(%)]]</f>
        <v>0</v>
      </c>
      <c r="U333" s="490">
        <f>Table1[[#This Row],[Progres Aktual
(%)]]-Table1[[#This Row],[Target Progres
(%)]]</f>
        <v>-1</v>
      </c>
      <c r="V333" s="491">
        <f>Table1[[#This Row],["Volume
BA MC-0"]]</f>
        <v>100</v>
      </c>
      <c r="W333" s="492">
        <f>Table1[[#This Row],[Total Panjang Pipa Aktual
(Sum-&gt;)3]]</f>
        <v>0</v>
      </c>
      <c r="X333" s="47"/>
      <c r="Y333" s="375" t="s">
        <v>2642</v>
      </c>
      <c r="Z333" s="375">
        <v>209411676</v>
      </c>
      <c r="AA333" s="375">
        <f>ROUND((Table1[[#This Row],[Nilai RAB Jaringan
(Exclude Ppn)]]-Table1[[#This Row],[RAB Perizinan]])*1.11+Table1[[#This Row],[RAB Perizinan]],0)</f>
        <v>209411675</v>
      </c>
      <c r="AB333" s="493">
        <f>SUM(Table1[[#This Row],[RAB Kegiatan Umum]:[RAB Perizinan]])</f>
        <v>188750338.09999999</v>
      </c>
      <c r="AC333" s="439">
        <v>11686485.1</v>
      </c>
      <c r="AD333" s="439">
        <v>116864851</v>
      </c>
      <c r="AE333" s="439">
        <v>59279002</v>
      </c>
      <c r="AF333" s="439">
        <v>920000</v>
      </c>
      <c r="AG333" s="494">
        <v>2107039</v>
      </c>
      <c r="AH333" s="495">
        <f>SUM(Table1[[#This Row],[Bobot Keg Umum]:[Bobot Perizinan]])</f>
        <v>1</v>
      </c>
      <c r="AI333" s="495">
        <f>Table1[[#This Row],[RAB Kegiatan Umum]]/Table1[[#This Row],[Nilai RAB Jaringan
(Exclude Ppn)]]</f>
        <v>6.1915041941850699E-2</v>
      </c>
      <c r="AJ333" s="495">
        <f>Table1[[#This Row],[RAB Pemasangan]]/Table1[[#This Row],[Nilai RAB Jaringan
(Exclude Ppn)]]</f>
        <v>0.61915041941850701</v>
      </c>
      <c r="AK333" s="495">
        <f>Table1[[#This Row],[RAB Pengadaan]]/Table1[[#This Row],[Nilai RAB Jaringan
(Exclude Ppn)]]</f>
        <v>0.3140603751850975</v>
      </c>
      <c r="AL333" s="495">
        <f>Table1[[#This Row],[RAB Perizinan]]/Table1[[#This Row],[Nilai RAB Jaringan
(Exclude Ppn)]]</f>
        <v>4.8741634545448271E-3</v>
      </c>
      <c r="AM333" s="47"/>
      <c r="AN333" s="376">
        <v>100</v>
      </c>
      <c r="AO333" s="376">
        <f>SUM(Table1[[#This Row],[Pipa 63 mm]:[Pipa 1,800 mm]])</f>
        <v>0</v>
      </c>
      <c r="AP333" s="376"/>
      <c r="AQ333" s="376"/>
      <c r="AR333" s="376"/>
      <c r="AS333" s="376"/>
      <c r="AT333" s="376"/>
      <c r="AU333" s="376"/>
      <c r="AV333" s="376"/>
      <c r="AW333" s="376"/>
      <c r="AX333" s="376"/>
      <c r="AY333" s="376"/>
      <c r="AZ333" s="376"/>
      <c r="BA333" s="376"/>
      <c r="BB333" s="376"/>
      <c r="BC333" s="376"/>
      <c r="BD333" s="376"/>
      <c r="BE333" s="376"/>
      <c r="BF333" s="376"/>
      <c r="BG333" s="376"/>
      <c r="BH333" s="376"/>
      <c r="BI333" s="376"/>
      <c r="BJ333" s="262">
        <f>SUM(Table1[[#This Row],[Pipa 63 mm2]:[Pipa 1,800 mm21]])</f>
        <v>0</v>
      </c>
      <c r="BK333" s="378"/>
      <c r="BL333" s="378"/>
      <c r="BM333" s="378"/>
      <c r="BN333" s="378"/>
      <c r="BO333" s="378"/>
      <c r="BP333" s="378"/>
      <c r="BQ333" s="378"/>
      <c r="BR333" s="378"/>
      <c r="BS333" s="378"/>
      <c r="BT333" s="378"/>
      <c r="BU333" s="378"/>
      <c r="BV333" s="378"/>
      <c r="BW333" s="378"/>
      <c r="BX333" s="378"/>
      <c r="BY333" s="378"/>
      <c r="BZ333" s="378"/>
      <c r="CA333" s="378"/>
      <c r="CB333" s="378"/>
      <c r="CC333" s="378"/>
      <c r="CD333" s="378"/>
      <c r="CE333" s="378">
        <v>0</v>
      </c>
      <c r="CF333" s="378"/>
      <c r="CG333" s="378"/>
      <c r="CH333" s="378"/>
      <c r="CI333" s="378">
        <f t="shared" si="16"/>
        <v>0</v>
      </c>
      <c r="CJ333" s="440">
        <f>IF((Table1[[#This Row],["Volume
BA MC-0"]]-Table1[[#This Row],[Total Panjang Pipa Aktual
(Sum-&gt;)3]]-Table1[[#This Row],[Total Volume
tidak dapat dipasang]])&gt;=0,Table1[[#This Row],["Volume
BA MC-0"]]-Table1[[#This Row],[Total Panjang Pipa Aktual
(Sum-&gt;)3]]-Table1[[#This Row],[Total Volume
tidak dapat dipasang]],0)</f>
        <v>100</v>
      </c>
      <c r="CK333" s="47"/>
      <c r="CL333" s="484" t="s">
        <v>1821</v>
      </c>
      <c r="CM333" s="34" t="s">
        <v>1821</v>
      </c>
      <c r="CN333" s="484" t="s">
        <v>1821</v>
      </c>
      <c r="CO333" s="484" t="s">
        <v>1821</v>
      </c>
      <c r="CP33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33" s="66">
        <f>IFERROR(Table1[[#This Row],[Progres Keg. Umum
(%)]]*Table1[[#This Row],[Nilai RAB Jaringan
(file pa aji)]],0)</f>
        <v>0</v>
      </c>
      <c r="CR333" s="66">
        <f>IFERROR(Table1[[#This Row],[Progres MOS
(%)]]*Table1[[#This Row],[Nilai RAB Jaringan
(file pa aji)]],0)</f>
        <v>0</v>
      </c>
      <c r="CS333" s="66">
        <f>IFERROR(Table1[[#This Row],[Progres Pemasangan
(%)]]*Table1[[#This Row],[Nilai RAB Jaringan
(file pa aji)]],0)</f>
        <v>0</v>
      </c>
      <c r="CT333" s="66">
        <f>IFERROR(Table1[[#This Row],[Progres Perizinan
(%)]]*Table1[[#This Row],[Nilai RAB Jaringan
(file pa aji)]],0)</f>
        <v>0</v>
      </c>
      <c r="CU333" s="329">
        <v>0</v>
      </c>
      <c r="CV333" s="329">
        <v>0</v>
      </c>
      <c r="CW333" s="583">
        <v>0</v>
      </c>
      <c r="CX333" s="329">
        <v>0</v>
      </c>
      <c r="CY333" s="47"/>
      <c r="CZ333" s="386">
        <v>45866</v>
      </c>
      <c r="DA333" s="386">
        <v>45893</v>
      </c>
      <c r="DB333" s="388">
        <v>45902</v>
      </c>
      <c r="DC333" s="367" t="s">
        <v>2643</v>
      </c>
      <c r="DD333" s="375">
        <v>209411675.18000001</v>
      </c>
      <c r="DE33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3" s="388">
        <v>45957</v>
      </c>
      <c r="DG333" s="367" t="s">
        <v>2644</v>
      </c>
      <c r="DH333" s="375">
        <v>209411675.18000001</v>
      </c>
      <c r="DI333"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3" s="386">
        <v>45894</v>
      </c>
      <c r="DK333" s="386">
        <v>45956</v>
      </c>
      <c r="DL333" s="388">
        <v>45962</v>
      </c>
      <c r="DM333" s="307" t="s">
        <v>2645</v>
      </c>
      <c r="DN333" s="3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33" s="388">
        <v>45966</v>
      </c>
      <c r="DP333" s="77" t="s">
        <v>2646</v>
      </c>
      <c r="DQ333" s="77" t="s">
        <v>297</v>
      </c>
      <c r="DR333" s="3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3" s="386">
        <v>45894</v>
      </c>
      <c r="DT333" s="386" t="e">
        <v>#N/A</v>
      </c>
      <c r="DU333" s="386">
        <v>45935</v>
      </c>
      <c r="DV333" s="386" t="e">
        <v>#N/A</v>
      </c>
      <c r="DW333" s="388">
        <v>45962</v>
      </c>
      <c r="DX333" s="367" t="s">
        <v>2647</v>
      </c>
      <c r="DY333" s="442"/>
      <c r="DZ333" s="442"/>
      <c r="EA333" s="3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3" s="388"/>
      <c r="EC333" s="442"/>
      <c r="ED333" s="442"/>
      <c r="EE333" s="386"/>
      <c r="EF333" s="371"/>
      <c r="EG333" s="371"/>
      <c r="EH333" s="367" t="str">
        <f>IF(Table1[[#This Row],[PO Material Aktual 
(%)]]&gt;=100%,"Selesai PO = 100%",IF(Table1[[#This Row],[PO Material Aktual 
(%)]]&gt;=50%,"Proses PO &gt; 100%",IF(Table1[[#This Row],[PO Material Aktual 
(%)]]&gt;0%,"Proses PO &gt; 50%",IF(Table1[[#This Row],[PO Material Aktual 
(%)]]=0,"Belum PO = 0%"))))</f>
        <v>Belum PO = 0%</v>
      </c>
      <c r="EI333" s="44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3" s="386">
        <v>45936</v>
      </c>
      <c r="EK333" s="386" t="e">
        <v>#N/A</v>
      </c>
      <c r="EL333" s="386">
        <v>45984</v>
      </c>
      <c r="EM333" s="386" t="e">
        <v>#N/A</v>
      </c>
      <c r="EN333" s="388"/>
      <c r="EO333" s="442"/>
      <c r="EP333" s="367"/>
      <c r="EQ333" s="371"/>
      <c r="ER333" s="371"/>
      <c r="ES333" s="367"/>
      <c r="ET33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3" s="47"/>
      <c r="EV333" s="330">
        <v>45894</v>
      </c>
      <c r="EW333" s="330" t="e">
        <v>#N/A</v>
      </c>
      <c r="EX333" s="330">
        <v>45984</v>
      </c>
      <c r="EY333" s="330" t="e">
        <v>#N/A</v>
      </c>
      <c r="EZ333" s="352" t="s">
        <v>298</v>
      </c>
      <c r="FA333" s="385" t="s">
        <v>389</v>
      </c>
      <c r="FB333" s="330" t="s">
        <v>260</v>
      </c>
      <c r="FC333" s="330">
        <v>45945</v>
      </c>
      <c r="FD333" s="330" t="s">
        <v>260</v>
      </c>
      <c r="FE333" s="330">
        <v>45966</v>
      </c>
      <c r="FF333" s="330">
        <v>45993</v>
      </c>
      <c r="FG333" s="330" t="s">
        <v>260</v>
      </c>
      <c r="FH333" s="330" t="s">
        <v>260</v>
      </c>
      <c r="FI333" s="330">
        <v>46013</v>
      </c>
      <c r="FJ333" s="330" t="s">
        <v>260</v>
      </c>
      <c r="FK333" s="330">
        <v>46142</v>
      </c>
      <c r="FL333" s="336" t="s">
        <v>298</v>
      </c>
      <c r="FM333" s="352">
        <v>45945</v>
      </c>
      <c r="FN333" s="338">
        <f>IF(Table1[[#This Row],[Tanggal Pengajuan Dokumen]]="","",Table1[[#This Row],[PLAN PERMIT
start]]-Table1[[#This Row],[Tanggal Pengajuan Dokumen]])</f>
        <v>-51</v>
      </c>
      <c r="FO333" s="437">
        <v>46097</v>
      </c>
      <c r="FP333" s="316"/>
      <c r="FQ333" s="338"/>
      <c r="FR333" s="338"/>
      <c r="FS333" s="338" t="str">
        <f t="shared" si="17"/>
        <v>On Going</v>
      </c>
      <c r="FT33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3" s="344">
        <f ca="1">IF(Table1[[#This Row],[Status Izin]]="Selesai",Table1[[#This Row],[PLAN PERMIT
finish]]-Table1[[#This Row],[Tanggal Terbit/ Target Izin Terbit]],ROUNDUP(Table1[[#This Row],[PLAN PERMIT
finish]]-NOW(),0))</f>
        <v>-207</v>
      </c>
      <c r="FV33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3" s="344"/>
      <c r="FX333" s="47"/>
      <c r="FY333" s="340"/>
      <c r="FZ333" s="341"/>
      <c r="GA33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3" s="330">
        <v>45958</v>
      </c>
      <c r="GC333" s="352">
        <v>45950</v>
      </c>
      <c r="GD33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3" s="330">
        <v>45965</v>
      </c>
      <c r="GF333" s="352">
        <v>45950</v>
      </c>
      <c r="GG33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3" s="330">
        <v>45971</v>
      </c>
      <c r="GI333" s="330">
        <v>45977</v>
      </c>
      <c r="GJ333" s="352">
        <v>45952</v>
      </c>
      <c r="GK33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3" s="330">
        <v>45985</v>
      </c>
      <c r="GM333" s="330" t="e">
        <v>#N/A</v>
      </c>
      <c r="GN333" s="330">
        <v>46005</v>
      </c>
      <c r="GO333" s="330" t="e">
        <v>#N/A</v>
      </c>
      <c r="GP333" s="330"/>
      <c r="GQ33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3" s="330" t="s">
        <v>261</v>
      </c>
      <c r="GS333" s="330" t="s">
        <v>261</v>
      </c>
      <c r="GT333" s="354"/>
      <c r="GU333" s="344" t="str">
        <f>IF(Table1[[#This Row],[Hydro Tes Actual
(tanggal)]]&lt;&gt;"","Sudah","Belum")</f>
        <v>Belum</v>
      </c>
      <c r="GV333" s="330" t="s">
        <v>261</v>
      </c>
      <c r="GW333" s="330" t="s">
        <v>261</v>
      </c>
      <c r="GX333" s="331"/>
      <c r="GY333" s="344" t="str">
        <f>IF(Table1[[#This Row],[Interkoneksi Actual
(tanggal)]]&lt;&gt;"","Sudah","Belum")</f>
        <v>Belum</v>
      </c>
      <c r="GZ333" s="330" t="s">
        <v>261</v>
      </c>
      <c r="HA333" s="330" t="s">
        <v>261</v>
      </c>
      <c r="HB333" s="331"/>
      <c r="HC333" s="344" t="str">
        <f>IF(Table1[[#This Row],[Flushing Actual
(tanggal)]]&lt;&gt;"","Sudah","Belum")</f>
        <v>Belum</v>
      </c>
      <c r="HD333" s="330">
        <v>45992</v>
      </c>
      <c r="HE333" s="330" t="e">
        <v>#N/A</v>
      </c>
      <c r="HF333" s="330">
        <v>46005</v>
      </c>
      <c r="HG333" s="352"/>
      <c r="HH33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3" s="330" t="s">
        <v>261</v>
      </c>
      <c r="HJ333" s="330" t="s">
        <v>261</v>
      </c>
      <c r="HK333" s="331"/>
      <c r="HL333" s="316"/>
      <c r="HM333" s="330">
        <v>46010</v>
      </c>
      <c r="HN333" s="330">
        <v>46010</v>
      </c>
      <c r="HO333" s="330" t="e">
        <v>#N/A</v>
      </c>
      <c r="HP333" s="331"/>
      <c r="HQ33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33" s="330">
        <v>46017</v>
      </c>
      <c r="HS333" s="330"/>
      <c r="HT333" s="330">
        <v>46017</v>
      </c>
      <c r="HU333" s="330"/>
      <c r="HV333" s="331"/>
      <c r="HW33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33" s="47"/>
      <c r="HY333" s="352"/>
      <c r="HZ333" s="352"/>
      <c r="IB333" s="618">
        <f>IFERROR(ROUND((Table1[[#This Row],[PLAN TC
finish]]-Table1[[#This Row],[PLAN MC-0
start]])/30,2),"")</f>
        <v>1.1299999999999999</v>
      </c>
      <c r="IC333">
        <f>DATEDIF(Table1[[#This Row],[PLAN MC-0
start]],Table1[[#This Row],[PLAN TC
finish]],"m")</f>
        <v>1</v>
      </c>
    </row>
    <row r="334" spans="1:237" s="4" customFormat="1" ht="15" hidden="1" customHeight="1" x14ac:dyDescent="0.2">
      <c r="B334" s="311">
        <f>SUBTOTAL(3,$D$5:D334)</f>
        <v>84</v>
      </c>
      <c r="C334" s="316">
        <v>330</v>
      </c>
      <c r="D334" s="315" t="s">
        <v>673</v>
      </c>
      <c r="E334" s="338" t="s">
        <v>2648</v>
      </c>
      <c r="F334" s="338" t="s">
        <v>2649</v>
      </c>
      <c r="G334" s="349">
        <v>46117</v>
      </c>
      <c r="H334" s="338" t="s">
        <v>681</v>
      </c>
      <c r="I334" s="338" t="s">
        <v>278</v>
      </c>
      <c r="J334" s="480" t="s">
        <v>1818</v>
      </c>
      <c r="K334" s="338" t="s">
        <v>676</v>
      </c>
      <c r="L334" s="316" t="s">
        <v>250</v>
      </c>
      <c r="M334" s="355" t="s">
        <v>269</v>
      </c>
      <c r="N334" s="107">
        <v>183</v>
      </c>
      <c r="O334" s="31" t="s">
        <v>252</v>
      </c>
      <c r="P33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4" s="35">
        <v>1.0000000000000002</v>
      </c>
      <c r="S334" s="34">
        <v>1</v>
      </c>
      <c r="T334" s="34">
        <f>Table1[[#This Row],[Progres Total Aktual
(%)]]</f>
        <v>0.93084550688630696</v>
      </c>
      <c r="U334" s="98">
        <f>Table1[[#This Row],[Progres Aktual
(%)]]-Table1[[#This Row],[Target Progres
(%)]]</f>
        <v>-6.9154493113693039E-2</v>
      </c>
      <c r="V334" s="80">
        <f>Table1[[#This Row],["Volume
BA MC-0"]]</f>
        <v>332</v>
      </c>
      <c r="W334" s="46">
        <f>Table1[[#This Row],[Total Panjang Pipa Aktual
(Sum-&gt;)3]]</f>
        <v>174</v>
      </c>
      <c r="X334" s="47"/>
      <c r="Y334" s="67" t="s">
        <v>2650</v>
      </c>
      <c r="Z334" s="67">
        <v>316355941</v>
      </c>
      <c r="AA334" s="67">
        <f>ROUND((Table1[[#This Row],[Nilai RAB Jaringan
(Exclude Ppn)]]-Table1[[#This Row],[RAB Perizinan]])*1.11+Table1[[#This Row],[RAB Perizinan]],0)</f>
        <v>235332171</v>
      </c>
      <c r="AB334" s="486">
        <f>SUM(Table1[[#This Row],[RAB Kegiatan Umum]:[RAB Perizinan]])</f>
        <v>212192316</v>
      </c>
      <c r="AC334" s="436">
        <v>16700223</v>
      </c>
      <c r="AD334" s="436">
        <v>167002229</v>
      </c>
      <c r="AE334" s="436">
        <v>26659864</v>
      </c>
      <c r="AF334" s="436">
        <v>1830000</v>
      </c>
      <c r="AG334" s="483">
        <v>2107039</v>
      </c>
      <c r="AH334" s="33">
        <f>SUM(Table1[[#This Row],[Bobot Keg Umum]:[Bobot Perizinan]])</f>
        <v>0.99999999999999989</v>
      </c>
      <c r="AI334" s="33">
        <f>Table1[[#This Row],[RAB Kegiatan Umum]]/Table1[[#This Row],[Nilai RAB Jaringan
(Exclude Ppn)]]</f>
        <v>7.8703241073065061E-2</v>
      </c>
      <c r="AJ334" s="33">
        <f>Table1[[#This Row],[RAB Pemasangan]]/Table1[[#This Row],[Nilai RAB Jaringan
(Exclude Ppn)]]</f>
        <v>0.78703240601794455</v>
      </c>
      <c r="AK334" s="33">
        <f>Table1[[#This Row],[RAB Pengadaan]]/Table1[[#This Row],[Nilai RAB Jaringan
(Exclude Ppn)]]</f>
        <v>0.12564010093560599</v>
      </c>
      <c r="AL334" s="33">
        <f>Table1[[#This Row],[RAB Perizinan]]/Table1[[#This Row],[Nilai RAB Jaringan
(Exclude Ppn)]]</f>
        <v>8.6242519733843708E-3</v>
      </c>
      <c r="AM334" s="47"/>
      <c r="AN334" s="285">
        <v>332</v>
      </c>
      <c r="AO334" s="285">
        <f>SUM(Table1[[#This Row],[Pipa 63 mm]:[Pipa 1,800 mm]])</f>
        <v>332</v>
      </c>
      <c r="AP334" s="285">
        <v>332</v>
      </c>
      <c r="AQ334" s="285"/>
      <c r="AR334" s="285"/>
      <c r="AS334" s="285"/>
      <c r="AT334" s="285"/>
      <c r="AU334" s="285"/>
      <c r="AV334" s="285"/>
      <c r="AW334" s="285"/>
      <c r="AX334" s="285"/>
      <c r="AY334" s="285"/>
      <c r="AZ334" s="285"/>
      <c r="BA334" s="285"/>
      <c r="BB334" s="285"/>
      <c r="BC334" s="285"/>
      <c r="BD334" s="285"/>
      <c r="BE334" s="285"/>
      <c r="BF334" s="285"/>
      <c r="BG334" s="285"/>
      <c r="BH334" s="285"/>
      <c r="BI334" s="285"/>
      <c r="BJ334" s="262">
        <f>SUM(Table1[[#This Row],[Pipa 63 mm2]:[Pipa 1,800 mm21]])</f>
        <v>174</v>
      </c>
      <c r="BK334" s="32">
        <v>174</v>
      </c>
      <c r="BL334" s="32"/>
      <c r="BM334" s="32"/>
      <c r="BN334" s="32"/>
      <c r="BO334" s="32"/>
      <c r="BP334" s="32"/>
      <c r="BQ334" s="32"/>
      <c r="BR334" s="32"/>
      <c r="BS334" s="32"/>
      <c r="BT334" s="32"/>
      <c r="BU334" s="32"/>
      <c r="BV334" s="32"/>
      <c r="BW334" s="32"/>
      <c r="BX334" s="32"/>
      <c r="BY334" s="32"/>
      <c r="BZ334" s="32"/>
      <c r="CA334" s="32"/>
      <c r="CB334" s="32"/>
      <c r="CC334" s="32"/>
      <c r="CD334" s="32"/>
      <c r="CE334" s="32">
        <v>0</v>
      </c>
      <c r="CF334" s="32"/>
      <c r="CG334" s="32"/>
      <c r="CH334" s="32"/>
      <c r="CI334" s="32">
        <f t="shared" si="16"/>
        <v>0</v>
      </c>
      <c r="CJ334" s="65">
        <f>IF((Table1[[#This Row],["Volume
BA MC-0"]]-Table1[[#This Row],[Total Panjang Pipa Aktual
(Sum-&gt;)3]]-Table1[[#This Row],[Total Volume
tidak dapat dipasang]])&gt;=0,Table1[[#This Row],["Volume
BA MC-0"]]-Table1[[#This Row],[Total Panjang Pipa Aktual
(Sum-&gt;)3]]-Table1[[#This Row],[Total Volume
tidak dapat dipasang]],0)</f>
        <v>158</v>
      </c>
      <c r="CK334" s="47"/>
      <c r="CL334" s="484" t="s">
        <v>1821</v>
      </c>
      <c r="CM334" s="34" t="s">
        <v>1821</v>
      </c>
      <c r="CN334" s="484" t="s">
        <v>1821</v>
      </c>
      <c r="CO334" s="484" t="s">
        <v>1821</v>
      </c>
      <c r="CP33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0.93084550688630696</v>
      </c>
      <c r="CQ334" s="66">
        <f>IFERROR(Table1[[#This Row],[Progres Keg. Umum
(%)]]*Table1[[#This Row],[Nilai RAB Jaringan
(file pa aji)]],0)</f>
        <v>0</v>
      </c>
      <c r="CR334" s="66">
        <f>IFERROR(Table1[[#This Row],[Progres MOS
(%)]]*Table1[[#This Row],[Nilai RAB Jaringan
(file pa aji)]],0)</f>
        <v>0</v>
      </c>
      <c r="CS334" s="66">
        <f>IFERROR(Table1[[#This Row],[Progres Pemasangan
(%)]]*Table1[[#This Row],[Nilai RAB Jaringan
(file pa aji)]],0)</f>
        <v>0</v>
      </c>
      <c r="CT334" s="66">
        <f>IFERROR(Table1[[#This Row],[Progres Perizinan
(%)]]*Table1[[#This Row],[Nilai RAB Jaringan
(file pa aji)]],0)</f>
        <v>0</v>
      </c>
      <c r="CU334" s="329">
        <v>219057894.00115007</v>
      </c>
      <c r="CV334" s="329">
        <v>219057894.00115007</v>
      </c>
      <c r="CW334" s="583">
        <v>0</v>
      </c>
      <c r="CX334" s="329">
        <v>0</v>
      </c>
      <c r="CY334" s="47"/>
      <c r="CZ334" s="330">
        <v>45866</v>
      </c>
      <c r="DA334" s="330">
        <v>45893</v>
      </c>
      <c r="DB334" s="331">
        <v>45902</v>
      </c>
      <c r="DC334" s="316" t="s">
        <v>2651</v>
      </c>
      <c r="DD334" s="67">
        <v>235332170.75999999</v>
      </c>
      <c r="DE33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4" s="331">
        <v>45915</v>
      </c>
      <c r="DG334" s="316" t="s">
        <v>2652</v>
      </c>
      <c r="DH334" s="67">
        <v>235332170.75999999</v>
      </c>
      <c r="DI33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4" s="330">
        <v>45894</v>
      </c>
      <c r="DK334" s="330">
        <v>45956</v>
      </c>
      <c r="DL334" s="331">
        <v>45937</v>
      </c>
      <c r="DM334" s="316" t="s">
        <v>2653</v>
      </c>
      <c r="DN33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4" s="331">
        <v>45944</v>
      </c>
      <c r="DP334" s="316" t="s">
        <v>2654</v>
      </c>
      <c r="DQ334" s="338" t="s">
        <v>762</v>
      </c>
      <c r="DR33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4" s="330">
        <v>45894</v>
      </c>
      <c r="DT334" s="330" t="e">
        <v>#N/A</v>
      </c>
      <c r="DU334" s="330">
        <v>45935</v>
      </c>
      <c r="DV334" s="330" t="e">
        <v>#N/A</v>
      </c>
      <c r="DW334" s="331">
        <v>45937</v>
      </c>
      <c r="DX334" s="484" t="s">
        <v>2655</v>
      </c>
      <c r="DY334" s="334">
        <v>10</v>
      </c>
      <c r="DZ334" s="334">
        <v>10</v>
      </c>
      <c r="EA33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4" s="331">
        <v>45967</v>
      </c>
      <c r="EC334" s="332">
        <v>10</v>
      </c>
      <c r="ED334" s="332">
        <v>10</v>
      </c>
      <c r="EE334" s="330" t="s">
        <v>2656</v>
      </c>
      <c r="EF334" s="35">
        <v>1</v>
      </c>
      <c r="EG334" s="35">
        <f>Table1[[#This Row],[Line PO (kolom  bantu)2]]/Table1[[#This Row],[Line PR]]</f>
        <v>1</v>
      </c>
      <c r="EH334" s="316" t="str">
        <f>IF(Table1[[#This Row],[PO Material Aktual 
(%)]]&gt;=100%,"Selesai PO = 100%",IF(Table1[[#This Row],[PO Material Aktual 
(%)]]&gt;=50%,"Proses PO &gt; 100%",IF(Table1[[#This Row],[PO Material Aktual 
(%)]]&gt;0%,"Proses PO &gt; 50%",IF(Table1[[#This Row],[PO Material Aktual 
(%)]]=0,"Belum PO = 0%"))))</f>
        <v>Selesai PO = 100%</v>
      </c>
      <c r="EI33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4" s="330">
        <v>45936</v>
      </c>
      <c r="EK334" s="330" t="e">
        <v>#N/A</v>
      </c>
      <c r="EL334" s="330">
        <v>45984</v>
      </c>
      <c r="EM334" s="330" t="e">
        <v>#N/A</v>
      </c>
      <c r="EN334" s="331">
        <v>46041</v>
      </c>
      <c r="EO334" s="332">
        <v>10</v>
      </c>
      <c r="EP334" s="316">
        <v>10</v>
      </c>
      <c r="EQ334" s="35">
        <v>1</v>
      </c>
      <c r="ER334" s="35">
        <f>Table1[[#This Row],[Line MOS]]/Table1[[#This Row],[Line PR]]</f>
        <v>1</v>
      </c>
      <c r="ES334" s="316" t="str">
        <f>IF(Table1[[#This Row],[Progres MOS]]&gt;=100%,"Selesai MOS = 100%",IF(Table1[[#This Row],[Progres MOS]]&gt;=50%,"Proses MOS &gt; 100%",IF(Table1[[#This Row],[Progres MOS]]&gt;0%,"Proses MOS &gt; 50%",IF(Table1[[#This Row],[Progres MOS]]=0,"Belum MOS = 0%"))))</f>
        <v>Selesai MOS = 100%</v>
      </c>
      <c r="ET33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4" s="47"/>
      <c r="EV334" s="330">
        <v>45894</v>
      </c>
      <c r="EW334" s="330" t="e">
        <v>#N/A</v>
      </c>
      <c r="EX334" s="330">
        <v>45984</v>
      </c>
      <c r="EY334" s="330" t="e">
        <v>#N/A</v>
      </c>
      <c r="EZ334" s="352" t="s">
        <v>298</v>
      </c>
      <c r="FA334" s="336" t="s">
        <v>259</v>
      </c>
      <c r="FB334" s="330" t="s">
        <v>260</v>
      </c>
      <c r="FC334" s="330">
        <v>45945</v>
      </c>
      <c r="FD334" s="330" t="s">
        <v>260</v>
      </c>
      <c r="FE334" s="330">
        <v>45966</v>
      </c>
      <c r="FF334" s="330">
        <v>45993</v>
      </c>
      <c r="FG334" s="330" t="s">
        <v>260</v>
      </c>
      <c r="FH334" s="330" t="s">
        <v>260</v>
      </c>
      <c r="FI334" s="330">
        <v>46013</v>
      </c>
      <c r="FJ334" s="330" t="s">
        <v>260</v>
      </c>
      <c r="FK334" s="330">
        <v>46142</v>
      </c>
      <c r="FL334" s="336" t="s">
        <v>298</v>
      </c>
      <c r="FM334" s="352">
        <v>45945</v>
      </c>
      <c r="FN334" s="338">
        <f>IF(Table1[[#This Row],[Tanggal Pengajuan Dokumen]]="","",Table1[[#This Row],[PLAN PERMIT
start]]-Table1[[#This Row],[Tanggal Pengajuan Dokumen]])</f>
        <v>-51</v>
      </c>
      <c r="FO334" s="437">
        <v>46097</v>
      </c>
      <c r="FP334" s="316"/>
      <c r="FQ334" s="338"/>
      <c r="FR334" s="338"/>
      <c r="FS334" s="338" t="str">
        <f t="shared" si="17"/>
        <v>Sudah Terbit</v>
      </c>
      <c r="FT33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4" s="344">
        <f ca="1">IF(Table1[[#This Row],[Status Izin]]="Selesai",Table1[[#This Row],[PLAN PERMIT
finish]]-Table1[[#This Row],[Tanggal Terbit/ Target Izin Terbit]],ROUNDUP(Table1[[#This Row],[PLAN PERMIT
finish]]-NOW(),0))</f>
        <v>-113</v>
      </c>
      <c r="FV33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4" s="344"/>
      <c r="FX334" s="47"/>
      <c r="FY334" s="340"/>
      <c r="FZ334" s="341"/>
      <c r="GA33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4" s="330">
        <v>45958</v>
      </c>
      <c r="GC334" s="352">
        <v>45965</v>
      </c>
      <c r="GD33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4" s="330">
        <v>45965</v>
      </c>
      <c r="GF334" s="352">
        <v>45950</v>
      </c>
      <c r="GG33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4" s="330">
        <v>45971</v>
      </c>
      <c r="GI334" s="330">
        <v>45977</v>
      </c>
      <c r="GJ334" s="352">
        <v>45954</v>
      </c>
      <c r="GK33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4" s="330">
        <v>45985</v>
      </c>
      <c r="GM334" s="330" t="e">
        <v>#N/A</v>
      </c>
      <c r="GN334" s="330">
        <v>46005</v>
      </c>
      <c r="GO334" s="330" t="e">
        <v>#N/A</v>
      </c>
      <c r="GP334" s="330"/>
      <c r="GQ33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4" s="330" t="s">
        <v>261</v>
      </c>
      <c r="GS334" s="330" t="s">
        <v>261</v>
      </c>
      <c r="GT334" s="354"/>
      <c r="GU334" s="344" t="str">
        <f>IF(Table1[[#This Row],[Hydro Tes Actual
(tanggal)]]&lt;&gt;"","Sudah","Belum")</f>
        <v>Belum</v>
      </c>
      <c r="GV334" s="330" t="s">
        <v>261</v>
      </c>
      <c r="GW334" s="330" t="s">
        <v>261</v>
      </c>
      <c r="GX334" s="331"/>
      <c r="GY334" s="344" t="str">
        <f>IF(Table1[[#This Row],[Interkoneksi Actual
(tanggal)]]&lt;&gt;"","Sudah","Belum")</f>
        <v>Belum</v>
      </c>
      <c r="GZ334" s="330" t="s">
        <v>261</v>
      </c>
      <c r="HA334" s="330" t="s">
        <v>261</v>
      </c>
      <c r="HB334" s="331"/>
      <c r="HC334" s="344" t="str">
        <f>IF(Table1[[#This Row],[Flushing Actual
(tanggal)]]&lt;&gt;"","Sudah","Belum")</f>
        <v>Belum</v>
      </c>
      <c r="HD334" s="330">
        <v>45992</v>
      </c>
      <c r="HE334" s="330" t="e">
        <v>#N/A</v>
      </c>
      <c r="HF334" s="330">
        <v>46005</v>
      </c>
      <c r="HG334" s="352"/>
      <c r="HH33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4" s="330" t="s">
        <v>261</v>
      </c>
      <c r="HJ334" s="330" t="s">
        <v>261</v>
      </c>
      <c r="HK334" s="331"/>
      <c r="HL334" s="316"/>
      <c r="HM334" s="330">
        <v>46010</v>
      </c>
      <c r="HN334" s="330">
        <v>46010</v>
      </c>
      <c r="HO334" s="330" t="e">
        <v>#N/A</v>
      </c>
      <c r="HP334" s="331"/>
      <c r="HQ334"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34" s="330">
        <v>46017</v>
      </c>
      <c r="HS334" s="330"/>
      <c r="HT334" s="330">
        <v>46017</v>
      </c>
      <c r="HU334" s="330"/>
      <c r="HV334" s="331"/>
      <c r="HW33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34" s="47"/>
      <c r="HY334" s="352"/>
      <c r="HZ334" s="352"/>
      <c r="IB334" s="618">
        <f>IFERROR(ROUND((Table1[[#This Row],[PLAN TC
finish]]-Table1[[#This Row],[PLAN MC-0
start]])/30,2),"")</f>
        <v>1.1299999999999999</v>
      </c>
      <c r="IC334">
        <f>DATEDIF(Table1[[#This Row],[PLAN MC-0
start]],Table1[[#This Row],[PLAN TC
finish]],"m")</f>
        <v>1</v>
      </c>
    </row>
    <row r="335" spans="1:237" s="4" customFormat="1" ht="15" hidden="1" customHeight="1" x14ac:dyDescent="0.2">
      <c r="B335" s="311">
        <f>SUBTOTAL(3,$D$5:D335)</f>
        <v>84</v>
      </c>
      <c r="C335" s="316">
        <v>331</v>
      </c>
      <c r="D335" s="315" t="s">
        <v>673</v>
      </c>
      <c r="E335" s="338" t="s">
        <v>2657</v>
      </c>
      <c r="F335" s="338" t="s">
        <v>2658</v>
      </c>
      <c r="G335" s="349">
        <v>46117</v>
      </c>
      <c r="H335" s="338" t="s">
        <v>681</v>
      </c>
      <c r="I335" s="338" t="s">
        <v>278</v>
      </c>
      <c r="J335" s="480" t="s">
        <v>1830</v>
      </c>
      <c r="K335" s="338" t="s">
        <v>676</v>
      </c>
      <c r="L335" s="316" t="s">
        <v>250</v>
      </c>
      <c r="M335" s="355" t="s">
        <v>269</v>
      </c>
      <c r="N335" s="107">
        <v>52</v>
      </c>
      <c r="O335" s="31" t="s">
        <v>252</v>
      </c>
      <c r="P335"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5" s="35">
        <v>0.99999999999999989</v>
      </c>
      <c r="S335" s="34">
        <v>1</v>
      </c>
      <c r="T335" s="34">
        <f>Table1[[#This Row],[Progres Total Aktual
(%)]]</f>
        <v>1</v>
      </c>
      <c r="U335" s="98">
        <f>Table1[[#This Row],[Progres Aktual
(%)]]-Table1[[#This Row],[Target Progres
(%)]]</f>
        <v>0</v>
      </c>
      <c r="V335" s="80">
        <f>Table1[[#This Row],["Volume
BA MC-0"]]</f>
        <v>52</v>
      </c>
      <c r="W335" s="46">
        <f>Table1[[#This Row],[Total Panjang Pipa Aktual
(Sum-&gt;)3]]</f>
        <v>54</v>
      </c>
      <c r="X335" s="47"/>
      <c r="Y335" s="67" t="s">
        <v>2659</v>
      </c>
      <c r="Z335" s="67">
        <v>119843593</v>
      </c>
      <c r="AA335" s="67">
        <f>ROUND((Table1[[#This Row],[Nilai RAB Jaringan
(Exclude Ppn)]]-Table1[[#This Row],[RAB Perizinan]])*1.11+Table1[[#This Row],[RAB Perizinan]],0)</f>
        <v>119843593</v>
      </c>
      <c r="AB335" s="486">
        <f>SUM(Table1[[#This Row],[RAB Kegiatan Umum]:[RAB Perizinan]])</f>
        <v>108018732</v>
      </c>
      <c r="AC335" s="436">
        <v>7113783</v>
      </c>
      <c r="AD335" s="436">
        <v>71137830</v>
      </c>
      <c r="AE335" s="436">
        <v>29247119</v>
      </c>
      <c r="AF335" s="436">
        <v>520000</v>
      </c>
      <c r="AG335" s="483">
        <v>21070387</v>
      </c>
      <c r="AH335" s="33">
        <f>SUM(Table1[[#This Row],[Bobot Keg Umum]:[Bobot Perizinan]])</f>
        <v>1</v>
      </c>
      <c r="AI335" s="33">
        <f>Table1[[#This Row],[RAB Kegiatan Umum]]/Table1[[#This Row],[Nilai RAB Jaringan
(Exclude Ppn)]]</f>
        <v>6.585693859098439E-2</v>
      </c>
      <c r="AJ335" s="33">
        <f>Table1[[#This Row],[RAB Pemasangan]]/Table1[[#This Row],[Nilai RAB Jaringan
(Exclude Ppn)]]</f>
        <v>0.65856938590984382</v>
      </c>
      <c r="AK335" s="33">
        <f>Table1[[#This Row],[RAB Pengadaan]]/Table1[[#This Row],[Nilai RAB Jaringan
(Exclude Ppn)]]</f>
        <v>0.27075969564241875</v>
      </c>
      <c r="AL335" s="33">
        <f>Table1[[#This Row],[RAB Perizinan]]/Table1[[#This Row],[Nilai RAB Jaringan
(Exclude Ppn)]]</f>
        <v>4.8139798567529936E-3</v>
      </c>
      <c r="AM335" s="47"/>
      <c r="AN335" s="285">
        <v>52</v>
      </c>
      <c r="AO335" s="285">
        <f>SUM(Table1[[#This Row],[Pipa 63 mm]:[Pipa 1,800 mm]])</f>
        <v>52</v>
      </c>
      <c r="AP335" s="285">
        <v>52</v>
      </c>
      <c r="AQ335" s="285"/>
      <c r="AR335" s="285"/>
      <c r="AS335" s="285"/>
      <c r="AT335" s="285"/>
      <c r="AU335" s="285"/>
      <c r="AV335" s="285"/>
      <c r="AW335" s="285"/>
      <c r="AX335" s="285"/>
      <c r="AY335" s="285"/>
      <c r="AZ335" s="285"/>
      <c r="BA335" s="285"/>
      <c r="BB335" s="285"/>
      <c r="BC335" s="285"/>
      <c r="BD335" s="285"/>
      <c r="BE335" s="285"/>
      <c r="BF335" s="285"/>
      <c r="BG335" s="285"/>
      <c r="BH335" s="285"/>
      <c r="BI335" s="285"/>
      <c r="BJ335" s="262">
        <f>SUM(Table1[[#This Row],[Pipa 63 mm2]:[Pipa 1,800 mm21]])</f>
        <v>54</v>
      </c>
      <c r="BK335" s="32">
        <v>54</v>
      </c>
      <c r="BL335" s="32"/>
      <c r="BM335" s="32"/>
      <c r="BN335" s="32"/>
      <c r="BO335" s="32"/>
      <c r="BP335" s="32"/>
      <c r="BQ335" s="32"/>
      <c r="BR335" s="32"/>
      <c r="BS335" s="32"/>
      <c r="BT335" s="32"/>
      <c r="BU335" s="32"/>
      <c r="BV335" s="32"/>
      <c r="BW335" s="32"/>
      <c r="BX335" s="32"/>
      <c r="BY335" s="32"/>
      <c r="BZ335" s="32"/>
      <c r="CA335" s="32"/>
      <c r="CB335" s="32"/>
      <c r="CC335" s="32"/>
      <c r="CD335" s="32"/>
      <c r="CE335" s="32">
        <v>0</v>
      </c>
      <c r="CF335" s="32"/>
      <c r="CG335" s="32"/>
      <c r="CH335" s="32"/>
      <c r="CI335" s="32">
        <f t="shared" si="16"/>
        <v>0</v>
      </c>
      <c r="CJ335" s="65">
        <f>IF((Table1[[#This Row],["Volume
BA MC-0"]]-Table1[[#This Row],[Total Panjang Pipa Aktual
(Sum-&gt;)3]]-Table1[[#This Row],[Total Volume
tidak dapat dipasang]])&gt;=0,Table1[[#This Row],["Volume
BA MC-0"]]-Table1[[#This Row],[Total Panjang Pipa Aktual
(Sum-&gt;)3]]-Table1[[#This Row],[Total Volume
tidak dapat dipasang]],0)</f>
        <v>0</v>
      </c>
      <c r="CK335" s="47"/>
      <c r="CL335" s="484" t="s">
        <v>1821</v>
      </c>
      <c r="CM335" s="34" t="s">
        <v>1821</v>
      </c>
      <c r="CN335" s="484" t="s">
        <v>1821</v>
      </c>
      <c r="CO335" s="484" t="s">
        <v>1821</v>
      </c>
      <c r="CP33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5" s="66">
        <f>IFERROR(Table1[[#This Row],[Progres Keg. Umum
(%)]]*Table1[[#This Row],[Nilai RAB Jaringan
(file pa aji)]],0)</f>
        <v>0</v>
      </c>
      <c r="CR335" s="66">
        <f>IFERROR(Table1[[#This Row],[Progres MOS
(%)]]*Table1[[#This Row],[Nilai RAB Jaringan
(file pa aji)]],0)</f>
        <v>0</v>
      </c>
      <c r="CS335" s="66">
        <f>IFERROR(Table1[[#This Row],[Progres Pemasangan
(%)]]*Table1[[#This Row],[Nilai RAB Jaringan
(file pa aji)]],0)</f>
        <v>0</v>
      </c>
      <c r="CT335" s="66">
        <f>IFERROR(Table1[[#This Row],[Progres Perizinan
(%)]]*Table1[[#This Row],[Nilai RAB Jaringan
(file pa aji)]],0)</f>
        <v>0</v>
      </c>
      <c r="CU335" s="329">
        <v>155505758</v>
      </c>
      <c r="CV335" s="329">
        <v>155505758</v>
      </c>
      <c r="CW335" s="583">
        <v>155505758</v>
      </c>
      <c r="CX335" s="329">
        <v>155505758</v>
      </c>
      <c r="CY335" s="47"/>
      <c r="CZ335" s="330">
        <v>45866</v>
      </c>
      <c r="DA335" s="330">
        <v>45893</v>
      </c>
      <c r="DB335" s="331">
        <v>45902</v>
      </c>
      <c r="DC335" s="316" t="s">
        <v>2660</v>
      </c>
      <c r="DD335" s="67">
        <v>119843592.52000001</v>
      </c>
      <c r="DE33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5" s="331">
        <v>45919</v>
      </c>
      <c r="DG335" s="316" t="s">
        <v>2661</v>
      </c>
      <c r="DH335" s="67">
        <v>119843592.52000001</v>
      </c>
      <c r="DI33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5" s="330">
        <v>45894</v>
      </c>
      <c r="DK335" s="330">
        <v>45956</v>
      </c>
      <c r="DL335" s="331">
        <v>45938</v>
      </c>
      <c r="DM335" s="316" t="s">
        <v>2662</v>
      </c>
      <c r="DN33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5" s="331">
        <v>45966</v>
      </c>
      <c r="DP335" s="316" t="s">
        <v>2663</v>
      </c>
      <c r="DQ335" s="338" t="s">
        <v>783</v>
      </c>
      <c r="DR33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5" s="330">
        <v>45894</v>
      </c>
      <c r="DT335" s="330" t="e">
        <v>#N/A</v>
      </c>
      <c r="DU335" s="330">
        <v>45935</v>
      </c>
      <c r="DV335" s="330" t="e">
        <v>#N/A</v>
      </c>
      <c r="DW335" s="331">
        <v>45938</v>
      </c>
      <c r="DX335" s="484" t="s">
        <v>2664</v>
      </c>
      <c r="DY335" s="332">
        <v>22</v>
      </c>
      <c r="DZ335" s="334">
        <v>22</v>
      </c>
      <c r="EA33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5" s="331">
        <v>46006</v>
      </c>
      <c r="EC335" s="332">
        <v>20</v>
      </c>
      <c r="ED335" s="332">
        <v>20</v>
      </c>
      <c r="EE335" s="425" t="s">
        <v>2665</v>
      </c>
      <c r="EF335" s="35">
        <v>1</v>
      </c>
      <c r="EG335" s="337">
        <v>1</v>
      </c>
      <c r="EH335" s="316" t="str">
        <f>IF(Table1[[#This Row],[PO Material Aktual 
(%)]]&gt;=100%,"Selesai PO = 100%",IF(Table1[[#This Row],[PO Material Aktual 
(%)]]&gt;=50%,"Proses PO &gt; 100%",IF(Table1[[#This Row],[PO Material Aktual 
(%)]]&gt;0%,"Proses PO &gt; 50%",IF(Table1[[#This Row],[PO Material Aktual 
(%)]]=0,"Belum PO = 0%"))))</f>
        <v>Selesai PO = 100%</v>
      </c>
      <c r="EI335"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5" s="330">
        <v>45936</v>
      </c>
      <c r="EK335" s="330" t="e">
        <v>#N/A</v>
      </c>
      <c r="EL335" s="330">
        <v>45984</v>
      </c>
      <c r="EM335" s="330" t="e">
        <v>#N/A</v>
      </c>
      <c r="EN335" s="331">
        <v>46039</v>
      </c>
      <c r="EO335" s="332">
        <f>Table1[[#This Row],[Line PO]]</f>
        <v>20</v>
      </c>
      <c r="EP335" s="316">
        <v>20</v>
      </c>
      <c r="EQ335" s="35">
        <v>0.90909090909090906</v>
      </c>
      <c r="ER335" s="35">
        <f>Table1[[#This Row],[Line MOS]]/Table1[[#This Row],[Line PR]]</f>
        <v>0.90909090909090906</v>
      </c>
      <c r="ES335" s="316" t="str">
        <f>IF(Table1[[#This Row],[Progres MOS]]&gt;=100%,"Selesai MOS = 100%",IF(Table1[[#This Row],[Progres MOS]]&gt;=50%,"Proses MOS &gt; 100%",IF(Table1[[#This Row],[Progres MOS]]&gt;0%,"Proses MOS &gt; 50%",IF(Table1[[#This Row],[Progres MOS]]=0,"Belum MOS = 0%"))))</f>
        <v>Proses MOS &gt; 100%</v>
      </c>
      <c r="ET33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5" s="47"/>
      <c r="EV335" s="330">
        <v>45894</v>
      </c>
      <c r="EW335" s="330" t="e">
        <v>#N/A</v>
      </c>
      <c r="EX335" s="330">
        <v>45984</v>
      </c>
      <c r="EY335" s="330" t="e">
        <v>#N/A</v>
      </c>
      <c r="EZ335" s="352" t="s">
        <v>298</v>
      </c>
      <c r="FA335" s="336" t="s">
        <v>259</v>
      </c>
      <c r="FB335" s="330" t="s">
        <v>260</v>
      </c>
      <c r="FC335" s="330">
        <v>45945</v>
      </c>
      <c r="FD335" s="330" t="s">
        <v>260</v>
      </c>
      <c r="FE335" s="330">
        <v>45966</v>
      </c>
      <c r="FF335" s="330">
        <v>45992</v>
      </c>
      <c r="FG335" s="330" t="s">
        <v>260</v>
      </c>
      <c r="FH335" s="330" t="s">
        <v>260</v>
      </c>
      <c r="FI335" s="330">
        <v>46013</v>
      </c>
      <c r="FJ335" s="330" t="s">
        <v>260</v>
      </c>
      <c r="FK335" s="330">
        <v>46118</v>
      </c>
      <c r="FL335" s="336" t="s">
        <v>298</v>
      </c>
      <c r="FM335" s="352">
        <v>45945</v>
      </c>
      <c r="FN335" s="338">
        <f>IF(Table1[[#This Row],[Tanggal Pengajuan Dokumen]]="","",Table1[[#This Row],[PLAN PERMIT
start]]-Table1[[#This Row],[Tanggal Pengajuan Dokumen]])</f>
        <v>-51</v>
      </c>
      <c r="FO335" s="437">
        <v>46097</v>
      </c>
      <c r="FP335" s="316"/>
      <c r="FQ335" s="338"/>
      <c r="FR335" s="338"/>
      <c r="FS335" s="338" t="str">
        <f t="shared" si="17"/>
        <v>Sudah Terbit</v>
      </c>
      <c r="FT33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5" s="344">
        <f ca="1">IF(Table1[[#This Row],[Status Izin]]="Selesai",Table1[[#This Row],[PLAN PERMIT
finish]]-Table1[[#This Row],[Tanggal Terbit/ Target Izin Terbit]],ROUNDUP(Table1[[#This Row],[PLAN PERMIT
finish]]-NOW(),0))</f>
        <v>-113</v>
      </c>
      <c r="FV33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5" s="344"/>
      <c r="FX335" s="47"/>
      <c r="FY335" s="340"/>
      <c r="FZ335" s="341"/>
      <c r="GA33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5" s="330">
        <v>45958</v>
      </c>
      <c r="GC335" s="352">
        <v>45965</v>
      </c>
      <c r="GD33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5" s="330">
        <v>45965</v>
      </c>
      <c r="GF335" s="352">
        <v>45964</v>
      </c>
      <c r="GG33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5" s="330">
        <v>45971</v>
      </c>
      <c r="GI335" s="330">
        <v>45977</v>
      </c>
      <c r="GJ335" s="352">
        <v>45968</v>
      </c>
      <c r="GK33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5" s="330">
        <v>45985</v>
      </c>
      <c r="GM335" s="330" t="e">
        <v>#N/A</v>
      </c>
      <c r="GN335" s="330">
        <v>46005</v>
      </c>
      <c r="GO335" s="330" t="e">
        <v>#N/A</v>
      </c>
      <c r="GP335" s="330"/>
      <c r="GQ33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5" s="330" t="s">
        <v>261</v>
      </c>
      <c r="GS335" s="330" t="s">
        <v>261</v>
      </c>
      <c r="GT335" s="354">
        <v>46083</v>
      </c>
      <c r="GU335" s="344" t="str">
        <f>IF(Table1[[#This Row],[Hydro Tes Actual
(tanggal)]]&lt;&gt;"","Sudah","Belum")</f>
        <v>Sudah</v>
      </c>
      <c r="GV335" s="330" t="s">
        <v>261</v>
      </c>
      <c r="GW335" s="330" t="s">
        <v>261</v>
      </c>
      <c r="GX335" s="331">
        <v>46083</v>
      </c>
      <c r="GY335" s="344" t="str">
        <f>IF(Table1[[#This Row],[Interkoneksi Actual
(tanggal)]]&lt;&gt;"","Sudah","Belum")</f>
        <v>Sudah</v>
      </c>
      <c r="GZ335" s="330" t="s">
        <v>261</v>
      </c>
      <c r="HA335" s="330" t="s">
        <v>261</v>
      </c>
      <c r="HB335" s="331">
        <v>46083</v>
      </c>
      <c r="HC335" s="344" t="str">
        <f>IF(Table1[[#This Row],[Flushing Actual
(tanggal)]]&lt;&gt;"","Sudah","Belum")</f>
        <v>Sudah</v>
      </c>
      <c r="HD335" s="330">
        <v>45992</v>
      </c>
      <c r="HE335" s="330" t="e">
        <v>#N/A</v>
      </c>
      <c r="HF335" s="330">
        <v>46005</v>
      </c>
      <c r="HG335" s="352">
        <v>46091</v>
      </c>
      <c r="HH33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5" s="330" t="s">
        <v>261</v>
      </c>
      <c r="HJ335" s="330" t="s">
        <v>261</v>
      </c>
      <c r="HK335" s="331"/>
      <c r="HL335" s="316"/>
      <c r="HM335" s="330">
        <v>46010</v>
      </c>
      <c r="HN335" s="330">
        <v>46010</v>
      </c>
      <c r="HO335" s="330" t="e">
        <v>#N/A</v>
      </c>
      <c r="HP335" s="331">
        <v>46093</v>
      </c>
      <c r="HQ335"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35" s="330">
        <v>46017</v>
      </c>
      <c r="HS335" s="330"/>
      <c r="HT335" s="330">
        <v>46017</v>
      </c>
      <c r="HU335" s="330"/>
      <c r="HV335" s="331">
        <v>46099</v>
      </c>
      <c r="HW335"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35" s="47"/>
      <c r="HY335" s="352"/>
      <c r="HZ335" s="352"/>
      <c r="IB335" s="618">
        <f>IFERROR(ROUND((Table1[[#This Row],[PLAN TC
finish]]-Table1[[#This Row],[PLAN MC-0
start]])/30,2),"")</f>
        <v>1.1299999999999999</v>
      </c>
      <c r="IC335">
        <f>DATEDIF(Table1[[#This Row],[PLAN MC-0
start]],Table1[[#This Row],[PLAN TC
finish]],"m")</f>
        <v>1</v>
      </c>
    </row>
    <row r="336" spans="1:237" s="4" customFormat="1" ht="15" hidden="1" customHeight="1" x14ac:dyDescent="0.2">
      <c r="B336" s="311">
        <f>SUBTOTAL(3,$D$5:D336)</f>
        <v>84</v>
      </c>
      <c r="C336" s="316">
        <v>332</v>
      </c>
      <c r="D336" s="315" t="s">
        <v>673</v>
      </c>
      <c r="E336" s="338" t="s">
        <v>2666</v>
      </c>
      <c r="F336" s="448" t="s">
        <v>2667</v>
      </c>
      <c r="G336" s="349">
        <v>46117</v>
      </c>
      <c r="H336" s="338" t="s">
        <v>681</v>
      </c>
      <c r="I336" s="338" t="s">
        <v>278</v>
      </c>
      <c r="J336" s="480" t="s">
        <v>1818</v>
      </c>
      <c r="K336" s="338" t="s">
        <v>676</v>
      </c>
      <c r="L336" s="316" t="s">
        <v>250</v>
      </c>
      <c r="M336" s="355" t="s">
        <v>269</v>
      </c>
      <c r="N336" s="107">
        <v>739</v>
      </c>
      <c r="O336" s="31" t="s">
        <v>252</v>
      </c>
      <c r="P336"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6" s="35">
        <v>0.99999999999999989</v>
      </c>
      <c r="S336" s="34">
        <v>1</v>
      </c>
      <c r="T336" s="34">
        <f>Table1[[#This Row],[Progres Total Aktual
(%)]]</f>
        <v>0.37650309442881963</v>
      </c>
      <c r="U336" s="98">
        <f>Table1[[#This Row],[Progres Aktual
(%)]]-Table1[[#This Row],[Target Progres
(%)]]</f>
        <v>-0.62349690557118032</v>
      </c>
      <c r="V336" s="80">
        <f>Table1[[#This Row],["Volume
BA MC-0"]]</f>
        <v>739</v>
      </c>
      <c r="W336" s="46">
        <f>Table1[[#This Row],[Total Panjang Pipa Aktual
(Sum-&gt;)3]]</f>
        <v>569</v>
      </c>
      <c r="X336" s="47"/>
      <c r="Y336" s="67" t="s">
        <v>2668</v>
      </c>
      <c r="Z336" s="67">
        <v>1960724806</v>
      </c>
      <c r="AA336" s="67">
        <f>ROUND((Table1[[#This Row],[Nilai RAB Jaringan
(Exclude Ppn)]]-Table1[[#This Row],[RAB Perizinan]])*1.11+Table1[[#This Row],[RAB Perizinan]],0)</f>
        <v>1960724806</v>
      </c>
      <c r="AB336" s="486">
        <f>SUM(Table1[[#This Row],[RAB Kegiatan Umum]:[RAB Perizinan]])</f>
        <v>1767844780</v>
      </c>
      <c r="AC336" s="436">
        <v>146250717</v>
      </c>
      <c r="AD336" s="436">
        <v>1462507165</v>
      </c>
      <c r="AE336" s="436">
        <v>144696898</v>
      </c>
      <c r="AF336" s="436">
        <v>14390000</v>
      </c>
      <c r="AG336" s="483">
        <v>4214078</v>
      </c>
      <c r="AH336" s="33">
        <f>SUM(Table1[[#This Row],[Bobot Keg Umum]:[Bobot Perizinan]])</f>
        <v>1</v>
      </c>
      <c r="AI336" s="33">
        <f>Table1[[#This Row],[RAB Kegiatan Umum]]/Table1[[#This Row],[Nilai RAB Jaringan
(Exclude Ppn)]]</f>
        <v>8.2728256832593633E-2</v>
      </c>
      <c r="AJ336" s="33">
        <f>Table1[[#This Row],[RAB Pemasangan]]/Table1[[#This Row],[Nilai RAB Jaringan
(Exclude Ppn)]]</f>
        <v>0.82728256549763379</v>
      </c>
      <c r="AK336" s="33">
        <f>Table1[[#This Row],[RAB Pengadaan]]/Table1[[#This Row],[Nilai RAB Jaringan
(Exclude Ppn)]]</f>
        <v>8.1849322766900379E-2</v>
      </c>
      <c r="AL336" s="33">
        <f>Table1[[#This Row],[RAB Perizinan]]/Table1[[#This Row],[Nilai RAB Jaringan
(Exclude Ppn)]]</f>
        <v>8.1398549028721852E-3</v>
      </c>
      <c r="AM336" s="47"/>
      <c r="AN336" s="285">
        <v>739</v>
      </c>
      <c r="AO336" s="285">
        <f>SUM(Table1[[#This Row],[Pipa 63 mm]:[Pipa 1,800 mm]])</f>
        <v>739</v>
      </c>
      <c r="AP336" s="285">
        <v>389</v>
      </c>
      <c r="AQ336" s="285">
        <v>350</v>
      </c>
      <c r="AR336" s="285"/>
      <c r="AS336" s="285"/>
      <c r="AT336" s="285"/>
      <c r="AU336" s="285"/>
      <c r="AV336" s="285"/>
      <c r="AW336" s="285"/>
      <c r="AX336" s="285"/>
      <c r="AY336" s="285"/>
      <c r="AZ336" s="285"/>
      <c r="BA336" s="285"/>
      <c r="BB336" s="285"/>
      <c r="BC336" s="285"/>
      <c r="BD336" s="285"/>
      <c r="BE336" s="285"/>
      <c r="BF336" s="285"/>
      <c r="BG336" s="285"/>
      <c r="BH336" s="285"/>
      <c r="BI336" s="285"/>
      <c r="BJ336" s="262">
        <f>SUM(Table1[[#This Row],[Pipa 63 mm2]:[Pipa 1,800 mm21]])</f>
        <v>569</v>
      </c>
      <c r="BK336" s="32">
        <v>364</v>
      </c>
      <c r="BL336" s="32">
        <v>205</v>
      </c>
      <c r="BM336" s="32"/>
      <c r="BN336" s="32"/>
      <c r="BO336" s="32"/>
      <c r="BP336" s="32"/>
      <c r="BQ336" s="32"/>
      <c r="BR336" s="32"/>
      <c r="BS336" s="32"/>
      <c r="BT336" s="32"/>
      <c r="BU336" s="32"/>
      <c r="BV336" s="32"/>
      <c r="BW336" s="32"/>
      <c r="BX336" s="32"/>
      <c r="BY336" s="32"/>
      <c r="BZ336" s="32"/>
      <c r="CA336" s="32"/>
      <c r="CB336" s="32"/>
      <c r="CC336" s="32"/>
      <c r="CD336" s="32"/>
      <c r="CE336" s="32">
        <v>0</v>
      </c>
      <c r="CF336" s="32"/>
      <c r="CG336" s="32"/>
      <c r="CH336" s="32"/>
      <c r="CI336" s="32">
        <f t="shared" si="16"/>
        <v>0</v>
      </c>
      <c r="CJ336" s="65">
        <f>IF((Table1[[#This Row],["Volume
BA MC-0"]]-Table1[[#This Row],[Total Panjang Pipa Aktual
(Sum-&gt;)3]]-Table1[[#This Row],[Total Volume
tidak dapat dipasang]])&gt;=0,Table1[[#This Row],["Volume
BA MC-0"]]-Table1[[#This Row],[Total Panjang Pipa Aktual
(Sum-&gt;)3]]-Table1[[#This Row],[Total Volume
tidak dapat dipasang]],0)</f>
        <v>170</v>
      </c>
      <c r="CK336" s="47"/>
      <c r="CL336" s="484" t="s">
        <v>1821</v>
      </c>
      <c r="CM336" s="34" t="s">
        <v>1821</v>
      </c>
      <c r="CN336" s="484" t="s">
        <v>1821</v>
      </c>
      <c r="CO336" s="484" t="s">
        <v>1821</v>
      </c>
      <c r="CP33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0.37650309442881963</v>
      </c>
      <c r="CQ336" s="66">
        <f>IFERROR(Table1[[#This Row],[Progres Keg. Umum
(%)]]*Table1[[#This Row],[Nilai RAB Jaringan
(file pa aji)]],0)</f>
        <v>0</v>
      </c>
      <c r="CR336" s="66">
        <f>IFERROR(Table1[[#This Row],[Progres MOS
(%)]]*Table1[[#This Row],[Nilai RAB Jaringan
(file pa aji)]],0)</f>
        <v>0</v>
      </c>
      <c r="CS336" s="66">
        <f>IFERROR(Table1[[#This Row],[Progres Pemasangan
(%)]]*Table1[[#This Row],[Nilai RAB Jaringan
(file pa aji)]],0)</f>
        <v>0</v>
      </c>
      <c r="CT336" s="66">
        <f>IFERROR(Table1[[#This Row],[Progres Perizinan
(%)]]*Table1[[#This Row],[Nilai RAB Jaringan
(file pa aji)]],0)</f>
        <v>0</v>
      </c>
      <c r="CU336" s="329">
        <v>738218956.78234708</v>
      </c>
      <c r="CV336" s="329">
        <v>738218956.78234708</v>
      </c>
      <c r="CW336" s="583">
        <v>0</v>
      </c>
      <c r="CX336" s="329">
        <v>0</v>
      </c>
      <c r="CY336" s="47"/>
      <c r="CZ336" s="330">
        <v>45866</v>
      </c>
      <c r="DA336" s="330">
        <v>45893</v>
      </c>
      <c r="DB336" s="331">
        <v>45901</v>
      </c>
      <c r="DC336" s="316" t="s">
        <v>2669</v>
      </c>
      <c r="DD336" s="67">
        <v>1960724805.8</v>
      </c>
      <c r="DE33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6" s="331">
        <v>45915</v>
      </c>
      <c r="DG336" s="316" t="s">
        <v>2670</v>
      </c>
      <c r="DH336" s="67">
        <v>1960724805.8</v>
      </c>
      <c r="DI33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6" s="330">
        <v>45894</v>
      </c>
      <c r="DK336" s="330">
        <v>45963</v>
      </c>
      <c r="DL336" s="331">
        <v>45937</v>
      </c>
      <c r="DM336" s="316" t="s">
        <v>2671</v>
      </c>
      <c r="DN33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6" s="331">
        <v>45946</v>
      </c>
      <c r="DP336" s="316" t="s">
        <v>2672</v>
      </c>
      <c r="DQ336" s="338" t="s">
        <v>297</v>
      </c>
      <c r="DR33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6" s="330">
        <v>45894</v>
      </c>
      <c r="DT336" s="330" t="e">
        <v>#N/A</v>
      </c>
      <c r="DU336" s="330">
        <v>45935</v>
      </c>
      <c r="DV336" s="330" t="e">
        <v>#N/A</v>
      </c>
      <c r="DW336" s="331">
        <v>45937</v>
      </c>
      <c r="DX336" s="484" t="s">
        <v>2673</v>
      </c>
      <c r="DY336" s="334">
        <v>76</v>
      </c>
      <c r="DZ336" s="334">
        <v>76</v>
      </c>
      <c r="EA33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6" s="331"/>
      <c r="EC336" s="332">
        <v>70</v>
      </c>
      <c r="ED336" s="332">
        <v>70</v>
      </c>
      <c r="EE336" s="330"/>
      <c r="EF336" s="35">
        <v>0.92105263157894735</v>
      </c>
      <c r="EG336" s="35">
        <f>Table1[[#This Row],[Line PO (kolom  bantu)2]]/Table1[[#This Row],[Line PR]]</f>
        <v>0.92105263157894735</v>
      </c>
      <c r="EH336" s="316" t="str">
        <f>IF(Table1[[#This Row],[PO Material Aktual 
(%)]]&gt;=100%,"Selesai PO = 100%",IF(Table1[[#This Row],[PO Material Aktual 
(%)]]&gt;=50%,"Proses PO &gt; 100%",IF(Table1[[#This Row],[PO Material Aktual 
(%)]]&gt;0%,"Proses PO &gt; 50%",IF(Table1[[#This Row],[PO Material Aktual 
(%)]]=0,"Belum PO = 0%"))))</f>
        <v>Proses PO &gt; 100%</v>
      </c>
      <c r="EI336"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6" s="330">
        <v>45936</v>
      </c>
      <c r="EK336" s="330" t="e">
        <v>#N/A</v>
      </c>
      <c r="EL336" s="330">
        <v>45991</v>
      </c>
      <c r="EM336" s="330" t="e">
        <v>#N/A</v>
      </c>
      <c r="EN336" s="331"/>
      <c r="EO336" s="332">
        <v>70</v>
      </c>
      <c r="EP336" s="316">
        <v>70</v>
      </c>
      <c r="EQ336" s="35">
        <v>0.92105263157894735</v>
      </c>
      <c r="ER336" s="35">
        <f>Table1[[#This Row],[Line MOS]]/Table1[[#This Row],[Line PR]]</f>
        <v>0.92105263157894735</v>
      </c>
      <c r="ES336" s="316" t="str">
        <f>IF(Table1[[#This Row],[Progres MOS]]&gt;=100%,"Selesai MOS = 100%",IF(Table1[[#This Row],[Progres MOS]]&gt;=50%,"Proses MOS &gt; 100%",IF(Table1[[#This Row],[Progres MOS]]&gt;0%,"Proses MOS &gt; 50%",IF(Table1[[#This Row],[Progres MOS]]=0,"Belum MOS = 0%"))))</f>
        <v>Proses MOS &gt; 100%</v>
      </c>
      <c r="ET33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6" s="47"/>
      <c r="EV336" s="330">
        <v>45894</v>
      </c>
      <c r="EW336" s="330" t="e">
        <v>#N/A</v>
      </c>
      <c r="EX336" s="330">
        <v>45991</v>
      </c>
      <c r="EY336" s="330" t="e">
        <v>#N/A</v>
      </c>
      <c r="EZ336" s="352" t="s">
        <v>298</v>
      </c>
      <c r="FA336" s="336" t="s">
        <v>259</v>
      </c>
      <c r="FB336" s="330" t="s">
        <v>260</v>
      </c>
      <c r="FC336" s="330">
        <v>45943</v>
      </c>
      <c r="FD336" s="330" t="s">
        <v>260</v>
      </c>
      <c r="FE336" s="330">
        <v>45966</v>
      </c>
      <c r="FF336" s="330">
        <v>45992</v>
      </c>
      <c r="FG336" s="330" t="s">
        <v>260</v>
      </c>
      <c r="FH336" s="330" t="s">
        <v>260</v>
      </c>
      <c r="FI336" s="330">
        <v>46013</v>
      </c>
      <c r="FJ336" s="330" t="s">
        <v>260</v>
      </c>
      <c r="FK336" s="330">
        <v>46118</v>
      </c>
      <c r="FL336" s="336" t="s">
        <v>298</v>
      </c>
      <c r="FM336" s="352">
        <v>45943</v>
      </c>
      <c r="FN336" s="338">
        <f>IF(Table1[[#This Row],[Tanggal Pengajuan Dokumen]]="","",Table1[[#This Row],[PLAN PERMIT
start]]-Table1[[#This Row],[Tanggal Pengajuan Dokumen]])</f>
        <v>-49</v>
      </c>
      <c r="FO336" s="437">
        <v>46097</v>
      </c>
      <c r="FP336" s="316" t="s">
        <v>2086</v>
      </c>
      <c r="FQ336" s="338"/>
      <c r="FR336" s="338"/>
      <c r="FS336" s="338" t="str">
        <f t="shared" si="17"/>
        <v>On Going</v>
      </c>
      <c r="FT33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6" s="344">
        <f ca="1">IF(Table1[[#This Row],[Status Izin]]="Selesai",Table1[[#This Row],[PLAN PERMIT
finish]]-Table1[[#This Row],[Tanggal Terbit/ Target Izin Terbit]],ROUNDUP(Table1[[#This Row],[PLAN PERMIT
finish]]-NOW(),0))</f>
        <v>-200</v>
      </c>
      <c r="FV33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6" s="344"/>
      <c r="FX336" s="47"/>
      <c r="FY336" s="340"/>
      <c r="FZ336" s="341"/>
      <c r="GA33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6" s="330">
        <v>45965</v>
      </c>
      <c r="GC336" s="352">
        <v>45972</v>
      </c>
      <c r="GD33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6" s="330">
        <v>45972</v>
      </c>
      <c r="GF336" s="352">
        <v>45964</v>
      </c>
      <c r="GG33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6" s="330">
        <v>45978</v>
      </c>
      <c r="GI336" s="330">
        <v>45984</v>
      </c>
      <c r="GJ336" s="352">
        <v>45968</v>
      </c>
      <c r="GK33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6" s="330">
        <v>45992</v>
      </c>
      <c r="GM336" s="330" t="e">
        <v>#N/A</v>
      </c>
      <c r="GN336" s="330">
        <v>46033</v>
      </c>
      <c r="GO336" s="330" t="e">
        <v>#N/A</v>
      </c>
      <c r="GP336" s="330"/>
      <c r="GQ33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6" s="330" t="s">
        <v>261</v>
      </c>
      <c r="GS336" s="330" t="s">
        <v>261</v>
      </c>
      <c r="GT336" s="354"/>
      <c r="GU336" s="344" t="str">
        <f>IF(Table1[[#This Row],[Hydro Tes Actual
(tanggal)]]&lt;&gt;"","Sudah","Belum")</f>
        <v>Belum</v>
      </c>
      <c r="GV336" s="330" t="s">
        <v>261</v>
      </c>
      <c r="GW336" s="330" t="s">
        <v>261</v>
      </c>
      <c r="GX336" s="331"/>
      <c r="GY336" s="344" t="str">
        <f>IF(Table1[[#This Row],[Interkoneksi Actual
(tanggal)]]&lt;&gt;"","Sudah","Belum")</f>
        <v>Belum</v>
      </c>
      <c r="GZ336" s="330" t="s">
        <v>261</v>
      </c>
      <c r="HA336" s="330" t="s">
        <v>261</v>
      </c>
      <c r="HB336" s="331"/>
      <c r="HC336" s="344" t="str">
        <f>IF(Table1[[#This Row],[Flushing Actual
(tanggal)]]&lt;&gt;"","Sudah","Belum")</f>
        <v>Belum</v>
      </c>
      <c r="HD336" s="330">
        <v>46013</v>
      </c>
      <c r="HE336" s="330" t="e">
        <v>#N/A</v>
      </c>
      <c r="HF336" s="330">
        <v>46026</v>
      </c>
      <c r="HG336" s="352"/>
      <c r="HH33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6" s="330" t="s">
        <v>261</v>
      </c>
      <c r="HJ336" s="330" t="s">
        <v>261</v>
      </c>
      <c r="HK336" s="331"/>
      <c r="HL336" s="316"/>
      <c r="HM336" s="330">
        <v>46038</v>
      </c>
      <c r="HN336" s="330">
        <v>46038</v>
      </c>
      <c r="HO336" s="330" t="e">
        <v>#N/A</v>
      </c>
      <c r="HP336" s="331"/>
      <c r="HQ336"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36" s="330">
        <v>46045</v>
      </c>
      <c r="HS336" s="330"/>
      <c r="HT336" s="330">
        <v>46045</v>
      </c>
      <c r="HU336" s="330"/>
      <c r="HV336" s="331"/>
      <c r="HW336"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36" s="47"/>
      <c r="HY336" s="352"/>
      <c r="HZ336" s="352"/>
      <c r="IB336" s="618">
        <f>IFERROR(ROUND((Table1[[#This Row],[PLAN TC
finish]]-Table1[[#This Row],[PLAN MC-0
start]])/30,2),"")</f>
        <v>1.6</v>
      </c>
      <c r="IC336">
        <f>DATEDIF(Table1[[#This Row],[PLAN MC-0
start]],Table1[[#This Row],[PLAN TC
finish]],"m")</f>
        <v>1</v>
      </c>
    </row>
    <row r="337" spans="2:261" s="4" customFormat="1" ht="15" hidden="1" customHeight="1" x14ac:dyDescent="0.2">
      <c r="B337" s="311">
        <f>SUBTOTAL(3,$D$5:D337)</f>
        <v>84</v>
      </c>
      <c r="C337" s="316">
        <v>333</v>
      </c>
      <c r="D337" s="315" t="s">
        <v>673</v>
      </c>
      <c r="E337" s="338" t="s">
        <v>2674</v>
      </c>
      <c r="F337" s="338" t="s">
        <v>2675</v>
      </c>
      <c r="G337" s="349">
        <v>46117</v>
      </c>
      <c r="H337" s="338" t="s">
        <v>681</v>
      </c>
      <c r="I337" s="338" t="s">
        <v>278</v>
      </c>
      <c r="J337" s="480" t="s">
        <v>1818</v>
      </c>
      <c r="K337" s="338" t="s">
        <v>676</v>
      </c>
      <c r="L337" s="316" t="s">
        <v>250</v>
      </c>
      <c r="M337" s="355" t="s">
        <v>269</v>
      </c>
      <c r="N337" s="107">
        <v>1</v>
      </c>
      <c r="O337" s="31" t="s">
        <v>327</v>
      </c>
      <c r="P337"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37" s="35">
        <v>0.99999999999999978</v>
      </c>
      <c r="S337" s="34">
        <v>1</v>
      </c>
      <c r="T337" s="34">
        <f>Table1[[#This Row],[Progres Total Aktual
(%)]]</f>
        <v>0</v>
      </c>
      <c r="U337" s="98">
        <f>Table1[[#This Row],[Progres Aktual
(%)]]-Table1[[#This Row],[Target Progres
(%)]]</f>
        <v>-1</v>
      </c>
      <c r="V337" s="80">
        <f>Table1[[#This Row],["Volume
BA MC-0"]]</f>
        <v>1</v>
      </c>
      <c r="W337" s="46">
        <f>Table1[[#This Row],[Total Panjang Pipa Aktual
(Sum-&gt;)3]]</f>
        <v>0</v>
      </c>
      <c r="X337" s="47"/>
      <c r="Y337" s="67" t="s">
        <v>2579</v>
      </c>
      <c r="Z337" s="67">
        <v>126204245</v>
      </c>
      <c r="AA337" s="67">
        <f>ROUND((Table1[[#This Row],[Nilai RAB Jaringan
(Exclude Ppn)]]-Table1[[#This Row],[RAB Perizinan]])*1.11+Table1[[#This Row],[RAB Perizinan]],0)</f>
        <v>0</v>
      </c>
      <c r="AB337" s="486">
        <f>SUM(Table1[[#This Row],[RAB Kegiatan Umum]:[RAB Perizinan]])</f>
        <v>0</v>
      </c>
      <c r="AC337" s="436"/>
      <c r="AD337" s="436"/>
      <c r="AE337" s="436"/>
      <c r="AF337" s="436"/>
      <c r="AG337" s="483"/>
      <c r="AH337" s="33" t="e">
        <f>SUM(Table1[[#This Row],[Bobot Keg Umum]:[Bobot Perizinan]])</f>
        <v>#DIV/0!</v>
      </c>
      <c r="AI337" s="33" t="e">
        <f>Table1[[#This Row],[RAB Kegiatan Umum]]/Table1[[#This Row],[Nilai RAB Jaringan
(Exclude Ppn)]]</f>
        <v>#DIV/0!</v>
      </c>
      <c r="AJ337" s="33" t="e">
        <f>Table1[[#This Row],[RAB Pemasangan]]/Table1[[#This Row],[Nilai RAB Jaringan
(Exclude Ppn)]]</f>
        <v>#DIV/0!</v>
      </c>
      <c r="AK337" s="33" t="e">
        <f>Table1[[#This Row],[RAB Pengadaan]]/Table1[[#This Row],[Nilai RAB Jaringan
(Exclude Ppn)]]</f>
        <v>#DIV/0!</v>
      </c>
      <c r="AL337" s="33" t="e">
        <f>Table1[[#This Row],[RAB Perizinan]]/Table1[[#This Row],[Nilai RAB Jaringan
(Exclude Ppn)]]</f>
        <v>#DIV/0!</v>
      </c>
      <c r="AM337" s="47"/>
      <c r="AN337" s="285">
        <v>1</v>
      </c>
      <c r="AO337" s="285">
        <f>SUM(Table1[[#This Row],[Pipa 63 mm]:[Pipa 1,800 mm]])</f>
        <v>1</v>
      </c>
      <c r="AP337" s="285">
        <v>1</v>
      </c>
      <c r="AQ337" s="285"/>
      <c r="AR337" s="285"/>
      <c r="AS337" s="285"/>
      <c r="AT337" s="285"/>
      <c r="AU337" s="285"/>
      <c r="AV337" s="285"/>
      <c r="AW337" s="285"/>
      <c r="AX337" s="285"/>
      <c r="AY337" s="285"/>
      <c r="AZ337" s="285"/>
      <c r="BA337" s="285"/>
      <c r="BB337" s="285"/>
      <c r="BC337" s="285"/>
      <c r="BD337" s="285"/>
      <c r="BE337" s="285"/>
      <c r="BF337" s="285"/>
      <c r="BG337" s="285"/>
      <c r="BH337" s="285"/>
      <c r="BI337" s="285"/>
      <c r="BJ337" s="262">
        <f>SUM(Table1[[#This Row],[Pipa 63 mm2]:[Pipa 1,800 mm21]])</f>
        <v>0</v>
      </c>
      <c r="BK337" s="32"/>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65">
        <f>IF((Table1[[#This Row],["Volume
BA MC-0"]]-Table1[[#This Row],[Total Panjang Pipa Aktual
(Sum-&gt;)3]]-Table1[[#This Row],[Total Volume
tidak dapat dipasang]])&gt;=0,Table1[[#This Row],["Volume
BA MC-0"]]-Table1[[#This Row],[Total Panjang Pipa Aktual
(Sum-&gt;)3]]-Table1[[#This Row],[Total Volume
tidak dapat dipasang]],0)</f>
        <v>1</v>
      </c>
      <c r="CK337" s="47"/>
      <c r="CL337" s="484" t="s">
        <v>1821</v>
      </c>
      <c r="CM337" s="34" t="s">
        <v>1821</v>
      </c>
      <c r="CN337" s="484" t="s">
        <v>1821</v>
      </c>
      <c r="CO337" s="484" t="s">
        <v>1821</v>
      </c>
      <c r="CP33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37" s="66">
        <f>IFERROR(Table1[[#This Row],[Progres Keg. Umum
(%)]]*Table1[[#This Row],[Nilai RAB Jaringan
(file pa aji)]],0)</f>
        <v>0</v>
      </c>
      <c r="CR337" s="66">
        <f>IFERROR(Table1[[#This Row],[Progres MOS
(%)]]*Table1[[#This Row],[Nilai RAB Jaringan
(file pa aji)]],0)</f>
        <v>0</v>
      </c>
      <c r="CS337" s="66">
        <f>IFERROR(Table1[[#This Row],[Progres Pemasangan
(%)]]*Table1[[#This Row],[Nilai RAB Jaringan
(file pa aji)]],0)</f>
        <v>0</v>
      </c>
      <c r="CT337" s="66">
        <f>IFERROR(Table1[[#This Row],[Progres Perizinan
(%)]]*Table1[[#This Row],[Nilai RAB Jaringan
(file pa aji)]],0)</f>
        <v>0</v>
      </c>
      <c r="CU337" s="329">
        <v>0</v>
      </c>
      <c r="CV337" s="329">
        <v>0</v>
      </c>
      <c r="CW337" s="583">
        <v>0</v>
      </c>
      <c r="CX337" s="329">
        <v>0</v>
      </c>
      <c r="CY337" s="47"/>
      <c r="CZ337" s="330">
        <v>45866</v>
      </c>
      <c r="DA337" s="330">
        <v>45893</v>
      </c>
      <c r="DB337" s="331">
        <v>45989</v>
      </c>
      <c r="DC337" s="316" t="s">
        <v>2676</v>
      </c>
      <c r="DD337" s="67">
        <v>104448245</v>
      </c>
      <c r="DE33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7" s="331">
        <v>45916</v>
      </c>
      <c r="DG337" s="316" t="s">
        <v>2677</v>
      </c>
      <c r="DH337" s="67">
        <v>104448245</v>
      </c>
      <c r="DI33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7" s="330">
        <v>45894</v>
      </c>
      <c r="DK337" s="330">
        <v>45956</v>
      </c>
      <c r="DL337" s="331">
        <v>45827</v>
      </c>
      <c r="DM337" s="316" t="s">
        <v>2582</v>
      </c>
      <c r="DN33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7" s="331">
        <v>45847</v>
      </c>
      <c r="DP337" s="316" t="s">
        <v>2583</v>
      </c>
      <c r="DQ337" s="338" t="s">
        <v>1873</v>
      </c>
      <c r="DR33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7" s="330">
        <v>45894</v>
      </c>
      <c r="DT337" s="330" t="e">
        <v>#N/A</v>
      </c>
      <c r="DU337" s="330">
        <v>45935</v>
      </c>
      <c r="DV337" s="330" t="e">
        <v>#N/A</v>
      </c>
      <c r="DW337" s="331">
        <v>45890</v>
      </c>
      <c r="DX337" s="316" t="s">
        <v>2678</v>
      </c>
      <c r="DY337" s="334">
        <v>6</v>
      </c>
      <c r="DZ337" s="334">
        <v>6</v>
      </c>
      <c r="EA33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37" s="331">
        <v>46051</v>
      </c>
      <c r="EC337" s="332">
        <v>6</v>
      </c>
      <c r="ED337" s="332">
        <v>6</v>
      </c>
      <c r="EE337" s="330"/>
      <c r="EF337" s="35">
        <v>1</v>
      </c>
      <c r="EG337" s="35">
        <f>Table1[[#This Row],[Line PO (kolom  bantu)2]]/Table1[[#This Row],[Line PR]]</f>
        <v>1</v>
      </c>
      <c r="EH337" s="316" t="str">
        <f>IF(Table1[[#This Row],[PO Material Aktual 
(%)]]&gt;=100%,"Selesai PO = 100%",IF(Table1[[#This Row],[PO Material Aktual 
(%)]]&gt;=50%,"Proses PO &gt; 100%",IF(Table1[[#This Row],[PO Material Aktual 
(%)]]&gt;0%,"Proses PO &gt; 50%",IF(Table1[[#This Row],[PO Material Aktual 
(%)]]=0,"Belum PO = 0%"))))</f>
        <v>Selesai PO = 100%</v>
      </c>
      <c r="EI337"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7" s="330">
        <v>45936</v>
      </c>
      <c r="EK337" s="330" t="e">
        <v>#N/A</v>
      </c>
      <c r="EL337" s="330">
        <v>45984</v>
      </c>
      <c r="EM337" s="330" t="e">
        <v>#N/A</v>
      </c>
      <c r="EN337" s="331">
        <v>46059</v>
      </c>
      <c r="EO337" s="332">
        <v>6</v>
      </c>
      <c r="EP337" s="316">
        <v>6</v>
      </c>
      <c r="EQ337" s="35">
        <v>1</v>
      </c>
      <c r="ER337" s="35">
        <f>Table1[[#This Row],[Line MOS]]/Table1[[#This Row],[Line PR]]</f>
        <v>1</v>
      </c>
      <c r="ES337" s="316" t="str">
        <f>IF(Table1[[#This Row],[Progres MOS]]&gt;=100%,"Selesai MOS = 100%",IF(Table1[[#This Row],[Progres MOS]]&gt;=50%,"Proses MOS &gt; 100%",IF(Table1[[#This Row],[Progres MOS]]&gt;0%,"Proses MOS &gt; 50%",IF(Table1[[#This Row],[Progres MOS]]=0,"Belum MOS = 0%"))))</f>
        <v>Selesai MOS = 100%</v>
      </c>
      <c r="ET33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7" s="47"/>
      <c r="EV337" s="330">
        <v>45894</v>
      </c>
      <c r="EW337" s="330" t="e">
        <v>#N/A</v>
      </c>
      <c r="EX337" s="330">
        <v>45984</v>
      </c>
      <c r="EY337" s="330" t="e">
        <v>#N/A</v>
      </c>
      <c r="EZ337" s="352" t="s">
        <v>298</v>
      </c>
      <c r="FA337" s="336" t="s">
        <v>298</v>
      </c>
      <c r="FB337" s="330" t="s">
        <v>260</v>
      </c>
      <c r="FC337" s="330">
        <v>45112</v>
      </c>
      <c r="FD337" s="330" t="s">
        <v>260</v>
      </c>
      <c r="FE337" s="330">
        <v>45966</v>
      </c>
      <c r="FF337" s="330">
        <v>45993</v>
      </c>
      <c r="FG337" s="330" t="s">
        <v>260</v>
      </c>
      <c r="FH337" s="330" t="s">
        <v>260</v>
      </c>
      <c r="FI337" s="330"/>
      <c r="FJ337" s="330" t="s">
        <v>260</v>
      </c>
      <c r="FK337" s="330"/>
      <c r="FL337" s="336" t="s">
        <v>298</v>
      </c>
      <c r="FM337" s="352">
        <v>45112</v>
      </c>
      <c r="FN337" s="338">
        <f>IF(Table1[[#This Row],[Tanggal Pengajuan Dokumen]]="","",Table1[[#This Row],[PLAN PERMIT
start]]-Table1[[#This Row],[Tanggal Pengajuan Dokumen]])</f>
        <v>782</v>
      </c>
      <c r="FO337" s="437">
        <v>46097</v>
      </c>
      <c r="FP337" s="316"/>
      <c r="FQ337" s="338"/>
      <c r="FR337" s="338"/>
      <c r="FS337" s="338" t="str">
        <f t="shared" si="17"/>
        <v>On Going</v>
      </c>
      <c r="FT33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7" s="344">
        <f ca="1">IF(Table1[[#This Row],[Status Izin]]="Selesai",Table1[[#This Row],[PLAN PERMIT
finish]]-Table1[[#This Row],[Tanggal Terbit/ Target Izin Terbit]],ROUNDUP(Table1[[#This Row],[PLAN PERMIT
finish]]-NOW(),0))</f>
        <v>-207</v>
      </c>
      <c r="FV33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7" s="344"/>
      <c r="FX337" s="47"/>
      <c r="FY337" s="340"/>
      <c r="FZ337" s="341"/>
      <c r="GA33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7" s="330">
        <v>45958</v>
      </c>
      <c r="GC337" s="352">
        <v>45880</v>
      </c>
      <c r="GD33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7" s="330">
        <v>45965</v>
      </c>
      <c r="GF337" s="352">
        <v>45880</v>
      </c>
      <c r="GG33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7" s="330">
        <v>45971</v>
      </c>
      <c r="GI337" s="330">
        <v>45977</v>
      </c>
      <c r="GJ337" s="352">
        <v>45882</v>
      </c>
      <c r="GK33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7" s="330">
        <v>45985</v>
      </c>
      <c r="GM337" s="330" t="e">
        <v>#N/A</v>
      </c>
      <c r="GN337" s="330">
        <v>46005</v>
      </c>
      <c r="GO337" s="330" t="e">
        <v>#N/A</v>
      </c>
      <c r="GP337" s="330"/>
      <c r="GQ33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7" s="330" t="s">
        <v>261</v>
      </c>
      <c r="GS337" s="330" t="s">
        <v>261</v>
      </c>
      <c r="GT337" s="354"/>
      <c r="GU337" s="344" t="str">
        <f>IF(Table1[[#This Row],[Hydro Tes Actual
(tanggal)]]&lt;&gt;"","Sudah","Belum")</f>
        <v>Belum</v>
      </c>
      <c r="GV337" s="330" t="s">
        <v>261</v>
      </c>
      <c r="GW337" s="330" t="s">
        <v>261</v>
      </c>
      <c r="GX337" s="331"/>
      <c r="GY337" s="344" t="str">
        <f>IF(Table1[[#This Row],[Interkoneksi Actual
(tanggal)]]&lt;&gt;"","Sudah","Belum")</f>
        <v>Belum</v>
      </c>
      <c r="GZ337" s="330" t="s">
        <v>261</v>
      </c>
      <c r="HA337" s="330" t="s">
        <v>261</v>
      </c>
      <c r="HB337" s="331"/>
      <c r="HC337" s="344" t="str">
        <f>IF(Table1[[#This Row],[Flushing Actual
(tanggal)]]&lt;&gt;"","Sudah","Belum")</f>
        <v>Belum</v>
      </c>
      <c r="HD337" s="330">
        <v>45992</v>
      </c>
      <c r="HE337" s="330" t="e">
        <v>#N/A</v>
      </c>
      <c r="HF337" s="330">
        <v>46005</v>
      </c>
      <c r="HG337" s="352"/>
      <c r="HH33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7" s="330" t="s">
        <v>261</v>
      </c>
      <c r="HJ337" s="330" t="s">
        <v>261</v>
      </c>
      <c r="HK337" s="331"/>
      <c r="HL337" s="316"/>
      <c r="HM337" s="330">
        <v>46010</v>
      </c>
      <c r="HN337" s="330">
        <v>46010</v>
      </c>
      <c r="HO337" s="330" t="e">
        <v>#N/A</v>
      </c>
      <c r="HP337" s="331"/>
      <c r="HQ337"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37" s="330">
        <v>46017</v>
      </c>
      <c r="HS337" s="330"/>
      <c r="HT337" s="330">
        <v>46017</v>
      </c>
      <c r="HU337" s="330"/>
      <c r="HV337" s="331"/>
      <c r="HW337"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37" s="47"/>
      <c r="HY337" s="352"/>
      <c r="HZ337" s="352"/>
      <c r="IB337" s="618">
        <f>IFERROR(ROUND((Table1[[#This Row],[PLAN TC
finish]]-Table1[[#This Row],[PLAN MC-0
start]])/30,2),"")</f>
        <v>1.1299999999999999</v>
      </c>
      <c r="IC337">
        <f>DATEDIF(Table1[[#This Row],[PLAN MC-0
start]],Table1[[#This Row],[PLAN TC
finish]],"m")</f>
        <v>1</v>
      </c>
    </row>
    <row r="338" spans="2:261" s="4" customFormat="1" ht="15" hidden="1" customHeight="1" x14ac:dyDescent="0.2">
      <c r="B338" s="311">
        <f>SUBTOTAL(3,$D$5:D338)</f>
        <v>84</v>
      </c>
      <c r="C338" s="316">
        <v>334</v>
      </c>
      <c r="D338" s="315" t="s">
        <v>673</v>
      </c>
      <c r="E338" s="338" t="s">
        <v>2679</v>
      </c>
      <c r="F338" s="338" t="s">
        <v>2680</v>
      </c>
      <c r="G338" s="349">
        <v>46117</v>
      </c>
      <c r="H338" s="338" t="s">
        <v>681</v>
      </c>
      <c r="I338" s="338" t="s">
        <v>278</v>
      </c>
      <c r="J338" s="480" t="s">
        <v>1830</v>
      </c>
      <c r="K338" s="338" t="s">
        <v>676</v>
      </c>
      <c r="L338" s="316" t="s">
        <v>250</v>
      </c>
      <c r="M338" s="355" t="s">
        <v>269</v>
      </c>
      <c r="N338" s="107">
        <v>2396</v>
      </c>
      <c r="O338" s="31" t="s">
        <v>252</v>
      </c>
      <c r="P338"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8" s="35">
        <v>0.99999999999999978</v>
      </c>
      <c r="S338" s="34">
        <v>1</v>
      </c>
      <c r="T338" s="34">
        <f>Table1[[#This Row],[Progres Total Aktual
(%)]]</f>
        <v>1</v>
      </c>
      <c r="U338" s="98">
        <f>Table1[[#This Row],[Progres Aktual
(%)]]-Table1[[#This Row],[Target Progres
(%)]]</f>
        <v>0</v>
      </c>
      <c r="V338" s="80">
        <f>Table1[[#This Row],["Volume
BA MC-0"]]</f>
        <v>2426</v>
      </c>
      <c r="W338" s="46">
        <f>Table1[[#This Row],[Total Panjang Pipa Aktual
(Sum-&gt;)3]]</f>
        <v>2396</v>
      </c>
      <c r="X338" s="47"/>
      <c r="Y338" s="67" t="s">
        <v>2681</v>
      </c>
      <c r="Z338" s="67">
        <v>4182131005</v>
      </c>
      <c r="AA338" s="501">
        <f>ROUND((Table1[[#This Row],[Nilai RAB Jaringan
(Exclude Ppn)]]-Table1[[#This Row],[RAB Perizinan]])*1.11+Table1[[#This Row],[RAB Perizinan]],0)</f>
        <v>4182131004</v>
      </c>
      <c r="AB338" s="486">
        <f>SUM(Table1[[#This Row],[RAB Kegiatan Umum]:[RAB Perizinan]])</f>
        <v>3770060004</v>
      </c>
      <c r="AC338" s="436">
        <v>270606252</v>
      </c>
      <c r="AD338" s="436">
        <v>2706062519</v>
      </c>
      <c r="AE338" s="436">
        <v>769431233</v>
      </c>
      <c r="AF338" s="436">
        <v>23960000</v>
      </c>
      <c r="AG338" s="483"/>
      <c r="AH338" s="33">
        <f>SUM(Table1[[#This Row],[Bobot Keg Umum]:[Bobot Perizinan]])</f>
        <v>1</v>
      </c>
      <c r="AI338" s="33">
        <f>Table1[[#This Row],[RAB Kegiatan Umum]]/Table1[[#This Row],[Nilai RAB Jaringan
(Exclude Ppn)]]</f>
        <v>7.1777704257462535E-2</v>
      </c>
      <c r="AJ338" s="33">
        <f>Table1[[#This Row],[RAB Pemasangan]]/Table1[[#This Row],[Nilai RAB Jaringan
(Exclude Ppn)]]</f>
        <v>0.71777704230937756</v>
      </c>
      <c r="AK338" s="33">
        <f>Table1[[#This Row],[RAB Pengadaan]]/Table1[[#This Row],[Nilai RAB Jaringan
(Exclude Ppn)]]</f>
        <v>0.20408991692005971</v>
      </c>
      <c r="AL338" s="33">
        <f>Table1[[#This Row],[RAB Perizinan]]/Table1[[#This Row],[Nilai RAB Jaringan
(Exclude Ppn)]]</f>
        <v>6.3553365131002303E-3</v>
      </c>
      <c r="AM338" s="47"/>
      <c r="AN338" s="285">
        <v>2426</v>
      </c>
      <c r="AO338" s="285">
        <f>SUM(Table1[[#This Row],[Pipa 63 mm]:[Pipa 1,800 mm]])</f>
        <v>2436</v>
      </c>
      <c r="AP338" s="285">
        <v>664</v>
      </c>
      <c r="AQ338" s="285">
        <v>36</v>
      </c>
      <c r="AR338" s="285"/>
      <c r="AS338" s="285">
        <v>1736</v>
      </c>
      <c r="AT338" s="285"/>
      <c r="AU338" s="285"/>
      <c r="AV338" s="285"/>
      <c r="AW338" s="285"/>
      <c r="AX338" s="285"/>
      <c r="AY338" s="285"/>
      <c r="AZ338" s="285"/>
      <c r="BA338" s="285"/>
      <c r="BB338" s="285"/>
      <c r="BC338" s="285"/>
      <c r="BD338" s="285"/>
      <c r="BE338" s="285"/>
      <c r="BF338" s="285"/>
      <c r="BG338" s="285"/>
      <c r="BH338" s="285"/>
      <c r="BI338" s="285"/>
      <c r="BJ338" s="262">
        <f>SUM(Table1[[#This Row],[Pipa 63 mm2]:[Pipa 1,800 mm21]])</f>
        <v>2396</v>
      </c>
      <c r="BK338" s="32">
        <v>656</v>
      </c>
      <c r="BL338" s="32"/>
      <c r="BM338" s="32">
        <v>42</v>
      </c>
      <c r="BN338" s="32">
        <v>1698</v>
      </c>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65">
        <f>IF((Table1[[#This Row],["Volume
BA MC-0"]]-Table1[[#This Row],[Total Panjang Pipa Aktual
(Sum-&gt;)3]]-Table1[[#This Row],[Total Volume
tidak dapat dipasang]])&gt;=0,Table1[[#This Row],["Volume
BA MC-0"]]-Table1[[#This Row],[Total Panjang Pipa Aktual
(Sum-&gt;)3]]-Table1[[#This Row],[Total Volume
tidak dapat dipasang]],0)</f>
        <v>30</v>
      </c>
      <c r="CK338" s="47"/>
      <c r="CL338" s="484" t="s">
        <v>1821</v>
      </c>
      <c r="CM338" s="34" t="s">
        <v>1821</v>
      </c>
      <c r="CN338" s="484" t="s">
        <v>1821</v>
      </c>
      <c r="CO338" s="484" t="s">
        <v>1821</v>
      </c>
      <c r="CP33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8" s="66">
        <f>IFERROR(Table1[[#This Row],[Progres Keg. Umum
(%)]]*Table1[[#This Row],[Nilai RAB Jaringan
(file pa aji)]],0)</f>
        <v>0</v>
      </c>
      <c r="CR338" s="66">
        <f>IFERROR(Table1[[#This Row],[Progres MOS
(%)]]*Table1[[#This Row],[Nilai RAB Jaringan
(file pa aji)]],0)</f>
        <v>0</v>
      </c>
      <c r="CS338" s="66">
        <f>IFERROR(Table1[[#This Row],[Progres Pemasangan
(%)]]*Table1[[#This Row],[Nilai RAB Jaringan
(file pa aji)]],0)</f>
        <v>0</v>
      </c>
      <c r="CT338" s="66">
        <f>IFERROR(Table1[[#This Row],[Progres Perizinan
(%)]]*Table1[[#This Row],[Nilai RAB Jaringan
(file pa aji)]],0)</f>
        <v>0</v>
      </c>
      <c r="CU338" s="329">
        <v>4201949807</v>
      </c>
      <c r="CV338" s="329">
        <v>4201949807</v>
      </c>
      <c r="CW338" s="583">
        <v>4201949807</v>
      </c>
      <c r="CX338" s="329">
        <v>4201949807</v>
      </c>
      <c r="CY338" s="47"/>
      <c r="CZ338" s="330">
        <v>45866</v>
      </c>
      <c r="DA338" s="330">
        <v>45893</v>
      </c>
      <c r="DB338" s="331">
        <v>45883</v>
      </c>
      <c r="DC338" s="316" t="s">
        <v>2682</v>
      </c>
      <c r="DD338" s="67">
        <v>4182131005</v>
      </c>
      <c r="DE33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38" s="331">
        <v>45916</v>
      </c>
      <c r="DG338" s="316" t="s">
        <v>2683</v>
      </c>
      <c r="DH338" s="67">
        <v>4182131005</v>
      </c>
      <c r="DI33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8" s="330">
        <v>45894</v>
      </c>
      <c r="DK338" s="330">
        <v>45963</v>
      </c>
      <c r="DL338" s="331">
        <v>45926</v>
      </c>
      <c r="DM338" s="316" t="s">
        <v>2684</v>
      </c>
      <c r="DN33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8" s="331">
        <v>45944</v>
      </c>
      <c r="DP338" s="316" t="s">
        <v>2685</v>
      </c>
      <c r="DQ338" s="338" t="s">
        <v>297</v>
      </c>
      <c r="DR33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8" s="330">
        <v>45894</v>
      </c>
      <c r="DT338" s="330" t="e">
        <v>#N/A</v>
      </c>
      <c r="DU338" s="330">
        <v>45935</v>
      </c>
      <c r="DV338" s="330" t="e">
        <v>#N/A</v>
      </c>
      <c r="DW338" s="331">
        <v>45926</v>
      </c>
      <c r="DX338" s="316" t="s">
        <v>2686</v>
      </c>
      <c r="DY338" s="332">
        <v>38</v>
      </c>
      <c r="DZ338" s="334">
        <v>38</v>
      </c>
      <c r="EA33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38" s="331">
        <v>45974</v>
      </c>
      <c r="EC338" s="332">
        <v>38</v>
      </c>
      <c r="ED338" s="332">
        <v>38</v>
      </c>
      <c r="EE338" s="330" t="s">
        <v>2687</v>
      </c>
      <c r="EF338" s="35">
        <v>1</v>
      </c>
      <c r="EG338" s="35">
        <f>Table1[[#This Row],[Line PO (kolom  bantu)2]]/Table1[[#This Row],[Line PR]]</f>
        <v>1</v>
      </c>
      <c r="EH338" s="316" t="str">
        <f>IF(Table1[[#This Row],[PO Material Aktual 
(%)]]&gt;=100%,"Selesai PO = 100%",IF(Table1[[#This Row],[PO Material Aktual 
(%)]]&gt;=50%,"Proses PO &gt; 100%",IF(Table1[[#This Row],[PO Material Aktual 
(%)]]&gt;0%,"Proses PO &gt; 50%",IF(Table1[[#This Row],[PO Material Aktual 
(%)]]=0,"Belum PO = 0%"))))</f>
        <v>Selesai PO = 100%</v>
      </c>
      <c r="EI338"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8" s="330">
        <v>45936</v>
      </c>
      <c r="EK338" s="330" t="e">
        <v>#N/A</v>
      </c>
      <c r="EL338" s="330">
        <v>46019</v>
      </c>
      <c r="EM338" s="330" t="e">
        <v>#N/A</v>
      </c>
      <c r="EN338" s="331">
        <v>45985</v>
      </c>
      <c r="EO338" s="332">
        <f>Table1[[#This Row],[Line PO]]</f>
        <v>38</v>
      </c>
      <c r="EP338" s="316">
        <v>38</v>
      </c>
      <c r="EQ338" s="35">
        <v>1</v>
      </c>
      <c r="ER338" s="35">
        <f>Table1[[#This Row],[Line MOS]]/Table1[[#This Row],[Line PR]]</f>
        <v>1</v>
      </c>
      <c r="ES338" s="316" t="str">
        <f>IF(Table1[[#This Row],[Progres MOS]]&gt;=100%,"Selesai MOS = 100%",IF(Table1[[#This Row],[Progres MOS]]&gt;=50%,"Proses MOS &gt; 100%",IF(Table1[[#This Row],[Progres MOS]]&gt;0%,"Proses MOS &gt; 50%",IF(Table1[[#This Row],[Progres MOS]]=0,"Belum MOS = 0%"))))</f>
        <v>Selesai MOS = 100%</v>
      </c>
      <c r="ET33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338" s="47"/>
      <c r="EV338" s="330">
        <v>45894</v>
      </c>
      <c r="EW338" s="330" t="e">
        <v>#N/A</v>
      </c>
      <c r="EX338" s="330">
        <v>45991</v>
      </c>
      <c r="EY338" s="330" t="e">
        <v>#N/A</v>
      </c>
      <c r="EZ338" s="352" t="s">
        <v>298</v>
      </c>
      <c r="FA338" s="336" t="s">
        <v>259</v>
      </c>
      <c r="FB338" s="330" t="s">
        <v>260</v>
      </c>
      <c r="FC338" s="330">
        <v>45909</v>
      </c>
      <c r="FD338" s="330" t="s">
        <v>260</v>
      </c>
      <c r="FE338" s="330">
        <v>45939</v>
      </c>
      <c r="FF338" s="330">
        <v>45958</v>
      </c>
      <c r="FG338" s="330" t="s">
        <v>260</v>
      </c>
      <c r="FH338" s="330" t="s">
        <v>260</v>
      </c>
      <c r="FI338" s="330">
        <v>46008</v>
      </c>
      <c r="FJ338" s="330" t="s">
        <v>260</v>
      </c>
      <c r="FK338" s="330">
        <v>46114</v>
      </c>
      <c r="FL338" s="336" t="s">
        <v>298</v>
      </c>
      <c r="FM338" s="352">
        <v>45909</v>
      </c>
      <c r="FN338" s="338">
        <f>IF(Table1[[#This Row],[Tanggal Pengajuan Dokumen]]="","",Table1[[#This Row],[PLAN PERMIT
start]]-Table1[[#This Row],[Tanggal Pengajuan Dokumen]])</f>
        <v>-15</v>
      </c>
      <c r="FO338" s="437">
        <v>46086</v>
      </c>
      <c r="FP338" s="316" t="s">
        <v>2086</v>
      </c>
      <c r="FQ338" s="338"/>
      <c r="FR338" s="338"/>
      <c r="FS338" s="338" t="str">
        <f t="shared" si="17"/>
        <v>On Going</v>
      </c>
      <c r="FT33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8" s="344">
        <f ca="1">IF(Table1[[#This Row],[Status Izin]]="Selesai",Table1[[#This Row],[PLAN PERMIT
finish]]-Table1[[#This Row],[Tanggal Terbit/ Target Izin Terbit]],ROUNDUP(Table1[[#This Row],[PLAN PERMIT
finish]]-NOW(),0))</f>
        <v>-200</v>
      </c>
      <c r="FV33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8" s="344"/>
      <c r="FX338" s="47"/>
      <c r="FY338" s="340"/>
      <c r="FZ338" s="341"/>
      <c r="GA33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8" s="330">
        <v>45965</v>
      </c>
      <c r="GC338" s="352">
        <v>45950</v>
      </c>
      <c r="GD33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8" s="330">
        <v>45972</v>
      </c>
      <c r="GF338" s="352">
        <v>45950</v>
      </c>
      <c r="GG33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8" s="330">
        <v>45978</v>
      </c>
      <c r="GI338" s="330">
        <v>45984</v>
      </c>
      <c r="GJ338" s="352">
        <v>45952</v>
      </c>
      <c r="GK33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8" s="330">
        <v>45992</v>
      </c>
      <c r="GM338" s="330" t="e">
        <v>#N/A</v>
      </c>
      <c r="GN338" s="330">
        <v>46061</v>
      </c>
      <c r="GO338" s="330" t="e">
        <v>#N/A</v>
      </c>
      <c r="GP338" s="330"/>
      <c r="GQ33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8" s="330" t="s">
        <v>261</v>
      </c>
      <c r="GS338" s="330" t="s">
        <v>261</v>
      </c>
      <c r="GT338" s="354">
        <v>46034</v>
      </c>
      <c r="GU338" s="344" t="str">
        <f>IF(Table1[[#This Row],[Hydro Tes Actual
(tanggal)]]&lt;&gt;"","Sudah","Belum")</f>
        <v>Sudah</v>
      </c>
      <c r="GV338" s="330" t="s">
        <v>261</v>
      </c>
      <c r="GW338" s="330" t="s">
        <v>261</v>
      </c>
      <c r="GX338" s="331">
        <v>46064</v>
      </c>
      <c r="GY338" s="344" t="str">
        <f>IF(Table1[[#This Row],[Interkoneksi Actual
(tanggal)]]&lt;&gt;"","Sudah","Belum")</f>
        <v>Sudah</v>
      </c>
      <c r="GZ338" s="330" t="s">
        <v>261</v>
      </c>
      <c r="HA338" s="330" t="s">
        <v>261</v>
      </c>
      <c r="HB338" s="331">
        <v>46075</v>
      </c>
      <c r="HC338" s="344" t="str">
        <f>IF(Table1[[#This Row],[Flushing Actual
(tanggal)]]&lt;&gt;"","Sudah","Belum")</f>
        <v>Sudah</v>
      </c>
      <c r="HD338" s="330">
        <v>46044</v>
      </c>
      <c r="HE338" s="330" t="e">
        <v>#N/A</v>
      </c>
      <c r="HF338" s="330">
        <v>46054</v>
      </c>
      <c r="HG338" s="352">
        <v>46084</v>
      </c>
      <c r="HH33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8" s="330" t="s">
        <v>261</v>
      </c>
      <c r="HJ338" s="330" t="s">
        <v>261</v>
      </c>
      <c r="HK338" s="331"/>
      <c r="HL338" s="316"/>
      <c r="HM338" s="330">
        <v>46066</v>
      </c>
      <c r="HN338" s="330">
        <v>46066</v>
      </c>
      <c r="HO338" s="330" t="e">
        <v>#N/A</v>
      </c>
      <c r="HP338" s="331">
        <v>46093</v>
      </c>
      <c r="HQ338"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38" s="330">
        <v>46073</v>
      </c>
      <c r="HS338" s="330"/>
      <c r="HT338" s="330">
        <v>46073</v>
      </c>
      <c r="HU338" s="330"/>
      <c r="HV338" s="331">
        <v>46099</v>
      </c>
      <c r="HW338"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38" s="47"/>
      <c r="HY338" s="352"/>
      <c r="HZ338" s="352"/>
      <c r="IB338" s="618">
        <f>IFERROR(ROUND((Table1[[#This Row],[PLAN TC
finish]]-Table1[[#This Row],[PLAN MC-0
start]])/30,2),"")</f>
        <v>2.5299999999999998</v>
      </c>
      <c r="IC338">
        <f>DATEDIF(Table1[[#This Row],[PLAN MC-0
start]],Table1[[#This Row],[PLAN TC
finish]],"m")</f>
        <v>2</v>
      </c>
    </row>
    <row r="339" spans="2:261" s="4" customFormat="1" ht="15" hidden="1" customHeight="1" x14ac:dyDescent="0.2">
      <c r="B339" s="311">
        <f>SUBTOTAL(3,$D$5:D339)</f>
        <v>84</v>
      </c>
      <c r="C339" s="316">
        <v>335</v>
      </c>
      <c r="D339" s="315" t="s">
        <v>673</v>
      </c>
      <c r="E339" s="338" t="s">
        <v>2688</v>
      </c>
      <c r="F339" s="338" t="s">
        <v>2689</v>
      </c>
      <c r="G339" s="349">
        <v>46117</v>
      </c>
      <c r="H339" s="338" t="s">
        <v>681</v>
      </c>
      <c r="I339" s="338" t="s">
        <v>278</v>
      </c>
      <c r="J339" s="480" t="s">
        <v>1830</v>
      </c>
      <c r="K339" s="338" t="s">
        <v>676</v>
      </c>
      <c r="L339" s="316" t="s">
        <v>250</v>
      </c>
      <c r="M339" s="355" t="s">
        <v>269</v>
      </c>
      <c r="N339" s="107">
        <v>585</v>
      </c>
      <c r="O339" s="31" t="s">
        <v>252</v>
      </c>
      <c r="P339"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9" s="35">
        <v>0.99999999999999967</v>
      </c>
      <c r="S339" s="34">
        <v>1</v>
      </c>
      <c r="T339" s="34">
        <f>Table1[[#This Row],[Progres Total Aktual
(%)]]</f>
        <v>1</v>
      </c>
      <c r="U339" s="98">
        <f>Table1[[#This Row],[Progres Aktual
(%)]]-Table1[[#This Row],[Target Progres
(%)]]</f>
        <v>0</v>
      </c>
      <c r="V339" s="80">
        <f>Table1[[#This Row],["Volume
BA MC-0"]]</f>
        <v>546</v>
      </c>
      <c r="W339" s="46">
        <f>Table1[[#This Row],[Total Panjang Pipa Aktual
(Sum-&gt;)3]]</f>
        <v>527</v>
      </c>
      <c r="X339" s="47"/>
      <c r="Y339" s="67" t="s">
        <v>2690</v>
      </c>
      <c r="Z339" s="67">
        <v>1011832705</v>
      </c>
      <c r="AA339" s="67">
        <f>ROUND((Table1[[#This Row],[Nilai RAB Jaringan
(Exclude Ppn)]]-Table1[[#This Row],[RAB Perizinan]])*1.11+Table1[[#This Row],[RAB Perizinan]],0)</f>
        <v>1011832705</v>
      </c>
      <c r="AB339" s="486">
        <f>SUM(Table1[[#This Row],[RAB Kegiatan Umum]:[RAB Perizinan]])</f>
        <v>912140725</v>
      </c>
      <c r="AC339" s="436">
        <v>64927612</v>
      </c>
      <c r="AD339" s="436">
        <v>649276116</v>
      </c>
      <c r="AE339" s="436">
        <v>192086997</v>
      </c>
      <c r="AF339" s="504">
        <v>5850000</v>
      </c>
      <c r="AG339" s="483"/>
      <c r="AH339" s="33">
        <f>SUM(Table1[[#This Row],[Bobot Keg Umum]:[Bobot Perizinan]])</f>
        <v>1</v>
      </c>
      <c r="AI339" s="33">
        <f>Table1[[#This Row],[RAB Kegiatan Umum]]/Table1[[#This Row],[Nilai RAB Jaringan
(Exclude Ppn)]]</f>
        <v>7.1181573435392873E-2</v>
      </c>
      <c r="AJ339" s="33">
        <f>Table1[[#This Row],[RAB Pemasangan]]/Table1[[#This Row],[Nilai RAB Jaringan
(Exclude Ppn)]]</f>
        <v>0.71181572996864051</v>
      </c>
      <c r="AK339" s="33">
        <f>Table1[[#This Row],[RAB Pengadaan]]/Table1[[#This Row],[Nilai RAB Jaringan
(Exclude Ppn)]]</f>
        <v>0.2105892125362564</v>
      </c>
      <c r="AL339" s="33">
        <f>Table1[[#This Row],[RAB Perizinan]]/Table1[[#This Row],[Nilai RAB Jaringan
(Exclude Ppn)]]</f>
        <v>6.4134840597101948E-3</v>
      </c>
      <c r="AM339" s="47"/>
      <c r="AN339" s="285">
        <v>546</v>
      </c>
      <c r="AO339" s="285">
        <f>SUM(Table1[[#This Row],[Pipa 63 mm]:[Pipa 1,800 mm]])</f>
        <v>546</v>
      </c>
      <c r="AP339" s="285">
        <v>460</v>
      </c>
      <c r="AQ339" s="285">
        <v>86</v>
      </c>
      <c r="AR339" s="285"/>
      <c r="AS339" s="285"/>
      <c r="AT339" s="285"/>
      <c r="AU339" s="285"/>
      <c r="AV339" s="285"/>
      <c r="AW339" s="285"/>
      <c r="AX339" s="285"/>
      <c r="AY339" s="285"/>
      <c r="AZ339" s="285"/>
      <c r="BA339" s="285"/>
      <c r="BB339" s="285"/>
      <c r="BC339" s="285"/>
      <c r="BD339" s="285"/>
      <c r="BE339" s="285"/>
      <c r="BF339" s="285"/>
      <c r="BG339" s="285"/>
      <c r="BH339" s="285"/>
      <c r="BI339" s="285"/>
      <c r="BJ339" s="262">
        <f>SUM(Table1[[#This Row],[Pipa 63 mm2]:[Pipa 1,800 mm21]])</f>
        <v>527</v>
      </c>
      <c r="BK339" s="32">
        <v>441</v>
      </c>
      <c r="BL339" s="32">
        <v>86</v>
      </c>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65">
        <f>IF((Table1[[#This Row],["Volume
BA MC-0"]]-Table1[[#This Row],[Total Panjang Pipa Aktual
(Sum-&gt;)3]]-Table1[[#This Row],[Total Volume
tidak dapat dipasang]])&gt;=0,Table1[[#This Row],["Volume
BA MC-0"]]-Table1[[#This Row],[Total Panjang Pipa Aktual
(Sum-&gt;)3]]-Table1[[#This Row],[Total Volume
tidak dapat dipasang]],0)</f>
        <v>19</v>
      </c>
      <c r="CK339" s="47"/>
      <c r="CL339" s="484" t="s">
        <v>1821</v>
      </c>
      <c r="CM339" s="34" t="s">
        <v>1821</v>
      </c>
      <c r="CN339" s="484" t="s">
        <v>1821</v>
      </c>
      <c r="CO339" s="484" t="s">
        <v>1821</v>
      </c>
      <c r="CP33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9" s="66">
        <f>IFERROR(Table1[[#This Row],[Progres Keg. Umum
(%)]]*Table1[[#This Row],[Nilai RAB Jaringan
(file pa aji)]],0)</f>
        <v>0</v>
      </c>
      <c r="CR339" s="66">
        <f>IFERROR(Table1[[#This Row],[Progres MOS
(%)]]*Table1[[#This Row],[Nilai RAB Jaringan
(file pa aji)]],0)</f>
        <v>0</v>
      </c>
      <c r="CS339" s="66">
        <f>IFERROR(Table1[[#This Row],[Progres Pemasangan
(%)]]*Table1[[#This Row],[Nilai RAB Jaringan
(file pa aji)]],0)</f>
        <v>0</v>
      </c>
      <c r="CT339" s="66">
        <f>IFERROR(Table1[[#This Row],[Progres Perizinan
(%)]]*Table1[[#This Row],[Nilai RAB Jaringan
(file pa aji)]],0)</f>
        <v>0</v>
      </c>
      <c r="CU339" s="329">
        <v>644083278</v>
      </c>
      <c r="CV339" s="329">
        <v>644083278</v>
      </c>
      <c r="CW339" s="583">
        <v>644083278</v>
      </c>
      <c r="CX339" s="329">
        <v>644083278</v>
      </c>
      <c r="CY339" s="47"/>
      <c r="CZ339" s="330">
        <v>45901</v>
      </c>
      <c r="DA339" s="330">
        <v>45928</v>
      </c>
      <c r="DB339" s="331">
        <v>45901</v>
      </c>
      <c r="DC339" s="316" t="s">
        <v>2691</v>
      </c>
      <c r="DD339" s="67">
        <v>1011832704.75</v>
      </c>
      <c r="DE33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39" s="331">
        <v>45915</v>
      </c>
      <c r="DG339" s="316" t="s">
        <v>2692</v>
      </c>
      <c r="DH339" s="67">
        <v>1011832704.75</v>
      </c>
      <c r="DI33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39" s="330">
        <v>45929</v>
      </c>
      <c r="DK339" s="330">
        <v>45991</v>
      </c>
      <c r="DL339" s="331">
        <v>45930</v>
      </c>
      <c r="DM339" s="316" t="s">
        <v>2693</v>
      </c>
      <c r="DN33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9" s="331">
        <v>45944</v>
      </c>
      <c r="DP339" s="316" t="s">
        <v>2694</v>
      </c>
      <c r="DQ339" s="338" t="s">
        <v>365</v>
      </c>
      <c r="DR33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9" s="330">
        <v>45929</v>
      </c>
      <c r="DT339" s="330" t="e">
        <v>#N/A</v>
      </c>
      <c r="DU339" s="330">
        <v>45970</v>
      </c>
      <c r="DV339" s="330" t="e">
        <v>#N/A</v>
      </c>
      <c r="DW339" s="331">
        <v>45930</v>
      </c>
      <c r="DX339" s="484" t="s">
        <v>2695</v>
      </c>
      <c r="DY339" s="332">
        <v>33</v>
      </c>
      <c r="DZ339" s="334">
        <v>33</v>
      </c>
      <c r="EA33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39" s="331">
        <v>45967</v>
      </c>
      <c r="EC339" s="332">
        <v>32</v>
      </c>
      <c r="ED339" s="332">
        <v>32</v>
      </c>
      <c r="EE339" s="425" t="s">
        <v>2696</v>
      </c>
      <c r="EF339" s="35">
        <v>1</v>
      </c>
      <c r="EG339" s="337">
        <v>1</v>
      </c>
      <c r="EH339" s="316" t="str">
        <f>IF(Table1[[#This Row],[PO Material Aktual 
(%)]]&gt;=100%,"Selesai PO = 100%",IF(Table1[[#This Row],[PO Material Aktual 
(%)]]&gt;=50%,"Proses PO &gt; 100%",IF(Table1[[#This Row],[PO Material Aktual 
(%)]]&gt;0%,"Proses PO &gt; 50%",IF(Table1[[#This Row],[PO Material Aktual 
(%)]]=0,"Belum PO = 0%"))))</f>
        <v>Selesai PO = 100%</v>
      </c>
      <c r="EI339"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339" s="330">
        <v>45971</v>
      </c>
      <c r="EK339" s="330" t="e">
        <v>#N/A</v>
      </c>
      <c r="EL339" s="330">
        <v>46026</v>
      </c>
      <c r="EM339" s="330" t="e">
        <v>#N/A</v>
      </c>
      <c r="EN339" s="331">
        <v>46091</v>
      </c>
      <c r="EO339" s="332">
        <f>Table1[[#This Row],[Line PO]]</f>
        <v>32</v>
      </c>
      <c r="EP339" s="316">
        <v>32</v>
      </c>
      <c r="EQ339" s="35">
        <v>0.96969696969696972</v>
      </c>
      <c r="ER339" s="35">
        <f>Table1[[#This Row],[Line MOS]]/Table1[[#This Row],[Line PR]]</f>
        <v>0.96969696969696972</v>
      </c>
      <c r="ES339" s="316" t="str">
        <f>IF(Table1[[#This Row],[Progres MOS]]&gt;=100%,"Selesai MOS = 100%",IF(Table1[[#This Row],[Progres MOS]]&gt;=50%,"Proses MOS &gt; 100%",IF(Table1[[#This Row],[Progres MOS]]&gt;0%,"Proses MOS &gt; 50%",IF(Table1[[#This Row],[Progres MOS]]=0,"Belum MOS = 0%"))))</f>
        <v>Proses MOS &gt; 100%</v>
      </c>
      <c r="ET33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9" s="47"/>
      <c r="EV339" s="330">
        <v>45929</v>
      </c>
      <c r="EW339" s="330" t="e">
        <v>#N/A</v>
      </c>
      <c r="EX339" s="330">
        <v>46019</v>
      </c>
      <c r="EY339" s="330" t="e">
        <v>#N/A</v>
      </c>
      <c r="EZ339" s="352" t="s">
        <v>298</v>
      </c>
      <c r="FA339" s="336" t="s">
        <v>259</v>
      </c>
      <c r="FB339" s="330" t="s">
        <v>260</v>
      </c>
      <c r="FC339" s="330">
        <v>45945</v>
      </c>
      <c r="FD339" s="330" t="s">
        <v>260</v>
      </c>
      <c r="FE339" s="330">
        <v>45966</v>
      </c>
      <c r="FF339" s="330">
        <v>45993</v>
      </c>
      <c r="FG339" s="330" t="s">
        <v>260</v>
      </c>
      <c r="FH339" s="330" t="s">
        <v>260</v>
      </c>
      <c r="FI339" s="330">
        <v>46013</v>
      </c>
      <c r="FJ339" s="330" t="s">
        <v>260</v>
      </c>
      <c r="FK339" s="330">
        <v>46142</v>
      </c>
      <c r="FL339" s="336" t="s">
        <v>298</v>
      </c>
      <c r="FM339" s="352">
        <v>45945</v>
      </c>
      <c r="FN339" s="338">
        <f>IF(Table1[[#This Row],[Tanggal Pengajuan Dokumen]]="","",Table1[[#This Row],[PLAN PERMIT
start]]-Table1[[#This Row],[Tanggal Pengajuan Dokumen]])</f>
        <v>-16</v>
      </c>
      <c r="FO339" s="437">
        <v>46097</v>
      </c>
      <c r="FP339" s="316"/>
      <c r="FQ339" s="338"/>
      <c r="FR339" s="338"/>
      <c r="FS339" s="338" t="str">
        <f t="shared" si="17"/>
        <v>Sudah Terbit</v>
      </c>
      <c r="FT33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9" s="344">
        <f ca="1">IF(Table1[[#This Row],[Status Izin]]="Selesai",Table1[[#This Row],[PLAN PERMIT
finish]]-Table1[[#This Row],[Tanggal Terbit/ Target Izin Terbit]],ROUNDUP(Table1[[#This Row],[PLAN PERMIT
finish]]-NOW(),0))</f>
        <v>-78</v>
      </c>
      <c r="FV33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9" s="344"/>
      <c r="FX339" s="47"/>
      <c r="FY339" s="340"/>
      <c r="FZ339" s="341"/>
      <c r="GA33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9" s="330">
        <v>45993</v>
      </c>
      <c r="GC339" s="352">
        <v>45961</v>
      </c>
      <c r="GD33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9" s="330">
        <v>46000</v>
      </c>
      <c r="GF339" s="352">
        <v>45961</v>
      </c>
      <c r="GG33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9" s="330">
        <v>46006</v>
      </c>
      <c r="GI339" s="330">
        <v>46012</v>
      </c>
      <c r="GJ339" s="352">
        <v>45964</v>
      </c>
      <c r="GK33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9" s="330">
        <v>46020</v>
      </c>
      <c r="GM339" s="330" t="e">
        <v>#N/A</v>
      </c>
      <c r="GN339" s="330">
        <v>46061</v>
      </c>
      <c r="GO339" s="330" t="e">
        <v>#N/A</v>
      </c>
      <c r="GP339" s="330"/>
      <c r="GQ33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9" s="330" t="s">
        <v>261</v>
      </c>
      <c r="GS339" s="330" t="s">
        <v>261</v>
      </c>
      <c r="GT339" s="354">
        <v>46059</v>
      </c>
      <c r="GU339" s="344" t="str">
        <f>IF(Table1[[#This Row],[Hydro Tes Actual
(tanggal)]]&lt;&gt;"","Sudah","Belum")</f>
        <v>Sudah</v>
      </c>
      <c r="GV339" s="330" t="s">
        <v>261</v>
      </c>
      <c r="GW339" s="330" t="s">
        <v>261</v>
      </c>
      <c r="GX339" s="331">
        <v>46050</v>
      </c>
      <c r="GY339" s="344" t="str">
        <f>IF(Table1[[#This Row],[Interkoneksi Actual
(tanggal)]]&lt;&gt;"","Sudah","Belum")</f>
        <v>Sudah</v>
      </c>
      <c r="GZ339" s="330" t="s">
        <v>261</v>
      </c>
      <c r="HA339" s="330" t="s">
        <v>261</v>
      </c>
      <c r="HB339" s="331">
        <v>46061</v>
      </c>
      <c r="HC339" s="344" t="str">
        <f>IF(Table1[[#This Row],[Flushing Actual
(tanggal)]]&lt;&gt;"","Sudah","Belum")</f>
        <v>Sudah</v>
      </c>
      <c r="HD339" s="330">
        <v>46041</v>
      </c>
      <c r="HE339" s="330" t="e">
        <v>#N/A</v>
      </c>
      <c r="HF339" s="330">
        <v>46054</v>
      </c>
      <c r="HG339" s="352">
        <v>46080</v>
      </c>
      <c r="HH33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9" s="330" t="s">
        <v>261</v>
      </c>
      <c r="HJ339" s="330" t="s">
        <v>261</v>
      </c>
      <c r="HK339" s="331"/>
      <c r="HL339" s="316"/>
      <c r="HM339" s="330">
        <v>46066</v>
      </c>
      <c r="HN339" s="330">
        <v>46066</v>
      </c>
      <c r="HO339" s="330" t="e">
        <v>#N/A</v>
      </c>
      <c r="HP339" s="331">
        <v>46093</v>
      </c>
      <c r="HQ339"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39" s="330">
        <v>46073</v>
      </c>
      <c r="HS339" s="330"/>
      <c r="HT339" s="330">
        <v>46073</v>
      </c>
      <c r="HU339" s="330"/>
      <c r="HV339" s="331">
        <v>46099</v>
      </c>
      <c r="HW339"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39" s="47"/>
      <c r="HY339" s="352"/>
      <c r="HZ339" s="352"/>
      <c r="IB339" s="618">
        <f>IFERROR(ROUND((Table1[[#This Row],[PLAN TC
finish]]-Table1[[#This Row],[PLAN MC-0
start]])/30,2),"")</f>
        <v>1.6</v>
      </c>
      <c r="IC339">
        <f>DATEDIF(Table1[[#This Row],[PLAN MC-0
start]],Table1[[#This Row],[PLAN TC
finish]],"m")</f>
        <v>1</v>
      </c>
    </row>
    <row r="340" spans="2:261" s="4" customFormat="1" ht="15" hidden="1" customHeight="1" x14ac:dyDescent="0.2">
      <c r="B340" s="311">
        <f>SUBTOTAL(3,$D$5:D340)</f>
        <v>84</v>
      </c>
      <c r="C340" s="316">
        <v>336</v>
      </c>
      <c r="D340" s="315" t="s">
        <v>673</v>
      </c>
      <c r="E340" s="338" t="s">
        <v>2697</v>
      </c>
      <c r="F340" s="338" t="s">
        <v>2698</v>
      </c>
      <c r="G340" s="349">
        <v>46117</v>
      </c>
      <c r="H340" s="338" t="s">
        <v>681</v>
      </c>
      <c r="I340" s="338" t="s">
        <v>278</v>
      </c>
      <c r="J340" s="480" t="s">
        <v>1818</v>
      </c>
      <c r="K340" s="338" t="s">
        <v>676</v>
      </c>
      <c r="L340" s="316" t="s">
        <v>250</v>
      </c>
      <c r="M340" s="355" t="s">
        <v>269</v>
      </c>
      <c r="N340" s="107">
        <v>78</v>
      </c>
      <c r="O340" s="31" t="s">
        <v>252</v>
      </c>
      <c r="P340"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40" s="35">
        <v>1</v>
      </c>
      <c r="S340" s="34">
        <v>1</v>
      </c>
      <c r="T340" s="34">
        <f>Table1[[#This Row],[Progres Total Aktual
(%)]]</f>
        <v>0.27070733631921118</v>
      </c>
      <c r="U340" s="98">
        <f>Table1[[#This Row],[Progres Aktual
(%)]]-Table1[[#This Row],[Target Progres
(%)]]</f>
        <v>-0.72929266368078882</v>
      </c>
      <c r="V340" s="80">
        <f>Table1[[#This Row],["Volume
BA MC-0"]]</f>
        <v>100</v>
      </c>
      <c r="W340" s="46">
        <f>Table1[[#This Row],[Total Panjang Pipa Aktual
(Sum-&gt;)3]]</f>
        <v>1</v>
      </c>
      <c r="X340" s="47"/>
      <c r="Y340" s="67" t="s">
        <v>2699</v>
      </c>
      <c r="Z340" s="67">
        <v>207134590</v>
      </c>
      <c r="AA340" s="501">
        <f>ROUND((Table1[[#This Row],[Nilai RAB Jaringan
(Exclude Ppn)]]-Table1[[#This Row],[RAB Perizinan]])*1.11+Table1[[#This Row],[RAB Perizinan]],0)</f>
        <v>216965732</v>
      </c>
      <c r="AB340" s="486">
        <f>SUM(Table1[[#This Row],[RAB Kegiatan Umum]:[RAB Perizinan]])</f>
        <v>195541921</v>
      </c>
      <c r="AC340" s="436">
        <v>11942636</v>
      </c>
      <c r="AD340" s="436">
        <v>119426360</v>
      </c>
      <c r="AE340" s="436">
        <v>63392925</v>
      </c>
      <c r="AF340" s="436">
        <v>780000</v>
      </c>
      <c r="AG340" s="483"/>
      <c r="AH340" s="33">
        <f>SUM(Table1[[#This Row],[Bobot Keg Umum]:[Bobot Perizinan]])</f>
        <v>1</v>
      </c>
      <c r="AI340" s="33">
        <f>Table1[[#This Row],[RAB Kegiatan Umum]]/Table1[[#This Row],[Nilai RAB Jaringan
(Exclude Ppn)]]</f>
        <v>6.1074555977180978E-2</v>
      </c>
      <c r="AJ340" s="33">
        <f>Table1[[#This Row],[RAB Pemasangan]]/Table1[[#This Row],[Nilai RAB Jaringan
(Exclude Ppn)]]</f>
        <v>0.61074555977180978</v>
      </c>
      <c r="AK340" s="33">
        <f>Table1[[#This Row],[RAB Pengadaan]]/Table1[[#This Row],[Nilai RAB Jaringan
(Exclude Ppn)]]</f>
        <v>0.32419096977164297</v>
      </c>
      <c r="AL340" s="33">
        <f>Table1[[#This Row],[RAB Perizinan]]/Table1[[#This Row],[Nilai RAB Jaringan
(Exclude Ppn)]]</f>
        <v>3.9889144793662937E-3</v>
      </c>
      <c r="AM340" s="47"/>
      <c r="AN340" s="285">
        <v>100</v>
      </c>
      <c r="AO340" s="285">
        <f>SUM(Table1[[#This Row],[Pipa 63 mm]:[Pipa 1,800 mm]])</f>
        <v>100</v>
      </c>
      <c r="AP340" s="285"/>
      <c r="AQ340" s="285"/>
      <c r="AR340" s="285">
        <v>100</v>
      </c>
      <c r="AS340" s="285"/>
      <c r="AT340" s="285"/>
      <c r="AU340" s="285"/>
      <c r="AV340" s="285"/>
      <c r="AW340" s="285"/>
      <c r="AX340" s="285"/>
      <c r="AY340" s="285"/>
      <c r="AZ340" s="285"/>
      <c r="BA340" s="285"/>
      <c r="BB340" s="285"/>
      <c r="BC340" s="285"/>
      <c r="BD340" s="285"/>
      <c r="BE340" s="285"/>
      <c r="BF340" s="285"/>
      <c r="BG340" s="285"/>
      <c r="BH340" s="285"/>
      <c r="BI340" s="285"/>
      <c r="BJ340" s="262">
        <f>SUM(Table1[[#This Row],[Pipa 63 mm2]:[Pipa 1,800 mm21]])</f>
        <v>1</v>
      </c>
      <c r="BK340" s="32">
        <v>1</v>
      </c>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65">
        <f>IF((Table1[[#This Row],["Volume
BA MC-0"]]-Table1[[#This Row],[Total Panjang Pipa Aktual
(Sum-&gt;)3]]-Table1[[#This Row],[Total Volume
tidak dapat dipasang]])&gt;=0,Table1[[#This Row],["Volume
BA MC-0"]]-Table1[[#This Row],[Total Panjang Pipa Aktual
(Sum-&gt;)3]]-Table1[[#This Row],[Total Volume
tidak dapat dipasang]],0)</f>
        <v>99</v>
      </c>
      <c r="CK340" s="47"/>
      <c r="CL340" s="484" t="s">
        <v>1821</v>
      </c>
      <c r="CM340" s="34" t="s">
        <v>1821</v>
      </c>
      <c r="CN340" s="484" t="s">
        <v>1821</v>
      </c>
      <c r="CO340" s="484" t="s">
        <v>1821</v>
      </c>
      <c r="CP34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0.27070733631921118</v>
      </c>
      <c r="CQ340" s="66">
        <f>IFERROR(Table1[[#This Row],[Progres Keg. Umum
(%)]]*Table1[[#This Row],[Nilai RAB Jaringan
(file pa aji)]],0)</f>
        <v>0</v>
      </c>
      <c r="CR340" s="66">
        <f>IFERROR(Table1[[#This Row],[Progres MOS
(%)]]*Table1[[#This Row],[Nilai RAB Jaringan
(file pa aji)]],0)</f>
        <v>0</v>
      </c>
      <c r="CS340" s="66">
        <f>IFERROR(Table1[[#This Row],[Progres Pemasangan
(%)]]*Table1[[#This Row],[Nilai RAB Jaringan
(file pa aji)]],0)</f>
        <v>0</v>
      </c>
      <c r="CT340" s="66">
        <f>IFERROR(Table1[[#This Row],[Progres Perizinan
(%)]]*Table1[[#This Row],[Nilai RAB Jaringan
(file pa aji)]],0)</f>
        <v>0</v>
      </c>
      <c r="CU340" s="329">
        <v>58734215.38226784</v>
      </c>
      <c r="CV340" s="329">
        <v>58734215.38226784</v>
      </c>
      <c r="CW340" s="583">
        <v>0</v>
      </c>
      <c r="CX340" s="329">
        <v>0</v>
      </c>
      <c r="CY340" s="47"/>
      <c r="CZ340" s="330">
        <v>45901</v>
      </c>
      <c r="DA340" s="330">
        <v>45928</v>
      </c>
      <c r="DB340" s="331">
        <v>45901</v>
      </c>
      <c r="DC340" s="316" t="s">
        <v>2700</v>
      </c>
      <c r="DD340" s="67">
        <v>216965732.31</v>
      </c>
      <c r="DE34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0" s="331">
        <v>45915</v>
      </c>
      <c r="DG340" s="316" t="s">
        <v>2701</v>
      </c>
      <c r="DH340" s="67">
        <v>216965732.31</v>
      </c>
      <c r="DI34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0" s="330">
        <v>45929</v>
      </c>
      <c r="DK340" s="330">
        <v>45991</v>
      </c>
      <c r="DL340" s="331">
        <v>45936</v>
      </c>
      <c r="DM340" s="316" t="s">
        <v>2702</v>
      </c>
      <c r="DN34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0" s="331">
        <v>45968</v>
      </c>
      <c r="DP340" s="316" t="s">
        <v>2703</v>
      </c>
      <c r="DQ340" s="338" t="s">
        <v>783</v>
      </c>
      <c r="DR34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0" s="330">
        <v>45929</v>
      </c>
      <c r="DT340" s="330" t="e">
        <v>#N/A</v>
      </c>
      <c r="DU340" s="330">
        <v>45970</v>
      </c>
      <c r="DV340" s="330" t="e">
        <v>#N/A</v>
      </c>
      <c r="DW340" s="331">
        <v>45936</v>
      </c>
      <c r="DX340" s="484" t="s">
        <v>2704</v>
      </c>
      <c r="DY340" s="332">
        <v>32</v>
      </c>
      <c r="DZ340" s="334">
        <v>32</v>
      </c>
      <c r="EA34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0" s="331">
        <v>46006</v>
      </c>
      <c r="EC340" s="332">
        <v>29</v>
      </c>
      <c r="ED340" s="332">
        <v>29</v>
      </c>
      <c r="EE340" s="330"/>
      <c r="EF340" s="35">
        <v>0.90625</v>
      </c>
      <c r="EG340" s="35">
        <f>Table1[[#This Row],[Line PO (kolom  bantu)2]]/Table1[[#This Row],[Line PR]]</f>
        <v>0.90625</v>
      </c>
      <c r="EH340" s="316" t="str">
        <f>IF(Table1[[#This Row],[PO Material Aktual 
(%)]]&gt;=100%,"Selesai PO = 100%",IF(Table1[[#This Row],[PO Material Aktual 
(%)]]&gt;=50%,"Proses PO &gt; 100%",IF(Table1[[#This Row],[PO Material Aktual 
(%)]]&gt;0%,"Proses PO &gt; 50%",IF(Table1[[#This Row],[PO Material Aktual 
(%)]]=0,"Belum PO = 0%"))))</f>
        <v>Proses PO &gt; 100%</v>
      </c>
      <c r="EI340"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0" s="330">
        <v>45971</v>
      </c>
      <c r="EK340" s="330" t="e">
        <v>#N/A</v>
      </c>
      <c r="EL340" s="330">
        <v>46026</v>
      </c>
      <c r="EM340" s="330" t="e">
        <v>#N/A</v>
      </c>
      <c r="EN340" s="331">
        <v>46122</v>
      </c>
      <c r="EO340" s="332">
        <v>29</v>
      </c>
      <c r="EP340" s="316">
        <v>29</v>
      </c>
      <c r="EQ340" s="35">
        <v>0.90625</v>
      </c>
      <c r="ER340" s="35">
        <f>Table1[[#This Row],[Line MOS]]/Table1[[#This Row],[Line PR]]</f>
        <v>0.90625</v>
      </c>
      <c r="ES340" s="316" t="str">
        <f>IF(Table1[[#This Row],[Progres MOS]]&gt;=100%,"Selesai MOS = 100%",IF(Table1[[#This Row],[Progres MOS]]&gt;=50%,"Proses MOS &gt; 100%",IF(Table1[[#This Row],[Progres MOS]]&gt;0%,"Proses MOS &gt; 50%",IF(Table1[[#This Row],[Progres MOS]]=0,"Belum MOS = 0%"))))</f>
        <v>Proses MOS &gt; 100%</v>
      </c>
      <c r="ET34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0" s="47"/>
      <c r="EV340" s="330">
        <v>45929</v>
      </c>
      <c r="EW340" s="330" t="e">
        <v>#N/A</v>
      </c>
      <c r="EX340" s="330">
        <v>46019</v>
      </c>
      <c r="EY340" s="330" t="e">
        <v>#N/A</v>
      </c>
      <c r="EZ340" s="352" t="s">
        <v>298</v>
      </c>
      <c r="FA340" s="336" t="s">
        <v>259</v>
      </c>
      <c r="FB340" s="330" t="s">
        <v>260</v>
      </c>
      <c r="FC340" s="330">
        <v>45943</v>
      </c>
      <c r="FD340" s="330" t="s">
        <v>260</v>
      </c>
      <c r="FE340" s="330">
        <v>45966</v>
      </c>
      <c r="FF340" s="330">
        <v>45992</v>
      </c>
      <c r="FG340" s="330" t="s">
        <v>260</v>
      </c>
      <c r="FH340" s="330" t="s">
        <v>260</v>
      </c>
      <c r="FI340" s="330">
        <v>46013</v>
      </c>
      <c r="FJ340" s="330" t="s">
        <v>260</v>
      </c>
      <c r="FK340" s="330">
        <v>46118</v>
      </c>
      <c r="FL340" s="336" t="s">
        <v>298</v>
      </c>
      <c r="FM340" s="352">
        <v>45943</v>
      </c>
      <c r="FN340" s="338">
        <f>IF(Table1[[#This Row],[Tanggal Pengajuan Dokumen]]="","",Table1[[#This Row],[PLAN PERMIT
start]]-Table1[[#This Row],[Tanggal Pengajuan Dokumen]])</f>
        <v>-14</v>
      </c>
      <c r="FO340" s="437">
        <v>46097</v>
      </c>
      <c r="FP340" s="316"/>
      <c r="FQ340" s="338"/>
      <c r="FR340" s="338"/>
      <c r="FS340" s="338" t="str">
        <f t="shared" si="17"/>
        <v>Sudah Terbit</v>
      </c>
      <c r="FT34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0" s="344">
        <f ca="1">IF(Table1[[#This Row],[Status Izin]]="Selesai",Table1[[#This Row],[PLAN PERMIT
finish]]-Table1[[#This Row],[Tanggal Terbit/ Target Izin Terbit]],ROUNDUP(Table1[[#This Row],[PLAN PERMIT
finish]]-NOW(),0))</f>
        <v>-78</v>
      </c>
      <c r="FV34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0" s="344"/>
      <c r="FX340" s="47"/>
      <c r="FY340" s="340"/>
      <c r="FZ340" s="341"/>
      <c r="GA34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0" s="330">
        <v>45993</v>
      </c>
      <c r="GC340" s="352">
        <v>45964</v>
      </c>
      <c r="GD34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0" s="330">
        <v>46000</v>
      </c>
      <c r="GF340" s="352">
        <v>45964</v>
      </c>
      <c r="GG34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0" s="330">
        <v>46006</v>
      </c>
      <c r="GI340" s="330">
        <v>46012</v>
      </c>
      <c r="GJ340" s="352">
        <v>45968</v>
      </c>
      <c r="GK34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0" s="330">
        <v>46020</v>
      </c>
      <c r="GM340" s="330" t="e">
        <v>#N/A</v>
      </c>
      <c r="GN340" s="330">
        <v>46040</v>
      </c>
      <c r="GO340" s="330" t="e">
        <v>#N/A</v>
      </c>
      <c r="GP340" s="330"/>
      <c r="GQ34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0" s="330" t="s">
        <v>261</v>
      </c>
      <c r="GS340" s="330" t="s">
        <v>261</v>
      </c>
      <c r="GT340" s="354"/>
      <c r="GU340" s="344" t="str">
        <f>IF(Table1[[#This Row],[Hydro Tes Actual
(tanggal)]]&lt;&gt;"","Sudah","Belum")</f>
        <v>Belum</v>
      </c>
      <c r="GV340" s="330" t="s">
        <v>261</v>
      </c>
      <c r="GW340" s="330" t="s">
        <v>261</v>
      </c>
      <c r="GX340" s="331"/>
      <c r="GY340" s="344" t="str">
        <f>IF(Table1[[#This Row],[Interkoneksi Actual
(tanggal)]]&lt;&gt;"","Sudah","Belum")</f>
        <v>Belum</v>
      </c>
      <c r="GZ340" s="330" t="s">
        <v>261</v>
      </c>
      <c r="HA340" s="330" t="s">
        <v>261</v>
      </c>
      <c r="HB340" s="331"/>
      <c r="HC340" s="344" t="str">
        <f>IF(Table1[[#This Row],[Flushing Actual
(tanggal)]]&lt;&gt;"","Sudah","Belum")</f>
        <v>Belum</v>
      </c>
      <c r="HD340" s="330">
        <v>46020</v>
      </c>
      <c r="HE340" s="330" t="e">
        <v>#N/A</v>
      </c>
      <c r="HF340" s="330">
        <v>46033</v>
      </c>
      <c r="HG340" s="352"/>
      <c r="HH34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40" s="330" t="s">
        <v>261</v>
      </c>
      <c r="HJ340" s="330" t="s">
        <v>261</v>
      </c>
      <c r="HK340" s="331"/>
      <c r="HL340" s="316"/>
      <c r="HM340" s="330">
        <v>46038</v>
      </c>
      <c r="HN340" s="330">
        <v>46038</v>
      </c>
      <c r="HO340" s="330" t="e">
        <v>#N/A</v>
      </c>
      <c r="HP340" s="331"/>
      <c r="HQ340"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40" s="330">
        <v>46045</v>
      </c>
      <c r="HS340" s="330"/>
      <c r="HT340" s="330">
        <v>46045</v>
      </c>
      <c r="HU340" s="330"/>
      <c r="HV340" s="331"/>
      <c r="HW340"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40" s="47"/>
      <c r="HY340" s="352"/>
      <c r="HZ340" s="352"/>
      <c r="IB340" s="618">
        <f>IFERROR(ROUND((Table1[[#This Row],[PLAN TC
finish]]-Table1[[#This Row],[PLAN MC-0
start]])/30,2),"")</f>
        <v>0.9</v>
      </c>
      <c r="IC340">
        <f>DATEDIF(Table1[[#This Row],[PLAN MC-0
start]],Table1[[#This Row],[PLAN TC
finish]],"m")</f>
        <v>0</v>
      </c>
    </row>
    <row r="341" spans="2:261" s="4" customFormat="1" ht="15" hidden="1" customHeight="1" x14ac:dyDescent="0.2">
      <c r="B341" s="311">
        <f>SUBTOTAL(3,$D$5:D341)</f>
        <v>84</v>
      </c>
      <c r="C341" s="316">
        <v>337</v>
      </c>
      <c r="D341" s="315" t="s">
        <v>673</v>
      </c>
      <c r="E341" s="338" t="s">
        <v>2705</v>
      </c>
      <c r="F341" s="338" t="s">
        <v>2706</v>
      </c>
      <c r="G341" s="349">
        <v>46117</v>
      </c>
      <c r="H341" s="338" t="s">
        <v>681</v>
      </c>
      <c r="I341" s="338" t="s">
        <v>278</v>
      </c>
      <c r="J341" s="480" t="s">
        <v>1830</v>
      </c>
      <c r="K341" s="338" t="s">
        <v>676</v>
      </c>
      <c r="L341" s="316" t="s">
        <v>250</v>
      </c>
      <c r="M341" s="355" t="s">
        <v>269</v>
      </c>
      <c r="N341" s="107">
        <v>833</v>
      </c>
      <c r="O341" s="31" t="s">
        <v>252</v>
      </c>
      <c r="P341"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1" s="35">
        <v>0.99999999999999978</v>
      </c>
      <c r="S341" s="34">
        <v>1</v>
      </c>
      <c r="T341" s="34">
        <f>Table1[[#This Row],[Progres Total Aktual
(%)]]</f>
        <v>1</v>
      </c>
      <c r="U341" s="98">
        <f>Table1[[#This Row],[Progres Aktual
(%)]]-Table1[[#This Row],[Target Progres
(%)]]</f>
        <v>0</v>
      </c>
      <c r="V341" s="80">
        <f>Table1[[#This Row],["Volume
BA MC-0"]]</f>
        <v>981</v>
      </c>
      <c r="W341" s="46">
        <f>Table1[[#This Row],[Total Panjang Pipa Aktual
(Sum-&gt;)3]]</f>
        <v>856</v>
      </c>
      <c r="X341" s="47"/>
      <c r="Y341" s="67" t="s">
        <v>2707</v>
      </c>
      <c r="Z341" s="67">
        <v>996536617</v>
      </c>
      <c r="AA341" s="501">
        <f>ROUND((Table1[[#This Row],[Nilai RAB Jaringan
(Exclude Ppn)]]-Table1[[#This Row],[RAB Perizinan]])*1.11+Table1[[#This Row],[RAB Perizinan]],0)</f>
        <v>996536616</v>
      </c>
      <c r="AB341" s="486">
        <f>SUM(Table1[[#This Row],[RAB Kegiatan Umum]:[RAB Perizinan]])</f>
        <v>898606231</v>
      </c>
      <c r="AC341" s="436">
        <v>59242714</v>
      </c>
      <c r="AD341" s="436">
        <v>592427137</v>
      </c>
      <c r="AE341" s="436">
        <v>238606380</v>
      </c>
      <c r="AF341" s="436">
        <v>8330000</v>
      </c>
      <c r="AG341" s="483"/>
      <c r="AH341" s="33">
        <f>SUM(Table1[[#This Row],[Bobot Keg Umum]:[Bobot Perizinan]])</f>
        <v>1</v>
      </c>
      <c r="AI341" s="33">
        <f>Table1[[#This Row],[RAB Kegiatan Umum]]/Table1[[#This Row],[Nilai RAB Jaringan
(Exclude Ppn)]]</f>
        <v>6.5927334973042276E-2</v>
      </c>
      <c r="AJ341" s="33">
        <f>Table1[[#This Row],[RAB Pemasangan]]/Table1[[#This Row],[Nilai RAB Jaringan
(Exclude Ppn)]]</f>
        <v>0.65927334639191926</v>
      </c>
      <c r="AK341" s="33">
        <f>Table1[[#This Row],[RAB Pengadaan]]/Table1[[#This Row],[Nilai RAB Jaringan
(Exclude Ppn)]]</f>
        <v>0.26552940739624137</v>
      </c>
      <c r="AL341" s="33">
        <f>Table1[[#This Row],[RAB Perizinan]]/Table1[[#This Row],[Nilai RAB Jaringan
(Exclude Ppn)]]</f>
        <v>9.2699112387970971E-3</v>
      </c>
      <c r="AM341" s="47"/>
      <c r="AN341" s="285">
        <f>110+793+78</f>
        <v>981</v>
      </c>
      <c r="AO341" s="285">
        <f>SUM(Table1[[#This Row],[Pipa 63 mm]:[Pipa 1,800 mm]])</f>
        <v>981</v>
      </c>
      <c r="AP341" s="285">
        <f>793+78</f>
        <v>871</v>
      </c>
      <c r="AQ341" s="285">
        <v>110</v>
      </c>
      <c r="AR341" s="285"/>
      <c r="AS341" s="285"/>
      <c r="AT341" s="285"/>
      <c r="AU341" s="285"/>
      <c r="AV341" s="285"/>
      <c r="AW341" s="285"/>
      <c r="AX341" s="285"/>
      <c r="AY341" s="285"/>
      <c r="AZ341" s="285"/>
      <c r="BA341" s="285"/>
      <c r="BB341" s="285"/>
      <c r="BC341" s="285"/>
      <c r="BD341" s="285"/>
      <c r="BE341" s="285"/>
      <c r="BF341" s="285"/>
      <c r="BG341" s="285"/>
      <c r="BH341" s="285"/>
      <c r="BI341" s="285"/>
      <c r="BJ341" s="262">
        <f>SUM(Table1[[#This Row],[Pipa 63 mm2]:[Pipa 1,800 mm21]])</f>
        <v>856</v>
      </c>
      <c r="BK341" s="32">
        <v>746</v>
      </c>
      <c r="BL341" s="32">
        <v>110</v>
      </c>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65">
        <f>IF((Table1[[#This Row],["Volume
BA MC-0"]]-Table1[[#This Row],[Total Panjang Pipa Aktual
(Sum-&gt;)3]]-Table1[[#This Row],[Total Volume
tidak dapat dipasang]])&gt;=0,Table1[[#This Row],["Volume
BA MC-0"]]-Table1[[#This Row],[Total Panjang Pipa Aktual
(Sum-&gt;)3]]-Table1[[#This Row],[Total Volume
tidak dapat dipasang]],0)</f>
        <v>125</v>
      </c>
      <c r="CK341" s="47"/>
      <c r="CL341" s="484" t="s">
        <v>1821</v>
      </c>
      <c r="CM341" s="34" t="s">
        <v>1821</v>
      </c>
      <c r="CN341" s="484" t="s">
        <v>1821</v>
      </c>
      <c r="CO341" s="484" t="s">
        <v>1821</v>
      </c>
      <c r="CP34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1" s="66">
        <f>IFERROR(Table1[[#This Row],[Progres Keg. Umum
(%)]]*Table1[[#This Row],[Nilai RAB Jaringan
(file pa aji)]],0)</f>
        <v>0</v>
      </c>
      <c r="CR341" s="66">
        <f>IFERROR(Table1[[#This Row],[Progres MOS
(%)]]*Table1[[#This Row],[Nilai RAB Jaringan
(file pa aji)]],0)</f>
        <v>0</v>
      </c>
      <c r="CS341" s="66">
        <f>IFERROR(Table1[[#This Row],[Progres Pemasangan
(%)]]*Table1[[#This Row],[Nilai RAB Jaringan
(file pa aji)]],0)</f>
        <v>0</v>
      </c>
      <c r="CT341" s="66">
        <f>IFERROR(Table1[[#This Row],[Progres Perizinan
(%)]]*Table1[[#This Row],[Nilai RAB Jaringan
(file pa aji)]],0)</f>
        <v>0</v>
      </c>
      <c r="CU341" s="329">
        <v>985527340</v>
      </c>
      <c r="CV341" s="329">
        <v>985527340</v>
      </c>
      <c r="CW341" s="583">
        <v>985527340</v>
      </c>
      <c r="CX341" s="329">
        <v>985527340</v>
      </c>
      <c r="CY341" s="47"/>
      <c r="CZ341" s="330">
        <v>45901</v>
      </c>
      <c r="DA341" s="330">
        <v>45928</v>
      </c>
      <c r="DB341" s="331">
        <v>45886</v>
      </c>
      <c r="DC341" s="316" t="s">
        <v>2708</v>
      </c>
      <c r="DD341" s="67">
        <v>996536616</v>
      </c>
      <c r="DE34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1" s="331">
        <v>45915</v>
      </c>
      <c r="DG341" s="316" t="s">
        <v>2709</v>
      </c>
      <c r="DH341" s="67">
        <v>996536616</v>
      </c>
      <c r="DI34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1" s="330">
        <v>45929</v>
      </c>
      <c r="DK341" s="330">
        <v>45991</v>
      </c>
      <c r="DL341" s="331">
        <v>45919</v>
      </c>
      <c r="DM341" s="316" t="s">
        <v>2710</v>
      </c>
      <c r="DN34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1" s="331">
        <v>45926</v>
      </c>
      <c r="DP341" s="316" t="s">
        <v>2711</v>
      </c>
      <c r="DQ341" s="338" t="s">
        <v>297</v>
      </c>
      <c r="DR34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1" s="330">
        <v>45929</v>
      </c>
      <c r="DT341" s="330" t="e">
        <v>#N/A</v>
      </c>
      <c r="DU341" s="330">
        <v>45970</v>
      </c>
      <c r="DV341" s="330" t="e">
        <v>#N/A</v>
      </c>
      <c r="DW341" s="331">
        <v>45919</v>
      </c>
      <c r="DX341" s="316" t="s">
        <v>2712</v>
      </c>
      <c r="DY341" s="332">
        <v>36</v>
      </c>
      <c r="DZ341" s="334">
        <v>36</v>
      </c>
      <c r="EA34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1" s="331">
        <v>46006</v>
      </c>
      <c r="EC341" s="332">
        <v>36</v>
      </c>
      <c r="ED341" s="332">
        <v>36</v>
      </c>
      <c r="EE341" s="330" t="s">
        <v>2713</v>
      </c>
      <c r="EF341" s="35">
        <v>1</v>
      </c>
      <c r="EG341" s="35">
        <f>Table1[[#This Row],[Line PO (kolom  bantu)2]]/Table1[[#This Row],[Line PR]]</f>
        <v>1</v>
      </c>
      <c r="EH341" s="316" t="str">
        <f>IF(Table1[[#This Row],[PO Material Aktual 
(%)]]&gt;=100%,"Selesai PO = 100%",IF(Table1[[#This Row],[PO Material Aktual 
(%)]]&gt;=50%,"Proses PO &gt; 100%",IF(Table1[[#This Row],[PO Material Aktual 
(%)]]&gt;0%,"Proses PO &gt; 50%",IF(Table1[[#This Row],[PO Material Aktual 
(%)]]=0,"Belum PO = 0%"))))</f>
        <v>Selesai PO = 100%</v>
      </c>
      <c r="EI341"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1" s="330">
        <v>45971</v>
      </c>
      <c r="EK341" s="330" t="e">
        <v>#N/A</v>
      </c>
      <c r="EL341" s="330">
        <v>46026</v>
      </c>
      <c r="EM341" s="330" t="e">
        <v>#N/A</v>
      </c>
      <c r="EN341" s="331">
        <v>46156</v>
      </c>
      <c r="EO341" s="332">
        <f>Table1[[#This Row],[Line PO]]</f>
        <v>36</v>
      </c>
      <c r="EP341" s="316">
        <v>36</v>
      </c>
      <c r="EQ341" s="35">
        <v>1</v>
      </c>
      <c r="ER341" s="35">
        <f>Table1[[#This Row],[Line MOS]]/Table1[[#This Row],[Line PR]]</f>
        <v>1</v>
      </c>
      <c r="ES341" s="316" t="str">
        <f>IF(Table1[[#This Row],[Progres MOS]]&gt;=100%,"Selesai MOS = 100%",IF(Table1[[#This Row],[Progres MOS]]&gt;=50%,"Proses MOS &gt; 100%",IF(Table1[[#This Row],[Progres MOS]]&gt;0%,"Proses MOS &gt; 50%",IF(Table1[[#This Row],[Progres MOS]]=0,"Belum MOS = 0%"))))</f>
        <v>Selesai MOS = 100%</v>
      </c>
      <c r="ET34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1" s="47"/>
      <c r="EV341" s="330">
        <v>45929</v>
      </c>
      <c r="EW341" s="330" t="e">
        <v>#N/A</v>
      </c>
      <c r="EX341" s="330">
        <v>46019</v>
      </c>
      <c r="EY341" s="330" t="e">
        <v>#N/A</v>
      </c>
      <c r="EZ341" s="352" t="s">
        <v>298</v>
      </c>
      <c r="FA341" s="336" t="s">
        <v>259</v>
      </c>
      <c r="FB341" s="330" t="s">
        <v>260</v>
      </c>
      <c r="FC341" s="330">
        <v>45945</v>
      </c>
      <c r="FD341" s="330" t="s">
        <v>260</v>
      </c>
      <c r="FE341" s="330">
        <v>45966</v>
      </c>
      <c r="FF341" s="330">
        <v>45993</v>
      </c>
      <c r="FG341" s="330" t="s">
        <v>260</v>
      </c>
      <c r="FH341" s="330" t="s">
        <v>260</v>
      </c>
      <c r="FI341" s="330">
        <v>46013</v>
      </c>
      <c r="FJ341" s="330" t="s">
        <v>260</v>
      </c>
      <c r="FK341" s="330">
        <v>46142</v>
      </c>
      <c r="FL341" s="336" t="s">
        <v>298</v>
      </c>
      <c r="FM341" s="352">
        <v>45945</v>
      </c>
      <c r="FN341" s="338">
        <f>IF(Table1[[#This Row],[Tanggal Pengajuan Dokumen]]="","",Table1[[#This Row],[PLAN PERMIT
start]]-Table1[[#This Row],[Tanggal Pengajuan Dokumen]])</f>
        <v>-16</v>
      </c>
      <c r="FO341" s="437">
        <v>46097</v>
      </c>
      <c r="FP341" s="316"/>
      <c r="FQ341" s="338"/>
      <c r="FR341" s="338"/>
      <c r="FS341" s="338" t="str">
        <f t="shared" si="17"/>
        <v>Sudah Terbit</v>
      </c>
      <c r="FT34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1" s="344">
        <f ca="1">IF(Table1[[#This Row],[Status Izin]]="Selesai",Table1[[#This Row],[PLAN PERMIT
finish]]-Table1[[#This Row],[Tanggal Terbit/ Target Izin Terbit]],ROUNDUP(Table1[[#This Row],[PLAN PERMIT
finish]]-NOW(),0))</f>
        <v>-78</v>
      </c>
      <c r="FV34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1" s="344"/>
      <c r="FX341" s="47"/>
      <c r="FY341" s="340"/>
      <c r="FZ341" s="341"/>
      <c r="GA34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1" s="330">
        <v>45993</v>
      </c>
      <c r="GC341" s="352">
        <v>45950</v>
      </c>
      <c r="GD34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1" s="330">
        <v>46000</v>
      </c>
      <c r="GF341" s="352">
        <v>45950</v>
      </c>
      <c r="GG34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1" s="330">
        <v>46006</v>
      </c>
      <c r="GI341" s="330">
        <v>46012</v>
      </c>
      <c r="GJ341" s="352">
        <v>45952</v>
      </c>
      <c r="GK34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1" s="330">
        <v>46020</v>
      </c>
      <c r="GM341" s="330" t="e">
        <v>#N/A</v>
      </c>
      <c r="GN341" s="330">
        <v>46061</v>
      </c>
      <c r="GO341" s="330" t="e">
        <v>#N/A</v>
      </c>
      <c r="GP341" s="330"/>
      <c r="GQ34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1" s="330" t="s">
        <v>261</v>
      </c>
      <c r="GS341" s="330" t="s">
        <v>261</v>
      </c>
      <c r="GT341" s="354">
        <v>46083</v>
      </c>
      <c r="GU341" s="344" t="str">
        <f>IF(Table1[[#This Row],[Hydro Tes Actual
(tanggal)]]&lt;&gt;"","Sudah","Belum")</f>
        <v>Sudah</v>
      </c>
      <c r="GV341" s="330" t="s">
        <v>261</v>
      </c>
      <c r="GW341" s="330" t="s">
        <v>261</v>
      </c>
      <c r="GX341" s="331">
        <v>46086</v>
      </c>
      <c r="GY341" s="344" t="str">
        <f>IF(Table1[[#This Row],[Interkoneksi Actual
(tanggal)]]&lt;&gt;"","Sudah","Belum")</f>
        <v>Sudah</v>
      </c>
      <c r="GZ341" s="330" t="s">
        <v>261</v>
      </c>
      <c r="HA341" s="330" t="s">
        <v>261</v>
      </c>
      <c r="HB341" s="331">
        <v>46087</v>
      </c>
      <c r="HC341" s="344" t="str">
        <f>IF(Table1[[#This Row],[Flushing Actual
(tanggal)]]&lt;&gt;"","Sudah","Belum")</f>
        <v>Sudah</v>
      </c>
      <c r="HD341" s="330">
        <v>46041</v>
      </c>
      <c r="HE341" s="330" t="e">
        <v>#N/A</v>
      </c>
      <c r="HF341" s="330">
        <v>46054</v>
      </c>
      <c r="HG341" s="352">
        <v>46091</v>
      </c>
      <c r="HH34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41" s="330" t="s">
        <v>261</v>
      </c>
      <c r="HJ341" s="330" t="s">
        <v>261</v>
      </c>
      <c r="HK341" s="331"/>
      <c r="HL341" s="316"/>
      <c r="HM341" s="330">
        <v>46066</v>
      </c>
      <c r="HN341" s="330">
        <v>46066</v>
      </c>
      <c r="HO341" s="330" t="e">
        <v>#N/A</v>
      </c>
      <c r="HP341" s="331">
        <v>46093</v>
      </c>
      <c r="HQ341"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41" s="330">
        <v>46073</v>
      </c>
      <c r="HS341" s="330"/>
      <c r="HT341" s="330">
        <v>46073</v>
      </c>
      <c r="HU341" s="330"/>
      <c r="HV341" s="331">
        <v>46099</v>
      </c>
      <c r="HW341"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41" s="47"/>
      <c r="HY341" s="352"/>
      <c r="HZ341" s="352"/>
      <c r="IB341" s="618">
        <f>IFERROR(ROUND((Table1[[#This Row],[PLAN TC
finish]]-Table1[[#This Row],[PLAN MC-0
start]])/30,2),"")</f>
        <v>1.6</v>
      </c>
      <c r="IC341">
        <f>DATEDIF(Table1[[#This Row],[PLAN MC-0
start]],Table1[[#This Row],[PLAN TC
finish]],"m")</f>
        <v>1</v>
      </c>
    </row>
    <row r="342" spans="2:261" s="4" customFormat="1" ht="15" hidden="1" customHeight="1" x14ac:dyDescent="0.2">
      <c r="B342" s="311">
        <f>SUBTOTAL(3,$D$5:D342)</f>
        <v>84</v>
      </c>
      <c r="C342" s="316">
        <v>338</v>
      </c>
      <c r="D342" s="315" t="s">
        <v>673</v>
      </c>
      <c r="E342" s="338" t="s">
        <v>2714</v>
      </c>
      <c r="F342" s="338" t="s">
        <v>2715</v>
      </c>
      <c r="G342" s="349">
        <v>46117</v>
      </c>
      <c r="H342" s="338" t="s">
        <v>681</v>
      </c>
      <c r="I342" s="338" t="s">
        <v>278</v>
      </c>
      <c r="J342" s="480" t="s">
        <v>1830</v>
      </c>
      <c r="K342" s="338" t="s">
        <v>676</v>
      </c>
      <c r="L342" s="316" t="s">
        <v>250</v>
      </c>
      <c r="M342" s="355" t="s">
        <v>269</v>
      </c>
      <c r="N342" s="107">
        <v>285</v>
      </c>
      <c r="O342" s="31" t="s">
        <v>252</v>
      </c>
      <c r="P342"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2" s="35">
        <v>0.99999999999999989</v>
      </c>
      <c r="S342" s="34">
        <v>1</v>
      </c>
      <c r="T342" s="34">
        <f>Table1[[#This Row],[Progres Total Aktual
(%)]]</f>
        <v>1</v>
      </c>
      <c r="U342" s="98">
        <f>Table1[[#This Row],[Progres Aktual
(%)]]-Table1[[#This Row],[Target Progres
(%)]]</f>
        <v>0</v>
      </c>
      <c r="V342" s="80">
        <f>Table1[[#This Row],["Volume
BA MC-0"]]</f>
        <v>310</v>
      </c>
      <c r="W342" s="46">
        <f>Table1[[#This Row],[Total Panjang Pipa Aktual
(Sum-&gt;)3]]</f>
        <v>310</v>
      </c>
      <c r="X342" s="47"/>
      <c r="Y342" s="67" t="s">
        <v>2716</v>
      </c>
      <c r="Z342" s="67">
        <v>433691056</v>
      </c>
      <c r="AA342" s="67">
        <f>ROUND((Table1[[#This Row],[Nilai RAB Jaringan
(Exclude Ppn)]]-Table1[[#This Row],[RAB Perizinan]])*1.11+Table1[[#This Row],[RAB Perizinan]],0)</f>
        <v>433691055</v>
      </c>
      <c r="AB342" s="486">
        <f>SUM(Table1[[#This Row],[RAB Kegiatan Umum]:[RAB Perizinan]])</f>
        <v>390995095</v>
      </c>
      <c r="AC342" s="436">
        <v>27752849</v>
      </c>
      <c r="AD342" s="436">
        <v>277528482</v>
      </c>
      <c r="AE342" s="436">
        <v>82863764</v>
      </c>
      <c r="AF342" s="436">
        <v>2850000</v>
      </c>
      <c r="AG342" s="483"/>
      <c r="AH342" s="33">
        <f>SUM(Table1[[#This Row],[Bobot Keg Umum]:[Bobot Perizinan]])</f>
        <v>1</v>
      </c>
      <c r="AI342" s="33">
        <f>Table1[[#This Row],[RAB Kegiatan Umum]]/Table1[[#This Row],[Nilai RAB Jaringan
(Exclude Ppn)]]</f>
        <v>7.0980043880090105E-2</v>
      </c>
      <c r="AJ342" s="33">
        <f>Table1[[#This Row],[RAB Pemasangan]]/Table1[[#This Row],[Nilai RAB Jaringan
(Exclude Ppn)]]</f>
        <v>0.70980041834028629</v>
      </c>
      <c r="AK342" s="33">
        <f>Table1[[#This Row],[RAB Pengadaan]]/Table1[[#This Row],[Nilai RAB Jaringan
(Exclude Ppn)]]</f>
        <v>0.21193044378216561</v>
      </c>
      <c r="AL342" s="33">
        <f>Table1[[#This Row],[RAB Perizinan]]/Table1[[#This Row],[Nilai RAB Jaringan
(Exclude Ppn)]]</f>
        <v>7.2890939974579478E-3</v>
      </c>
      <c r="AM342" s="47"/>
      <c r="AN342" s="285">
        <v>310</v>
      </c>
      <c r="AO342" s="285">
        <f>SUM(Table1[[#This Row],[Pipa 63 mm]:[Pipa 1,800 mm]])</f>
        <v>310</v>
      </c>
      <c r="AP342" s="285">
        <v>310</v>
      </c>
      <c r="AQ342" s="285"/>
      <c r="AR342" s="285"/>
      <c r="AS342" s="285"/>
      <c r="AT342" s="285"/>
      <c r="AU342" s="285"/>
      <c r="AV342" s="285"/>
      <c r="AW342" s="285"/>
      <c r="AX342" s="285"/>
      <c r="AY342" s="285"/>
      <c r="AZ342" s="285"/>
      <c r="BA342" s="285"/>
      <c r="BB342" s="285"/>
      <c r="BC342" s="285"/>
      <c r="BD342" s="285"/>
      <c r="BE342" s="285"/>
      <c r="BF342" s="285"/>
      <c r="BG342" s="285"/>
      <c r="BH342" s="285"/>
      <c r="BI342" s="285"/>
      <c r="BJ342" s="262">
        <f>SUM(Table1[[#This Row],[Pipa 63 mm2]:[Pipa 1,800 mm21]])</f>
        <v>310</v>
      </c>
      <c r="BK342" s="32">
        <v>310</v>
      </c>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65">
        <f>IF((Table1[[#This Row],["Volume
BA MC-0"]]-Table1[[#This Row],[Total Panjang Pipa Aktual
(Sum-&gt;)3]]-Table1[[#This Row],[Total Volume
tidak dapat dipasang]])&gt;=0,Table1[[#This Row],["Volume
BA MC-0"]]-Table1[[#This Row],[Total Panjang Pipa Aktual
(Sum-&gt;)3]]-Table1[[#This Row],[Total Volume
tidak dapat dipasang]],0)</f>
        <v>0</v>
      </c>
      <c r="CK342" s="47"/>
      <c r="CL342" s="484" t="s">
        <v>1821</v>
      </c>
      <c r="CM342" s="34" t="s">
        <v>1821</v>
      </c>
      <c r="CN342" s="484" t="s">
        <v>1821</v>
      </c>
      <c r="CO342" s="484" t="s">
        <v>1821</v>
      </c>
      <c r="CP34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2" s="66">
        <f>IFERROR(Table1[[#This Row],[Progres Keg. Umum
(%)]]*Table1[[#This Row],[Nilai RAB Jaringan
(file pa aji)]],0)</f>
        <v>0</v>
      </c>
      <c r="CR342" s="66">
        <f>IFERROR(Table1[[#This Row],[Progres MOS
(%)]]*Table1[[#This Row],[Nilai RAB Jaringan
(file pa aji)]],0)</f>
        <v>0</v>
      </c>
      <c r="CS342" s="66">
        <f>IFERROR(Table1[[#This Row],[Progres Pemasangan
(%)]]*Table1[[#This Row],[Nilai RAB Jaringan
(file pa aji)]],0)</f>
        <v>0</v>
      </c>
      <c r="CT342" s="66">
        <f>IFERROR(Table1[[#This Row],[Progres Perizinan
(%)]]*Table1[[#This Row],[Nilai RAB Jaringan
(file pa aji)]],0)</f>
        <v>0</v>
      </c>
      <c r="CU342" s="329">
        <v>471574655</v>
      </c>
      <c r="CV342" s="329">
        <v>471574655</v>
      </c>
      <c r="CW342" s="583">
        <v>471574655</v>
      </c>
      <c r="CX342" s="329">
        <v>471574655</v>
      </c>
      <c r="CY342" s="47"/>
      <c r="CZ342" s="330">
        <v>45901</v>
      </c>
      <c r="DA342" s="330">
        <v>45928</v>
      </c>
      <c r="DB342" s="331">
        <v>45886</v>
      </c>
      <c r="DC342" s="316" t="s">
        <v>2717</v>
      </c>
      <c r="DD342" s="67">
        <v>433691055</v>
      </c>
      <c r="DE34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2" s="331">
        <v>45915</v>
      </c>
      <c r="DG342" s="316" t="s">
        <v>2718</v>
      </c>
      <c r="DH342" s="67">
        <v>433691055</v>
      </c>
      <c r="DI34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2" s="330">
        <v>45929</v>
      </c>
      <c r="DK342" s="330">
        <v>45991</v>
      </c>
      <c r="DL342" s="331">
        <v>45918</v>
      </c>
      <c r="DM342" s="316" t="s">
        <v>2719</v>
      </c>
      <c r="DN34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2" s="331">
        <v>45926</v>
      </c>
      <c r="DP342" s="316" t="s">
        <v>2720</v>
      </c>
      <c r="DQ342" s="338" t="s">
        <v>365</v>
      </c>
      <c r="DR34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2" s="330">
        <v>45929</v>
      </c>
      <c r="DT342" s="330" t="e">
        <v>#N/A</v>
      </c>
      <c r="DU342" s="330">
        <v>45970</v>
      </c>
      <c r="DV342" s="330" t="e">
        <v>#N/A</v>
      </c>
      <c r="DW342" s="331">
        <v>45918</v>
      </c>
      <c r="DX342" s="316" t="s">
        <v>2721</v>
      </c>
      <c r="DY342" s="332">
        <v>21</v>
      </c>
      <c r="DZ342" s="334">
        <v>21</v>
      </c>
      <c r="EA34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2" s="331">
        <v>46008</v>
      </c>
      <c r="EC342" s="332">
        <v>20</v>
      </c>
      <c r="ED342" s="332">
        <v>20</v>
      </c>
      <c r="EE342" s="425" t="s">
        <v>2387</v>
      </c>
      <c r="EF342" s="35">
        <v>1</v>
      </c>
      <c r="EG342" s="337">
        <v>1</v>
      </c>
      <c r="EH342" s="316" t="str">
        <f>IF(Table1[[#This Row],[PO Material Aktual 
(%)]]&gt;=100%,"Selesai PO = 100%",IF(Table1[[#This Row],[PO Material Aktual 
(%)]]&gt;=50%,"Proses PO &gt; 100%",IF(Table1[[#This Row],[PO Material Aktual 
(%)]]&gt;0%,"Proses PO &gt; 50%",IF(Table1[[#This Row],[PO Material Aktual 
(%)]]=0,"Belum PO = 0%"))))</f>
        <v>Selesai PO = 100%</v>
      </c>
      <c r="EI342"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2" s="330">
        <v>45971</v>
      </c>
      <c r="EK342" s="330" t="e">
        <v>#N/A</v>
      </c>
      <c r="EL342" s="330">
        <v>46026</v>
      </c>
      <c r="EM342" s="330" t="e">
        <v>#N/A</v>
      </c>
      <c r="EN342" s="331">
        <v>46091</v>
      </c>
      <c r="EO342" s="332">
        <f>Table1[[#This Row],[Line PO]]</f>
        <v>20</v>
      </c>
      <c r="EP342" s="316">
        <v>20</v>
      </c>
      <c r="EQ342" s="35">
        <v>0.95238095238095233</v>
      </c>
      <c r="ER342" s="35">
        <f>Table1[[#This Row],[Line MOS]]/Table1[[#This Row],[Line PR]]</f>
        <v>0.95238095238095233</v>
      </c>
      <c r="ES342" s="316" t="str">
        <f>IF(Table1[[#This Row],[Progres MOS]]&gt;=100%,"Selesai MOS = 100%",IF(Table1[[#This Row],[Progres MOS]]&gt;=50%,"Proses MOS &gt; 100%",IF(Table1[[#This Row],[Progres MOS]]&gt;0%,"Proses MOS &gt; 50%",IF(Table1[[#This Row],[Progres MOS]]=0,"Belum MOS = 0%"))))</f>
        <v>Proses MOS &gt; 100%</v>
      </c>
      <c r="ET34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2" s="47"/>
      <c r="EV342" s="330">
        <v>45929</v>
      </c>
      <c r="EW342" s="330" t="e">
        <v>#N/A</v>
      </c>
      <c r="EX342" s="330">
        <v>46019</v>
      </c>
      <c r="EY342" s="330" t="e">
        <v>#N/A</v>
      </c>
      <c r="EZ342" s="352" t="s">
        <v>298</v>
      </c>
      <c r="FA342" s="336" t="s">
        <v>259</v>
      </c>
      <c r="FB342" s="330" t="s">
        <v>260</v>
      </c>
      <c r="FC342" s="330">
        <v>45945</v>
      </c>
      <c r="FD342" s="330" t="s">
        <v>260</v>
      </c>
      <c r="FE342" s="330">
        <v>45966</v>
      </c>
      <c r="FF342" s="330">
        <v>45993</v>
      </c>
      <c r="FG342" s="330" t="s">
        <v>260</v>
      </c>
      <c r="FH342" s="330" t="s">
        <v>260</v>
      </c>
      <c r="FI342" s="330">
        <v>46013</v>
      </c>
      <c r="FJ342" s="330" t="s">
        <v>260</v>
      </c>
      <c r="FK342" s="330">
        <v>46142</v>
      </c>
      <c r="FL342" s="336" t="s">
        <v>298</v>
      </c>
      <c r="FM342" s="352">
        <v>45945</v>
      </c>
      <c r="FN342" s="338">
        <f>IF(Table1[[#This Row],[Tanggal Pengajuan Dokumen]]="","",Table1[[#This Row],[PLAN PERMIT
start]]-Table1[[#This Row],[Tanggal Pengajuan Dokumen]])</f>
        <v>-16</v>
      </c>
      <c r="FO342" s="437">
        <v>46097</v>
      </c>
      <c r="FP342" s="316"/>
      <c r="FQ342" s="338"/>
      <c r="FR342" s="338"/>
      <c r="FS342" s="338" t="str">
        <f t="shared" si="17"/>
        <v>Sudah Terbit</v>
      </c>
      <c r="FT34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2" s="344">
        <f ca="1">IF(Table1[[#This Row],[Status Izin]]="Selesai",Table1[[#This Row],[PLAN PERMIT
finish]]-Table1[[#This Row],[Tanggal Terbit/ Target Izin Terbit]],ROUNDUP(Table1[[#This Row],[PLAN PERMIT
finish]]-NOW(),0))</f>
        <v>-78</v>
      </c>
      <c r="FV34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2" s="344"/>
      <c r="FX342" s="47"/>
      <c r="FY342" s="340"/>
      <c r="FZ342" s="341"/>
      <c r="GA34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2" s="330">
        <v>45993</v>
      </c>
      <c r="GC342" s="352">
        <v>45951</v>
      </c>
      <c r="GD34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2" s="330">
        <v>46000</v>
      </c>
      <c r="GF342" s="352">
        <v>45951</v>
      </c>
      <c r="GG34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2" s="330">
        <v>46006</v>
      </c>
      <c r="GI342" s="330">
        <v>46012</v>
      </c>
      <c r="GJ342" s="352">
        <v>45964</v>
      </c>
      <c r="GK34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2" s="330">
        <v>46020</v>
      </c>
      <c r="GM342" s="330" t="e">
        <v>#N/A</v>
      </c>
      <c r="GN342" s="330">
        <v>46040</v>
      </c>
      <c r="GO342" s="330" t="e">
        <v>#N/A</v>
      </c>
      <c r="GP342" s="330"/>
      <c r="GQ34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2" s="330" t="s">
        <v>261</v>
      </c>
      <c r="GS342" s="330" t="s">
        <v>261</v>
      </c>
      <c r="GT342" s="354">
        <v>46006</v>
      </c>
      <c r="GU342" s="344" t="str">
        <f>IF(Table1[[#This Row],[Hydro Tes Actual
(tanggal)]]&lt;&gt;"","Sudah","Belum")</f>
        <v>Sudah</v>
      </c>
      <c r="GV342" s="330" t="s">
        <v>261</v>
      </c>
      <c r="GW342" s="330" t="s">
        <v>261</v>
      </c>
      <c r="GX342" s="331">
        <v>46006</v>
      </c>
      <c r="GY342" s="344" t="str">
        <f>IF(Table1[[#This Row],[Interkoneksi Actual
(tanggal)]]&lt;&gt;"","Sudah","Belum")</f>
        <v>Sudah</v>
      </c>
      <c r="GZ342" s="330" t="s">
        <v>261</v>
      </c>
      <c r="HA342" s="330" t="s">
        <v>261</v>
      </c>
      <c r="HB342" s="331">
        <v>46006</v>
      </c>
      <c r="HC342" s="344" t="str">
        <f>IF(Table1[[#This Row],[Flushing Actual
(tanggal)]]&lt;&gt;"","Sudah","Belum")</f>
        <v>Sudah</v>
      </c>
      <c r="HD342" s="330">
        <v>46020</v>
      </c>
      <c r="HE342" s="330" t="e">
        <v>#N/A</v>
      </c>
      <c r="HF342" s="330">
        <v>46033</v>
      </c>
      <c r="HG342" s="352">
        <v>46010</v>
      </c>
      <c r="HH34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42" s="330" t="s">
        <v>261</v>
      </c>
      <c r="HJ342" s="330" t="s">
        <v>261</v>
      </c>
      <c r="HK342" s="331"/>
      <c r="HL342" s="316"/>
      <c r="HM342" s="330">
        <v>46038</v>
      </c>
      <c r="HN342" s="330">
        <v>46038</v>
      </c>
      <c r="HO342" s="330" t="e">
        <v>#N/A</v>
      </c>
      <c r="HP342" s="331">
        <v>46044</v>
      </c>
      <c r="HQ342"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42" s="330">
        <v>46045</v>
      </c>
      <c r="HS342" s="330"/>
      <c r="HT342" s="330">
        <v>46045</v>
      </c>
      <c r="HU342" s="330"/>
      <c r="HV342" s="331">
        <v>46059</v>
      </c>
      <c r="HW342"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42" s="47"/>
      <c r="HY342" s="352"/>
      <c r="HZ342" s="352"/>
      <c r="IB342" s="618">
        <f>IFERROR(ROUND((Table1[[#This Row],[PLAN TC
finish]]-Table1[[#This Row],[PLAN MC-0
start]])/30,2),"")</f>
        <v>0.9</v>
      </c>
      <c r="IC342">
        <f>DATEDIF(Table1[[#This Row],[PLAN MC-0
start]],Table1[[#This Row],[PLAN TC
finish]],"m")</f>
        <v>0</v>
      </c>
    </row>
    <row r="343" spans="2:261" s="4" customFormat="1" ht="15" hidden="1" customHeight="1" x14ac:dyDescent="0.2">
      <c r="B343" s="311">
        <f>SUBTOTAL(3,$D$5:D343)</f>
        <v>84</v>
      </c>
      <c r="C343" s="316">
        <v>339</v>
      </c>
      <c r="D343" s="315" t="s">
        <v>673</v>
      </c>
      <c r="E343" s="338" t="s">
        <v>2722</v>
      </c>
      <c r="F343" s="338" t="s">
        <v>2723</v>
      </c>
      <c r="G343" s="349">
        <v>46117</v>
      </c>
      <c r="H343" s="338" t="s">
        <v>681</v>
      </c>
      <c r="I343" s="338" t="s">
        <v>278</v>
      </c>
      <c r="J343" s="480" t="s">
        <v>1830</v>
      </c>
      <c r="K343" s="338" t="s">
        <v>676</v>
      </c>
      <c r="L343" s="316" t="s">
        <v>250</v>
      </c>
      <c r="M343" s="355" t="s">
        <v>269</v>
      </c>
      <c r="N343" s="107">
        <v>36</v>
      </c>
      <c r="O343" s="31" t="s">
        <v>252</v>
      </c>
      <c r="P343"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3" s="35">
        <v>0.99999999999999989</v>
      </c>
      <c r="S343" s="34">
        <v>1</v>
      </c>
      <c r="T343" s="34">
        <f>Table1[[#This Row],[Progres Total Aktual
(%)]]</f>
        <v>1</v>
      </c>
      <c r="U343" s="98">
        <f>Table1[[#This Row],[Progres Aktual
(%)]]-Table1[[#This Row],[Target Progres
(%)]]</f>
        <v>0</v>
      </c>
      <c r="V343" s="80">
        <f>Table1[[#This Row],["Volume
BA MC-0"]]</f>
        <v>39</v>
      </c>
      <c r="W343" s="46">
        <f>Table1[[#This Row],[Total Panjang Pipa Aktual
(Sum-&gt;)3]]</f>
        <v>39</v>
      </c>
      <c r="X343" s="47"/>
      <c r="Y343" s="67" t="s">
        <v>2724</v>
      </c>
      <c r="Z343" s="67">
        <v>76222944</v>
      </c>
      <c r="AA343" s="67">
        <f>ROUND((Table1[[#This Row],[Nilai RAB Jaringan
(Exclude Ppn)]]-Table1[[#This Row],[RAB Perizinan]])*1.11+Table1[[#This Row],[RAB Perizinan]],0)</f>
        <v>76222943</v>
      </c>
      <c r="AB343" s="486">
        <f>SUM(Table1[[#This Row],[RAB Kegiatan Umum]:[RAB Perizinan]])</f>
        <v>68704994</v>
      </c>
      <c r="AC343" s="436">
        <v>4048382</v>
      </c>
      <c r="AD343" s="436">
        <v>40483812</v>
      </c>
      <c r="AE343" s="436">
        <v>23812800</v>
      </c>
      <c r="AF343" s="436">
        <v>360000</v>
      </c>
      <c r="AG343" s="483"/>
      <c r="AH343" s="33">
        <f>SUM(Table1[[#This Row],[Bobot Keg Umum]:[Bobot Perizinan]])</f>
        <v>0.99999999999999989</v>
      </c>
      <c r="AI343" s="33">
        <f>Table1[[#This Row],[RAB Kegiatan Umum]]/Table1[[#This Row],[Nilai RAB Jaringan
(Exclude Ppn)]]</f>
        <v>5.8924130027578493E-2</v>
      </c>
      <c r="AJ343" s="33">
        <f>Table1[[#This Row],[RAB Pemasangan]]/Table1[[#This Row],[Nilai RAB Jaringan
(Exclude Ppn)]]</f>
        <v>0.58924118383592317</v>
      </c>
      <c r="AK343" s="33">
        <f>Table1[[#This Row],[RAB Pengadaan]]/Table1[[#This Row],[Nilai RAB Jaringan
(Exclude Ppn)]]</f>
        <v>0.34659489235964419</v>
      </c>
      <c r="AL343" s="33">
        <f>Table1[[#This Row],[RAB Perizinan]]/Table1[[#This Row],[Nilai RAB Jaringan
(Exclude Ppn)]]</f>
        <v>5.2397937768541248E-3</v>
      </c>
      <c r="AM343" s="47"/>
      <c r="AN343" s="285">
        <v>39</v>
      </c>
      <c r="AO343" s="285">
        <f>SUM(Table1[[#This Row],[Pipa 63 mm]:[Pipa 1,800 mm]])</f>
        <v>39</v>
      </c>
      <c r="AP343" s="285">
        <v>39</v>
      </c>
      <c r="AQ343" s="285"/>
      <c r="AR343" s="285"/>
      <c r="AS343" s="285"/>
      <c r="AT343" s="285"/>
      <c r="AU343" s="285"/>
      <c r="AV343" s="285"/>
      <c r="AW343" s="285"/>
      <c r="AX343" s="285"/>
      <c r="AY343" s="285"/>
      <c r="AZ343" s="285"/>
      <c r="BA343" s="285"/>
      <c r="BB343" s="285"/>
      <c r="BC343" s="285"/>
      <c r="BD343" s="285"/>
      <c r="BE343" s="285"/>
      <c r="BF343" s="285"/>
      <c r="BG343" s="285"/>
      <c r="BH343" s="285"/>
      <c r="BI343" s="285"/>
      <c r="BJ343" s="262">
        <f>SUM(Table1[[#This Row],[Pipa 63 mm2]:[Pipa 1,800 mm21]])</f>
        <v>39</v>
      </c>
      <c r="BK343" s="32">
        <v>39</v>
      </c>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65">
        <f>IF((Table1[[#This Row],["Volume
BA MC-0"]]-Table1[[#This Row],[Total Panjang Pipa Aktual
(Sum-&gt;)3]]-Table1[[#This Row],[Total Volume
tidak dapat dipasang]])&gt;=0,Table1[[#This Row],["Volume
BA MC-0"]]-Table1[[#This Row],[Total Panjang Pipa Aktual
(Sum-&gt;)3]]-Table1[[#This Row],[Total Volume
tidak dapat dipasang]],0)</f>
        <v>0</v>
      </c>
      <c r="CK343" s="47"/>
      <c r="CL343" s="327">
        <v>0</v>
      </c>
      <c r="CM343" s="34">
        <v>0</v>
      </c>
      <c r="CN343" s="327">
        <v>0</v>
      </c>
      <c r="CO343" s="327">
        <v>0</v>
      </c>
      <c r="CP34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3" s="66">
        <f>IFERROR(Table1[[#This Row],[Progres Keg. Umum
(%)]]*Table1[[#This Row],[Nilai RAB Jaringan
(file pa aji)]],0)</f>
        <v>0</v>
      </c>
      <c r="CR343" s="66">
        <f>IFERROR(Table1[[#This Row],[Progres MOS
(%)]]*Table1[[#This Row],[Nilai RAB Jaringan
(file pa aji)]],0)</f>
        <v>0</v>
      </c>
      <c r="CS343" s="66">
        <f>IFERROR(Table1[[#This Row],[Progres Pemasangan
(%)]]*Table1[[#This Row],[Nilai RAB Jaringan
(file pa aji)]],0)</f>
        <v>0</v>
      </c>
      <c r="CT343" s="66">
        <f>IFERROR(Table1[[#This Row],[Progres Perizinan
(%)]]*Table1[[#This Row],[Nilai RAB Jaringan
(file pa aji)]],0)</f>
        <v>0</v>
      </c>
      <c r="CU343" s="329">
        <v>96737368</v>
      </c>
      <c r="CV343" s="329">
        <v>96737368</v>
      </c>
      <c r="CW343" s="583">
        <v>96737368</v>
      </c>
      <c r="CX343" s="329">
        <v>96737368</v>
      </c>
      <c r="CY343" s="47"/>
      <c r="CZ343" s="330">
        <v>45901</v>
      </c>
      <c r="DA343" s="330">
        <v>45928</v>
      </c>
      <c r="DB343" s="331">
        <v>45902</v>
      </c>
      <c r="DC343" s="316" t="s">
        <v>2725</v>
      </c>
      <c r="DD343" s="67">
        <v>76222943</v>
      </c>
      <c r="DE34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3" s="331">
        <v>45915</v>
      </c>
      <c r="DG343" s="316" t="s">
        <v>2726</v>
      </c>
      <c r="DH343" s="67">
        <v>76222943</v>
      </c>
      <c r="DI34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3" s="330">
        <v>45929</v>
      </c>
      <c r="DK343" s="330">
        <v>45991</v>
      </c>
      <c r="DL343" s="331">
        <v>45918</v>
      </c>
      <c r="DM343" s="316" t="s">
        <v>2727</v>
      </c>
      <c r="DN34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3" s="331">
        <v>45926</v>
      </c>
      <c r="DP343" s="316" t="s">
        <v>2728</v>
      </c>
      <c r="DQ343" s="338" t="s">
        <v>365</v>
      </c>
      <c r="DR34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3" s="330">
        <v>45929</v>
      </c>
      <c r="DT343" s="330" t="e">
        <v>#N/A</v>
      </c>
      <c r="DU343" s="330">
        <v>45970</v>
      </c>
      <c r="DV343" s="330" t="e">
        <v>#N/A</v>
      </c>
      <c r="DW343" s="331">
        <v>45918</v>
      </c>
      <c r="DX343" s="316" t="s">
        <v>2729</v>
      </c>
      <c r="DY343" s="332">
        <v>20</v>
      </c>
      <c r="DZ343" s="334">
        <v>20</v>
      </c>
      <c r="EA34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3" s="331">
        <v>46008</v>
      </c>
      <c r="EC343" s="332">
        <v>18</v>
      </c>
      <c r="ED343" s="332">
        <v>18</v>
      </c>
      <c r="EE343" s="425" t="s">
        <v>2730</v>
      </c>
      <c r="EF343" s="35">
        <v>1</v>
      </c>
      <c r="EG343" s="337">
        <v>1</v>
      </c>
      <c r="EH343" s="316" t="str">
        <f>IF(Table1[[#This Row],[PO Material Aktual 
(%)]]&gt;=100%,"Selesai PO = 100%",IF(Table1[[#This Row],[PO Material Aktual 
(%)]]&gt;=50%,"Proses PO &gt; 100%",IF(Table1[[#This Row],[PO Material Aktual 
(%)]]&gt;0%,"Proses PO &gt; 50%",IF(Table1[[#This Row],[PO Material Aktual 
(%)]]=0,"Belum PO = 0%"))))</f>
        <v>Selesai PO = 100%</v>
      </c>
      <c r="EI343"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3" s="330">
        <v>45971</v>
      </c>
      <c r="EK343" s="330" t="e">
        <v>#N/A</v>
      </c>
      <c r="EL343" s="330">
        <v>46026</v>
      </c>
      <c r="EM343" s="330" t="e">
        <v>#N/A</v>
      </c>
      <c r="EN343" s="331">
        <v>46064</v>
      </c>
      <c r="EO343" s="332">
        <f>Table1[[#This Row],[Line PO]]</f>
        <v>18</v>
      </c>
      <c r="EP343" s="316">
        <v>18</v>
      </c>
      <c r="EQ343" s="35">
        <v>0.9</v>
      </c>
      <c r="ER343" s="35">
        <f>Table1[[#This Row],[Line MOS]]/Table1[[#This Row],[Line PR]]</f>
        <v>0.9</v>
      </c>
      <c r="ES343" s="316" t="str">
        <f>IF(Table1[[#This Row],[Progres MOS]]&gt;=100%,"Selesai MOS = 100%",IF(Table1[[#This Row],[Progres MOS]]&gt;=50%,"Proses MOS &gt; 100%",IF(Table1[[#This Row],[Progres MOS]]&gt;0%,"Proses MOS &gt; 50%",IF(Table1[[#This Row],[Progres MOS]]=0,"Belum MOS = 0%"))))</f>
        <v>Proses MOS &gt; 100%</v>
      </c>
      <c r="ET34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3" s="47"/>
      <c r="EV343" s="330">
        <v>45929</v>
      </c>
      <c r="EW343" s="330" t="e">
        <v>#N/A</v>
      </c>
      <c r="EX343" s="330">
        <v>46019</v>
      </c>
      <c r="EY343" s="330" t="e">
        <v>#N/A</v>
      </c>
      <c r="EZ343" s="352" t="s">
        <v>259</v>
      </c>
      <c r="FA343" s="336" t="s">
        <v>259</v>
      </c>
      <c r="FB343" s="330" t="s">
        <v>260</v>
      </c>
      <c r="FC343" s="330">
        <v>45982</v>
      </c>
      <c r="FD343" s="330" t="s">
        <v>260</v>
      </c>
      <c r="FE343" s="330">
        <v>45966</v>
      </c>
      <c r="FF343" s="330">
        <v>45993</v>
      </c>
      <c r="FG343" s="330" t="s">
        <v>260</v>
      </c>
      <c r="FH343" s="330" t="s">
        <v>260</v>
      </c>
      <c r="FI343" s="330">
        <v>46013</v>
      </c>
      <c r="FJ343" s="330" t="s">
        <v>260</v>
      </c>
      <c r="FK343" s="330">
        <v>46049</v>
      </c>
      <c r="FL343" s="336" t="s">
        <v>259</v>
      </c>
      <c r="FM343" s="352">
        <v>45982</v>
      </c>
      <c r="FN343" s="338">
        <f>IF(Table1[[#This Row],[Tanggal Pengajuan Dokumen]]="","",Table1[[#This Row],[PLAN PERMIT
start]]-Table1[[#This Row],[Tanggal Pengajuan Dokumen]])</f>
        <v>-53</v>
      </c>
      <c r="FO343" s="437">
        <v>46097</v>
      </c>
      <c r="FP343" s="316"/>
      <c r="FQ343" s="338"/>
      <c r="FR343" s="338"/>
      <c r="FS343" s="338" t="str">
        <f t="shared" si="17"/>
        <v>Sudah Terbit</v>
      </c>
      <c r="FT34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3" s="344">
        <f ca="1">IF(Table1[[#This Row],[Status Izin]]="Selesai",Table1[[#This Row],[PLAN PERMIT
finish]]-Table1[[#This Row],[Tanggal Terbit/ Target Izin Terbit]],ROUNDUP(Table1[[#This Row],[PLAN PERMIT
finish]]-NOW(),0))</f>
        <v>-78</v>
      </c>
      <c r="FV34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3" s="344"/>
      <c r="FX343" s="47"/>
      <c r="FY343" s="340"/>
      <c r="FZ343" s="341"/>
      <c r="GA34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3" s="330">
        <v>45993</v>
      </c>
      <c r="GC343" s="352">
        <v>45951</v>
      </c>
      <c r="GD34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3" s="330">
        <v>46000</v>
      </c>
      <c r="GF343" s="352">
        <v>45951</v>
      </c>
      <c r="GG34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3" s="330">
        <v>46006</v>
      </c>
      <c r="GI343" s="330">
        <v>46012</v>
      </c>
      <c r="GJ343" s="352">
        <v>45964</v>
      </c>
      <c r="GK34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3" s="330">
        <v>46020</v>
      </c>
      <c r="GM343" s="330" t="e">
        <v>#N/A</v>
      </c>
      <c r="GN343" s="330">
        <v>46040</v>
      </c>
      <c r="GO343" s="330" t="e">
        <v>#N/A</v>
      </c>
      <c r="GP343" s="330"/>
      <c r="GQ34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3" s="330" t="s">
        <v>261</v>
      </c>
      <c r="GS343" s="330" t="s">
        <v>261</v>
      </c>
      <c r="GT343" s="354">
        <v>46001</v>
      </c>
      <c r="GU343" s="344" t="str">
        <f>IF(Table1[[#This Row],[Hydro Tes Actual
(tanggal)]]&lt;&gt;"","Sudah","Belum")</f>
        <v>Sudah</v>
      </c>
      <c r="GV343" s="330" t="s">
        <v>261</v>
      </c>
      <c r="GW343" s="330" t="s">
        <v>261</v>
      </c>
      <c r="GX343" s="331">
        <v>46001</v>
      </c>
      <c r="GY343" s="344" t="str">
        <f>IF(Table1[[#This Row],[Interkoneksi Actual
(tanggal)]]&lt;&gt;"","Sudah","Belum")</f>
        <v>Sudah</v>
      </c>
      <c r="GZ343" s="330" t="s">
        <v>261</v>
      </c>
      <c r="HA343" s="330" t="s">
        <v>261</v>
      </c>
      <c r="HB343" s="331">
        <v>46002</v>
      </c>
      <c r="HC343" s="344" t="str">
        <f>IF(Table1[[#This Row],[Flushing Actual
(tanggal)]]&lt;&gt;"","Sudah","Belum")</f>
        <v>Sudah</v>
      </c>
      <c r="HD343" s="330">
        <v>46020</v>
      </c>
      <c r="HE343" s="330" t="e">
        <v>#N/A</v>
      </c>
      <c r="HF343" s="330">
        <v>46033</v>
      </c>
      <c r="HG343" s="352">
        <v>46010</v>
      </c>
      <c r="HH34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43" s="330" t="s">
        <v>261</v>
      </c>
      <c r="HJ343" s="330" t="s">
        <v>261</v>
      </c>
      <c r="HK343" s="331"/>
      <c r="HL343" s="316"/>
      <c r="HM343" s="330">
        <v>46038</v>
      </c>
      <c r="HN343" s="330">
        <v>46038</v>
      </c>
      <c r="HO343" s="330" t="e">
        <v>#N/A</v>
      </c>
      <c r="HP343" s="331">
        <v>46044</v>
      </c>
      <c r="HQ343"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343" s="330">
        <v>46045</v>
      </c>
      <c r="HS343" s="330"/>
      <c r="HT343" s="330">
        <v>46045</v>
      </c>
      <c r="HU343" s="330"/>
      <c r="HV343" s="331">
        <v>46059</v>
      </c>
      <c r="HW343"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343" s="47"/>
      <c r="HY343" s="352"/>
      <c r="HZ343" s="352"/>
      <c r="IB343" s="618">
        <f>IFERROR(ROUND((Table1[[#This Row],[PLAN TC
finish]]-Table1[[#This Row],[PLAN MC-0
start]])/30,2),"")</f>
        <v>0.9</v>
      </c>
      <c r="IC343">
        <f>DATEDIF(Table1[[#This Row],[PLAN MC-0
start]],Table1[[#This Row],[PLAN TC
finish]],"m")</f>
        <v>0</v>
      </c>
    </row>
    <row r="344" spans="2:261" s="4" customFormat="1" ht="15" hidden="1" customHeight="1" x14ac:dyDescent="0.2">
      <c r="B344" s="311">
        <f>SUBTOTAL(3,$D$5:D344)</f>
        <v>84</v>
      </c>
      <c r="C344" s="316">
        <v>340</v>
      </c>
      <c r="D344" s="315" t="s">
        <v>673</v>
      </c>
      <c r="E344" s="338" t="s">
        <v>2731</v>
      </c>
      <c r="F344" s="338" t="s">
        <v>2732</v>
      </c>
      <c r="G344" s="349">
        <v>46117</v>
      </c>
      <c r="H344" s="338" t="s">
        <v>681</v>
      </c>
      <c r="I344" s="461" t="s">
        <v>278</v>
      </c>
      <c r="J344" s="480" t="s">
        <v>1830</v>
      </c>
      <c r="K344" s="338" t="s">
        <v>676</v>
      </c>
      <c r="L344" s="334" t="s">
        <v>250</v>
      </c>
      <c r="M344" s="479" t="s">
        <v>269</v>
      </c>
      <c r="N344" s="107">
        <v>399</v>
      </c>
      <c r="O344" s="31" t="s">
        <v>252</v>
      </c>
      <c r="P344" s="43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4" s="35">
        <v>0.62946116024133514</v>
      </c>
      <c r="S344" s="34">
        <v>1</v>
      </c>
      <c r="T344" s="34">
        <f>Table1[[#This Row],[Progres Total Aktual
(%)]]</f>
        <v>1</v>
      </c>
      <c r="U344" s="98">
        <f>Table1[[#This Row],[Progres Aktual
(%)]]-Table1[[#This Row],[Target Progres
(%)]]</f>
        <v>0</v>
      </c>
      <c r="V344" s="80">
        <f>Table1[[#This Row],["Volume
BA MC-0"]]</f>
        <v>403</v>
      </c>
      <c r="W344" s="46">
        <f>Table1[[#This Row],[Total Panjang Pipa Aktual
(Sum-&gt;)3]]</f>
        <v>403</v>
      </c>
      <c r="X344" s="47"/>
      <c r="Y344" s="67" t="s">
        <v>2733</v>
      </c>
      <c r="Z344" s="67">
        <v>457998021</v>
      </c>
      <c r="AA344" s="67">
        <f>ROUND((Table1[[#This Row],[Nilai RAB Jaringan
(Exclude Ppn)]]-Table1[[#This Row],[RAB Perizinan]])*1.11+Table1[[#This Row],[RAB Perizinan]],0)</f>
        <v>454008021</v>
      </c>
      <c r="AB344" s="486">
        <f>SUM(Table1[[#This Row],[RAB Kegiatan Umum]:[RAB Perizinan]])</f>
        <v>409016235</v>
      </c>
      <c r="AC344" s="436">
        <v>30562379</v>
      </c>
      <c r="AD344" s="436">
        <v>305623784</v>
      </c>
      <c r="AE344" s="436">
        <v>72830072</v>
      </c>
      <c r="AF344" s="436"/>
      <c r="AG344" s="505"/>
      <c r="AH344" s="506">
        <f>SUM(Table1[[#This Row],[Bobot Keg Umum]:[Bobot Perizinan]])</f>
        <v>1</v>
      </c>
      <c r="AI344" s="506">
        <f>Table1[[#This Row],[RAB Kegiatan Umum]]/Table1[[#This Row],[Nilai RAB Jaringan
(Exclude Ppn)]]</f>
        <v>7.4721677001403142E-2</v>
      </c>
      <c r="AJ344" s="506">
        <f>Table1[[#This Row],[RAB Pemasangan]]/Table1[[#This Row],[Nilai RAB Jaringan
(Exclude Ppn)]]</f>
        <v>0.74721675534468701</v>
      </c>
      <c r="AK344" s="33">
        <f>Table1[[#This Row],[RAB Pengadaan]]/Table1[[#This Row],[Nilai RAB Jaringan
(Exclude Ppn)]]</f>
        <v>0.17806156765390987</v>
      </c>
      <c r="AL344" s="506">
        <f>Table1[[#This Row],[RAB Perizinan]]/Table1[[#This Row],[Nilai RAB Jaringan
(Exclude Ppn)]]</f>
        <v>0</v>
      </c>
      <c r="AM344" s="47"/>
      <c r="AN344" s="285">
        <v>403</v>
      </c>
      <c r="AO344" s="285">
        <f>SUM(Table1[[#This Row],[Pipa 63 mm]:[Pipa 1,800 mm]])</f>
        <v>403</v>
      </c>
      <c r="AP344" s="285">
        <v>403</v>
      </c>
      <c r="AQ344" s="285"/>
      <c r="AR344" s="285"/>
      <c r="AS344" s="285"/>
      <c r="AT344" s="285"/>
      <c r="AU344" s="285"/>
      <c r="AV344" s="285"/>
      <c r="AW344" s="285"/>
      <c r="AX344" s="285"/>
      <c r="AY344" s="285"/>
      <c r="AZ344" s="285"/>
      <c r="BA344" s="285"/>
      <c r="BB344" s="285"/>
      <c r="BC344" s="285"/>
      <c r="BD344" s="285"/>
      <c r="BE344" s="285"/>
      <c r="BF344" s="285"/>
      <c r="BG344" s="285"/>
      <c r="BH344" s="285"/>
      <c r="BI344" s="285"/>
      <c r="BJ344" s="262">
        <f>SUM(Table1[[#This Row],[Pipa 63 mm2]:[Pipa 1,800 mm21]])</f>
        <v>403</v>
      </c>
      <c r="BK344" s="32">
        <v>403</v>
      </c>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65">
        <f>IF((Table1[[#This Row],["Volume
BA MC-0"]]-Table1[[#This Row],[Total Panjang Pipa Aktual
(Sum-&gt;)3]]-Table1[[#This Row],[Total Volume
tidak dapat dipasang]])&gt;=0,Table1[[#This Row],["Volume
BA MC-0"]]-Table1[[#This Row],[Total Panjang Pipa Aktual
(Sum-&gt;)3]]-Table1[[#This Row],[Total Volume
tidak dapat dipasang]],0)</f>
        <v>0</v>
      </c>
      <c r="CK344" s="47"/>
      <c r="CL344" s="484" t="s">
        <v>1821</v>
      </c>
      <c r="CM344" s="34" t="s">
        <v>1821</v>
      </c>
      <c r="CN344" s="484" t="s">
        <v>1821</v>
      </c>
      <c r="CO344" s="484" t="s">
        <v>1821</v>
      </c>
      <c r="CP34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4" s="66">
        <f>IFERROR(Table1[[#This Row],[Progres Keg. Umum
(%)]]*Table1[[#This Row],[Nilai RAB Jaringan
(file pa aji)]],0)</f>
        <v>0</v>
      </c>
      <c r="CR344" s="66">
        <f>IFERROR(Table1[[#This Row],[Progres MOS
(%)]]*Table1[[#This Row],[Nilai RAB Jaringan
(file pa aji)]],0)</f>
        <v>0</v>
      </c>
      <c r="CS344" s="66">
        <f>IFERROR(Table1[[#This Row],[Progres Pemasangan
(%)]]*Table1[[#This Row],[Nilai RAB Jaringan
(file pa aji)]],0)</f>
        <v>0</v>
      </c>
      <c r="CT344" s="66">
        <f>IFERROR(Table1[[#This Row],[Progres Perizinan
(%)]]*Table1[[#This Row],[Nilai RAB Jaringan
(file pa aji)]],0)</f>
        <v>0</v>
      </c>
      <c r="CU344" s="329">
        <v>461103509</v>
      </c>
      <c r="CV344" s="329">
        <v>461103509</v>
      </c>
      <c r="CW344" s="583">
        <v>461103509</v>
      </c>
      <c r="CX344" s="329">
        <v>461103509</v>
      </c>
      <c r="CY344" s="47"/>
      <c r="CZ344" s="330">
        <v>45929</v>
      </c>
      <c r="DA344" s="330">
        <v>45956</v>
      </c>
      <c r="DB344" s="331">
        <v>45916</v>
      </c>
      <c r="DC344" s="316" t="s">
        <v>2734</v>
      </c>
      <c r="DD344" s="67">
        <v>457998020.85000002</v>
      </c>
      <c r="DE34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4" s="331">
        <v>45944</v>
      </c>
      <c r="DG344" s="316" t="s">
        <v>2735</v>
      </c>
      <c r="DH344" s="67">
        <v>457998020.85000002</v>
      </c>
      <c r="DI34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4" s="330">
        <v>45957</v>
      </c>
      <c r="DK344" s="330">
        <v>46019</v>
      </c>
      <c r="DL344" s="331">
        <v>45917</v>
      </c>
      <c r="DM344" s="316" t="s">
        <v>2736</v>
      </c>
      <c r="DN34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4" s="331">
        <v>45940</v>
      </c>
      <c r="DP344" s="316" t="s">
        <v>2737</v>
      </c>
      <c r="DQ344" s="338" t="s">
        <v>297</v>
      </c>
      <c r="DR34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4" s="330">
        <v>45957</v>
      </c>
      <c r="DT344" s="330" t="e">
        <v>#N/A</v>
      </c>
      <c r="DU344" s="330">
        <v>45998</v>
      </c>
      <c r="DV344" s="330" t="e">
        <v>#N/A</v>
      </c>
      <c r="DW344" s="331">
        <v>45918</v>
      </c>
      <c r="DX344" s="316" t="s">
        <v>2738</v>
      </c>
      <c r="DY344" s="332">
        <v>21</v>
      </c>
      <c r="DZ344" s="334">
        <v>21</v>
      </c>
      <c r="EA34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4" s="331">
        <v>46008</v>
      </c>
      <c r="EC344" s="332">
        <v>20</v>
      </c>
      <c r="ED344" s="332">
        <v>20</v>
      </c>
      <c r="EE344" s="425" t="s">
        <v>2739</v>
      </c>
      <c r="EF344" s="35">
        <v>1</v>
      </c>
      <c r="EG344" s="337">
        <v>1</v>
      </c>
      <c r="EH344" s="316" t="str">
        <f>IF(Table1[[#This Row],[PO Material Aktual 
(%)]]&gt;=100%,"Selesai PO = 100%",IF(Table1[[#This Row],[PO Material Aktual 
(%)]]&gt;=50%,"Proses PO &gt; 100%",IF(Table1[[#This Row],[PO Material Aktual 
(%)]]&gt;0%,"Proses PO &gt; 50%",IF(Table1[[#This Row],[PO Material Aktual 
(%)]]=0,"Belum PO = 0%"))))</f>
        <v>Selesai PO = 100%</v>
      </c>
      <c r="EI344" s="33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4" s="330">
        <v>45999</v>
      </c>
      <c r="EK344" s="330" t="e">
        <v>#N/A</v>
      </c>
      <c r="EL344" s="330">
        <v>46068</v>
      </c>
      <c r="EM344" s="330" t="e">
        <v>#N/A</v>
      </c>
      <c r="EN344" s="331">
        <v>46081</v>
      </c>
      <c r="EO344" s="332">
        <f>Table1[[#This Row],[Line PO]]</f>
        <v>20</v>
      </c>
      <c r="EP344" s="316">
        <v>20</v>
      </c>
      <c r="EQ344" s="35">
        <v>0.95238095238095233</v>
      </c>
      <c r="ER344" s="35">
        <f>Table1[[#This Row],[Line MOS]]/Table1[[#This Row],[Line PR]]</f>
        <v>0.95238095238095233</v>
      </c>
      <c r="ES344" s="316" t="str">
        <f>IF(Table1[[#This Row],[Progres MOS]]&gt;=100%,"Selesai MOS = 100%",IF(Table1[[#This Row],[Progres MOS]]&gt;=50%,"Proses MOS &gt; 100%",IF(Table1[[#This Row],[Progres MOS]]&gt;0%,"Proses MOS &gt; 50%",IF(Table1[[#This Row],[Progres MOS]]=0,"Belum MOS = 0%"))))</f>
        <v>Proses MOS &gt; 100%</v>
      </c>
      <c r="ET34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4" s="47"/>
      <c r="EV344" s="330">
        <v>45957</v>
      </c>
      <c r="EW344" s="330" t="e">
        <v>#N/A</v>
      </c>
      <c r="EX344" s="330">
        <v>46047</v>
      </c>
      <c r="EY344" s="330" t="e">
        <v>#N/A</v>
      </c>
      <c r="EZ344" s="352" t="s">
        <v>298</v>
      </c>
      <c r="FA344" s="336" t="s">
        <v>259</v>
      </c>
      <c r="FB344" s="330" t="s">
        <v>260</v>
      </c>
      <c r="FC344" s="330">
        <v>45945</v>
      </c>
      <c r="FD344" s="330" t="s">
        <v>260</v>
      </c>
      <c r="FE344" s="330">
        <v>45966</v>
      </c>
      <c r="FF344" s="330">
        <v>45993</v>
      </c>
      <c r="FG344" s="330" t="s">
        <v>260</v>
      </c>
      <c r="FH344" s="330" t="s">
        <v>260</v>
      </c>
      <c r="FI344" s="330">
        <v>46013</v>
      </c>
      <c r="FJ344" s="330" t="s">
        <v>260</v>
      </c>
      <c r="FK344" s="330">
        <v>46142</v>
      </c>
      <c r="FL344" s="336" t="s">
        <v>298</v>
      </c>
      <c r="FM344" s="352">
        <v>45945</v>
      </c>
      <c r="FN344" s="338">
        <f>IF(Table1[[#This Row],[Tanggal Pengajuan Dokumen]]="","",Table1[[#This Row],[PLAN PERMIT
start]]-Table1[[#This Row],[Tanggal Pengajuan Dokumen]])</f>
        <v>12</v>
      </c>
      <c r="FO344" s="437">
        <v>46097</v>
      </c>
      <c r="FP344" s="316"/>
      <c r="FQ344" s="338"/>
      <c r="FR344" s="338"/>
      <c r="FS344" s="338" t="str">
        <f t="shared" si="17"/>
        <v>Sudah Terbit</v>
      </c>
      <c r="FT34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4" s="344">
        <f ca="1">IF(Table1[[#This Row],[Status Izin]]="Selesai",Table1[[#This Row],[PLAN PERMIT
finish]]-Table1[[#This Row],[Tanggal Terbit/ Target Izin Terbit]],ROUNDUP(Table1[[#This Row],[PLAN PERMIT
finish]]-NOW(),0))</f>
        <v>-50</v>
      </c>
      <c r="FV34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4" s="344"/>
      <c r="FX344" s="47"/>
      <c r="FY344" s="340"/>
      <c r="FZ344" s="341"/>
      <c r="GA34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4" s="330">
        <v>46021</v>
      </c>
      <c r="GC344" s="352">
        <v>45950</v>
      </c>
      <c r="GD34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4" s="330">
        <v>46028</v>
      </c>
      <c r="GF344" s="352">
        <v>45950</v>
      </c>
      <c r="GG34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4" s="330">
        <v>46034</v>
      </c>
      <c r="GI344" s="330">
        <v>46040</v>
      </c>
      <c r="GJ344" s="352">
        <v>45952</v>
      </c>
      <c r="GK34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4" s="330">
        <v>46048</v>
      </c>
      <c r="GM344" s="330" t="e">
        <v>#N/A</v>
      </c>
      <c r="GN344" s="330">
        <v>46096</v>
      </c>
      <c r="GO344" s="330" t="e">
        <v>#N/A</v>
      </c>
      <c r="GP344" s="330"/>
      <c r="GQ34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4" s="330" t="s">
        <v>261</v>
      </c>
      <c r="GS344" s="330" t="s">
        <v>261</v>
      </c>
      <c r="GT344" s="354">
        <v>45994</v>
      </c>
      <c r="GU344" s="344" t="str">
        <f>IF(Table1[[#This Row],[Hydro Tes Actual
(tanggal)]]&lt;&gt;"","Sudah","Belum")</f>
        <v>Sudah</v>
      </c>
      <c r="GV344" s="330" t="s">
        <v>261</v>
      </c>
      <c r="GW344" s="330" t="s">
        <v>261</v>
      </c>
      <c r="GX344" s="331">
        <v>45994</v>
      </c>
      <c r="GY344" s="344" t="str">
        <f>IF(Table1[[#This Row],[Interkoneksi Actual
(tanggal)]]&lt;&gt;"","Sudah","Belum")</f>
        <v>Sudah</v>
      </c>
      <c r="GZ344" s="330" t="s">
        <v>261</v>
      </c>
      <c r="HA344" s="330" t="s">
        <v>261</v>
      </c>
      <c r="HB344" s="331">
        <v>45996</v>
      </c>
      <c r="HC344" s="344" t="str">
        <f>IF(Table1[[#This Row],[Flushing Actual
(tanggal)]]&lt;&gt;"","Sudah","Belum")</f>
        <v>Sudah</v>
      </c>
      <c r="HD344" s="330">
        <v>46076</v>
      </c>
      <c r="HE344" s="330" t="e">
        <v>#N/A</v>
      </c>
      <c r="HF344" s="330">
        <v>46089</v>
      </c>
      <c r="HG344" s="352">
        <v>46001</v>
      </c>
      <c r="HH34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44" s="330" t="s">
        <v>261</v>
      </c>
      <c r="HJ344" s="330" t="s">
        <v>261</v>
      </c>
      <c r="HK344" s="331"/>
      <c r="HL344" s="316"/>
      <c r="HM344" s="330">
        <v>46101</v>
      </c>
      <c r="HN344" s="330">
        <v>46101</v>
      </c>
      <c r="HO344" s="330" t="e">
        <v>#N/A</v>
      </c>
      <c r="HP344" s="331">
        <v>46044</v>
      </c>
      <c r="HQ344" s="316"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344" s="330">
        <v>46108</v>
      </c>
      <c r="HS344" s="330"/>
      <c r="HT344" s="330">
        <v>46108</v>
      </c>
      <c r="HU344" s="330"/>
      <c r="HV344" s="331">
        <v>46057</v>
      </c>
      <c r="HW344" s="33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344" s="47"/>
      <c r="HY344" s="352"/>
      <c r="HZ344" s="352"/>
      <c r="IB344" s="618">
        <f>IFERROR(ROUND((Table1[[#This Row],[PLAN TC
finish]]-Table1[[#This Row],[PLAN MC-0
start]])/30,2),"")</f>
        <v>1.83</v>
      </c>
      <c r="IC344">
        <f>DATEDIF(Table1[[#This Row],[PLAN MC-0
start]],Table1[[#This Row],[PLAN TC
finish]],"m")</f>
        <v>1</v>
      </c>
    </row>
    <row r="345" spans="2:261" ht="15" hidden="1" customHeight="1" x14ac:dyDescent="0.2">
      <c r="B345" s="311">
        <f>SUBTOTAL(3,$D$5:D345)</f>
        <v>84</v>
      </c>
      <c r="C345" s="316">
        <v>341</v>
      </c>
      <c r="D345" s="315" t="s">
        <v>244</v>
      </c>
      <c r="E345" s="315" t="s">
        <v>2740</v>
      </c>
      <c r="F345" s="338" t="s">
        <v>2741</v>
      </c>
      <c r="G345" s="349">
        <v>46300</v>
      </c>
      <c r="H345" s="338" t="s">
        <v>247</v>
      </c>
      <c r="I345" s="338" t="s">
        <v>248</v>
      </c>
      <c r="J345" s="480"/>
      <c r="K345" s="338"/>
      <c r="L345" s="316"/>
      <c r="M345" s="355" t="s">
        <v>251</v>
      </c>
      <c r="N345" s="507">
        <v>3250</v>
      </c>
      <c r="O345" s="31" t="s">
        <v>252</v>
      </c>
      <c r="P34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45" s="35">
        <v>0.34090135713107678</v>
      </c>
      <c r="S345" s="327">
        <v>0.34090135713107678</v>
      </c>
      <c r="T345" s="152">
        <f>Table1[[#This Row],[Progres Total Aktual
(%)]]</f>
        <v>6.1813827374598902E-2</v>
      </c>
      <c r="U345" s="121">
        <f>Table1[[#This Row],[Progres Aktual
(%)]]-Table1[[#This Row],[Target Progres
(%)]]</f>
        <v>-0.27908752975647788</v>
      </c>
      <c r="V345" s="80">
        <f>Table1[[#This Row],["Volume
BA MC-0"]]</f>
        <v>0</v>
      </c>
      <c r="W345" s="80">
        <f>Table1[[#This Row],[Total Panjang Pipa Aktual
(Sum-&gt;)3]]</f>
        <v>0</v>
      </c>
      <c r="X345" s="117"/>
      <c r="Y345" s="508" t="s">
        <v>2742</v>
      </c>
      <c r="Z345" s="67">
        <v>116190335817</v>
      </c>
      <c r="AA345" s="509">
        <f>ROUND((Table1[[#This Row],[Nilai RAB Jaringan
(Exclude Ppn)]]-Table1[[#This Row],[RAB Perizinan]])*1.11+Table1[[#This Row],[RAB Perizinan]],0)</f>
        <v>116190335816</v>
      </c>
      <c r="AB345" s="436">
        <f>SUM(Table1[[#This Row],[RAB Kegiatan Umum]:[RAB Perizinan]])</f>
        <v>104692280014</v>
      </c>
      <c r="AC345" s="436">
        <v>3923161508</v>
      </c>
      <c r="AD345" s="436">
        <v>65386025129</v>
      </c>
      <c r="AE345" s="436">
        <v>35218593377</v>
      </c>
      <c r="AF345" s="436">
        <f>162500000+2000000</f>
        <v>164500000</v>
      </c>
      <c r="AG345" s="436"/>
      <c r="AH345" s="510">
        <f>SUM(Table1[[#This Row],[Bobot Keg Umum]:[Bobot Perizinan]])</f>
        <v>0.99999999999999989</v>
      </c>
      <c r="AI345" s="510">
        <f>Table1[[#This Row],[RAB Kegiatan Umum]]/Table1[[#This Row],[Nilai RAB Jaringan
(Exclude Ppn)]]</f>
        <v>3.7473264575720144E-2</v>
      </c>
      <c r="AJ345" s="510">
        <f>Table1[[#This Row],[RAB Pemasangan]]/Table1[[#This Row],[Nilai RAB Jaringan
(Exclude Ppn)]]</f>
        <v>0.62455440955394459</v>
      </c>
      <c r="AK345" s="129">
        <f>Table1[[#This Row],[RAB Pengadaan]]/Table1[[#This Row],[Nilai RAB Jaringan
(Exclude Ppn)]]</f>
        <v>0.33640105433075279</v>
      </c>
      <c r="AL345" s="130">
        <f>Table1[[#This Row],[RAB Perizinan]]/Table1[[#This Row],[Nilai RAB Jaringan
(Exclude Ppn)]]</f>
        <v>1.5712715395825002E-3</v>
      </c>
      <c r="AM345" s="47"/>
      <c r="AN345" s="285"/>
      <c r="AO345" s="285">
        <f>SUM(Table1[[#This Row],[Pipa 63 mm]:[Pipa 1,800 mm]])</f>
        <v>3105.7</v>
      </c>
      <c r="AP345" s="285"/>
      <c r="AQ345" s="285"/>
      <c r="AR345" s="285"/>
      <c r="AS345" s="285"/>
      <c r="AT345" s="285"/>
      <c r="AU345" s="285"/>
      <c r="AV345" s="285"/>
      <c r="AW345" s="285"/>
      <c r="AX345" s="285"/>
      <c r="AY345" s="285"/>
      <c r="AZ345" s="285"/>
      <c r="BA345" s="285"/>
      <c r="BB345" s="285">
        <v>3105.7</v>
      </c>
      <c r="BC345" s="285"/>
      <c r="BD345" s="285"/>
      <c r="BE345" s="285"/>
      <c r="BF345" s="285"/>
      <c r="BG345" s="285"/>
      <c r="BH345" s="285"/>
      <c r="BI345" s="285"/>
      <c r="BJ345" s="36">
        <f>SUM(Table1[[#This Row],[Pipa 63 mm2]:[Pipa 1,800 mm21]])</f>
        <v>0</v>
      </c>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f>IF((Table1[[#This Row],["Volume
BA MC-0"]]-Table1[[#This Row],[Total Panjang Pipa Aktual
(Sum-&gt;)3]]-Table1[[#This Row],[Total Volume
tidak dapat dipasang]])&gt;=0,Table1[[#This Row],["Volume
BA MC-0"]]-Table1[[#This Row],[Total Panjang Pipa Aktual
(Sum-&gt;)3]]-Table1[[#This Row],[Total Volume
tidak dapat dipasang]],0)</f>
        <v>0</v>
      </c>
      <c r="CK345" s="47"/>
      <c r="CL345" s="131"/>
      <c r="CM345" s="337"/>
      <c r="CN345" s="131"/>
      <c r="CO345" s="131"/>
      <c r="CP34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6.1813827374598902E-2</v>
      </c>
      <c r="CQ345" s="436">
        <f>IFERROR(Table1[[#This Row],[Progres Keg. Umum
(%)]]*Table1[[#This Row],[Nilai RAB Jaringan
(file pa aji)]],0)</f>
        <v>0</v>
      </c>
      <c r="CR345" s="436">
        <f>IFERROR(Table1[[#This Row],[Progres MOS
(%)]]*Table1[[#This Row],[Nilai RAB Jaringan
(file pa aji)]],0)</f>
        <v>0</v>
      </c>
      <c r="CS345" s="436">
        <f>IFERROR(Table1[[#This Row],[Progres Pemasangan
(%)]]*Table1[[#This Row],[Nilai RAB Jaringan
(file pa aji)]],0)</f>
        <v>0</v>
      </c>
      <c r="CT345" s="436">
        <f>IFERROR(Table1[[#This Row],[Progres Perizinan
(%)]]*Table1[[#This Row],[Nilai RAB Jaringan
(file pa aji)]],0)</f>
        <v>0</v>
      </c>
      <c r="CU345" s="329">
        <v>7182169360.7269001</v>
      </c>
      <c r="CV345" s="329">
        <v>7182169360.7269001</v>
      </c>
      <c r="CW345" s="511">
        <v>0</v>
      </c>
      <c r="CX345" s="329">
        <v>0</v>
      </c>
      <c r="CY345" s="47"/>
      <c r="CZ345" s="331">
        <v>45929</v>
      </c>
      <c r="DA345" s="331">
        <v>45963</v>
      </c>
      <c r="DB345" s="331">
        <v>45240</v>
      </c>
      <c r="DC345" s="357" t="s">
        <v>2743</v>
      </c>
      <c r="DD345" s="508">
        <v>120152121179.66</v>
      </c>
      <c r="DE34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5" s="331">
        <v>45250</v>
      </c>
      <c r="DG345" s="357" t="s">
        <v>2744</v>
      </c>
      <c r="DH345" s="508">
        <v>120152121179.66</v>
      </c>
      <c r="DI34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5" s="331">
        <v>45964</v>
      </c>
      <c r="DK345" s="331">
        <v>46110</v>
      </c>
      <c r="DL345" s="331">
        <v>45306</v>
      </c>
      <c r="DM345" s="425" t="s">
        <v>2745</v>
      </c>
      <c r="DN34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5" s="331">
        <v>46050</v>
      </c>
      <c r="DP345" s="316" t="s">
        <v>2746</v>
      </c>
      <c r="DQ345" s="338" t="s">
        <v>258</v>
      </c>
      <c r="DR34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5" s="331">
        <v>45964</v>
      </c>
      <c r="DT345" s="331">
        <v>46158</v>
      </c>
      <c r="DU345" s="331">
        <v>46012</v>
      </c>
      <c r="DV345" s="331">
        <v>46172</v>
      </c>
      <c r="DW345" s="331">
        <v>45289</v>
      </c>
      <c r="DX345" t="s">
        <v>2747</v>
      </c>
      <c r="DY345" s="512">
        <v>78</v>
      </c>
      <c r="DZ345" s="512">
        <v>78</v>
      </c>
      <c r="EA34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5" s="331"/>
      <c r="EC345" s="334">
        <v>73</v>
      </c>
      <c r="ED345" s="334">
        <v>73</v>
      </c>
      <c r="EE345"/>
      <c r="EF345" s="337">
        <v>0.9358974358974359</v>
      </c>
      <c r="EG345" s="337">
        <f>Table1[[#This Row],[Line PO]]/Table1[[#This Row],[Line PR]]</f>
        <v>0.9358974358974359</v>
      </c>
      <c r="EH345" s="316" t="str">
        <f>IF(Table1[[#This Row],[PO Material Aktual 
(%)]]&gt;=100%,"Selesai PO = 100%",IF(Table1[[#This Row],[PO Material Aktual 
(%)]]&gt;=50%,"Proses PO &gt; 100%",IF(Table1[[#This Row],[PO Material Aktual 
(%)]]&gt;0%,"Proses PO &gt; 50%",IF(Table1[[#This Row],[PO Material Aktual 
(%)]]=0,"Belum PO = 0%"))))</f>
        <v>Proses PO &gt; 100%</v>
      </c>
      <c r="EI34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5" s="331">
        <v>46013</v>
      </c>
      <c r="EK345" s="331">
        <v>46172</v>
      </c>
      <c r="EL345" s="331">
        <v>46201</v>
      </c>
      <c r="EM345" s="331">
        <v>46187</v>
      </c>
      <c r="EN345" s="331"/>
      <c r="EO345" s="512">
        <v>56</v>
      </c>
      <c r="EP345" s="512">
        <v>56</v>
      </c>
      <c r="EQ345" s="337">
        <v>0.71794871794871795</v>
      </c>
      <c r="ER345" s="337">
        <f>Table1[[#This Row],[Line MOS]]/Table1[[#This Row],[Line PR]]</f>
        <v>0.71794871794871795</v>
      </c>
      <c r="ES345" s="316" t="str">
        <f>IF(Table1[[#This Row],[Progres MOS]]&gt;=100%,"Selesai MOS = 100%",IF(Table1[[#This Row],[Progres MOS]]&gt;=50%,"Proses MOS &gt; 100%",IF(Table1[[#This Row],[Progres MOS]]&gt;0%,"Proses MOS &gt; 50%",IF(Table1[[#This Row],[Progres MOS]]=0,"Belum MOS = 0%"))))</f>
        <v>Proses MOS &gt; 100%</v>
      </c>
      <c r="ET34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45" s="47"/>
      <c r="EV345" s="331">
        <v>45964</v>
      </c>
      <c r="EW345" s="331">
        <v>46153</v>
      </c>
      <c r="EX345" s="331">
        <v>46138</v>
      </c>
      <c r="EY345" s="331">
        <v>46183</v>
      </c>
      <c r="EZ345" s="352" t="s">
        <v>2748</v>
      </c>
      <c r="FA345" s="409" t="s">
        <v>2748</v>
      </c>
      <c r="FB345" s="330"/>
      <c r="FC345" s="330"/>
      <c r="FD345" s="330"/>
      <c r="FE345" s="330"/>
      <c r="FF345" s="330"/>
      <c r="FG345" s="330"/>
      <c r="FH345" s="330"/>
      <c r="FI345" s="330"/>
      <c r="FJ345" s="330"/>
      <c r="FK345" s="330"/>
      <c r="FL345" s="336" t="str">
        <f>Table1[[#This Row],[IPPJU]]</f>
        <v>7.Proses Rekomtek</v>
      </c>
      <c r="FM345" s="352"/>
      <c r="FN345" s="338" t="str">
        <f>IF(Table1[[#This Row],[Tanggal Pengajuan Dokumen]]="","",Table1[[#This Row],[PLAN PERMIT
start]]-Table1[[#This Row],[Tanggal Pengajuan Dokumen]])</f>
        <v/>
      </c>
      <c r="FO345" s="352">
        <v>45434</v>
      </c>
      <c r="FP345" s="316"/>
      <c r="FQ345" s="338" t="s">
        <v>172</v>
      </c>
      <c r="FR345" s="331" t="s">
        <v>2086</v>
      </c>
      <c r="FS345" s="338"/>
      <c r="FT34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5" s="344">
        <f ca="1">IF(Table1[[#This Row],[Status Izin]]="Selesai",Table1[[#This Row],[PLAN PERMIT
finish]]-Table1[[#This Row],[Tanggal Terbit/ Target Izin Terbit]],ROUNDUP(Table1[[#This Row],[PLAN PERMIT
finish]]-NOW(),0))</f>
        <v>-53</v>
      </c>
      <c r="FV34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345" s="344"/>
      <c r="FX345" s="47"/>
      <c r="FY345" s="513">
        <v>46097</v>
      </c>
      <c r="FZ345" s="513">
        <v>46049</v>
      </c>
      <c r="GA34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45" s="331">
        <v>46111</v>
      </c>
      <c r="GC345" s="352">
        <v>46050</v>
      </c>
      <c r="GD34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5" s="331">
        <v>46118</v>
      </c>
      <c r="GF345" s="352">
        <v>46050</v>
      </c>
      <c r="GG34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5" s="331">
        <v>46125</v>
      </c>
      <c r="GI345" s="331">
        <v>46131</v>
      </c>
      <c r="GJ345" s="352">
        <v>46059</v>
      </c>
      <c r="GK34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5" s="331">
        <v>46139</v>
      </c>
      <c r="GM345" s="331">
        <v>46190</v>
      </c>
      <c r="GN345" s="331">
        <v>46222</v>
      </c>
      <c r="GO345" s="330">
        <v>46275</v>
      </c>
      <c r="GP345" s="316"/>
      <c r="GQ34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5" s="331"/>
      <c r="GS345" s="331"/>
      <c r="GT345" s="354"/>
      <c r="GU345" s="344" t="str">
        <f>IF(Table1[[#This Row],[Hydro Tes Actual
(tanggal)]]&lt;&gt;"","Sudah","Belum")</f>
        <v>Belum</v>
      </c>
      <c r="GV345" s="330"/>
      <c r="GW345" s="330"/>
      <c r="GX345" s="331"/>
      <c r="GY345" s="344" t="str">
        <f>IF(Table1[[#This Row],[Interkoneksi Actual
(tanggal)]]&lt;&gt;"","Sudah","Belum")</f>
        <v>Belum</v>
      </c>
      <c r="GZ345" s="330"/>
      <c r="HA345" s="330"/>
      <c r="HB345" s="331"/>
      <c r="HC345" s="344" t="str">
        <f>IF(Table1[[#This Row],[Flushing Actual
(tanggal)]]&lt;&gt;"","Sudah","Belum")</f>
        <v>Belum</v>
      </c>
      <c r="HD345" s="331">
        <v>46225</v>
      </c>
      <c r="HE345" s="331">
        <v>46276</v>
      </c>
      <c r="HF345" s="331">
        <v>46230</v>
      </c>
      <c r="HG345" s="352"/>
      <c r="HH34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5" s="330"/>
      <c r="HJ345" s="330"/>
      <c r="HK345" s="331"/>
      <c r="HL345" s="331"/>
      <c r="HM345" s="331">
        <v>46247</v>
      </c>
      <c r="HN345" s="331">
        <v>46247</v>
      </c>
      <c r="HO345" s="330">
        <v>46293</v>
      </c>
      <c r="HP345" s="331"/>
      <c r="HQ34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45" s="331">
        <v>46255</v>
      </c>
      <c r="HS345" s="331"/>
      <c r="HT345" s="331">
        <v>46255</v>
      </c>
      <c r="HU345" s="420"/>
      <c r="HV345" s="395"/>
      <c r="HW34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45" s="47"/>
      <c r="HY345" s="352"/>
      <c r="HZ345" s="352"/>
      <c r="IA345" s="72"/>
      <c r="IB345" s="618">
        <f>IFERROR(ROUND((Table1[[#This Row],[PLAN TC
finish]]-Table1[[#This Row],[PLAN MC-0
start]])/30,2),"")</f>
        <v>3.5</v>
      </c>
      <c r="IC345">
        <f>DATEDIF(Table1[[#This Row],[PLAN MC-0
start]],Table1[[#This Row],[PLAN TC
finish]],"m")</f>
        <v>3</v>
      </c>
      <c r="ID345" s="6"/>
      <c r="IE345" s="6"/>
      <c r="IF345" s="72"/>
      <c r="IH345" s="6"/>
      <c r="II345" s="4"/>
      <c r="IJ345" s="4"/>
      <c r="IK345" s="6"/>
      <c r="IL345" s="6"/>
      <c r="IM345" s="6"/>
      <c r="IN345" s="6"/>
      <c r="IO345" s="6"/>
      <c r="IQ345" s="6"/>
      <c r="IR345" s="6"/>
      <c r="IS345" s="6"/>
      <c r="IT345" s="6"/>
      <c r="IW345" s="6"/>
      <c r="IX345" s="6"/>
      <c r="IZ345" s="6"/>
      <c r="JA345" s="6"/>
    </row>
    <row r="346" spans="2:261" ht="15" hidden="1" customHeight="1" x14ac:dyDescent="0.2">
      <c r="B346" s="311">
        <f>SUBTOTAL(3,$D$5:D346)</f>
        <v>84</v>
      </c>
      <c r="C346" s="316">
        <v>342</v>
      </c>
      <c r="D346" s="315" t="s">
        <v>244</v>
      </c>
      <c r="E346" s="460" t="s">
        <v>2749</v>
      </c>
      <c r="F346" s="338" t="s">
        <v>2750</v>
      </c>
      <c r="G346" s="349">
        <v>46300</v>
      </c>
      <c r="H346" s="338" t="s">
        <v>247</v>
      </c>
      <c r="I346" s="338" t="s">
        <v>325</v>
      </c>
      <c r="J346" s="480"/>
      <c r="K346" s="338"/>
      <c r="L346" s="316"/>
      <c r="M346" s="355" t="s">
        <v>251</v>
      </c>
      <c r="N346" s="507">
        <v>2000</v>
      </c>
      <c r="O346" s="31" t="s">
        <v>2751</v>
      </c>
      <c r="P34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PCM</v>
      </c>
      <c r="R346" s="35">
        <v>0.14660377358429316</v>
      </c>
      <c r="S346" s="327">
        <v>0.14660377358429316</v>
      </c>
      <c r="T346" s="152">
        <f>Table1[[#This Row],[Progres Total Aktual
(%)]]</f>
        <v>0</v>
      </c>
      <c r="U346" s="121">
        <f>Table1[[#This Row],[Progres Aktual
(%)]]-Table1[[#This Row],[Target Progres
(%)]]</f>
        <v>-0.14660377358429316</v>
      </c>
      <c r="V346" s="80">
        <f>Table1[[#This Row],["Volume
BA MC-0"]]</f>
        <v>0</v>
      </c>
      <c r="W346" s="80">
        <f>Table1[[#This Row],[Total Panjang Pipa Aktual
(Sum-&gt;)3]]</f>
        <v>0</v>
      </c>
      <c r="X346" s="117"/>
      <c r="Y346" s="508" t="s">
        <v>2752</v>
      </c>
      <c r="Z346" s="67">
        <v>73854573626</v>
      </c>
      <c r="AA346" s="509">
        <f>ROUND((Table1[[#This Row],[Nilai RAB Jaringan
(Exclude Ppn)]]-Table1[[#This Row],[RAB Perizinan]])*1.11+Table1[[#This Row],[RAB Perizinan]],0)</f>
        <v>73854573626</v>
      </c>
      <c r="AB346" s="436">
        <f>SUM(Table1[[#This Row],[RAB Kegiatan Umum]:[RAB Perizinan]])</f>
        <v>66535651915</v>
      </c>
      <c r="AC346" s="436">
        <v>3766168977</v>
      </c>
      <c r="AD346" s="436">
        <v>62769482938</v>
      </c>
      <c r="AE346" s="436"/>
      <c r="AF346" s="436"/>
      <c r="AG346" s="436"/>
      <c r="AH346" s="510">
        <f>SUM(Table1[[#This Row],[Bobot Keg Umum]:[Bobot Perizinan]])</f>
        <v>1</v>
      </c>
      <c r="AI346" s="510">
        <f>Table1[[#This Row],[RAB Kegiatan Umum]]/Table1[[#This Row],[Nilai RAB Jaringan
(Exclude Ppn)]]</f>
        <v>5.6603773595114405E-2</v>
      </c>
      <c r="AJ346" s="510">
        <f>Table1[[#This Row],[RAB Pemasangan]]/Table1[[#This Row],[Nilai RAB Jaringan
(Exclude Ppn)]]</f>
        <v>0.94339622640488563</v>
      </c>
      <c r="AK346" s="129">
        <f>Table1[[#This Row],[RAB Pengadaan]]/Table1[[#This Row],[Nilai RAB Jaringan
(Exclude Ppn)]]</f>
        <v>0</v>
      </c>
      <c r="AL346" s="130">
        <f>Table1[[#This Row],[RAB Perizinan]]/Table1[[#This Row],[Nilai RAB Jaringan
(Exclude Ppn)]]</f>
        <v>0</v>
      </c>
      <c r="AM346" s="47"/>
      <c r="AN346" s="285"/>
      <c r="AO346" s="285">
        <f>SUM(Table1[[#This Row],[Pipa 63 mm]:[Pipa 1,800 mm]])</f>
        <v>0</v>
      </c>
      <c r="AP346" s="285"/>
      <c r="AQ346" s="285"/>
      <c r="AR346" s="285"/>
      <c r="AS346" s="285"/>
      <c r="AT346" s="285"/>
      <c r="AU346" s="285"/>
      <c r="AV346" s="285"/>
      <c r="AW346" s="285"/>
      <c r="AX346" s="285"/>
      <c r="AY346" s="285"/>
      <c r="AZ346" s="285"/>
      <c r="BA346" s="285"/>
      <c r="BB346" s="285"/>
      <c r="BC346" s="285"/>
      <c r="BD346" s="285"/>
      <c r="BE346" s="285"/>
      <c r="BF346" s="285"/>
      <c r="BG346" s="285"/>
      <c r="BH346" s="285"/>
      <c r="BI346" s="285"/>
      <c r="BJ346" s="36">
        <f>SUM(Table1[[#This Row],[Pipa 63 mm2]:[Pipa 1,800 mm21]])</f>
        <v>0</v>
      </c>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f>IF((Table1[[#This Row],["Volume
BA MC-0"]]-Table1[[#This Row],[Total Panjang Pipa Aktual
(Sum-&gt;)3]]-Table1[[#This Row],[Total Volume
tidak dapat dipasang]])&gt;=0,Table1[[#This Row],["Volume
BA MC-0"]]-Table1[[#This Row],[Total Panjang Pipa Aktual
(Sum-&gt;)3]]-Table1[[#This Row],[Total Volume
tidak dapat dipasang]],0)</f>
        <v>0</v>
      </c>
      <c r="CK346" s="47"/>
      <c r="CL346" s="131"/>
      <c r="CM346" s="337"/>
      <c r="CN346" s="131"/>
      <c r="CO346" s="131"/>
      <c r="CP34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46" s="436">
        <f>IFERROR(Table1[[#This Row],[Progres Keg. Umum
(%)]]*Table1[[#This Row],[Nilai RAB Jaringan
(file pa aji)]],0)</f>
        <v>0</v>
      </c>
      <c r="CR346" s="436">
        <f>IFERROR(Table1[[#This Row],[Progres MOS
(%)]]*Table1[[#This Row],[Nilai RAB Jaringan
(file pa aji)]],0)</f>
        <v>0</v>
      </c>
      <c r="CS346" s="436">
        <f>IFERROR(Table1[[#This Row],[Progres Pemasangan
(%)]]*Table1[[#This Row],[Nilai RAB Jaringan
(file pa aji)]],0)</f>
        <v>0</v>
      </c>
      <c r="CT346" s="436">
        <f>IFERROR(Table1[[#This Row],[Progres Perizinan
(%)]]*Table1[[#This Row],[Nilai RAB Jaringan
(file pa aji)]],0)</f>
        <v>0</v>
      </c>
      <c r="CU346" s="329">
        <v>0</v>
      </c>
      <c r="CV346" s="329">
        <v>0</v>
      </c>
      <c r="CW346" s="511">
        <v>0</v>
      </c>
      <c r="CX346" s="329">
        <v>0</v>
      </c>
      <c r="CY346" s="47"/>
      <c r="CZ346" s="331">
        <v>45929</v>
      </c>
      <c r="DA346" s="331">
        <v>45963</v>
      </c>
      <c r="DB346" s="331">
        <v>45964</v>
      </c>
      <c r="DC346" s="316" t="s">
        <v>2753</v>
      </c>
      <c r="DD346" s="508">
        <v>17840736171.900002</v>
      </c>
      <c r="DE34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6" s="331">
        <v>45999</v>
      </c>
      <c r="DG346" s="316" t="s">
        <v>2754</v>
      </c>
      <c r="DH346" s="508">
        <v>17840736171.900002</v>
      </c>
      <c r="DI34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6" s="331">
        <v>45964</v>
      </c>
      <c r="DK346" s="331">
        <v>46110</v>
      </c>
      <c r="DL346" s="331">
        <v>46057</v>
      </c>
      <c r="DM346" s="425" t="s">
        <v>2755</v>
      </c>
      <c r="DN34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6" s="331">
        <v>46155</v>
      </c>
      <c r="DP346" s="316" t="s">
        <v>2756</v>
      </c>
      <c r="DQ346" s="338" t="s">
        <v>1352</v>
      </c>
      <c r="DR34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6" s="331">
        <v>45964</v>
      </c>
      <c r="DT346" s="331">
        <v>46158</v>
      </c>
      <c r="DU346" s="331">
        <v>46012</v>
      </c>
      <c r="DV346" s="331">
        <v>46172</v>
      </c>
      <c r="DW346" s="331">
        <v>46056</v>
      </c>
      <c r="DX346" s="579" t="s">
        <v>2757</v>
      </c>
      <c r="DY346" s="512">
        <v>148</v>
      </c>
      <c r="DZ346" s="512">
        <v>148</v>
      </c>
      <c r="EA34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6" s="331"/>
      <c r="EC346" s="334">
        <v>39</v>
      </c>
      <c r="ED346" s="334">
        <v>39</v>
      </c>
      <c r="EE346"/>
      <c r="EF346" s="337">
        <v>0.26351351351351349</v>
      </c>
      <c r="EG346" s="337">
        <f>Table1[[#This Row],[Line PO]]/Table1[[#This Row],[Line PR]]</f>
        <v>0.26351351351351349</v>
      </c>
      <c r="EH346" s="316" t="str">
        <f>IF(Table1[[#This Row],[PO Material Aktual 
(%)]]&gt;=100%,"Selesai PO = 100%",IF(Table1[[#This Row],[PO Material Aktual 
(%)]]&gt;=50%,"Proses PO &gt; 100%",IF(Table1[[#This Row],[PO Material Aktual 
(%)]]&gt;0%,"Proses PO &gt; 50%",IF(Table1[[#This Row],[PO Material Aktual 
(%)]]=0,"Belum PO = 0%"))))</f>
        <v>Proses PO &gt; 50%</v>
      </c>
      <c r="EI34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6" s="331">
        <v>46013</v>
      </c>
      <c r="EK346" s="331">
        <v>46172</v>
      </c>
      <c r="EL346" s="331">
        <v>46201</v>
      </c>
      <c r="EM346" s="331">
        <v>46187</v>
      </c>
      <c r="EN346" s="331"/>
      <c r="EO346" s="512">
        <v>2</v>
      </c>
      <c r="EP346" s="512">
        <v>2</v>
      </c>
      <c r="EQ346" s="337">
        <v>1.3513513513513514E-2</v>
      </c>
      <c r="ER346" s="337">
        <f>Table1[[#This Row],[Line MOS]]/Table1[[#This Row],[Line PR]]</f>
        <v>1.3513513513513514E-2</v>
      </c>
      <c r="ES346" s="316" t="str">
        <f>IF(Table1[[#This Row],[Progres MOS]]&gt;=100%,"Selesai MOS = 100%",IF(Table1[[#This Row],[Progres MOS]]&gt;=50%,"Proses MOS &gt; 100%",IF(Table1[[#This Row],[Progres MOS]]&gt;0%,"Proses MOS &gt; 50%",IF(Table1[[#This Row],[Progres MOS]]=0,"Belum MOS = 0%"))))</f>
        <v>Proses MOS &gt; 50%</v>
      </c>
      <c r="ET34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46" s="47"/>
      <c r="EV346" s="331">
        <v>45964</v>
      </c>
      <c r="EW346" s="331">
        <v>46153</v>
      </c>
      <c r="EX346" s="331">
        <v>46138</v>
      </c>
      <c r="EY346" s="331">
        <v>46183</v>
      </c>
      <c r="EZ346" s="352" t="s">
        <v>2758</v>
      </c>
      <c r="FA346" s="409" t="s">
        <v>2758</v>
      </c>
      <c r="FB346" s="331"/>
      <c r="FC346" s="330"/>
      <c r="FD346" s="331"/>
      <c r="FE346" s="331"/>
      <c r="FF346" s="331"/>
      <c r="FG346" s="331"/>
      <c r="FH346" s="331"/>
      <c r="FI346" s="331"/>
      <c r="FJ346" s="331"/>
      <c r="FK346" s="331"/>
      <c r="FL346" s="352" t="s">
        <v>2759</v>
      </c>
      <c r="FM346" s="352"/>
      <c r="FN346" s="338" t="str">
        <f>IF(Table1[[#This Row],[Tanggal Pengajuan Dokumen]]="","",Table1[[#This Row],[PLAN PERMIT
start]]-Table1[[#This Row],[Tanggal Pengajuan Dokumen]])</f>
        <v/>
      </c>
      <c r="FO346" s="352"/>
      <c r="FP346" s="316"/>
      <c r="FQ346" s="338"/>
      <c r="FR346" s="331" t="s">
        <v>2760</v>
      </c>
      <c r="FS346" s="338"/>
      <c r="FT34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6" s="344">
        <f ca="1">IF(Table1[[#This Row],[Status Izin]]="Selesai",Table1[[#This Row],[PLAN PERMIT
finish]]-Table1[[#This Row],[Tanggal Terbit/ Target Izin Terbit]],ROUNDUP(Table1[[#This Row],[PLAN PERMIT
finish]]-NOW(),0))</f>
        <v>-53</v>
      </c>
      <c r="FV34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6" s="344"/>
      <c r="FX346" s="47"/>
      <c r="FY346" s="513">
        <v>46097</v>
      </c>
      <c r="FZ346" s="513">
        <v>46097</v>
      </c>
      <c r="GA34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46" s="331">
        <v>46111</v>
      </c>
      <c r="GC346" s="352">
        <v>46162</v>
      </c>
      <c r="GD34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46" s="331">
        <v>46118</v>
      </c>
      <c r="GF346" s="352"/>
      <c r="GG34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46" s="331">
        <v>46125</v>
      </c>
      <c r="GI346" s="331">
        <v>46131</v>
      </c>
      <c r="GJ346" s="352"/>
      <c r="GK34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6" s="331">
        <v>46139</v>
      </c>
      <c r="GM346" s="331">
        <v>46190</v>
      </c>
      <c r="GN346" s="331">
        <v>46222</v>
      </c>
      <c r="GO346" s="330">
        <v>46275</v>
      </c>
      <c r="GP346" s="316"/>
      <c r="GQ34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6" s="331"/>
      <c r="GS346" s="331"/>
      <c r="GT346" s="354"/>
      <c r="GU346" s="344" t="str">
        <f>IF(Table1[[#This Row],[Hydro Tes Actual
(tanggal)]]&lt;&gt;"","Sudah","Belum")</f>
        <v>Belum</v>
      </c>
      <c r="GV346" s="330"/>
      <c r="GW346" s="330"/>
      <c r="GX346" s="331"/>
      <c r="GY346" s="344" t="str">
        <f>IF(Table1[[#This Row],[Interkoneksi Actual
(tanggal)]]&lt;&gt;"","Sudah","Belum")</f>
        <v>Belum</v>
      </c>
      <c r="GZ346" s="330"/>
      <c r="HA346" s="330"/>
      <c r="HB346" s="331"/>
      <c r="HC346" s="344" t="str">
        <f>IF(Table1[[#This Row],[Flushing Actual
(tanggal)]]&lt;&gt;"","Sudah","Belum")</f>
        <v>Belum</v>
      </c>
      <c r="HD346" s="331">
        <v>46225</v>
      </c>
      <c r="HE346" s="331">
        <v>46276</v>
      </c>
      <c r="HF346" s="331">
        <v>46230</v>
      </c>
      <c r="HG346" s="352"/>
      <c r="HH34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6" s="330"/>
      <c r="HJ346" s="330"/>
      <c r="HK346" s="331"/>
      <c r="HL346" s="331"/>
      <c r="HM346" s="331">
        <v>46247</v>
      </c>
      <c r="HN346" s="331">
        <v>46247</v>
      </c>
      <c r="HO346" s="330">
        <v>46293</v>
      </c>
      <c r="HP346" s="331"/>
      <c r="HQ34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46" s="331">
        <v>46255</v>
      </c>
      <c r="HS346" s="331"/>
      <c r="HT346" s="331">
        <v>46255</v>
      </c>
      <c r="HU346" s="420"/>
      <c r="HV346" s="395"/>
      <c r="HW34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46" s="47"/>
      <c r="HY346" s="352"/>
      <c r="HZ346" s="352"/>
      <c r="IA346" s="72"/>
      <c r="IB346" s="618">
        <f>IFERROR(ROUND((Table1[[#This Row],[PLAN TC
finish]]-Table1[[#This Row],[PLAN MC-0
start]])/30,2),"")</f>
        <v>3.5</v>
      </c>
      <c r="IC346">
        <f>DATEDIF(Table1[[#This Row],[PLAN MC-0
start]],Table1[[#This Row],[PLAN TC
finish]],"m")</f>
        <v>3</v>
      </c>
      <c r="ID346" s="6"/>
      <c r="IE346" s="6"/>
      <c r="IF346" s="72"/>
      <c r="IH346" s="6"/>
      <c r="II346" s="4"/>
      <c r="IJ346" s="4"/>
      <c r="IK346" s="6"/>
      <c r="IL346" s="6"/>
      <c r="IM346" s="6"/>
      <c r="IN346" s="6"/>
      <c r="IO346" s="6"/>
      <c r="IQ346" s="6"/>
      <c r="IR346" s="6"/>
      <c r="IS346" s="6"/>
      <c r="IT346" s="6"/>
      <c r="IW346" s="6"/>
      <c r="IX346" s="6"/>
      <c r="IZ346" s="6"/>
      <c r="JA346" s="6"/>
    </row>
    <row r="347" spans="2:261" ht="15" hidden="1" customHeight="1" x14ac:dyDescent="0.2">
      <c r="B347" s="311">
        <f>SUBTOTAL(3,$D$5:D347)</f>
        <v>84</v>
      </c>
      <c r="C347" s="316">
        <v>343</v>
      </c>
      <c r="D347" s="315" t="s">
        <v>244</v>
      </c>
      <c r="E347" s="460" t="s">
        <v>2761</v>
      </c>
      <c r="F347" s="338" t="s">
        <v>2762</v>
      </c>
      <c r="G347" s="349">
        <v>46300</v>
      </c>
      <c r="H347" s="338" t="s">
        <v>247</v>
      </c>
      <c r="I347" s="338" t="s">
        <v>1212</v>
      </c>
      <c r="J347" s="480"/>
      <c r="K347" s="338"/>
      <c r="L347" s="316"/>
      <c r="M347" s="355" t="s">
        <v>269</v>
      </c>
      <c r="N347" s="507">
        <v>1</v>
      </c>
      <c r="O347" s="31" t="s">
        <v>1214</v>
      </c>
      <c r="P34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7" s="35">
        <v>0.32703535789143323</v>
      </c>
      <c r="S347" s="327">
        <v>0.32703535789143323</v>
      </c>
      <c r="T347" s="152">
        <f>Table1[[#This Row],[Progres Total Aktual
(%)]]</f>
        <v>6.6148104219520859E-2</v>
      </c>
      <c r="U347" s="121">
        <f>Table1[[#This Row],[Progres Aktual
(%)]]-Table1[[#This Row],[Target Progres
(%)]]</f>
        <v>-0.26088725367191234</v>
      </c>
      <c r="V347" s="80">
        <f>Table1[[#This Row],["Volume
BA MC-0"]]</f>
        <v>0</v>
      </c>
      <c r="W347" s="80">
        <f>Table1[[#This Row],[Total Panjang Pipa Aktual
(Sum-&gt;)3]]</f>
        <v>0</v>
      </c>
      <c r="X347" s="117"/>
      <c r="Y347" s="508" t="s">
        <v>2763</v>
      </c>
      <c r="Z347" s="67">
        <v>4190030534</v>
      </c>
      <c r="AA347" s="509">
        <f>ROUND((Table1[[#This Row],[Nilai RAB Jaringan
(Exclude Ppn)]]-Table1[[#This Row],[RAB Perizinan]])*1.11+Table1[[#This Row],[RAB Perizinan]],0)</f>
        <v>4190030534</v>
      </c>
      <c r="AB347" s="436">
        <f>SUM(Table1[[#This Row],[RAB Kegiatan Umum]:[RAB Perizinan]])</f>
        <v>3776654758</v>
      </c>
      <c r="AC347" s="436">
        <v>235176103</v>
      </c>
      <c r="AD347" s="436">
        <v>2351761030</v>
      </c>
      <c r="AE347" s="436">
        <v>1171024465</v>
      </c>
      <c r="AF347" s="436">
        <v>18693160</v>
      </c>
      <c r="AG347" s="436"/>
      <c r="AH347" s="510">
        <f>SUM(Table1[[#This Row],[Bobot Keg Umum]:[Bobot Perizinan]])</f>
        <v>1</v>
      </c>
      <c r="AI347" s="510">
        <f>Table1[[#This Row],[RAB Kegiatan Umum]]/Table1[[#This Row],[Nilai RAB Jaringan
(Exclude Ppn)]]</f>
        <v>6.2271009152168842E-2</v>
      </c>
      <c r="AJ347" s="510">
        <f>Table1[[#This Row],[RAB Pemasangan]]/Table1[[#This Row],[Nilai RAB Jaringan
(Exclude Ppn)]]</f>
        <v>0.62271009152168844</v>
      </c>
      <c r="AK347" s="129">
        <f>Table1[[#This Row],[RAB Pengadaan]]/Table1[[#This Row],[Nilai RAB Jaringan
(Exclude Ppn)]]</f>
        <v>0.31006923852900403</v>
      </c>
      <c r="AL347" s="130">
        <f>Table1[[#This Row],[RAB Perizinan]]/Table1[[#This Row],[Nilai RAB Jaringan
(Exclude Ppn)]]</f>
        <v>4.9496607971387151E-3</v>
      </c>
      <c r="AM347" s="47"/>
      <c r="AN347" s="285"/>
      <c r="AO347" s="285">
        <f>SUM(Table1[[#This Row],[Pipa 63 mm]:[Pipa 1,800 mm]])</f>
        <v>0</v>
      </c>
      <c r="AP347" s="285"/>
      <c r="AQ347" s="285"/>
      <c r="AR347" s="285"/>
      <c r="AS347" s="285"/>
      <c r="AT347" s="285"/>
      <c r="AU347" s="285"/>
      <c r="AV347" s="285"/>
      <c r="AW347" s="285"/>
      <c r="AX347" s="285"/>
      <c r="AY347" s="285"/>
      <c r="AZ347" s="285"/>
      <c r="BA347" s="285"/>
      <c r="BB347" s="285"/>
      <c r="BC347" s="285"/>
      <c r="BD347" s="285"/>
      <c r="BE347" s="285"/>
      <c r="BF347" s="285"/>
      <c r="BG347" s="285"/>
      <c r="BH347" s="285"/>
      <c r="BI347" s="285"/>
      <c r="BJ347" s="36">
        <f>SUM(Table1[[#This Row],[Pipa 63 mm2]:[Pipa 1,800 mm21]])</f>
        <v>0</v>
      </c>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f>IF((Table1[[#This Row],["Volume
BA MC-0"]]-Table1[[#This Row],[Total Panjang Pipa Aktual
(Sum-&gt;)3]]-Table1[[#This Row],[Total Volume
tidak dapat dipasang]])&gt;=0,Table1[[#This Row],["Volume
BA MC-0"]]-Table1[[#This Row],[Total Panjang Pipa Aktual
(Sum-&gt;)3]]-Table1[[#This Row],[Total Volume
tidak dapat dipasang]],0)</f>
        <v>0</v>
      </c>
      <c r="CK347" s="47"/>
      <c r="CL347" s="131"/>
      <c r="CM347" s="337"/>
      <c r="CN347" s="131"/>
      <c r="CO347" s="131"/>
      <c r="CP34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6.6148104219520859E-2</v>
      </c>
      <c r="CQ347" s="436">
        <f>IFERROR(Table1[[#This Row],[Progres Keg. Umum
(%)]]*Table1[[#This Row],[Nilai RAB Jaringan
(file pa aji)]],0)</f>
        <v>0</v>
      </c>
      <c r="CR347" s="436">
        <f>IFERROR(Table1[[#This Row],[Progres MOS
(%)]]*Table1[[#This Row],[Nilai RAB Jaringan
(file pa aji)]],0)</f>
        <v>0</v>
      </c>
      <c r="CS347" s="436">
        <f>IFERROR(Table1[[#This Row],[Progres Pemasangan
(%)]]*Table1[[#This Row],[Nilai RAB Jaringan
(file pa aji)]],0)</f>
        <v>0</v>
      </c>
      <c r="CT347" s="436">
        <f>IFERROR(Table1[[#This Row],[Progres Perizinan
(%)]]*Table1[[#This Row],[Nilai RAB Jaringan
(file pa aji)]],0)</f>
        <v>0</v>
      </c>
      <c r="CU347" s="329">
        <v>0</v>
      </c>
      <c r="CV347" s="329">
        <v>0</v>
      </c>
      <c r="CW347" s="511">
        <v>0</v>
      </c>
      <c r="CX347" s="329">
        <v>0</v>
      </c>
      <c r="CY347" s="47"/>
      <c r="CZ347" s="331">
        <v>45929</v>
      </c>
      <c r="DA347" s="331">
        <v>45963</v>
      </c>
      <c r="DB347" s="331">
        <v>46076</v>
      </c>
      <c r="DC347" s="316" t="s">
        <v>2764</v>
      </c>
      <c r="DD347" s="508"/>
      <c r="DE34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7" s="331">
        <v>46086</v>
      </c>
      <c r="DG347" s="316" t="s">
        <v>2765</v>
      </c>
      <c r="DH347" s="514"/>
      <c r="DI34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7" s="331">
        <v>45964</v>
      </c>
      <c r="DK347" s="331">
        <v>46110</v>
      </c>
      <c r="DL347" s="331">
        <v>46124</v>
      </c>
      <c r="DM347" s="316" t="s">
        <v>2766</v>
      </c>
      <c r="DN34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47" s="331">
        <v>46164</v>
      </c>
      <c r="DP347" s="316" t="s">
        <v>2767</v>
      </c>
      <c r="DQ347" s="338" t="s">
        <v>365</v>
      </c>
      <c r="DR34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7" s="331">
        <v>45964</v>
      </c>
      <c r="DT347" s="331">
        <v>46158</v>
      </c>
      <c r="DU347" s="331">
        <v>46012</v>
      </c>
      <c r="DV347" s="331">
        <v>46172</v>
      </c>
      <c r="DW347" s="331">
        <v>46093</v>
      </c>
      <c r="DX347" s="316" t="s">
        <v>2768</v>
      </c>
      <c r="DY347" s="334">
        <v>45</v>
      </c>
      <c r="DZ347" s="334">
        <v>45</v>
      </c>
      <c r="EA34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7" s="331"/>
      <c r="EC347" s="332">
        <v>32</v>
      </c>
      <c r="ED347" s="332">
        <v>32</v>
      </c>
      <c r="EE347" s="118"/>
      <c r="EF347" s="337">
        <v>0.71111111111111114</v>
      </c>
      <c r="EG347" s="337">
        <f>Table1[[#This Row],[Line PO]]/Table1[[#This Row],[Line PR]]</f>
        <v>0.71111111111111114</v>
      </c>
      <c r="EH347" s="316" t="str">
        <f>IF(Table1[[#This Row],[PO Material Aktual 
(%)]]&gt;=100%,"Selesai PO = 100%",IF(Table1[[#This Row],[PO Material Aktual 
(%)]]&gt;=50%,"Proses PO &gt; 100%",IF(Table1[[#This Row],[PO Material Aktual 
(%)]]&gt;0%,"Proses PO &gt; 50%",IF(Table1[[#This Row],[PO Material Aktual 
(%)]]=0,"Belum PO = 0%"))))</f>
        <v>Proses PO &gt; 100%</v>
      </c>
      <c r="EI34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7" s="331">
        <v>46013</v>
      </c>
      <c r="EK347" s="331">
        <v>46172</v>
      </c>
      <c r="EL347" s="331">
        <v>46201</v>
      </c>
      <c r="EM347" s="331">
        <v>46187</v>
      </c>
      <c r="EN347" s="331"/>
      <c r="EO347" s="332">
        <v>16</v>
      </c>
      <c r="EP347" s="332">
        <v>16</v>
      </c>
      <c r="EQ347" s="337">
        <v>0.35555555555555557</v>
      </c>
      <c r="ER347" s="337">
        <f>Table1[[#This Row],[Line MOS (kolom bantu)]]/Table1[[#This Row],[Line PR]]</f>
        <v>0.35555555555555557</v>
      </c>
      <c r="ES347" s="316" t="str">
        <f>IF(Table1[[#This Row],[Progres MOS]]&gt;=100%,"Selesai MOS = 100%",IF(Table1[[#This Row],[Progres MOS]]&gt;=50%,"Proses MOS &gt; 100%",IF(Table1[[#This Row],[Progres MOS]]&gt;0%,"Proses MOS &gt; 50%",IF(Table1[[#This Row],[Progres MOS]]=0,"Belum MOS = 0%"))))</f>
        <v>Proses MOS &gt; 50%</v>
      </c>
      <c r="ET34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47" s="47"/>
      <c r="EV347" s="331">
        <v>45964</v>
      </c>
      <c r="EW347" s="331">
        <v>46153</v>
      </c>
      <c r="EX347" s="331">
        <v>46138</v>
      </c>
      <c r="EY347" s="331">
        <v>46183</v>
      </c>
      <c r="EZ347" s="352" t="s">
        <v>2758</v>
      </c>
      <c r="FA347" s="409" t="s">
        <v>2758</v>
      </c>
      <c r="FB347" s="331"/>
      <c r="FC347" s="330"/>
      <c r="FD347" s="331"/>
      <c r="FE347" s="331"/>
      <c r="FF347" s="331"/>
      <c r="FG347" s="331"/>
      <c r="FH347" s="331"/>
      <c r="FI347" s="331"/>
      <c r="FJ347" s="331"/>
      <c r="FK347" s="331"/>
      <c r="FL347" s="352" t="s">
        <v>2759</v>
      </c>
      <c r="FM347" s="352"/>
      <c r="FN347" s="338" t="str">
        <f>IF(Table1[[#This Row],[Tanggal Pengajuan Dokumen]]="","",Table1[[#This Row],[PLAN PERMIT
start]]-Table1[[#This Row],[Tanggal Pengajuan Dokumen]])</f>
        <v/>
      </c>
      <c r="FO347" s="352"/>
      <c r="FP347" s="316" t="s">
        <v>923</v>
      </c>
      <c r="FQ347" s="338"/>
      <c r="FR347" s="331"/>
      <c r="FS347" s="338"/>
      <c r="FT34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7" s="344">
        <f ca="1">IF(Table1[[#This Row],[Status Izin]]="Selesai",Table1[[#This Row],[PLAN PERMIT
finish]]-Table1[[#This Row],[Tanggal Terbit/ Target Izin Terbit]],ROUNDUP(Table1[[#This Row],[PLAN PERMIT
finish]]-NOW(),0))</f>
        <v>-53</v>
      </c>
      <c r="FV34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7" s="344"/>
      <c r="FX347" s="47"/>
      <c r="FY347" s="513">
        <v>46097</v>
      </c>
      <c r="FZ347" s="513" t="s">
        <v>2746</v>
      </c>
      <c r="GA34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47" s="331">
        <v>46111</v>
      </c>
      <c r="GC347" s="352"/>
      <c r="GD34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47" s="331">
        <v>46118</v>
      </c>
      <c r="GF347" s="352"/>
      <c r="GG34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47" s="331">
        <v>46125</v>
      </c>
      <c r="GI347" s="331">
        <v>46131</v>
      </c>
      <c r="GJ347" s="352"/>
      <c r="GK34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7" s="331">
        <v>46139</v>
      </c>
      <c r="GM347" s="331">
        <v>46190</v>
      </c>
      <c r="GN347" s="331">
        <v>46222</v>
      </c>
      <c r="GO347" s="330">
        <v>46275</v>
      </c>
      <c r="GP347" s="316"/>
      <c r="GQ34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7" s="331"/>
      <c r="GS347" s="331"/>
      <c r="GT347" s="354"/>
      <c r="GU347" s="344" t="str">
        <f>IF(Table1[[#This Row],[Hydro Tes Actual
(tanggal)]]&lt;&gt;"","Sudah","Belum")</f>
        <v>Belum</v>
      </c>
      <c r="GV347" s="330"/>
      <c r="GW347" s="330"/>
      <c r="GX347" s="331"/>
      <c r="GY347" s="344" t="str">
        <f>IF(Table1[[#This Row],[Interkoneksi Actual
(tanggal)]]&lt;&gt;"","Sudah","Belum")</f>
        <v>Belum</v>
      </c>
      <c r="GZ347" s="330"/>
      <c r="HA347" s="330"/>
      <c r="HB347" s="331"/>
      <c r="HC347" s="344" t="str">
        <f>IF(Table1[[#This Row],[Flushing Actual
(tanggal)]]&lt;&gt;"","Sudah","Belum")</f>
        <v>Belum</v>
      </c>
      <c r="HD347" s="331">
        <v>46225</v>
      </c>
      <c r="HE347" s="331">
        <v>46276</v>
      </c>
      <c r="HF347" s="331">
        <v>46230</v>
      </c>
      <c r="HG347" s="352"/>
      <c r="HH34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7" s="330"/>
      <c r="HJ347" s="330"/>
      <c r="HK347" s="331"/>
      <c r="HL347" s="331"/>
      <c r="HM347" s="331">
        <v>46247</v>
      </c>
      <c r="HN347" s="331">
        <v>46247</v>
      </c>
      <c r="HO347" s="330">
        <v>46293</v>
      </c>
      <c r="HP347" s="331"/>
      <c r="HQ34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47" s="331">
        <v>46255</v>
      </c>
      <c r="HS347" s="331"/>
      <c r="HT347" s="331">
        <v>46255</v>
      </c>
      <c r="HU347" s="420"/>
      <c r="HV347" s="395"/>
      <c r="HW347"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47" s="47"/>
      <c r="HY347" s="352"/>
      <c r="HZ347" s="352"/>
      <c r="IA347" s="72"/>
      <c r="IB347" s="618">
        <f>IFERROR(ROUND((Table1[[#This Row],[PLAN TC
finish]]-Table1[[#This Row],[PLAN MC-0
start]])/30,2),"")</f>
        <v>3.5</v>
      </c>
      <c r="IC347">
        <f>DATEDIF(Table1[[#This Row],[PLAN MC-0
start]],Table1[[#This Row],[PLAN TC
finish]],"m")</f>
        <v>3</v>
      </c>
      <c r="ID347" s="6"/>
      <c r="IE347" s="6"/>
      <c r="IF347" s="72"/>
      <c r="IH347" s="6"/>
      <c r="II347" s="4"/>
      <c r="IJ347" s="4"/>
      <c r="IK347" s="6"/>
      <c r="IL347" s="6"/>
      <c r="IM347" s="6"/>
      <c r="IN347" s="6"/>
      <c r="IO347" s="6"/>
      <c r="IQ347" s="6"/>
      <c r="IR347" s="6"/>
      <c r="IS347" s="6"/>
      <c r="IT347" s="6"/>
      <c r="IW347" s="6"/>
      <c r="IX347" s="6"/>
      <c r="IZ347" s="6"/>
      <c r="JA347" s="6"/>
    </row>
    <row r="348" spans="2:261" ht="15" hidden="1" customHeight="1" x14ac:dyDescent="0.2">
      <c r="B348" s="311">
        <f>SUBTOTAL(3,$D$5:D348)</f>
        <v>84</v>
      </c>
      <c r="C348" s="316">
        <v>344</v>
      </c>
      <c r="D348" s="315" t="s">
        <v>244</v>
      </c>
      <c r="E348" s="460" t="s">
        <v>2769</v>
      </c>
      <c r="F348" s="338" t="s">
        <v>2770</v>
      </c>
      <c r="G348" s="349">
        <v>46300</v>
      </c>
      <c r="H348" s="338" t="s">
        <v>247</v>
      </c>
      <c r="I348" s="338" t="s">
        <v>1212</v>
      </c>
      <c r="J348" s="480"/>
      <c r="K348" s="338"/>
      <c r="L348" s="316"/>
      <c r="M348" s="355" t="s">
        <v>269</v>
      </c>
      <c r="N348" s="507">
        <v>1</v>
      </c>
      <c r="O348" s="31" t="s">
        <v>1214</v>
      </c>
      <c r="P34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8" s="35">
        <v>0.27298888459622761</v>
      </c>
      <c r="S348" s="327">
        <v>0.27298888459622761</v>
      </c>
      <c r="T348" s="152">
        <f>Table1[[#This Row],[Progres Total Aktual
(%)]]</f>
        <v>8.7333662816636813E-3</v>
      </c>
      <c r="U348" s="121">
        <f>Table1[[#This Row],[Progres Aktual
(%)]]-Table1[[#This Row],[Target Progres
(%)]]</f>
        <v>-0.26425551831456395</v>
      </c>
      <c r="V348" s="80">
        <f>Table1[[#This Row],["Volume
BA MC-0"]]</f>
        <v>0</v>
      </c>
      <c r="W348" s="80">
        <f>Table1[[#This Row],[Total Panjang Pipa Aktual
(Sum-&gt;)3]]</f>
        <v>0</v>
      </c>
      <c r="X348" s="117"/>
      <c r="Y348" s="508" t="s">
        <v>2771</v>
      </c>
      <c r="Z348" s="67">
        <v>3505797266</v>
      </c>
      <c r="AA348" s="509">
        <f>ROUND((Table1[[#This Row],[Nilai RAB Jaringan
(Exclude Ppn)]]-Table1[[#This Row],[RAB Perizinan]])*1.11+Table1[[#This Row],[RAB Perizinan]],0)</f>
        <v>3505797266</v>
      </c>
      <c r="AB348" s="436">
        <f>SUM(Table1[[#This Row],[RAB Kegiatan Umum]:[RAB Perizinan]])</f>
        <v>3160569773</v>
      </c>
      <c r="AC348" s="436">
        <v>223973281</v>
      </c>
      <c r="AD348" s="436">
        <v>2239732810</v>
      </c>
      <c r="AE348" s="436">
        <v>674725663</v>
      </c>
      <c r="AF348" s="436">
        <v>22138019</v>
      </c>
      <c r="AG348" s="436"/>
      <c r="AH348" s="510">
        <f>SUM(Table1[[#This Row],[Bobot Keg Umum]:[Bobot Perizinan]])</f>
        <v>1</v>
      </c>
      <c r="AI348" s="510">
        <f>Table1[[#This Row],[RAB Kegiatan Umum]]/Table1[[#This Row],[Nilai RAB Jaringan
(Exclude Ppn)]]</f>
        <v>7.0864843077773743E-2</v>
      </c>
      <c r="AJ348" s="510">
        <f>Table1[[#This Row],[RAB Pemasangan]]/Table1[[#This Row],[Nilai RAB Jaringan
(Exclude Ppn)]]</f>
        <v>0.70864843077773754</v>
      </c>
      <c r="AK348" s="129">
        <f>Table1[[#This Row],[RAB Pengadaan]]/Table1[[#This Row],[Nilai RAB Jaringan
(Exclude Ppn)]]</f>
        <v>0.21348228688511223</v>
      </c>
      <c r="AL348" s="130">
        <f>Table1[[#This Row],[RAB Perizinan]]/Table1[[#This Row],[Nilai RAB Jaringan
(Exclude Ppn)]]</f>
        <v>7.0044392593765405E-3</v>
      </c>
      <c r="AM348" s="47"/>
      <c r="AN348" s="285"/>
      <c r="AO348" s="285">
        <f>SUM(Table1[[#This Row],[Pipa 63 mm]:[Pipa 1,800 mm]])</f>
        <v>0</v>
      </c>
      <c r="AP348" s="285"/>
      <c r="AQ348" s="285"/>
      <c r="AR348" s="285"/>
      <c r="AS348" s="285"/>
      <c r="AT348" s="285"/>
      <c r="AU348" s="285"/>
      <c r="AV348" s="285"/>
      <c r="AW348" s="285"/>
      <c r="AX348" s="285"/>
      <c r="AY348" s="285"/>
      <c r="AZ348" s="285"/>
      <c r="BA348" s="285"/>
      <c r="BB348" s="285"/>
      <c r="BC348" s="285"/>
      <c r="BD348" s="285"/>
      <c r="BE348" s="285"/>
      <c r="BF348" s="285"/>
      <c r="BG348" s="285"/>
      <c r="BH348" s="285"/>
      <c r="BI348" s="285"/>
      <c r="BJ348" s="36">
        <f>SUM(Table1[[#This Row],[Pipa 63 mm2]:[Pipa 1,800 mm21]])</f>
        <v>0</v>
      </c>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f>IF((Table1[[#This Row],["Volume
BA MC-0"]]-Table1[[#This Row],[Total Panjang Pipa Aktual
(Sum-&gt;)3]]-Table1[[#This Row],[Total Volume
tidak dapat dipasang]])&gt;=0,Table1[[#This Row],["Volume
BA MC-0"]]-Table1[[#This Row],[Total Panjang Pipa Aktual
(Sum-&gt;)3]]-Table1[[#This Row],[Total Volume
tidak dapat dipasang]],0)</f>
        <v>0</v>
      </c>
      <c r="CK348" s="47"/>
      <c r="CL348" s="131"/>
      <c r="CM348" s="337"/>
      <c r="CN348" s="131"/>
      <c r="CO348" s="131"/>
      <c r="CP34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8.7333662816636813E-3</v>
      </c>
      <c r="CQ348" s="436">
        <f>IFERROR(Table1[[#This Row],[Progres Keg. Umum
(%)]]*Table1[[#This Row],[Nilai RAB Jaringan
(file pa aji)]],0)</f>
        <v>0</v>
      </c>
      <c r="CR348" s="436">
        <f>IFERROR(Table1[[#This Row],[Progres MOS
(%)]]*Table1[[#This Row],[Nilai RAB Jaringan
(file pa aji)]],0)</f>
        <v>0</v>
      </c>
      <c r="CS348" s="436">
        <f>IFERROR(Table1[[#This Row],[Progres Pemasangan
(%)]]*Table1[[#This Row],[Nilai RAB Jaringan
(file pa aji)]],0)</f>
        <v>0</v>
      </c>
      <c r="CT348" s="436">
        <f>IFERROR(Table1[[#This Row],[Progres Perizinan
(%)]]*Table1[[#This Row],[Nilai RAB Jaringan
(file pa aji)]],0)</f>
        <v>0</v>
      </c>
      <c r="CU348" s="329">
        <v>0</v>
      </c>
      <c r="CV348" s="329">
        <v>0</v>
      </c>
      <c r="CW348" s="511">
        <v>0</v>
      </c>
      <c r="CX348" s="329">
        <v>0</v>
      </c>
      <c r="CY348" s="47"/>
      <c r="CZ348" s="331">
        <v>45929</v>
      </c>
      <c r="DA348" s="331">
        <v>45963</v>
      </c>
      <c r="DB348" s="331">
        <v>46076</v>
      </c>
      <c r="DC348" s="316" t="s">
        <v>2772</v>
      </c>
      <c r="DD348" s="508"/>
      <c r="DE34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8" s="331">
        <v>46091</v>
      </c>
      <c r="DG348" s="316" t="s">
        <v>2773</v>
      </c>
      <c r="DH348" s="514"/>
      <c r="DI34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8" s="331">
        <v>45964</v>
      </c>
      <c r="DK348" s="331">
        <v>46110</v>
      </c>
      <c r="DL348" s="331">
        <v>46121</v>
      </c>
      <c r="DM348" s="316" t="s">
        <v>2768</v>
      </c>
      <c r="DN34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48" s="331">
        <v>46164</v>
      </c>
      <c r="DP348" s="316" t="s">
        <v>2774</v>
      </c>
      <c r="DQ348" s="338" t="s">
        <v>365</v>
      </c>
      <c r="DR34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8" s="331">
        <v>45964</v>
      </c>
      <c r="DT348" s="331">
        <v>46158</v>
      </c>
      <c r="DU348" s="331">
        <v>46012</v>
      </c>
      <c r="DV348" s="331">
        <v>46172</v>
      </c>
      <c r="DW348" s="331">
        <v>46121</v>
      </c>
      <c r="DX348" s="316" t="s">
        <v>2775</v>
      </c>
      <c r="DY348" s="334">
        <v>44</v>
      </c>
      <c r="DZ348" s="334">
        <v>44</v>
      </c>
      <c r="EA34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8" s="331"/>
      <c r="EC348" s="332">
        <v>28</v>
      </c>
      <c r="ED348" s="332">
        <v>28</v>
      </c>
      <c r="EE348" s="118"/>
      <c r="EF348" s="337">
        <v>0.63636363636363635</v>
      </c>
      <c r="EG348" s="337">
        <f>Table1[[#This Row],[Line PO]]/Table1[[#This Row],[Line PR]]</f>
        <v>0.63636363636363635</v>
      </c>
      <c r="EH348" s="316" t="str">
        <f>IF(Table1[[#This Row],[PO Material Aktual 
(%)]]&gt;=100%,"Selesai PO = 100%",IF(Table1[[#This Row],[PO Material Aktual 
(%)]]&gt;=50%,"Proses PO &gt; 100%",IF(Table1[[#This Row],[PO Material Aktual 
(%)]]&gt;0%,"Proses PO &gt; 50%",IF(Table1[[#This Row],[PO Material Aktual 
(%)]]=0,"Belum PO = 0%"))))</f>
        <v>Proses PO &gt; 100%</v>
      </c>
      <c r="EI34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8" s="331">
        <v>46013</v>
      </c>
      <c r="EK348" s="331">
        <v>46172</v>
      </c>
      <c r="EL348" s="331">
        <v>46201</v>
      </c>
      <c r="EM348" s="331">
        <v>46187</v>
      </c>
      <c r="EN348" s="331"/>
      <c r="EO348" s="332">
        <v>3</v>
      </c>
      <c r="EP348" s="332">
        <v>3</v>
      </c>
      <c r="EQ348" s="337">
        <v>6.8181818181818177E-2</v>
      </c>
      <c r="ER348" s="337">
        <f>Table1[[#This Row],[Line MOS (kolom bantu)]]/Table1[[#This Row],[Line PR]]</f>
        <v>6.8181818181818177E-2</v>
      </c>
      <c r="ES348" s="316" t="str">
        <f>IF(Table1[[#This Row],[Progres MOS]]&gt;=100%,"Selesai MOS = 100%",IF(Table1[[#This Row],[Progres MOS]]&gt;=50%,"Proses MOS &gt; 100%",IF(Table1[[#This Row],[Progres MOS]]&gt;0%,"Proses MOS &gt; 50%",IF(Table1[[#This Row],[Progres MOS]]=0,"Belum MOS = 0%"))))</f>
        <v>Proses MOS &gt; 50%</v>
      </c>
      <c r="ET34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48" s="47"/>
      <c r="EV348" s="331">
        <v>45964</v>
      </c>
      <c r="EW348" s="331">
        <v>46153</v>
      </c>
      <c r="EX348" s="331">
        <v>46138</v>
      </c>
      <c r="EY348" s="331">
        <v>46183</v>
      </c>
      <c r="EZ348" s="352" t="s">
        <v>2758</v>
      </c>
      <c r="FA348" s="409" t="s">
        <v>2758</v>
      </c>
      <c r="FB348" s="331"/>
      <c r="FC348" s="330"/>
      <c r="FD348" s="331"/>
      <c r="FE348" s="331"/>
      <c r="FF348" s="331"/>
      <c r="FG348" s="331"/>
      <c r="FH348" s="331"/>
      <c r="FI348" s="331"/>
      <c r="FJ348" s="331"/>
      <c r="FK348" s="331"/>
      <c r="FL348" s="352" t="s">
        <v>2759</v>
      </c>
      <c r="FM348" s="352"/>
      <c r="FN348" s="338" t="str">
        <f>IF(Table1[[#This Row],[Tanggal Pengajuan Dokumen]]="","",Table1[[#This Row],[PLAN PERMIT
start]]-Table1[[#This Row],[Tanggal Pengajuan Dokumen]])</f>
        <v/>
      </c>
      <c r="FO348" s="352"/>
      <c r="FP348" s="316" t="s">
        <v>923</v>
      </c>
      <c r="FQ348" s="338"/>
      <c r="FR348" s="331"/>
      <c r="FS348" s="338"/>
      <c r="FT34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8" s="344">
        <f ca="1">IF(Table1[[#This Row],[Status Izin]]="Selesai",Table1[[#This Row],[PLAN PERMIT
finish]]-Table1[[#This Row],[Tanggal Terbit/ Target Izin Terbit]],ROUNDUP(Table1[[#This Row],[PLAN PERMIT
finish]]-NOW(),0))</f>
        <v>-53</v>
      </c>
      <c r="FV34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8" s="344"/>
      <c r="FX348" s="47"/>
      <c r="FY348" s="513">
        <v>46097</v>
      </c>
      <c r="FZ348" s="513" t="s">
        <v>2746</v>
      </c>
      <c r="GA34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48" s="331">
        <v>46111</v>
      </c>
      <c r="GC348" s="352"/>
      <c r="GD34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48" s="331">
        <v>46118</v>
      </c>
      <c r="GF348" s="352"/>
      <c r="GG34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48" s="331">
        <v>46125</v>
      </c>
      <c r="GI348" s="331">
        <v>46131</v>
      </c>
      <c r="GJ348" s="352"/>
      <c r="GK34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8" s="331">
        <v>46139</v>
      </c>
      <c r="GM348" s="331">
        <v>46190</v>
      </c>
      <c r="GN348" s="331">
        <v>46222</v>
      </c>
      <c r="GO348" s="330">
        <v>46275</v>
      </c>
      <c r="GP348" s="316"/>
      <c r="GQ34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8" s="331"/>
      <c r="GS348" s="331"/>
      <c r="GT348" s="354"/>
      <c r="GU348" s="344" t="str">
        <f>IF(Table1[[#This Row],[Hydro Tes Actual
(tanggal)]]&lt;&gt;"","Sudah","Belum")</f>
        <v>Belum</v>
      </c>
      <c r="GV348" s="330"/>
      <c r="GW348" s="330"/>
      <c r="GX348" s="331"/>
      <c r="GY348" s="344" t="str">
        <f>IF(Table1[[#This Row],[Interkoneksi Actual
(tanggal)]]&lt;&gt;"","Sudah","Belum")</f>
        <v>Belum</v>
      </c>
      <c r="GZ348" s="330"/>
      <c r="HA348" s="330"/>
      <c r="HB348" s="331"/>
      <c r="HC348" s="344" t="str">
        <f>IF(Table1[[#This Row],[Flushing Actual
(tanggal)]]&lt;&gt;"","Sudah","Belum")</f>
        <v>Belum</v>
      </c>
      <c r="HD348" s="331">
        <v>46225</v>
      </c>
      <c r="HE348" s="331">
        <v>46276</v>
      </c>
      <c r="HF348" s="331">
        <v>46230</v>
      </c>
      <c r="HG348" s="352"/>
      <c r="HH34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8" s="330"/>
      <c r="HJ348" s="330"/>
      <c r="HK348" s="331"/>
      <c r="HL348" s="331"/>
      <c r="HM348" s="331">
        <v>46247</v>
      </c>
      <c r="HN348" s="331">
        <v>46247</v>
      </c>
      <c r="HO348" s="330">
        <v>46293</v>
      </c>
      <c r="HP348" s="331"/>
      <c r="HQ34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48" s="331">
        <v>46255</v>
      </c>
      <c r="HS348" s="331"/>
      <c r="HT348" s="331">
        <v>46255</v>
      </c>
      <c r="HU348" s="420"/>
      <c r="HV348" s="395"/>
      <c r="HW34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48" s="47"/>
      <c r="HY348" s="352"/>
      <c r="HZ348" s="352"/>
      <c r="IA348" s="72"/>
      <c r="IB348" s="618">
        <f>IFERROR(ROUND((Table1[[#This Row],[PLAN TC
finish]]-Table1[[#This Row],[PLAN MC-0
start]])/30,2),"")</f>
        <v>3.5</v>
      </c>
      <c r="IC348">
        <f>DATEDIF(Table1[[#This Row],[PLAN MC-0
start]],Table1[[#This Row],[PLAN TC
finish]],"m")</f>
        <v>3</v>
      </c>
      <c r="ID348" s="6"/>
      <c r="IE348" s="6"/>
      <c r="IF348" s="72"/>
      <c r="IH348" s="6"/>
      <c r="II348" s="4"/>
      <c r="IJ348" s="4"/>
      <c r="IK348" s="6"/>
      <c r="IL348" s="6"/>
      <c r="IM348" s="6"/>
      <c r="IN348" s="6"/>
      <c r="IO348" s="6"/>
      <c r="IQ348" s="6"/>
      <c r="IR348" s="6"/>
      <c r="IS348" s="6"/>
      <c r="IT348" s="6"/>
      <c r="IW348" s="6"/>
      <c r="IX348" s="6"/>
      <c r="IZ348" s="6"/>
      <c r="JA348" s="6"/>
    </row>
    <row r="349" spans="2:261" ht="15" hidden="1" customHeight="1" x14ac:dyDescent="0.2">
      <c r="B349" s="311">
        <f>SUBTOTAL(3,$D$5:D349)</f>
        <v>84</v>
      </c>
      <c r="C349" s="316">
        <v>345</v>
      </c>
      <c r="D349" s="315" t="s">
        <v>244</v>
      </c>
      <c r="E349" s="460" t="s">
        <v>2776</v>
      </c>
      <c r="F349" s="338" t="s">
        <v>2777</v>
      </c>
      <c r="G349" s="349">
        <v>46300</v>
      </c>
      <c r="H349" s="338" t="s">
        <v>247</v>
      </c>
      <c r="I349" s="338" t="s">
        <v>1212</v>
      </c>
      <c r="J349" s="480"/>
      <c r="K349" s="338"/>
      <c r="L349" s="316"/>
      <c r="M349" s="355" t="s">
        <v>269</v>
      </c>
      <c r="N349" s="507">
        <v>1</v>
      </c>
      <c r="O349" s="31" t="s">
        <v>1214</v>
      </c>
      <c r="P34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9" s="35">
        <v>0.3888364591958724</v>
      </c>
      <c r="S349" s="327">
        <v>0.3888364591958724</v>
      </c>
      <c r="T349" s="152">
        <f>Table1[[#This Row],[Progres Total Aktual
(%)]]</f>
        <v>3.7528886170739864E-2</v>
      </c>
      <c r="U349" s="121">
        <f>Table1[[#This Row],[Progres Aktual
(%)]]-Table1[[#This Row],[Target Progres
(%)]]</f>
        <v>-0.35130757302513255</v>
      </c>
      <c r="V349" s="80">
        <f>Table1[[#This Row],["Volume
BA MC-0"]]</f>
        <v>0</v>
      </c>
      <c r="W349" s="80">
        <f>Table1[[#This Row],[Total Panjang Pipa Aktual
(Sum-&gt;)3]]</f>
        <v>0</v>
      </c>
      <c r="X349" s="117"/>
      <c r="Y349" s="508" t="s">
        <v>2778</v>
      </c>
      <c r="Z349" s="67">
        <v>2701873397</v>
      </c>
      <c r="AA349" s="509">
        <f>ROUND((Table1[[#This Row],[Nilai RAB Jaringan
(Exclude Ppn)]]-Table1[[#This Row],[RAB Perizinan]])*1.11+Table1[[#This Row],[RAB Perizinan]],0)</f>
        <v>2701873396</v>
      </c>
      <c r="AB349" s="436">
        <f>SUM(Table1[[#This Row],[RAB Kegiatan Umum]:[RAB Perizinan]])</f>
        <v>2436415312</v>
      </c>
      <c r="AC349" s="436">
        <v>128346721</v>
      </c>
      <c r="AD349" s="436">
        <v>1283467202</v>
      </c>
      <c r="AE349" s="436">
        <v>1001441389</v>
      </c>
      <c r="AF349" s="436">
        <v>23160000</v>
      </c>
      <c r="AG349" s="436"/>
      <c r="AH349" s="510">
        <f>SUM(Table1[[#This Row],[Bobot Keg Umum]:[Bobot Perizinan]])</f>
        <v>1</v>
      </c>
      <c r="AI349" s="510">
        <f>Table1[[#This Row],[RAB Kegiatan Umum]]/Table1[[#This Row],[Nilai RAB Jaringan
(Exclude Ppn)]]</f>
        <v>5.2678506972049434E-2</v>
      </c>
      <c r="AJ349" s="510">
        <f>Table1[[#This Row],[RAB Pemasangan]]/Table1[[#This Row],[Nilai RAB Jaringan
(Exclude Ppn)]]</f>
        <v>0.52678506643698186</v>
      </c>
      <c r="AK349" s="129">
        <f>Table1[[#This Row],[RAB Pengadaan]]/Table1[[#This Row],[Nilai RAB Jaringan
(Exclude Ppn)]]</f>
        <v>0.41103065806048422</v>
      </c>
      <c r="AL349" s="130">
        <f>Table1[[#This Row],[RAB Perizinan]]/Table1[[#This Row],[Nilai RAB Jaringan
(Exclude Ppn)]]</f>
        <v>9.5057685304844285E-3</v>
      </c>
      <c r="AM349" s="47"/>
      <c r="AN349" s="285"/>
      <c r="AO349" s="285">
        <f>SUM(Table1[[#This Row],[Pipa 63 mm]:[Pipa 1,800 mm]])</f>
        <v>0</v>
      </c>
      <c r="AP349" s="285"/>
      <c r="AQ349" s="285"/>
      <c r="AR349" s="285"/>
      <c r="AS349" s="285"/>
      <c r="AT349" s="285"/>
      <c r="AU349" s="285"/>
      <c r="AV349" s="285"/>
      <c r="AW349" s="285"/>
      <c r="AX349" s="285"/>
      <c r="AY349" s="285"/>
      <c r="AZ349" s="285"/>
      <c r="BA349" s="285"/>
      <c r="BB349" s="285"/>
      <c r="BC349" s="285"/>
      <c r="BD349" s="285"/>
      <c r="BE349" s="285"/>
      <c r="BF349" s="285"/>
      <c r="BG349" s="285"/>
      <c r="BH349" s="285"/>
      <c r="BI349" s="285"/>
      <c r="BJ349" s="36">
        <f>SUM(Table1[[#This Row],[Pipa 63 mm2]:[Pipa 1,800 mm21]])</f>
        <v>0</v>
      </c>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f>IF((Table1[[#This Row],["Volume
BA MC-0"]]-Table1[[#This Row],[Total Panjang Pipa Aktual
(Sum-&gt;)3]]-Table1[[#This Row],[Total Volume
tidak dapat dipasang]])&gt;=0,Table1[[#This Row],["Volume
BA MC-0"]]-Table1[[#This Row],[Total Panjang Pipa Aktual
(Sum-&gt;)3]]-Table1[[#This Row],[Total Volume
tidak dapat dipasang]],0)</f>
        <v>0</v>
      </c>
      <c r="CK349" s="47"/>
      <c r="CL349" s="131"/>
      <c r="CM349" s="337"/>
      <c r="CN349" s="131"/>
      <c r="CO349" s="131"/>
      <c r="CP34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3.7528886170739864E-2</v>
      </c>
      <c r="CQ349" s="436">
        <f>IFERROR(Table1[[#This Row],[Progres Keg. Umum
(%)]]*Table1[[#This Row],[Nilai RAB Jaringan
(file pa aji)]],0)</f>
        <v>0</v>
      </c>
      <c r="CR349" s="436">
        <f>IFERROR(Table1[[#This Row],[Progres MOS
(%)]]*Table1[[#This Row],[Nilai RAB Jaringan
(file pa aji)]],0)</f>
        <v>0</v>
      </c>
      <c r="CS349" s="436">
        <f>IFERROR(Table1[[#This Row],[Progres Pemasangan
(%)]]*Table1[[#This Row],[Nilai RAB Jaringan
(file pa aji)]],0)</f>
        <v>0</v>
      </c>
      <c r="CT349" s="436">
        <f>IFERROR(Table1[[#This Row],[Progres Perizinan
(%)]]*Table1[[#This Row],[Nilai RAB Jaringan
(file pa aji)]],0)</f>
        <v>0</v>
      </c>
      <c r="CU349" s="329">
        <v>0</v>
      </c>
      <c r="CV349" s="329">
        <v>0</v>
      </c>
      <c r="CW349" s="511">
        <v>0</v>
      </c>
      <c r="CX349" s="329">
        <v>0</v>
      </c>
      <c r="CY349" s="47"/>
      <c r="CZ349" s="331">
        <v>45929</v>
      </c>
      <c r="DA349" s="331">
        <v>45963</v>
      </c>
      <c r="DB349" s="331">
        <v>46076</v>
      </c>
      <c r="DC349" s="316" t="s">
        <v>2779</v>
      </c>
      <c r="DD349" s="508"/>
      <c r="DE34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9" s="331">
        <v>46091</v>
      </c>
      <c r="DG349" s="331" t="s">
        <v>2780</v>
      </c>
      <c r="DH349" s="514"/>
      <c r="DI34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9" s="331">
        <v>45964</v>
      </c>
      <c r="DK349" s="331">
        <v>46110</v>
      </c>
      <c r="DL349" s="331">
        <v>46125</v>
      </c>
      <c r="DM349" s="316" t="s">
        <v>2781</v>
      </c>
      <c r="DN34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49" s="331">
        <v>46164</v>
      </c>
      <c r="DP349" s="316" t="s">
        <v>2782</v>
      </c>
      <c r="DQ349" s="338" t="s">
        <v>365</v>
      </c>
      <c r="DR34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9" s="331">
        <v>45964</v>
      </c>
      <c r="DT349" s="331">
        <v>46158</v>
      </c>
      <c r="DU349" s="331">
        <v>46012</v>
      </c>
      <c r="DV349" s="331">
        <v>46172</v>
      </c>
      <c r="DW349" s="331">
        <v>46125</v>
      </c>
      <c r="DX349" s="316" t="s">
        <v>2783</v>
      </c>
      <c r="DY349" s="334">
        <v>46</v>
      </c>
      <c r="DZ349" s="334">
        <v>46</v>
      </c>
      <c r="EA34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9" s="331"/>
      <c r="EC349" s="332">
        <v>28</v>
      </c>
      <c r="ED349" s="332">
        <v>28</v>
      </c>
      <c r="EE349" s="118"/>
      <c r="EF349" s="337">
        <v>0.60869565217391308</v>
      </c>
      <c r="EG349" s="337">
        <f>Table1[[#This Row],[Line PO]]/Table1[[#This Row],[Line PR]]</f>
        <v>0.60869565217391308</v>
      </c>
      <c r="EH349" s="316" t="str">
        <f>IF(Table1[[#This Row],[PO Material Aktual 
(%)]]&gt;=100%,"Selesai PO = 100%",IF(Table1[[#This Row],[PO Material Aktual 
(%)]]&gt;=50%,"Proses PO &gt; 100%",IF(Table1[[#This Row],[PO Material Aktual 
(%)]]&gt;0%,"Proses PO &gt; 50%",IF(Table1[[#This Row],[PO Material Aktual 
(%)]]=0,"Belum PO = 0%"))))</f>
        <v>Proses PO &gt; 100%</v>
      </c>
      <c r="EI34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9" s="331">
        <v>46013</v>
      </c>
      <c r="EK349" s="331">
        <v>46172</v>
      </c>
      <c r="EL349" s="331">
        <v>46201</v>
      </c>
      <c r="EM349" s="331">
        <v>46187</v>
      </c>
      <c r="EN349" s="331"/>
      <c r="EO349" s="332">
        <v>7</v>
      </c>
      <c r="EP349" s="332">
        <v>7</v>
      </c>
      <c r="EQ349" s="337">
        <v>0.15217391304347827</v>
      </c>
      <c r="ER349" s="337">
        <f>Table1[[#This Row],[Line MOS (kolom bantu)]]/Table1[[#This Row],[Line PR]]</f>
        <v>0.15217391304347827</v>
      </c>
      <c r="ES349" s="316" t="str">
        <f>IF(Table1[[#This Row],[Progres MOS]]&gt;=100%,"Selesai MOS = 100%",IF(Table1[[#This Row],[Progres MOS]]&gt;=50%,"Proses MOS &gt; 100%",IF(Table1[[#This Row],[Progres MOS]]&gt;0%,"Proses MOS &gt; 50%",IF(Table1[[#This Row],[Progres MOS]]=0,"Belum MOS = 0%"))))</f>
        <v>Proses MOS &gt; 50%</v>
      </c>
      <c r="ET34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49" s="47"/>
      <c r="EV349" s="331">
        <v>45964</v>
      </c>
      <c r="EW349" s="331">
        <v>46153</v>
      </c>
      <c r="EX349" s="331">
        <v>46138</v>
      </c>
      <c r="EY349" s="331">
        <v>46183</v>
      </c>
      <c r="EZ349" s="352" t="s">
        <v>2758</v>
      </c>
      <c r="FA349" s="409" t="s">
        <v>2758</v>
      </c>
      <c r="FB349" s="331"/>
      <c r="FC349" s="330"/>
      <c r="FD349" s="331"/>
      <c r="FE349" s="331"/>
      <c r="FF349" s="331"/>
      <c r="FG349" s="331"/>
      <c r="FH349" s="331"/>
      <c r="FI349" s="331"/>
      <c r="FJ349" s="331"/>
      <c r="FK349" s="331"/>
      <c r="FL349" s="352" t="s">
        <v>2759</v>
      </c>
      <c r="FM349" s="352"/>
      <c r="FN349" s="338" t="str">
        <f>IF(Table1[[#This Row],[Tanggal Pengajuan Dokumen]]="","",Table1[[#This Row],[PLAN PERMIT
start]]-Table1[[#This Row],[Tanggal Pengajuan Dokumen]])</f>
        <v/>
      </c>
      <c r="FO349" s="352"/>
      <c r="FP349" s="316" t="s">
        <v>923</v>
      </c>
      <c r="FQ349" s="338"/>
      <c r="FR349" s="331"/>
      <c r="FS349" s="338"/>
      <c r="FT34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9" s="344">
        <f ca="1">IF(Table1[[#This Row],[Status Izin]]="Selesai",Table1[[#This Row],[PLAN PERMIT
finish]]-Table1[[#This Row],[Tanggal Terbit/ Target Izin Terbit]],ROUNDUP(Table1[[#This Row],[PLAN PERMIT
finish]]-NOW(),0))</f>
        <v>-53</v>
      </c>
      <c r="FV34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9" s="344"/>
      <c r="FX349" s="47"/>
      <c r="FY349" s="513">
        <v>46097</v>
      </c>
      <c r="FZ349" s="513" t="s">
        <v>2746</v>
      </c>
      <c r="GA34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49" s="331">
        <v>46111</v>
      </c>
      <c r="GC349" s="352"/>
      <c r="GD34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49" s="331">
        <v>46118</v>
      </c>
      <c r="GF349" s="352"/>
      <c r="GG34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49" s="331">
        <v>46125</v>
      </c>
      <c r="GI349" s="331">
        <v>46131</v>
      </c>
      <c r="GJ349" s="352"/>
      <c r="GK34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9" s="331">
        <v>46139</v>
      </c>
      <c r="GM349" s="331">
        <v>46190</v>
      </c>
      <c r="GN349" s="331">
        <v>46222</v>
      </c>
      <c r="GO349" s="330">
        <v>46275</v>
      </c>
      <c r="GP349" s="316"/>
      <c r="GQ34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9" s="331"/>
      <c r="GS349" s="331"/>
      <c r="GT349" s="354"/>
      <c r="GU349" s="344" t="str">
        <f>IF(Table1[[#This Row],[Hydro Tes Actual
(tanggal)]]&lt;&gt;"","Sudah","Belum")</f>
        <v>Belum</v>
      </c>
      <c r="GV349" s="330"/>
      <c r="GW349" s="330"/>
      <c r="GX349" s="331"/>
      <c r="GY349" s="344" t="str">
        <f>IF(Table1[[#This Row],[Interkoneksi Actual
(tanggal)]]&lt;&gt;"","Sudah","Belum")</f>
        <v>Belum</v>
      </c>
      <c r="GZ349" s="330"/>
      <c r="HA349" s="330"/>
      <c r="HB349" s="331"/>
      <c r="HC349" s="344" t="str">
        <f>IF(Table1[[#This Row],[Flushing Actual
(tanggal)]]&lt;&gt;"","Sudah","Belum")</f>
        <v>Belum</v>
      </c>
      <c r="HD349" s="331">
        <v>46225</v>
      </c>
      <c r="HE349" s="331">
        <v>46276</v>
      </c>
      <c r="HF349" s="331">
        <v>46230</v>
      </c>
      <c r="HG349" s="352"/>
      <c r="HH34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9" s="330"/>
      <c r="HJ349" s="330"/>
      <c r="HK349" s="331"/>
      <c r="HL349" s="331"/>
      <c r="HM349" s="331">
        <v>46247</v>
      </c>
      <c r="HN349" s="331">
        <v>46247</v>
      </c>
      <c r="HO349" s="330">
        <v>46293</v>
      </c>
      <c r="HP349" s="331"/>
      <c r="HQ34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49" s="331">
        <v>46255</v>
      </c>
      <c r="HS349" s="331"/>
      <c r="HT349" s="331">
        <v>46255</v>
      </c>
      <c r="HU349" s="420"/>
      <c r="HV349" s="395"/>
      <c r="HW349"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49" s="47"/>
      <c r="HY349" s="352"/>
      <c r="HZ349" s="352"/>
      <c r="IA349" s="72"/>
      <c r="IB349" s="618">
        <f>IFERROR(ROUND((Table1[[#This Row],[PLAN TC
finish]]-Table1[[#This Row],[PLAN MC-0
start]])/30,2),"")</f>
        <v>3.5</v>
      </c>
      <c r="IC349">
        <f>DATEDIF(Table1[[#This Row],[PLAN MC-0
start]],Table1[[#This Row],[PLAN TC
finish]],"m")</f>
        <v>3</v>
      </c>
      <c r="ID349" s="6"/>
      <c r="IE349" s="6"/>
      <c r="IF349" s="72"/>
      <c r="IH349" s="6"/>
      <c r="II349" s="4"/>
      <c r="IJ349" s="4"/>
      <c r="IK349" s="6"/>
      <c r="IL349" s="6"/>
      <c r="IM349" s="6"/>
      <c r="IN349" s="6"/>
      <c r="IO349" s="6"/>
      <c r="IQ349" s="6"/>
      <c r="IR349" s="6"/>
      <c r="IS349" s="6"/>
      <c r="IT349" s="6"/>
      <c r="IW349" s="6"/>
      <c r="IX349" s="6"/>
      <c r="IZ349" s="6"/>
      <c r="JA349" s="6"/>
    </row>
    <row r="350" spans="2:261" ht="15" hidden="1" customHeight="1" x14ac:dyDescent="0.2">
      <c r="B350" s="311">
        <f>SUBTOTAL(3,$D$5:D350)</f>
        <v>84</v>
      </c>
      <c r="C350" s="316">
        <v>346</v>
      </c>
      <c r="D350" s="315" t="s">
        <v>244</v>
      </c>
      <c r="E350" s="460" t="s">
        <v>2784</v>
      </c>
      <c r="F350" s="338" t="s">
        <v>2785</v>
      </c>
      <c r="G350" s="349">
        <v>46300</v>
      </c>
      <c r="H350" s="338" t="s">
        <v>247</v>
      </c>
      <c r="I350" s="338" t="s">
        <v>1212</v>
      </c>
      <c r="J350" s="480"/>
      <c r="K350" s="338"/>
      <c r="L350" s="316"/>
      <c r="M350" s="355" t="s">
        <v>269</v>
      </c>
      <c r="N350" s="507">
        <v>1</v>
      </c>
      <c r="O350" s="31" t="s">
        <v>1214</v>
      </c>
      <c r="P35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5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50" s="35">
        <v>0.3358821971094435</v>
      </c>
      <c r="S350" s="327">
        <v>0.3358821971094435</v>
      </c>
      <c r="T350" s="152">
        <f>Table1[[#This Row],[Progres Total Aktual
(%)]]</f>
        <v>1.1452355688432713E-2</v>
      </c>
      <c r="U350" s="121">
        <f>Table1[[#This Row],[Progres Aktual
(%)]]-Table1[[#This Row],[Target Progres
(%)]]</f>
        <v>-0.32442984142101078</v>
      </c>
      <c r="V350" s="80">
        <f>Table1[[#This Row],["Volume
BA MC-0"]]</f>
        <v>0</v>
      </c>
      <c r="W350" s="80">
        <f>Table1[[#This Row],[Total Panjang Pipa Aktual
(Sum-&gt;)3]]</f>
        <v>0</v>
      </c>
      <c r="X350" s="117"/>
      <c r="Y350" s="508" t="s">
        <v>2786</v>
      </c>
      <c r="Z350" s="67">
        <v>3727915906</v>
      </c>
      <c r="AA350" s="509">
        <f>ROUND((Table1[[#This Row],[Nilai RAB Jaringan
(Exclude Ppn)]]-Table1[[#This Row],[RAB Perizinan]])*1.11+Table1[[#This Row],[RAB Perizinan]],0)</f>
        <v>3727915904</v>
      </c>
      <c r="AB350" s="436">
        <f>SUM(Table1[[#This Row],[RAB Kegiatan Umum]:[RAB Perizinan]])</f>
        <v>3360359055.2157497</v>
      </c>
      <c r="AC350" s="436">
        <v>204640467</v>
      </c>
      <c r="AD350" s="486">
        <v>2046404666.0557499</v>
      </c>
      <c r="AE350" s="436">
        <v>1090380769</v>
      </c>
      <c r="AF350" s="436">
        <v>18933153.16</v>
      </c>
      <c r="AG350" s="436"/>
      <c r="AH350" s="510">
        <f>SUM(Table1[[#This Row],[Bobot Keg Umum]:[Bobot Perizinan]])</f>
        <v>1</v>
      </c>
      <c r="AI350" s="510">
        <f>Table1[[#This Row],[RAB Kegiatan Umum]]/Table1[[#This Row],[Nilai RAB Jaringan
(Exclude Ppn)]]</f>
        <v>6.089839318877821E-2</v>
      </c>
      <c r="AJ350" s="510">
        <f>Table1[[#This Row],[RAB Pemasangan]]/Table1[[#This Row],[Nilai RAB Jaringan
(Exclude Ppn)]]</f>
        <v>0.60898393071402357</v>
      </c>
      <c r="AK350" s="129">
        <f>Table1[[#This Row],[RAB Pengadaan]]/Table1[[#This Row],[Nilai RAB Jaringan
(Exclude Ppn)]]</f>
        <v>0.32448341117226021</v>
      </c>
      <c r="AL350" s="130">
        <f>Table1[[#This Row],[RAB Perizinan]]/Table1[[#This Row],[Nilai RAB Jaringan
(Exclude Ppn)]]</f>
        <v>5.6342649249380315E-3</v>
      </c>
      <c r="AM350" s="47"/>
      <c r="AN350" s="285"/>
      <c r="AO350" s="285">
        <f>SUM(Table1[[#This Row],[Pipa 63 mm]:[Pipa 1,800 mm]])</f>
        <v>0</v>
      </c>
      <c r="AP350" s="285"/>
      <c r="AQ350" s="285"/>
      <c r="AR350" s="285"/>
      <c r="AS350" s="285"/>
      <c r="AT350" s="285"/>
      <c r="AU350" s="285"/>
      <c r="AV350" s="285"/>
      <c r="AW350" s="285"/>
      <c r="AX350" s="285"/>
      <c r="AY350" s="285"/>
      <c r="AZ350" s="285"/>
      <c r="BA350" s="285"/>
      <c r="BB350" s="285"/>
      <c r="BC350" s="285"/>
      <c r="BD350" s="285"/>
      <c r="BE350" s="285"/>
      <c r="BF350" s="285"/>
      <c r="BG350" s="285"/>
      <c r="BH350" s="285"/>
      <c r="BI350" s="285"/>
      <c r="BJ350" s="36">
        <f>SUM(Table1[[#This Row],[Pipa 63 mm2]:[Pipa 1,800 mm21]])</f>
        <v>0</v>
      </c>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f>IF((Table1[[#This Row],["Volume
BA MC-0"]]-Table1[[#This Row],[Total Panjang Pipa Aktual
(Sum-&gt;)3]]-Table1[[#This Row],[Total Volume
tidak dapat dipasang]])&gt;=0,Table1[[#This Row],["Volume
BA MC-0"]]-Table1[[#This Row],[Total Panjang Pipa Aktual
(Sum-&gt;)3]]-Table1[[#This Row],[Total Volume
tidak dapat dipasang]],0)</f>
        <v>0</v>
      </c>
      <c r="CK350" s="47"/>
      <c r="CL350" s="131"/>
      <c r="CM350" s="337"/>
      <c r="CN350" s="131"/>
      <c r="CO350" s="131"/>
      <c r="CP35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1.1452355688432713E-2</v>
      </c>
      <c r="CQ350" s="436">
        <f>IFERROR(Table1[[#This Row],[Progres Keg. Umum
(%)]]*Table1[[#This Row],[Nilai RAB Jaringan
(file pa aji)]],0)</f>
        <v>0</v>
      </c>
      <c r="CR350" s="436">
        <f>IFERROR(Table1[[#This Row],[Progres MOS
(%)]]*Table1[[#This Row],[Nilai RAB Jaringan
(file pa aji)]],0)</f>
        <v>0</v>
      </c>
      <c r="CS350" s="436">
        <f>IFERROR(Table1[[#This Row],[Progres Pemasangan
(%)]]*Table1[[#This Row],[Nilai RAB Jaringan
(file pa aji)]],0)</f>
        <v>0</v>
      </c>
      <c r="CT350" s="436">
        <f>IFERROR(Table1[[#This Row],[Progres Perizinan
(%)]]*Table1[[#This Row],[Nilai RAB Jaringan
(file pa aji)]],0)</f>
        <v>0</v>
      </c>
      <c r="CU350" s="329">
        <v>0</v>
      </c>
      <c r="CV350" s="329">
        <v>0</v>
      </c>
      <c r="CW350" s="511">
        <v>0</v>
      </c>
      <c r="CX350" s="329">
        <v>0</v>
      </c>
      <c r="CY350" s="47"/>
      <c r="CZ350" s="331">
        <v>45929</v>
      </c>
      <c r="DA350" s="331">
        <v>45963</v>
      </c>
      <c r="DB350" s="331">
        <v>46076</v>
      </c>
      <c r="DC350" s="316" t="s">
        <v>2787</v>
      </c>
      <c r="DD350" s="508"/>
      <c r="DE35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0" s="331">
        <v>46091</v>
      </c>
      <c r="DG350" s="316" t="s">
        <v>2788</v>
      </c>
      <c r="DH350" s="514"/>
      <c r="DI35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0" s="331">
        <v>45964</v>
      </c>
      <c r="DK350" s="331">
        <v>46110</v>
      </c>
      <c r="DL350" s="331">
        <v>46125</v>
      </c>
      <c r="DM350" s="316" t="s">
        <v>2789</v>
      </c>
      <c r="DN35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0" s="331">
        <v>46164</v>
      </c>
      <c r="DP350" s="316" t="s">
        <v>2790</v>
      </c>
      <c r="DQ350" s="338" t="s">
        <v>365</v>
      </c>
      <c r="DR35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0" s="331">
        <v>45964</v>
      </c>
      <c r="DT350" s="331">
        <v>46158</v>
      </c>
      <c r="DU350" s="331">
        <v>46012</v>
      </c>
      <c r="DV350" s="331">
        <v>46172</v>
      </c>
      <c r="DW350" s="331">
        <v>46125</v>
      </c>
      <c r="DX350" s="316" t="s">
        <v>2791</v>
      </c>
      <c r="DY350" s="334">
        <v>51</v>
      </c>
      <c r="DZ350" s="334">
        <v>51</v>
      </c>
      <c r="EA35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0" s="331"/>
      <c r="EC350" s="332">
        <v>33</v>
      </c>
      <c r="ED350" s="332">
        <v>33</v>
      </c>
      <c r="EE350" s="118"/>
      <c r="EF350" s="337">
        <v>0.6470588235294118</v>
      </c>
      <c r="EG350" s="337">
        <f>Table1[[#This Row],[Line PO]]/Table1[[#This Row],[Line PR]]</f>
        <v>0.6470588235294118</v>
      </c>
      <c r="EH350" s="316" t="str">
        <f>IF(Table1[[#This Row],[PO Material Aktual 
(%)]]&gt;=100%,"Selesai PO = 100%",IF(Table1[[#This Row],[PO Material Aktual 
(%)]]&gt;=50%,"Proses PO &gt; 100%",IF(Table1[[#This Row],[PO Material Aktual 
(%)]]&gt;0%,"Proses PO &gt; 50%",IF(Table1[[#This Row],[PO Material Aktual 
(%)]]=0,"Belum PO = 0%"))))</f>
        <v>Proses PO &gt; 100%</v>
      </c>
      <c r="EI35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0" s="331">
        <v>46013</v>
      </c>
      <c r="EK350" s="331">
        <v>46172</v>
      </c>
      <c r="EL350" s="331">
        <v>46201</v>
      </c>
      <c r="EM350" s="331">
        <v>46187</v>
      </c>
      <c r="EN350" s="331"/>
      <c r="EO350" s="332">
        <v>3</v>
      </c>
      <c r="EP350" s="332">
        <v>3</v>
      </c>
      <c r="EQ350" s="337">
        <v>5.8823529411764705E-2</v>
      </c>
      <c r="ER350" s="337">
        <f>Table1[[#This Row],[Line MOS (kolom bantu)]]/Table1[[#This Row],[Line PR]]</f>
        <v>5.8823529411764705E-2</v>
      </c>
      <c r="ES350" s="316" t="str">
        <f>IF(Table1[[#This Row],[Progres MOS]]&gt;=100%,"Selesai MOS = 100%",IF(Table1[[#This Row],[Progres MOS]]&gt;=50%,"Proses MOS &gt; 100%",IF(Table1[[#This Row],[Progres MOS]]&gt;0%,"Proses MOS &gt; 50%",IF(Table1[[#This Row],[Progres MOS]]=0,"Belum MOS = 0%"))))</f>
        <v>Proses MOS &gt; 50%</v>
      </c>
      <c r="ET35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50" s="47"/>
      <c r="EV350" s="331">
        <v>45964</v>
      </c>
      <c r="EW350" s="331">
        <v>46153</v>
      </c>
      <c r="EX350" s="331">
        <v>46138</v>
      </c>
      <c r="EY350" s="331">
        <v>46183</v>
      </c>
      <c r="EZ350" s="352" t="s">
        <v>2758</v>
      </c>
      <c r="FA350" s="409" t="s">
        <v>2758</v>
      </c>
      <c r="FB350" s="331"/>
      <c r="FC350" s="330"/>
      <c r="FD350" s="331"/>
      <c r="FE350" s="331"/>
      <c r="FF350" s="331"/>
      <c r="FG350" s="331"/>
      <c r="FH350" s="331"/>
      <c r="FI350" s="331"/>
      <c r="FJ350" s="331"/>
      <c r="FK350" s="331"/>
      <c r="FL350" s="352" t="s">
        <v>2759</v>
      </c>
      <c r="FM350" s="352"/>
      <c r="FN350" s="338" t="str">
        <f>IF(Table1[[#This Row],[Tanggal Pengajuan Dokumen]]="","",Table1[[#This Row],[PLAN PERMIT
start]]-Table1[[#This Row],[Tanggal Pengajuan Dokumen]])</f>
        <v/>
      </c>
      <c r="FO350" s="352"/>
      <c r="FP350" s="316" t="s">
        <v>923</v>
      </c>
      <c r="FQ350" s="338"/>
      <c r="FR350" s="331"/>
      <c r="FS350" s="338"/>
      <c r="FT35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0" s="344">
        <f ca="1">IF(Table1[[#This Row],[Status Izin]]="Selesai",Table1[[#This Row],[PLAN PERMIT
finish]]-Table1[[#This Row],[Tanggal Terbit/ Target Izin Terbit]],ROUNDUP(Table1[[#This Row],[PLAN PERMIT
finish]]-NOW(),0))</f>
        <v>-53</v>
      </c>
      <c r="FV35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0" s="344"/>
      <c r="FX350" s="47"/>
      <c r="FY350" s="513">
        <v>46097</v>
      </c>
      <c r="FZ350" s="513" t="s">
        <v>2746</v>
      </c>
      <c r="GA35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0" s="331">
        <v>46111</v>
      </c>
      <c r="GC350" s="352"/>
      <c r="GD35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50" s="331">
        <v>46118</v>
      </c>
      <c r="GF350" s="352"/>
      <c r="GG35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50" s="331">
        <v>46125</v>
      </c>
      <c r="GI350" s="331">
        <v>46131</v>
      </c>
      <c r="GJ350" s="352"/>
      <c r="GK35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50" s="331">
        <v>46139</v>
      </c>
      <c r="GM350" s="331">
        <v>46190</v>
      </c>
      <c r="GN350" s="331">
        <v>46222</v>
      </c>
      <c r="GO350" s="330">
        <v>46275</v>
      </c>
      <c r="GP350" s="316"/>
      <c r="GQ35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50" s="331"/>
      <c r="GS350" s="331"/>
      <c r="GT350" s="354"/>
      <c r="GU350" s="344" t="str">
        <f>IF(Table1[[#This Row],[Hydro Tes Actual
(tanggal)]]&lt;&gt;"","Sudah","Belum")</f>
        <v>Belum</v>
      </c>
      <c r="GV350" s="330"/>
      <c r="GW350" s="330"/>
      <c r="GX350" s="331"/>
      <c r="GY350" s="344" t="str">
        <f>IF(Table1[[#This Row],[Interkoneksi Actual
(tanggal)]]&lt;&gt;"","Sudah","Belum")</f>
        <v>Belum</v>
      </c>
      <c r="GZ350" s="330"/>
      <c r="HA350" s="330"/>
      <c r="HB350" s="331"/>
      <c r="HC350" s="344" t="str">
        <f>IF(Table1[[#This Row],[Flushing Actual
(tanggal)]]&lt;&gt;"","Sudah","Belum")</f>
        <v>Belum</v>
      </c>
      <c r="HD350" s="331">
        <v>46225</v>
      </c>
      <c r="HE350" s="331">
        <v>46276</v>
      </c>
      <c r="HF350" s="331">
        <v>46230</v>
      </c>
      <c r="HG350" s="352"/>
      <c r="HH35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50" s="330"/>
      <c r="HJ350" s="330"/>
      <c r="HK350" s="331"/>
      <c r="HL350" s="331"/>
      <c r="HM350" s="331">
        <v>46247</v>
      </c>
      <c r="HN350" s="331">
        <v>46247</v>
      </c>
      <c r="HO350" s="330">
        <v>46293</v>
      </c>
      <c r="HP350" s="331"/>
      <c r="HQ35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50" s="331">
        <v>46255</v>
      </c>
      <c r="HS350" s="331"/>
      <c r="HT350" s="331">
        <v>46255</v>
      </c>
      <c r="HU350" s="420"/>
      <c r="HV350" s="395"/>
      <c r="HW350"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50" s="47"/>
      <c r="HY350" s="352"/>
      <c r="HZ350" s="352"/>
      <c r="IA350" s="72"/>
      <c r="IB350" s="618">
        <f>IFERROR(ROUND((Table1[[#This Row],[PLAN TC
finish]]-Table1[[#This Row],[PLAN MC-0
start]])/30,2),"")</f>
        <v>3.5</v>
      </c>
      <c r="IC350">
        <f>DATEDIF(Table1[[#This Row],[PLAN MC-0
start]],Table1[[#This Row],[PLAN TC
finish]],"m")</f>
        <v>3</v>
      </c>
      <c r="ID350" s="6"/>
      <c r="IE350" s="6"/>
      <c r="IF350" s="72"/>
      <c r="IH350" s="6"/>
      <c r="II350" s="4"/>
      <c r="IJ350" s="4"/>
      <c r="IK350" s="6"/>
      <c r="IL350" s="6"/>
      <c r="IM350" s="6"/>
      <c r="IN350" s="6"/>
      <c r="IO350" s="6"/>
      <c r="IQ350" s="6"/>
      <c r="IR350" s="6"/>
      <c r="IS350" s="6"/>
      <c r="IT350" s="6"/>
      <c r="IW350" s="6"/>
      <c r="IX350" s="6"/>
      <c r="IZ350" s="6"/>
      <c r="JA350" s="6"/>
    </row>
    <row r="351" spans="2:261" ht="15" hidden="1" customHeight="1" x14ac:dyDescent="0.2">
      <c r="B351" s="311">
        <f>SUBTOTAL(3,$D$5:D351)</f>
        <v>84</v>
      </c>
      <c r="C351" s="316">
        <v>347</v>
      </c>
      <c r="D351" s="315" t="s">
        <v>244</v>
      </c>
      <c r="E351" s="460" t="s">
        <v>2792</v>
      </c>
      <c r="F351" s="338" t="s">
        <v>2793</v>
      </c>
      <c r="G351" s="349">
        <v>46300</v>
      </c>
      <c r="H351" s="338" t="s">
        <v>247</v>
      </c>
      <c r="I351" s="338" t="s">
        <v>1212</v>
      </c>
      <c r="J351" s="480"/>
      <c r="K351" s="338"/>
      <c r="L351" s="316"/>
      <c r="M351" s="355" t="s">
        <v>269</v>
      </c>
      <c r="N351" s="507">
        <v>1</v>
      </c>
      <c r="O351" s="31" t="s">
        <v>1214</v>
      </c>
      <c r="P35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5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PO Jasa BPM</v>
      </c>
      <c r="R351" s="35">
        <v>0.41321343346617406</v>
      </c>
      <c r="S351" s="327">
        <v>0.41321343346617406</v>
      </c>
      <c r="T351" s="152">
        <f>Table1[[#This Row],[Progres Total Aktual
(%)]]</f>
        <v>0</v>
      </c>
      <c r="U351" s="121">
        <f>Table1[[#This Row],[Progres Aktual
(%)]]-Table1[[#This Row],[Target Progres
(%)]]</f>
        <v>-0.41321343346617406</v>
      </c>
      <c r="V351" s="80">
        <f>Table1[[#This Row],["Volume
BA MC-0"]]</f>
        <v>0</v>
      </c>
      <c r="W351" s="80">
        <f>Table1[[#This Row],[Total Panjang Pipa Aktual
(Sum-&gt;)3]]</f>
        <v>0</v>
      </c>
      <c r="X351" s="117"/>
      <c r="Y351" s="508" t="s">
        <v>2794</v>
      </c>
      <c r="Z351" s="67">
        <v>7763044097</v>
      </c>
      <c r="AA351" s="509">
        <f>ROUND((Table1[[#This Row],[Nilai RAB Jaringan
(Exclude Ppn)]]-Table1[[#This Row],[RAB Perizinan]])*1.11+Table1[[#This Row],[RAB Perizinan]],0)</f>
        <v>7763044097</v>
      </c>
      <c r="AB351" s="436">
        <f>SUM(Table1[[#This Row],[RAB Kegiatan Umum]:[RAB Perizinan]])</f>
        <v>6995811604</v>
      </c>
      <c r="AC351" s="436">
        <v>340045901</v>
      </c>
      <c r="AD351" s="436">
        <v>3400459009</v>
      </c>
      <c r="AE351" s="436">
        <v>3234335934</v>
      </c>
      <c r="AF351" s="436">
        <v>20970760</v>
      </c>
      <c r="AG351" s="436"/>
      <c r="AH351" s="510">
        <f>SUM(Table1[[#This Row],[Bobot Keg Umum]:[Bobot Perizinan]])</f>
        <v>1.0000000000000002</v>
      </c>
      <c r="AI351" s="510">
        <f>Table1[[#This Row],[RAB Kegiatan Umum]]/Table1[[#This Row],[Nilai RAB Jaringan
(Exclude Ppn)]]</f>
        <v>4.8607069522222657E-2</v>
      </c>
      <c r="AJ351" s="510">
        <f>Table1[[#This Row],[RAB Pemasangan]]/Table1[[#This Row],[Nilai RAB Jaringan
(Exclude Ppn)]]</f>
        <v>0.48607069507928391</v>
      </c>
      <c r="AK351" s="129">
        <f>Table1[[#This Row],[RAB Pengadaan]]/Table1[[#This Row],[Nilai RAB Jaringan
(Exclude Ppn)]]</f>
        <v>0.46232461894066751</v>
      </c>
      <c r="AL351" s="130">
        <f>Table1[[#This Row],[RAB Perizinan]]/Table1[[#This Row],[Nilai RAB Jaringan
(Exclude Ppn)]]</f>
        <v>2.9976164578259276E-3</v>
      </c>
      <c r="AM351" s="47"/>
      <c r="AN351" s="285"/>
      <c r="AO351" s="285">
        <f>SUM(Table1[[#This Row],[Pipa 63 mm]:[Pipa 1,800 mm]])</f>
        <v>0</v>
      </c>
      <c r="AP351" s="285"/>
      <c r="AQ351" s="285"/>
      <c r="AR351" s="285"/>
      <c r="AS351" s="285"/>
      <c r="AT351" s="285"/>
      <c r="AU351" s="285"/>
      <c r="AV351" s="285"/>
      <c r="AW351" s="285"/>
      <c r="AX351" s="285"/>
      <c r="AY351" s="285"/>
      <c r="AZ351" s="285"/>
      <c r="BA351" s="285"/>
      <c r="BB351" s="285"/>
      <c r="BC351" s="285"/>
      <c r="BD351" s="285"/>
      <c r="BE351" s="285"/>
      <c r="BF351" s="285"/>
      <c r="BG351" s="285"/>
      <c r="BH351" s="285"/>
      <c r="BI351" s="285"/>
      <c r="BJ351" s="36">
        <f>SUM(Table1[[#This Row],[Pipa 63 mm2]:[Pipa 1,800 mm21]])</f>
        <v>0</v>
      </c>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f>IF((Table1[[#This Row],["Volume
BA MC-0"]]-Table1[[#This Row],[Total Panjang Pipa Aktual
(Sum-&gt;)3]]-Table1[[#This Row],[Total Volume
tidak dapat dipasang]])&gt;=0,Table1[[#This Row],["Volume
BA MC-0"]]-Table1[[#This Row],[Total Panjang Pipa Aktual
(Sum-&gt;)3]]-Table1[[#This Row],[Total Volume
tidak dapat dipasang]],0)</f>
        <v>0</v>
      </c>
      <c r="CK351" s="47"/>
      <c r="CL351" s="131"/>
      <c r="CM351" s="337"/>
      <c r="CN351" s="131"/>
      <c r="CO351" s="131"/>
      <c r="CP35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51" s="436">
        <f>IFERROR(Table1[[#This Row],[Progres Keg. Umum
(%)]]*Table1[[#This Row],[Nilai RAB Jaringan
(file pa aji)]],0)</f>
        <v>0</v>
      </c>
      <c r="CR351" s="436">
        <f>IFERROR(Table1[[#This Row],[Progres MOS
(%)]]*Table1[[#This Row],[Nilai RAB Jaringan
(file pa aji)]],0)</f>
        <v>0</v>
      </c>
      <c r="CS351" s="436">
        <f>IFERROR(Table1[[#This Row],[Progres Pemasangan
(%)]]*Table1[[#This Row],[Nilai RAB Jaringan
(file pa aji)]],0)</f>
        <v>0</v>
      </c>
      <c r="CT351" s="436">
        <f>IFERROR(Table1[[#This Row],[Progres Perizinan
(%)]]*Table1[[#This Row],[Nilai RAB Jaringan
(file pa aji)]],0)</f>
        <v>0</v>
      </c>
      <c r="CU351" s="329">
        <v>0</v>
      </c>
      <c r="CV351" s="329">
        <v>0</v>
      </c>
      <c r="CW351" s="511">
        <v>0</v>
      </c>
      <c r="CX351" s="329">
        <v>0</v>
      </c>
      <c r="CY351" s="47"/>
      <c r="CZ351" s="331">
        <v>45929</v>
      </c>
      <c r="DA351" s="331">
        <v>45963</v>
      </c>
      <c r="DB351" s="331">
        <v>46076</v>
      </c>
      <c r="DC351" s="316" t="s">
        <v>2795</v>
      </c>
      <c r="DD351" s="508"/>
      <c r="DE35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1" s="331">
        <v>46091</v>
      </c>
      <c r="DG351" s="316" t="s">
        <v>2796</v>
      </c>
      <c r="DH351" s="514"/>
      <c r="DI35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1" s="331">
        <v>45964</v>
      </c>
      <c r="DK351" s="331">
        <v>46110</v>
      </c>
      <c r="DL351" s="331">
        <v>46140.766273148147</v>
      </c>
      <c r="DM351" s="316" t="s">
        <v>2797</v>
      </c>
      <c r="DN35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1" s="331">
        <v>46164</v>
      </c>
      <c r="DP351" s="316" t="s">
        <v>2798</v>
      </c>
      <c r="DQ351" s="338" t="s">
        <v>1910</v>
      </c>
      <c r="DR35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1" s="331">
        <v>45964</v>
      </c>
      <c r="DT351" s="331">
        <v>46158</v>
      </c>
      <c r="DU351" s="331">
        <v>46012</v>
      </c>
      <c r="DV351" s="331">
        <v>46172</v>
      </c>
      <c r="DW351" s="331">
        <v>46140</v>
      </c>
      <c r="DX351" t="s">
        <v>2797</v>
      </c>
      <c r="DY351" s="334">
        <v>58</v>
      </c>
      <c r="DZ351" s="334">
        <v>58</v>
      </c>
      <c r="EA35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1" s="331"/>
      <c r="EC351" s="332">
        <v>27</v>
      </c>
      <c r="ED351" s="332">
        <v>27</v>
      </c>
      <c r="EE351" s="118"/>
      <c r="EF351" s="337">
        <v>0.46551724137931033</v>
      </c>
      <c r="EG351" s="337">
        <f>Table1[[#This Row],[Line PO]]/Table1[[#This Row],[Line PR]]</f>
        <v>0.46551724137931033</v>
      </c>
      <c r="EH351" s="316" t="str">
        <f>IF(Table1[[#This Row],[PO Material Aktual 
(%)]]&gt;=100%,"Selesai PO = 100%",IF(Table1[[#This Row],[PO Material Aktual 
(%)]]&gt;=50%,"Proses PO &gt; 100%",IF(Table1[[#This Row],[PO Material Aktual 
(%)]]&gt;0%,"Proses PO &gt; 50%",IF(Table1[[#This Row],[PO Material Aktual 
(%)]]=0,"Belum PO = 0%"))))</f>
        <v>Proses PO &gt; 50%</v>
      </c>
      <c r="EI35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1" s="331">
        <v>46013</v>
      </c>
      <c r="EK351" s="331">
        <v>46172</v>
      </c>
      <c r="EL351" s="331">
        <v>46201</v>
      </c>
      <c r="EM351" s="331">
        <v>46187</v>
      </c>
      <c r="EN351" s="331"/>
      <c r="EO351" s="332">
        <v>0</v>
      </c>
      <c r="EP351" s="332">
        <v>0</v>
      </c>
      <c r="EQ351" s="337">
        <v>0</v>
      </c>
      <c r="ER351" s="337">
        <f>Table1[[#This Row],[Line MOS (kolom bantu)]]/Table1[[#This Row],[Line PR]]</f>
        <v>0</v>
      </c>
      <c r="ES351" s="316" t="str">
        <f>IF(Table1[[#This Row],[Progres MOS]]&gt;=100%,"Selesai MOS = 100%",IF(Table1[[#This Row],[Progres MOS]]&gt;=50%,"Proses MOS &gt; 100%",IF(Table1[[#This Row],[Progres MOS]]&gt;0%,"Proses MOS &gt; 50%",IF(Table1[[#This Row],[Progres MOS]]=0,"Belum MOS = 0%"))))</f>
        <v>Belum MOS = 0%</v>
      </c>
      <c r="ET35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51" s="47"/>
      <c r="EV351" s="331">
        <v>45964</v>
      </c>
      <c r="EW351" s="331">
        <v>46153</v>
      </c>
      <c r="EX351" s="331">
        <v>46138</v>
      </c>
      <c r="EY351" s="331">
        <v>46183</v>
      </c>
      <c r="EZ351" s="352" t="s">
        <v>2758</v>
      </c>
      <c r="FA351" s="409" t="s">
        <v>2758</v>
      </c>
      <c r="FB351" s="331"/>
      <c r="FC351" s="330"/>
      <c r="FD351" s="331"/>
      <c r="FE351" s="331"/>
      <c r="FF351" s="331"/>
      <c r="FG351" s="331"/>
      <c r="FH351" s="331"/>
      <c r="FI351" s="331"/>
      <c r="FJ351" s="331"/>
      <c r="FK351" s="331"/>
      <c r="FL351" s="352" t="s">
        <v>2759</v>
      </c>
      <c r="FM351" s="352"/>
      <c r="FN351" s="338" t="str">
        <f>IF(Table1[[#This Row],[Tanggal Pengajuan Dokumen]]="","",Table1[[#This Row],[PLAN PERMIT
start]]-Table1[[#This Row],[Tanggal Pengajuan Dokumen]])</f>
        <v/>
      </c>
      <c r="FO351" s="352"/>
      <c r="FP351" s="316" t="s">
        <v>923</v>
      </c>
      <c r="FQ351" s="338"/>
      <c r="FR351" s="331"/>
      <c r="FS351" s="338"/>
      <c r="FT35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1" s="344">
        <f ca="1">IF(Table1[[#This Row],[Status Izin]]="Selesai",Table1[[#This Row],[PLAN PERMIT
finish]]-Table1[[#This Row],[Tanggal Terbit/ Target Izin Terbit]],ROUNDUP(Table1[[#This Row],[PLAN PERMIT
finish]]-NOW(),0))</f>
        <v>-53</v>
      </c>
      <c r="FV35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1" s="344"/>
      <c r="FX351" s="47"/>
      <c r="FY351" s="513">
        <v>46097</v>
      </c>
      <c r="FZ351" s="513" t="s">
        <v>2746</v>
      </c>
      <c r="GA35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1" s="331">
        <v>46111</v>
      </c>
      <c r="GC351" s="352"/>
      <c r="GD35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51" s="331">
        <v>46118</v>
      </c>
      <c r="GF351" s="352"/>
      <c r="GG35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51" s="331">
        <v>46125</v>
      </c>
      <c r="GI351" s="331">
        <v>46131</v>
      </c>
      <c r="GJ351" s="352"/>
      <c r="GK35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51" s="331">
        <v>46139</v>
      </c>
      <c r="GM351" s="331">
        <v>46190</v>
      </c>
      <c r="GN351" s="331">
        <v>46222</v>
      </c>
      <c r="GO351" s="330">
        <v>46275</v>
      </c>
      <c r="GP351" s="316"/>
      <c r="GQ35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51" s="331"/>
      <c r="GS351" s="331"/>
      <c r="GT351" s="354"/>
      <c r="GU351" s="344" t="str">
        <f>IF(Table1[[#This Row],[Hydro Tes Actual
(tanggal)]]&lt;&gt;"","Sudah","Belum")</f>
        <v>Belum</v>
      </c>
      <c r="GV351" s="330"/>
      <c r="GW351" s="330"/>
      <c r="GX351" s="331"/>
      <c r="GY351" s="344" t="str">
        <f>IF(Table1[[#This Row],[Interkoneksi Actual
(tanggal)]]&lt;&gt;"","Sudah","Belum")</f>
        <v>Belum</v>
      </c>
      <c r="GZ351" s="330"/>
      <c r="HA351" s="330"/>
      <c r="HB351" s="331"/>
      <c r="HC351" s="344" t="str">
        <f>IF(Table1[[#This Row],[Flushing Actual
(tanggal)]]&lt;&gt;"","Sudah","Belum")</f>
        <v>Belum</v>
      </c>
      <c r="HD351" s="331">
        <v>46225</v>
      </c>
      <c r="HE351" s="331">
        <v>46276</v>
      </c>
      <c r="HF351" s="331">
        <v>46230</v>
      </c>
      <c r="HG351" s="352"/>
      <c r="HH35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51" s="330"/>
      <c r="HJ351" s="330"/>
      <c r="HK351" s="331"/>
      <c r="HL351" s="331"/>
      <c r="HM351" s="331">
        <v>46247</v>
      </c>
      <c r="HN351" s="331">
        <v>46247</v>
      </c>
      <c r="HO351" s="330">
        <v>46293</v>
      </c>
      <c r="HP351" s="331"/>
      <c r="HQ35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51" s="331">
        <v>46255</v>
      </c>
      <c r="HS351" s="331"/>
      <c r="HT351" s="331">
        <v>46255</v>
      </c>
      <c r="HU351" s="420"/>
      <c r="HV351" s="395"/>
      <c r="HW351"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51" s="47"/>
      <c r="HY351" s="352"/>
      <c r="HZ351" s="352"/>
      <c r="IA351" s="72"/>
      <c r="IB351" s="618">
        <f>IFERROR(ROUND((Table1[[#This Row],[PLAN TC
finish]]-Table1[[#This Row],[PLAN MC-0
start]])/30,2),"")</f>
        <v>3.5</v>
      </c>
      <c r="IC351">
        <f>DATEDIF(Table1[[#This Row],[PLAN MC-0
start]],Table1[[#This Row],[PLAN TC
finish]],"m")</f>
        <v>3</v>
      </c>
      <c r="ID351" s="6"/>
      <c r="IE351" s="6"/>
      <c r="IF351" s="72"/>
      <c r="IH351" s="6"/>
      <c r="II351" s="4"/>
      <c r="IJ351" s="4"/>
      <c r="IK351" s="6"/>
      <c r="IL351" s="6"/>
      <c r="IM351" s="6"/>
      <c r="IN351" s="6"/>
      <c r="IO351" s="6"/>
      <c r="IQ351" s="6"/>
      <c r="IR351" s="6"/>
      <c r="IS351" s="6"/>
      <c r="IT351" s="6"/>
      <c r="IW351" s="6"/>
      <c r="IX351" s="6"/>
      <c r="IZ351" s="6"/>
      <c r="JA351" s="6"/>
    </row>
    <row r="352" spans="2:261" ht="15" hidden="1" customHeight="1" x14ac:dyDescent="0.2">
      <c r="B352" s="311">
        <f>SUBTOTAL(3,$D$5:D352)</f>
        <v>84</v>
      </c>
      <c r="C352" s="316">
        <v>348</v>
      </c>
      <c r="D352" s="315" t="s">
        <v>244</v>
      </c>
      <c r="E352" s="315" t="s">
        <v>2799</v>
      </c>
      <c r="F352" s="338" t="s">
        <v>2800</v>
      </c>
      <c r="G352" s="349">
        <v>46300</v>
      </c>
      <c r="H352" s="338" t="s">
        <v>247</v>
      </c>
      <c r="I352" s="338" t="s">
        <v>278</v>
      </c>
      <c r="J352" s="480"/>
      <c r="K352" s="338"/>
      <c r="L352" s="316"/>
      <c r="M352" s="355" t="s">
        <v>269</v>
      </c>
      <c r="N352" s="507">
        <v>1020</v>
      </c>
      <c r="O352" s="31" t="s">
        <v>252</v>
      </c>
      <c r="P35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5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2" s="35">
        <v>0.94696167044099777</v>
      </c>
      <c r="S352" s="327">
        <v>0.94696167044099777</v>
      </c>
      <c r="T352" s="152">
        <f>Table1[[#This Row],[Progres Total Aktual
(%)]]</f>
        <v>6.5688385579552311E-2</v>
      </c>
      <c r="U352" s="121">
        <f>Table1[[#This Row],[Progres Aktual
(%)]]-Table1[[#This Row],[Target Progres
(%)]]</f>
        <v>-0.88127328486144552</v>
      </c>
      <c r="V352" s="80">
        <f>Table1[[#This Row],["Volume
BA MC-0"]]</f>
        <v>1074</v>
      </c>
      <c r="W352" s="80">
        <f>Table1[[#This Row],[Total Panjang Pipa Aktual
(Sum-&gt;)3]]</f>
        <v>0</v>
      </c>
      <c r="X352" s="117"/>
      <c r="Y352" s="508" t="s">
        <v>2801</v>
      </c>
      <c r="Z352" s="67">
        <v>1611907405</v>
      </c>
      <c r="AA352" s="509">
        <f>ROUND((Table1[[#This Row],[Nilai RAB Jaringan
(Exclude Ppn)]]-Table1[[#This Row],[RAB Perizinan]])*1.11+Table1[[#This Row],[RAB Perizinan]],0)</f>
        <v>1611907405</v>
      </c>
      <c r="AB352" s="436">
        <f>SUM(Table1[[#This Row],[RAB Kegiatan Umum]:[RAB Perizinan]])</f>
        <v>1453179644</v>
      </c>
      <c r="AC352" s="436">
        <v>97432535</v>
      </c>
      <c r="AD352" s="436">
        <v>974325346</v>
      </c>
      <c r="AE352" s="436">
        <v>371221763</v>
      </c>
      <c r="AF352" s="436">
        <v>10200000</v>
      </c>
      <c r="AG352" s="436"/>
      <c r="AH352" s="510">
        <f>SUM(Table1[[#This Row],[Bobot Keg Umum]:[Bobot Perizinan]])</f>
        <v>1</v>
      </c>
      <c r="AI352" s="510">
        <f>Table1[[#This Row],[RAB Kegiatan Umum]]/Table1[[#This Row],[Nilai RAB Jaringan
(Exclude Ppn)]]</f>
        <v>6.7047825368519956E-2</v>
      </c>
      <c r="AJ352" s="510">
        <f>Table1[[#This Row],[RAB Pemasangan]]/Table1[[#This Row],[Nilai RAB Jaringan
(Exclude Ppn)]]</f>
        <v>0.67047825093261493</v>
      </c>
      <c r="AK352" s="129">
        <f>Table1[[#This Row],[RAB Pengadaan]]/Table1[[#This Row],[Nilai RAB Jaringan
(Exclude Ppn)]]</f>
        <v>0.25545483280937015</v>
      </c>
      <c r="AL352" s="130">
        <f>Table1[[#This Row],[RAB Perizinan]]/Table1[[#This Row],[Nilai RAB Jaringan
(Exclude Ppn)]]</f>
        <v>7.0190908894950084E-3</v>
      </c>
      <c r="AM352" s="47"/>
      <c r="AN352" s="285">
        <v>1074</v>
      </c>
      <c r="AO352" s="285">
        <f>SUM(Table1[[#This Row],[Pipa 63 mm]:[Pipa 1,800 mm]])</f>
        <v>1074</v>
      </c>
      <c r="AP352" s="285">
        <v>971</v>
      </c>
      <c r="AQ352" s="285">
        <v>17</v>
      </c>
      <c r="AR352" s="285">
        <v>43</v>
      </c>
      <c r="AS352" s="285">
        <v>41</v>
      </c>
      <c r="AT352" s="285">
        <v>2</v>
      </c>
      <c r="AU352" s="285"/>
      <c r="AV352" s="285"/>
      <c r="AW352" s="285"/>
      <c r="AX352" s="285"/>
      <c r="AY352" s="285"/>
      <c r="AZ352" s="285"/>
      <c r="BA352" s="285"/>
      <c r="BB352" s="285"/>
      <c r="BC352" s="285"/>
      <c r="BD352" s="285"/>
      <c r="BE352" s="285"/>
      <c r="BF352" s="285"/>
      <c r="BG352" s="285"/>
      <c r="BH352" s="285"/>
      <c r="BI352" s="285"/>
      <c r="BJ352" s="36">
        <f>SUM(Table1[[#This Row],[Pipa 63 mm2]:[Pipa 1,800 mm21]])</f>
        <v>0</v>
      </c>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f>IF((Table1[[#This Row],["Volume
BA MC-0"]]-Table1[[#This Row],[Total Panjang Pipa Aktual
(Sum-&gt;)3]]-Table1[[#This Row],[Total Volume
tidak dapat dipasang]])&gt;=0,Table1[[#This Row],["Volume
BA MC-0"]]-Table1[[#This Row],[Total Panjang Pipa Aktual
(Sum-&gt;)3]]-Table1[[#This Row],[Total Volume
tidak dapat dipasang]],0)</f>
        <v>1074</v>
      </c>
      <c r="CK352" s="47"/>
      <c r="CL352" s="131"/>
      <c r="CM352" s="337"/>
      <c r="CN352" s="131"/>
      <c r="CO352" s="131"/>
      <c r="CP35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6.5688385579552311E-2</v>
      </c>
      <c r="CQ352" s="436">
        <f>IFERROR(Table1[[#This Row],[Progres Keg. Umum
(%)]]*Table1[[#This Row],[Nilai RAB Jaringan
(file pa aji)]],0)</f>
        <v>0</v>
      </c>
      <c r="CR352" s="436">
        <f>IFERROR(Table1[[#This Row],[Progres MOS
(%)]]*Table1[[#This Row],[Nilai RAB Jaringan
(file pa aji)]],0)</f>
        <v>0</v>
      </c>
      <c r="CS352" s="436">
        <f>IFERROR(Table1[[#This Row],[Progres Pemasangan
(%)]]*Table1[[#This Row],[Nilai RAB Jaringan
(file pa aji)]],0)</f>
        <v>0</v>
      </c>
      <c r="CT352" s="436">
        <f>IFERROR(Table1[[#This Row],[Progres Perizinan
(%)]]*Table1[[#This Row],[Nilai RAB Jaringan
(file pa aji)]],0)</f>
        <v>0</v>
      </c>
      <c r="CU352" s="329">
        <v>0</v>
      </c>
      <c r="CV352" s="329">
        <v>0</v>
      </c>
      <c r="CW352" s="511">
        <v>0</v>
      </c>
      <c r="CX352" s="329">
        <v>0</v>
      </c>
      <c r="CY352" s="47"/>
      <c r="CZ352" s="331">
        <v>46020</v>
      </c>
      <c r="DA352" s="331">
        <v>46047</v>
      </c>
      <c r="DB352" s="331">
        <v>45946</v>
      </c>
      <c r="DC352" s="316" t="s">
        <v>2802</v>
      </c>
      <c r="DD352" s="508">
        <v>1611907405</v>
      </c>
      <c r="DE35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2" s="331">
        <v>45957</v>
      </c>
      <c r="DG352" s="316" t="s">
        <v>2803</v>
      </c>
      <c r="DH352" s="508">
        <v>1611907405</v>
      </c>
      <c r="DI35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52" s="331">
        <v>46048</v>
      </c>
      <c r="DK352" s="331">
        <v>46110</v>
      </c>
      <c r="DL352" s="331">
        <v>46050</v>
      </c>
      <c r="DM352" s="316" t="s">
        <v>2804</v>
      </c>
      <c r="DN35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52" s="331">
        <v>46087</v>
      </c>
      <c r="DP352" s="316"/>
      <c r="DQ352" s="338" t="s">
        <v>560</v>
      </c>
      <c r="DR35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52" s="331">
        <v>46048</v>
      </c>
      <c r="DT352" s="331">
        <v>46162</v>
      </c>
      <c r="DU352" s="331">
        <v>46089</v>
      </c>
      <c r="DV352" s="331">
        <v>46176</v>
      </c>
      <c r="DW352" s="331">
        <v>46050</v>
      </c>
      <c r="DX352" s="426" t="s">
        <v>2805</v>
      </c>
      <c r="DY352" s="334">
        <v>63</v>
      </c>
      <c r="DZ352" s="334">
        <v>63</v>
      </c>
      <c r="EA35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52" s="331"/>
      <c r="EC352" s="332">
        <v>59</v>
      </c>
      <c r="ED352" s="332">
        <v>59</v>
      </c>
      <c r="EE352" s="118"/>
      <c r="EF352" s="337">
        <v>0.93650793650793651</v>
      </c>
      <c r="EG352" s="337">
        <f>Table1[[#This Row],[Line PO]]/Table1[[#This Row],[Line PR]]</f>
        <v>0.93650793650793651</v>
      </c>
      <c r="EH352" s="316" t="str">
        <f>IF(Table1[[#This Row],[PO Material Aktual 
(%)]]&gt;=100%,"Selesai PO = 100%",IF(Table1[[#This Row],[PO Material Aktual 
(%)]]&gt;=50%,"Proses PO &gt; 100%",IF(Table1[[#This Row],[PO Material Aktual 
(%)]]&gt;0%,"Proses PO &gt; 50%",IF(Table1[[#This Row],[PO Material Aktual 
(%)]]=0,"Belum PO = 0%"))))</f>
        <v>Proses PO &gt; 100%</v>
      </c>
      <c r="EI35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2" s="331">
        <v>46090</v>
      </c>
      <c r="EK352" s="331">
        <v>46176</v>
      </c>
      <c r="EL352" s="331">
        <v>46152</v>
      </c>
      <c r="EM352" s="331">
        <v>46218</v>
      </c>
      <c r="EN352" s="331"/>
      <c r="EO352" s="332">
        <v>27</v>
      </c>
      <c r="EP352" s="332">
        <v>27</v>
      </c>
      <c r="EQ352" s="337">
        <v>0.42857142857142855</v>
      </c>
      <c r="ER352" s="337">
        <f>Table1[[#This Row],[Line MOS (kolom bantu)]]/Table1[[#This Row],[Line PR]]</f>
        <v>0.42857142857142855</v>
      </c>
      <c r="ES352" s="316" t="str">
        <f>IF(Table1[[#This Row],[Progres MOS]]&gt;=100%,"Selesai MOS = 100%",IF(Table1[[#This Row],[Progres MOS]]&gt;=50%,"Proses MOS &gt; 100%",IF(Table1[[#This Row],[Progres MOS]]&gt;0%,"Proses MOS &gt; 50%",IF(Table1[[#This Row],[Progres MOS]]=0,"Belum MOS = 0%"))))</f>
        <v>Proses MOS &gt; 50%</v>
      </c>
      <c r="ET35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2" s="47"/>
      <c r="EV352" s="331">
        <v>46048</v>
      </c>
      <c r="EW352" s="331">
        <v>46184</v>
      </c>
      <c r="EX352" s="331">
        <v>46138</v>
      </c>
      <c r="EY352" s="331">
        <v>46214</v>
      </c>
      <c r="EZ352" s="352" t="s">
        <v>2748</v>
      </c>
      <c r="FA352" s="409" t="s">
        <v>2748</v>
      </c>
      <c r="FB352" s="330"/>
      <c r="FC352" s="330">
        <v>45670</v>
      </c>
      <c r="FD352" s="330" t="s">
        <v>260</v>
      </c>
      <c r="FE352" s="330">
        <v>46086</v>
      </c>
      <c r="FF352" s="330"/>
      <c r="FG352" s="330"/>
      <c r="FH352" s="330"/>
      <c r="FI352" s="330"/>
      <c r="FJ352" s="330"/>
      <c r="FK352" s="330"/>
      <c r="FL352" s="336" t="s">
        <v>2806</v>
      </c>
      <c r="FM352" s="352"/>
      <c r="FN352" s="338" t="str">
        <f>IF(Table1[[#This Row],[Tanggal Pengajuan Dokumen]]="","",Table1[[#This Row],[PLAN PERMIT
start]]-Table1[[#This Row],[Tanggal Pengajuan Dokumen]])</f>
        <v/>
      </c>
      <c r="FO352" s="352"/>
      <c r="FP352" s="316"/>
      <c r="FQ352" s="338"/>
      <c r="FR352" s="331"/>
      <c r="FS352" s="338"/>
      <c r="FT35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2" s="344">
        <f ca="1">IF(Table1[[#This Row],[Status Izin]]="Selesai",Table1[[#This Row],[PLAN PERMIT
finish]]-Table1[[#This Row],[Tanggal Terbit/ Target Izin Terbit]],ROUNDUP(Table1[[#This Row],[PLAN PERMIT
finish]]-NOW(),0))</f>
        <v>-53</v>
      </c>
      <c r="FV35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2" s="344"/>
      <c r="FX352" s="47"/>
      <c r="FY352" s="513">
        <v>46097</v>
      </c>
      <c r="FZ352" s="513">
        <v>46097</v>
      </c>
      <c r="GA35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2" s="331">
        <v>46111</v>
      </c>
      <c r="GC352" s="352">
        <v>46118</v>
      </c>
      <c r="GD35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2" s="331">
        <v>46118</v>
      </c>
      <c r="GF352" s="352">
        <v>46118</v>
      </c>
      <c r="GG35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52" s="331">
        <v>46125</v>
      </c>
      <c r="GI352" s="331">
        <v>46131</v>
      </c>
      <c r="GJ352" s="352">
        <v>46125</v>
      </c>
      <c r="GK35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52" s="331">
        <v>46139</v>
      </c>
      <c r="GM352" s="331">
        <v>46221</v>
      </c>
      <c r="GN352" s="331">
        <v>46173</v>
      </c>
      <c r="GO352" s="330">
        <v>46269</v>
      </c>
      <c r="GP352" s="316"/>
      <c r="GQ35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2" s="331"/>
      <c r="GS352" s="331"/>
      <c r="GT352" s="354"/>
      <c r="GU352" s="344" t="str">
        <f>IF(Table1[[#This Row],[Hydro Tes Actual
(tanggal)]]&lt;&gt;"","Sudah","Belum")</f>
        <v>Belum</v>
      </c>
      <c r="GV352" s="330"/>
      <c r="GW352" s="330"/>
      <c r="GX352" s="331"/>
      <c r="GY352" s="344" t="str">
        <f>IF(Table1[[#This Row],[Interkoneksi Actual
(tanggal)]]&lt;&gt;"","Sudah","Belum")</f>
        <v>Belum</v>
      </c>
      <c r="GZ352" s="330"/>
      <c r="HA352" s="330"/>
      <c r="HB352" s="331"/>
      <c r="HC352" s="344" t="str">
        <f>IF(Table1[[#This Row],[Flushing Actual
(tanggal)]]&lt;&gt;"","Sudah","Belum")</f>
        <v>Belum</v>
      </c>
      <c r="HD352" s="331">
        <v>46176</v>
      </c>
      <c r="HE352" s="331">
        <v>46270</v>
      </c>
      <c r="HF352" s="331">
        <v>46181</v>
      </c>
      <c r="HG352" s="352"/>
      <c r="HH35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2" s="330"/>
      <c r="HJ352" s="330"/>
      <c r="HK352" s="331"/>
      <c r="HL352" s="331"/>
      <c r="HM352" s="331">
        <v>46198</v>
      </c>
      <c r="HN352" s="331">
        <v>46198</v>
      </c>
      <c r="HO352" s="330">
        <v>46287</v>
      </c>
      <c r="HP352" s="331"/>
      <c r="HQ35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52" s="331">
        <v>46206</v>
      </c>
      <c r="HS352" s="331"/>
      <c r="HT352" s="331">
        <v>46206</v>
      </c>
      <c r="HU352" s="420"/>
      <c r="HV352" s="395"/>
      <c r="HW352"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52" s="47"/>
      <c r="HY352" s="352"/>
      <c r="HZ352" s="352"/>
      <c r="IA352" s="72"/>
      <c r="IB352" s="618">
        <f>IFERROR(ROUND((Table1[[#This Row],[PLAN TC
finish]]-Table1[[#This Row],[PLAN MC-0
start]])/30,2),"")</f>
        <v>1.87</v>
      </c>
      <c r="IC352">
        <f>DATEDIF(Table1[[#This Row],[PLAN MC-0
start]],Table1[[#This Row],[PLAN TC
finish]],"m")</f>
        <v>1</v>
      </c>
      <c r="ID352" s="6"/>
      <c r="IE352" s="6"/>
      <c r="IF352" s="72"/>
      <c r="IH352" s="6"/>
      <c r="II352" s="4"/>
      <c r="IJ352" s="4"/>
      <c r="IK352" s="6"/>
      <c r="IL352" s="6"/>
      <c r="IM352" s="6"/>
      <c r="IN352" s="6"/>
      <c r="IO352" s="6"/>
      <c r="IQ352" s="6"/>
      <c r="IR352" s="6"/>
      <c r="IS352" s="6"/>
      <c r="IT352" s="6"/>
      <c r="IW352" s="6"/>
      <c r="IX352" s="6"/>
      <c r="IZ352" s="6"/>
      <c r="JA352" s="6"/>
    </row>
    <row r="353" spans="2:261" ht="15" hidden="1" customHeight="1" x14ac:dyDescent="0.2">
      <c r="B353" s="311">
        <f>SUBTOTAL(3,$D$5:D353)</f>
        <v>84</v>
      </c>
      <c r="C353" s="316">
        <v>349</v>
      </c>
      <c r="D353" s="315" t="s">
        <v>244</v>
      </c>
      <c r="E353" s="315" t="s">
        <v>2807</v>
      </c>
      <c r="F353" s="338" t="s">
        <v>2808</v>
      </c>
      <c r="G353" s="349">
        <v>46300</v>
      </c>
      <c r="H353" s="338" t="s">
        <v>247</v>
      </c>
      <c r="I353" s="338" t="s">
        <v>278</v>
      </c>
      <c r="J353" s="480"/>
      <c r="K353" s="338"/>
      <c r="L353" s="316"/>
      <c r="M353" s="355" t="s">
        <v>269</v>
      </c>
      <c r="N353" s="507">
        <v>59661</v>
      </c>
      <c r="O353" s="31" t="s">
        <v>252</v>
      </c>
      <c r="P35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5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3" s="35">
        <v>0.98549551439922656</v>
      </c>
      <c r="S353" s="327">
        <v>0.98549551439922656</v>
      </c>
      <c r="T353" s="152">
        <f>Table1[[#This Row],[Progres Total Aktual
(%)]]</f>
        <v>3.4462807226870104E-2</v>
      </c>
      <c r="U353" s="121">
        <f>Table1[[#This Row],[Progres Aktual
(%)]]-Table1[[#This Row],[Target Progres
(%)]]</f>
        <v>-0.95103270717235644</v>
      </c>
      <c r="V353" s="80">
        <f>Table1[[#This Row],["Volume
BA MC-0"]]</f>
        <v>0</v>
      </c>
      <c r="W353" s="80">
        <f>Table1[[#This Row],[Total Panjang Pipa Aktual
(Sum-&gt;)3]]</f>
        <v>0</v>
      </c>
      <c r="X353" s="117"/>
      <c r="Y353" s="508" t="s">
        <v>2809</v>
      </c>
      <c r="Z353" s="67">
        <v>108263184306</v>
      </c>
      <c r="AA353" s="509">
        <f>ROUND((Table1[[#This Row],[Nilai RAB Jaringan
(Exclude Ppn)]]-Table1[[#This Row],[RAB Perizinan]])*1.11+Table1[[#This Row],[RAB Perizinan]],0)</f>
        <v>108263184306</v>
      </c>
      <c r="AB353" s="436">
        <f>SUM(Table1[[#This Row],[RAB Kegiatan Umum]:[RAB Perizinan]])</f>
        <v>97596672167.316711</v>
      </c>
      <c r="AC353" s="436">
        <v>3971646666</v>
      </c>
      <c r="AD353" s="436">
        <v>66194111088.316704</v>
      </c>
      <c r="AE353" s="436">
        <v>26802534413</v>
      </c>
      <c r="AF353" s="436">
        <v>628380000</v>
      </c>
      <c r="AG353" s="436"/>
      <c r="AH353" s="510">
        <f>SUM(Table1[[#This Row],[Bobot Keg Umum]:[Bobot Perizinan]])</f>
        <v>0.99999999999999989</v>
      </c>
      <c r="AI353" s="510">
        <f>Table1[[#This Row],[RAB Kegiatan Umum]]/Table1[[#This Row],[Nilai RAB Jaringan
(Exclude Ppn)]]</f>
        <v>4.0694488631652648E-2</v>
      </c>
      <c r="AJ353" s="510">
        <f>Table1[[#This Row],[RAB Pemasangan]]/Table1[[#This Row],[Nilai RAB Jaringan
(Exclude Ppn)]]</f>
        <v>0.67824147707450078</v>
      </c>
      <c r="AK353" s="129">
        <f>Table1[[#This Row],[RAB Pengadaan]]/Table1[[#This Row],[Nilai RAB Jaringan
(Exclude Ppn)]]</f>
        <v>0.27462549508912115</v>
      </c>
      <c r="AL353" s="130">
        <f>Table1[[#This Row],[RAB Perizinan]]/Table1[[#This Row],[Nilai RAB Jaringan
(Exclude Ppn)]]</f>
        <v>6.4385392047253904E-3</v>
      </c>
      <c r="AM353" s="47"/>
      <c r="AN353" s="285"/>
      <c r="AO353" s="285">
        <f>SUM(Table1[[#This Row],[Pipa 63 mm]:[Pipa 1,800 mm]])</f>
        <v>38736</v>
      </c>
      <c r="AP353" s="285">
        <v>10213</v>
      </c>
      <c r="AQ353" s="285">
        <v>12328</v>
      </c>
      <c r="AR353" s="285">
        <v>9298</v>
      </c>
      <c r="AS353" s="285">
        <v>1354</v>
      </c>
      <c r="AT353" s="285">
        <v>3400</v>
      </c>
      <c r="AU353" s="285">
        <v>1691</v>
      </c>
      <c r="AV353" s="285">
        <v>150</v>
      </c>
      <c r="AW353" s="285"/>
      <c r="AX353" s="285">
        <v>302</v>
      </c>
      <c r="AY353" s="285"/>
      <c r="AZ353" s="285"/>
      <c r="BA353" s="285"/>
      <c r="BB353" s="285"/>
      <c r="BC353" s="285"/>
      <c r="BD353" s="285"/>
      <c r="BE353" s="285"/>
      <c r="BF353" s="285"/>
      <c r="BG353" s="285"/>
      <c r="BH353" s="285"/>
      <c r="BI353" s="285"/>
      <c r="BJ353" s="36">
        <f>SUM(Table1[[#This Row],[Pipa 63 mm2]:[Pipa 1,800 mm21]])</f>
        <v>0</v>
      </c>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f>IF((Table1[[#This Row],["Volume
BA MC-0"]]-Table1[[#This Row],[Total Panjang Pipa Aktual
(Sum-&gt;)3]]-Table1[[#This Row],[Total Volume
tidak dapat dipasang]])&gt;=0,Table1[[#This Row],["Volume
BA MC-0"]]-Table1[[#This Row],[Total Panjang Pipa Aktual
(Sum-&gt;)3]]-Table1[[#This Row],[Total Volume
tidak dapat dipasang]],0)</f>
        <v>0</v>
      </c>
      <c r="CK353" s="47"/>
      <c r="CL353" s="131"/>
      <c r="CM353" s="337"/>
      <c r="CN353" s="131"/>
      <c r="CO353" s="131"/>
      <c r="CP35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3.4462807226870104E-2</v>
      </c>
      <c r="CQ353" s="436">
        <f>IFERROR(Table1[[#This Row],[Progres Keg. Umum
(%)]]*Table1[[#This Row],[Nilai RAB Jaringan
(file pa aji)]],0)</f>
        <v>0</v>
      </c>
      <c r="CR353" s="436">
        <f>IFERROR(Table1[[#This Row],[Progres MOS
(%)]]*Table1[[#This Row],[Nilai RAB Jaringan
(file pa aji)]],0)</f>
        <v>0</v>
      </c>
      <c r="CS353" s="436">
        <f>IFERROR(Table1[[#This Row],[Progres Pemasangan
(%)]]*Table1[[#This Row],[Nilai RAB Jaringan
(file pa aji)]],0)</f>
        <v>0</v>
      </c>
      <c r="CT353" s="436">
        <f>IFERROR(Table1[[#This Row],[Progres Perizinan
(%)]]*Table1[[#This Row],[Nilai RAB Jaringan
(file pa aji)]],0)</f>
        <v>0</v>
      </c>
      <c r="CU353" s="329">
        <v>0</v>
      </c>
      <c r="CV353" s="329">
        <v>0</v>
      </c>
      <c r="CW353" s="511">
        <v>0</v>
      </c>
      <c r="CX353" s="329">
        <v>0</v>
      </c>
      <c r="CY353" s="47"/>
      <c r="CZ353" s="331">
        <v>45929</v>
      </c>
      <c r="DA353" s="331">
        <v>45956</v>
      </c>
      <c r="DB353" s="331">
        <v>45950</v>
      </c>
      <c r="DC353" s="515" t="s">
        <v>2810</v>
      </c>
      <c r="DD353" s="508">
        <v>108263184306</v>
      </c>
      <c r="DE35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3" s="331">
        <v>45972</v>
      </c>
      <c r="DG353" s="516" t="s">
        <v>2811</v>
      </c>
      <c r="DH353" s="508">
        <v>108263184306</v>
      </c>
      <c r="DI35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3" s="331">
        <v>45957</v>
      </c>
      <c r="DK353" s="331">
        <v>45991</v>
      </c>
      <c r="DL353" s="331">
        <v>46002</v>
      </c>
      <c r="DM353" s="316" t="s">
        <v>2812</v>
      </c>
      <c r="DN35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3" s="331">
        <v>46085</v>
      </c>
      <c r="DP353" s="316"/>
      <c r="DQ353" s="338" t="s">
        <v>275</v>
      </c>
      <c r="DR35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3" s="331">
        <v>45957</v>
      </c>
      <c r="DT353" s="331">
        <v>46164</v>
      </c>
      <c r="DU353" s="331">
        <v>45998</v>
      </c>
      <c r="DV353" s="331">
        <v>46178</v>
      </c>
      <c r="DW353" s="331">
        <v>46002</v>
      </c>
      <c r="DX353" s="316" t="s">
        <v>2813</v>
      </c>
      <c r="DY353" s="334">
        <v>153</v>
      </c>
      <c r="DZ353" s="334">
        <v>153</v>
      </c>
      <c r="EA35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3" s="331"/>
      <c r="EC353" s="332">
        <v>133</v>
      </c>
      <c r="ED353" s="332">
        <v>133</v>
      </c>
      <c r="EE353" s="118"/>
      <c r="EF353" s="337">
        <v>0.86928104575163401</v>
      </c>
      <c r="EG353" s="337">
        <f>Table1[[#This Row],[Line PO]]/Table1[[#This Row],[Line PR]]</f>
        <v>0.86928104575163401</v>
      </c>
      <c r="EH353" s="316" t="str">
        <f>IF(Table1[[#This Row],[PO Material Aktual 
(%)]]&gt;=100%,"Selesai PO = 100%",IF(Table1[[#This Row],[PO Material Aktual 
(%)]]&gt;=50%,"Proses PO &gt; 100%",IF(Table1[[#This Row],[PO Material Aktual 
(%)]]&gt;0%,"Proses PO &gt; 50%",IF(Table1[[#This Row],[PO Material Aktual 
(%)]]=0,"Belum PO = 0%"))))</f>
        <v>Proses PO &gt; 100%</v>
      </c>
      <c r="EI35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3" s="331">
        <v>45999</v>
      </c>
      <c r="EK353" s="331">
        <v>46178</v>
      </c>
      <c r="EL353" s="331">
        <v>46110</v>
      </c>
      <c r="EM353" s="331">
        <v>46203</v>
      </c>
      <c r="EN353" s="331"/>
      <c r="EO353" s="332">
        <v>32</v>
      </c>
      <c r="EP353" s="332">
        <v>32</v>
      </c>
      <c r="EQ353" s="337">
        <v>0.20915032679738563</v>
      </c>
      <c r="ER353" s="337">
        <f>Table1[[#This Row],[Line MOS (kolom bantu)]]/Table1[[#This Row],[Line PR]]</f>
        <v>0.20915032679738563</v>
      </c>
      <c r="ES353" s="316" t="str">
        <f>IF(Table1[[#This Row],[Progres MOS]]&gt;=100%,"Selesai MOS = 100%",IF(Table1[[#This Row],[Progres MOS]]&gt;=50%,"Proses MOS &gt; 100%",IF(Table1[[#This Row],[Progres MOS]]&gt;0%,"Proses MOS &gt; 50%",IF(Table1[[#This Row],[Progres MOS]]=0,"Belum MOS = 0%"))))</f>
        <v>Proses MOS &gt; 50%</v>
      </c>
      <c r="ET35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3" s="47"/>
      <c r="EV353" s="331">
        <v>45957</v>
      </c>
      <c r="EW353" s="331">
        <v>46169</v>
      </c>
      <c r="EX353" s="331">
        <v>46019</v>
      </c>
      <c r="EY353" s="331">
        <v>46199</v>
      </c>
      <c r="EZ353" s="352" t="s">
        <v>1592</v>
      </c>
      <c r="FA353" s="409" t="s">
        <v>1592</v>
      </c>
      <c r="FB353" s="330"/>
      <c r="FC353" s="330">
        <v>45982</v>
      </c>
      <c r="FD353" s="330" t="s">
        <v>260</v>
      </c>
      <c r="FE353" s="330">
        <v>46050</v>
      </c>
      <c r="FF353" s="330">
        <v>46071</v>
      </c>
      <c r="FG353" s="330"/>
      <c r="FH353" s="330"/>
      <c r="FI353" s="330"/>
      <c r="FJ353" s="330"/>
      <c r="FK353" s="330"/>
      <c r="FL353" s="336" t="s">
        <v>2806</v>
      </c>
      <c r="FM353" s="352"/>
      <c r="FN353" s="338" t="str">
        <f>IF(Table1[[#This Row],[Tanggal Pengajuan Dokumen]]="","",Table1[[#This Row],[PLAN PERMIT
start]]-Table1[[#This Row],[Tanggal Pengajuan Dokumen]])</f>
        <v/>
      </c>
      <c r="FO353" s="352"/>
      <c r="FP353" s="316"/>
      <c r="FQ353" s="338"/>
      <c r="FR353" s="331"/>
      <c r="FS353" s="338"/>
      <c r="FT35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3" s="344">
        <f ca="1">IF(Table1[[#This Row],[Status Izin]]="Selesai",Table1[[#This Row],[PLAN PERMIT
finish]]-Table1[[#This Row],[Tanggal Terbit/ Target Izin Terbit]],ROUNDUP(Table1[[#This Row],[PLAN PERMIT
finish]]-NOW(),0))</f>
        <v>-172</v>
      </c>
      <c r="FV35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3" s="344"/>
      <c r="FX353" s="47"/>
      <c r="FY353" s="513">
        <v>45978</v>
      </c>
      <c r="FZ353" s="513">
        <v>45924</v>
      </c>
      <c r="GA35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3" s="331">
        <v>45992</v>
      </c>
      <c r="GC353" s="352">
        <v>46118</v>
      </c>
      <c r="GD35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3" s="331">
        <v>45999</v>
      </c>
      <c r="GF353" s="352">
        <v>46118</v>
      </c>
      <c r="GG35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3" s="331">
        <v>46006</v>
      </c>
      <c r="GI353" s="331">
        <v>46012</v>
      </c>
      <c r="GJ353" s="352">
        <v>46133</v>
      </c>
      <c r="GK35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3" s="331">
        <v>46020</v>
      </c>
      <c r="GM353" s="331">
        <v>46206</v>
      </c>
      <c r="GN353" s="331">
        <v>46166</v>
      </c>
      <c r="GO353" s="330">
        <v>46275</v>
      </c>
      <c r="GP353" s="316"/>
      <c r="GQ35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3" s="331"/>
      <c r="GS353" s="331"/>
      <c r="GT353" s="354"/>
      <c r="GU353" s="344" t="str">
        <f>IF(Table1[[#This Row],[Hydro Tes Actual
(tanggal)]]&lt;&gt;"","Sudah","Belum")</f>
        <v>Belum</v>
      </c>
      <c r="GV353" s="330"/>
      <c r="GW353" s="330"/>
      <c r="GX353" s="331"/>
      <c r="GY353" s="344" t="str">
        <f>IF(Table1[[#This Row],[Interkoneksi Actual
(tanggal)]]&lt;&gt;"","Sudah","Belum")</f>
        <v>Belum</v>
      </c>
      <c r="GZ353" s="330"/>
      <c r="HA353" s="330"/>
      <c r="HB353" s="331"/>
      <c r="HC353" s="344" t="str">
        <f>IF(Table1[[#This Row],[Flushing Actual
(tanggal)]]&lt;&gt;"","Sudah","Belum")</f>
        <v>Belum</v>
      </c>
      <c r="HD353" s="331">
        <v>46169</v>
      </c>
      <c r="HE353" s="331">
        <v>46276</v>
      </c>
      <c r="HF353" s="331">
        <v>46174</v>
      </c>
      <c r="HG353" s="352"/>
      <c r="HH35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3" s="330"/>
      <c r="HJ353" s="330"/>
      <c r="HK353" s="331"/>
      <c r="HL353" s="331"/>
      <c r="HM353" s="331">
        <v>46191</v>
      </c>
      <c r="HN353" s="331">
        <v>46191</v>
      </c>
      <c r="HO353" s="330">
        <v>46293</v>
      </c>
      <c r="HP353" s="331"/>
      <c r="HQ35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53" s="331">
        <v>46199</v>
      </c>
      <c r="HS353" s="331"/>
      <c r="HT353" s="331">
        <v>46199</v>
      </c>
      <c r="HU353" s="420"/>
      <c r="HV353" s="395"/>
      <c r="HW353"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53" s="47"/>
      <c r="HY353" s="352"/>
      <c r="HZ353" s="352"/>
      <c r="IA353" s="72"/>
      <c r="IB353" s="618">
        <f>IFERROR(ROUND((Table1[[#This Row],[PLAN TC
finish]]-Table1[[#This Row],[PLAN MC-0
start]])/30,2),"")</f>
        <v>5.6</v>
      </c>
      <c r="IC353">
        <f>DATEDIF(Table1[[#This Row],[PLAN MC-0
start]],Table1[[#This Row],[PLAN TC
finish]],"m")</f>
        <v>5</v>
      </c>
      <c r="ID353" s="6"/>
      <c r="IE353" s="6"/>
      <c r="IF353" s="72"/>
      <c r="IH353" s="6"/>
      <c r="II353" s="4"/>
      <c r="IJ353" s="4"/>
      <c r="IK353" s="6"/>
      <c r="IL353" s="6"/>
      <c r="IM353" s="6"/>
      <c r="IN353" s="6"/>
      <c r="IO353" s="6"/>
      <c r="IQ353" s="6"/>
      <c r="IR353" s="6"/>
      <c r="IS353" s="6"/>
      <c r="IT353" s="6"/>
      <c r="IW353" s="6"/>
      <c r="IX353" s="6"/>
      <c r="IZ353" s="6"/>
      <c r="JA353" s="6"/>
    </row>
    <row r="354" spans="2:261" ht="15" hidden="1" customHeight="1" x14ac:dyDescent="0.2">
      <c r="B354" s="311">
        <f>SUBTOTAL(3,$D$5:D354)</f>
        <v>84</v>
      </c>
      <c r="C354" s="316">
        <v>350</v>
      </c>
      <c r="D354" s="315" t="s">
        <v>244</v>
      </c>
      <c r="E354" s="315" t="s">
        <v>2814</v>
      </c>
      <c r="F354" s="338" t="s">
        <v>2815</v>
      </c>
      <c r="G354" s="349">
        <v>46300</v>
      </c>
      <c r="H354" s="338" t="s">
        <v>247</v>
      </c>
      <c r="I354" s="338" t="s">
        <v>278</v>
      </c>
      <c r="J354" s="480"/>
      <c r="K354" s="338"/>
      <c r="L354" s="316"/>
      <c r="M354" s="355" t="s">
        <v>269</v>
      </c>
      <c r="N354" s="507">
        <v>12891</v>
      </c>
      <c r="O354" s="31" t="s">
        <v>252</v>
      </c>
      <c r="P35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5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4" s="35">
        <v>0.97892911245051439</v>
      </c>
      <c r="S354" s="327">
        <v>0.97892911245051439</v>
      </c>
      <c r="T354" s="152">
        <f>Table1[[#This Row],[Progres Total Aktual
(%)]]</f>
        <v>3.9966374789213187E-2</v>
      </c>
      <c r="U354" s="121">
        <f>Table1[[#This Row],[Progres Aktual
(%)]]-Table1[[#This Row],[Target Progres
(%)]]</f>
        <v>-0.93896273766130123</v>
      </c>
      <c r="V354" s="80">
        <f>Table1[[#This Row],["Volume
BA MC-0"]]</f>
        <v>0</v>
      </c>
      <c r="W354" s="80">
        <f>Table1[[#This Row],[Total Panjang Pipa Aktual
(Sum-&gt;)3]]</f>
        <v>0</v>
      </c>
      <c r="X354" s="117"/>
      <c r="Y354" s="508" t="s">
        <v>2816</v>
      </c>
      <c r="Z354" s="67">
        <v>41835326266</v>
      </c>
      <c r="AA354" s="509">
        <f>ROUND((Table1[[#This Row],[Nilai RAB Jaringan
(Exclude Ppn)]]-Table1[[#This Row],[RAB Perizinan]])*1.11+Table1[[#This Row],[RAB Perizinan]],0)</f>
        <v>41835326265</v>
      </c>
      <c r="AB354" s="436">
        <f>SUM(Table1[[#This Row],[RAB Kegiatan Umum]:[RAB Perizinan]])</f>
        <v>37707513212</v>
      </c>
      <c r="AC354" s="436">
        <v>1716509758</v>
      </c>
      <c r="AD354" s="436">
        <v>21456371974</v>
      </c>
      <c r="AE354" s="436">
        <v>14352691480</v>
      </c>
      <c r="AF354" s="436">
        <v>181940000</v>
      </c>
      <c r="AG354" s="436"/>
      <c r="AH354" s="510">
        <f>SUM(Table1[[#This Row],[Bobot Keg Umum]:[Bobot Perizinan]])</f>
        <v>1</v>
      </c>
      <c r="AI354" s="510">
        <f>Table1[[#This Row],[RAB Kegiatan Umum]]/Table1[[#This Row],[Nilai RAB Jaringan
(Exclude Ppn)]]</f>
        <v>4.5521690819264625E-2</v>
      </c>
      <c r="AJ354" s="510">
        <f>Table1[[#This Row],[RAB Pemasangan]]/Table1[[#This Row],[Nilai RAB Jaringan
(Exclude Ppn)]]</f>
        <v>0.56902113521428788</v>
      </c>
      <c r="AK354" s="129">
        <f>Table1[[#This Row],[RAB Pengadaan]]/Table1[[#This Row],[Nilai RAB Jaringan
(Exclude Ppn)]]</f>
        <v>0.38063214084964941</v>
      </c>
      <c r="AL354" s="130">
        <f>Table1[[#This Row],[RAB Perizinan]]/Table1[[#This Row],[Nilai RAB Jaringan
(Exclude Ppn)]]</f>
        <v>4.8250331167980498E-3</v>
      </c>
      <c r="AM354" s="47"/>
      <c r="AN354" s="285"/>
      <c r="AO354" s="285">
        <f>SUM(Table1[[#This Row],[Pipa 63 mm]:[Pipa 1,800 mm]])</f>
        <v>11935</v>
      </c>
      <c r="AP354" s="285">
        <v>3559</v>
      </c>
      <c r="AQ354" s="285">
        <v>2159</v>
      </c>
      <c r="AR354" s="285">
        <v>887</v>
      </c>
      <c r="AS354" s="285">
        <v>1481</v>
      </c>
      <c r="AT354" s="285">
        <v>51</v>
      </c>
      <c r="AU354" s="285">
        <v>38</v>
      </c>
      <c r="AV354" s="285">
        <v>4</v>
      </c>
      <c r="AW354" s="285"/>
      <c r="AX354" s="285">
        <v>3756</v>
      </c>
      <c r="AY354" s="285"/>
      <c r="AZ354" s="285"/>
      <c r="BA354" s="285"/>
      <c r="BB354" s="285"/>
      <c r="BC354" s="285"/>
      <c r="BD354" s="285"/>
      <c r="BE354" s="285"/>
      <c r="BF354" s="285"/>
      <c r="BG354" s="285"/>
      <c r="BH354" s="285"/>
      <c r="BI354" s="285"/>
      <c r="BJ354" s="36">
        <f>SUM(Table1[[#This Row],[Pipa 63 mm2]:[Pipa 1,800 mm21]])</f>
        <v>0</v>
      </c>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f>IF((Table1[[#This Row],["Volume
BA MC-0"]]-Table1[[#This Row],[Total Panjang Pipa Aktual
(Sum-&gt;)3]]-Table1[[#This Row],[Total Volume
tidak dapat dipasang]])&gt;=0,Table1[[#This Row],["Volume
BA MC-0"]]-Table1[[#This Row],[Total Panjang Pipa Aktual
(Sum-&gt;)3]]-Table1[[#This Row],[Total Volume
tidak dapat dipasang]],0)</f>
        <v>0</v>
      </c>
      <c r="CK354" s="47"/>
      <c r="CL354" s="131"/>
      <c r="CM354" s="337"/>
      <c r="CN354" s="131"/>
      <c r="CO354" s="131"/>
      <c r="CP35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3.9966374789213187E-2</v>
      </c>
      <c r="CQ354" s="436">
        <f>IFERROR(Table1[[#This Row],[Progres Keg. Umum
(%)]]*Table1[[#This Row],[Nilai RAB Jaringan
(file pa aji)]],0)</f>
        <v>0</v>
      </c>
      <c r="CR354" s="436">
        <f>IFERROR(Table1[[#This Row],[Progres MOS
(%)]]*Table1[[#This Row],[Nilai RAB Jaringan
(file pa aji)]],0)</f>
        <v>0</v>
      </c>
      <c r="CS354" s="436">
        <f>IFERROR(Table1[[#This Row],[Progres Pemasangan
(%)]]*Table1[[#This Row],[Nilai RAB Jaringan
(file pa aji)]],0)</f>
        <v>0</v>
      </c>
      <c r="CT354" s="436">
        <f>IFERROR(Table1[[#This Row],[Progres Perizinan
(%)]]*Table1[[#This Row],[Nilai RAB Jaringan
(file pa aji)]],0)</f>
        <v>0</v>
      </c>
      <c r="CU354" s="329">
        <v>0</v>
      </c>
      <c r="CV354" s="329">
        <v>0</v>
      </c>
      <c r="CW354" s="511">
        <v>0</v>
      </c>
      <c r="CX354" s="329">
        <v>0</v>
      </c>
      <c r="CY354" s="47"/>
      <c r="CZ354" s="331">
        <v>45929</v>
      </c>
      <c r="DA354" s="331">
        <v>45956</v>
      </c>
      <c r="DB354" s="331">
        <v>45950</v>
      </c>
      <c r="DC354" s="316" t="s">
        <v>2817</v>
      </c>
      <c r="DD354" s="508">
        <v>41835326266</v>
      </c>
      <c r="DE35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4" s="331">
        <v>45957</v>
      </c>
      <c r="DG354" s="316" t="s">
        <v>2818</v>
      </c>
      <c r="DH354" s="508">
        <v>41835326266</v>
      </c>
      <c r="DI35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4" s="331">
        <v>45957</v>
      </c>
      <c r="DK354" s="331">
        <v>46019</v>
      </c>
      <c r="DL354" s="331">
        <v>46041</v>
      </c>
      <c r="DM354" s="316" t="s">
        <v>2819</v>
      </c>
      <c r="DN35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4" s="331">
        <v>46086.291666666664</v>
      </c>
      <c r="DP354" s="316" t="s">
        <v>2820</v>
      </c>
      <c r="DQ354" s="338" t="s">
        <v>312</v>
      </c>
      <c r="DR35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4" s="331">
        <v>45957</v>
      </c>
      <c r="DT354" s="331">
        <v>46164</v>
      </c>
      <c r="DU354" s="331">
        <v>45998</v>
      </c>
      <c r="DV354" s="331">
        <v>46178</v>
      </c>
      <c r="DW354" s="331">
        <v>46041</v>
      </c>
      <c r="DX354" s="316" t="s">
        <v>2821</v>
      </c>
      <c r="DY354" s="334">
        <v>120</v>
      </c>
      <c r="DZ354" s="334">
        <v>120</v>
      </c>
      <c r="EA35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4" s="331"/>
      <c r="EC354" s="332">
        <v>110</v>
      </c>
      <c r="ED354" s="332">
        <v>110</v>
      </c>
      <c r="EE354" s="118"/>
      <c r="EF354" s="337">
        <v>0.91666666666666663</v>
      </c>
      <c r="EG354" s="337">
        <f>Table1[[#This Row],[Line PO]]/Table1[[#This Row],[Line PR]]</f>
        <v>0.91666666666666663</v>
      </c>
      <c r="EH354" s="316" t="str">
        <f>IF(Table1[[#This Row],[PO Material Aktual 
(%)]]&gt;=100%,"Selesai PO = 100%",IF(Table1[[#This Row],[PO Material Aktual 
(%)]]&gt;=50%,"Proses PO &gt; 100%",IF(Table1[[#This Row],[PO Material Aktual 
(%)]]&gt;0%,"Proses PO &gt; 50%",IF(Table1[[#This Row],[PO Material Aktual 
(%)]]=0,"Belum PO = 0%"))))</f>
        <v>Proses PO &gt; 100%</v>
      </c>
      <c r="EI35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4" s="331">
        <v>45999</v>
      </c>
      <c r="EK354" s="331">
        <v>46178</v>
      </c>
      <c r="EL354" s="331">
        <v>46110</v>
      </c>
      <c r="EM354" s="331">
        <v>46203</v>
      </c>
      <c r="EN354" s="331"/>
      <c r="EO354" s="332">
        <v>21</v>
      </c>
      <c r="EP354" s="332">
        <v>21</v>
      </c>
      <c r="EQ354" s="337">
        <v>0.17499999999999999</v>
      </c>
      <c r="ER354" s="337">
        <f>Table1[[#This Row],[Line MOS (kolom bantu)]]/Table1[[#This Row],[Line PR]]</f>
        <v>0.17499999999999999</v>
      </c>
      <c r="ES354" s="316" t="str">
        <f>IF(Table1[[#This Row],[Progres MOS]]&gt;=100%,"Selesai MOS = 100%",IF(Table1[[#This Row],[Progres MOS]]&gt;=50%,"Proses MOS &gt; 100%",IF(Table1[[#This Row],[Progres MOS]]&gt;0%,"Proses MOS &gt; 50%",IF(Table1[[#This Row],[Progres MOS]]=0,"Belum MOS = 0%"))))</f>
        <v>Proses MOS &gt; 50%</v>
      </c>
      <c r="ET35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4" s="47"/>
      <c r="EV354" s="331">
        <v>45957</v>
      </c>
      <c r="EW354" s="331">
        <v>46148</v>
      </c>
      <c r="EX354" s="331">
        <v>46047</v>
      </c>
      <c r="EY354" s="331">
        <v>46178</v>
      </c>
      <c r="EZ354" s="352" t="s">
        <v>2748</v>
      </c>
      <c r="FA354" s="409" t="s">
        <v>2748</v>
      </c>
      <c r="FB354" s="330"/>
      <c r="FC354" s="330">
        <v>45995</v>
      </c>
      <c r="FD354" s="330" t="s">
        <v>260</v>
      </c>
      <c r="FE354" s="330">
        <v>46057</v>
      </c>
      <c r="FF354" s="330"/>
      <c r="FG354" s="330"/>
      <c r="FH354" s="330"/>
      <c r="FI354" s="330"/>
      <c r="FJ354" s="330"/>
      <c r="FK354" s="330"/>
      <c r="FL354" s="336" t="s">
        <v>2806</v>
      </c>
      <c r="FM354" s="352"/>
      <c r="FN354" s="338" t="str">
        <f>IF(Table1[[#This Row],[Tanggal Pengajuan Dokumen]]="","",Table1[[#This Row],[PLAN PERMIT
start]]-Table1[[#This Row],[Tanggal Pengajuan Dokumen]])</f>
        <v/>
      </c>
      <c r="FO354" s="352"/>
      <c r="FP354" s="316"/>
      <c r="FQ354" s="338"/>
      <c r="FR354" s="331"/>
      <c r="FS354" s="338"/>
      <c r="FT35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4" s="344">
        <f ca="1">IF(Table1[[#This Row],[Status Izin]]="Selesai",Table1[[#This Row],[PLAN PERMIT
finish]]-Table1[[#This Row],[Tanggal Terbit/ Target Izin Terbit]],ROUNDUP(Table1[[#This Row],[PLAN PERMIT
finish]]-NOW(),0))</f>
        <v>-144</v>
      </c>
      <c r="FV35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4" s="344"/>
      <c r="FX354" s="47"/>
      <c r="FY354" s="513">
        <v>46006</v>
      </c>
      <c r="FZ354" s="513">
        <v>45967</v>
      </c>
      <c r="GA35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4" s="331">
        <v>46020</v>
      </c>
      <c r="GC354" s="352">
        <v>46118</v>
      </c>
      <c r="GD35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4" s="331">
        <v>46027</v>
      </c>
      <c r="GF354" s="352">
        <v>46118</v>
      </c>
      <c r="GG35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4" s="331">
        <v>46034</v>
      </c>
      <c r="GI354" s="331">
        <v>46040</v>
      </c>
      <c r="GJ354" s="352">
        <v>46133</v>
      </c>
      <c r="GK35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4" s="331">
        <v>46048</v>
      </c>
      <c r="GM354" s="331">
        <v>46206</v>
      </c>
      <c r="GN354" s="331">
        <v>46166</v>
      </c>
      <c r="GO354" s="330">
        <v>46275</v>
      </c>
      <c r="GP354" s="316"/>
      <c r="GQ35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4" s="331"/>
      <c r="GS354" s="331"/>
      <c r="GT354" s="354"/>
      <c r="GU354" s="344" t="str">
        <f>IF(Table1[[#This Row],[Hydro Tes Actual
(tanggal)]]&lt;&gt;"","Sudah","Belum")</f>
        <v>Belum</v>
      </c>
      <c r="GV354" s="330"/>
      <c r="GW354" s="330"/>
      <c r="GX354" s="331"/>
      <c r="GY354" s="344" t="str">
        <f>IF(Table1[[#This Row],[Interkoneksi Actual
(tanggal)]]&lt;&gt;"","Sudah","Belum")</f>
        <v>Belum</v>
      </c>
      <c r="GZ354" s="330"/>
      <c r="HA354" s="330"/>
      <c r="HB354" s="331"/>
      <c r="HC354" s="344" t="str">
        <f>IF(Table1[[#This Row],[Flushing Actual
(tanggal)]]&lt;&gt;"","Sudah","Belum")</f>
        <v>Belum</v>
      </c>
      <c r="HD354" s="331">
        <v>46169</v>
      </c>
      <c r="HE354" s="331">
        <v>46276</v>
      </c>
      <c r="HF354" s="331">
        <v>46174</v>
      </c>
      <c r="HG354" s="352"/>
      <c r="HH35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4" s="330"/>
      <c r="HJ354" s="330"/>
      <c r="HK354" s="331"/>
      <c r="HL354" s="331"/>
      <c r="HM354" s="331">
        <v>46191</v>
      </c>
      <c r="HN354" s="331">
        <v>46191</v>
      </c>
      <c r="HO354" s="330">
        <v>46293</v>
      </c>
      <c r="HP354" s="331"/>
      <c r="HQ35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54" s="331">
        <v>46199</v>
      </c>
      <c r="HS354" s="331"/>
      <c r="HT354" s="331">
        <v>46199</v>
      </c>
      <c r="HU354" s="420"/>
      <c r="HV354" s="395"/>
      <c r="HW354"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54" s="47"/>
      <c r="HY354" s="352"/>
      <c r="HZ354" s="352"/>
      <c r="IA354" s="72"/>
      <c r="IB354" s="618">
        <f>IFERROR(ROUND((Table1[[#This Row],[PLAN TC
finish]]-Table1[[#This Row],[PLAN MC-0
start]])/30,2),"")</f>
        <v>4.67</v>
      </c>
      <c r="IC354">
        <f>DATEDIF(Table1[[#This Row],[PLAN MC-0
start]],Table1[[#This Row],[PLAN TC
finish]],"m")</f>
        <v>4</v>
      </c>
      <c r="ID354" s="6"/>
      <c r="IE354" s="6"/>
      <c r="IF354" s="72"/>
      <c r="IH354" s="6"/>
      <c r="II354" s="4"/>
      <c r="IJ354" s="4"/>
      <c r="IK354" s="6"/>
      <c r="IL354" s="6"/>
      <c r="IM354" s="6"/>
      <c r="IN354" s="6"/>
      <c r="IO354" s="6"/>
      <c r="IQ354" s="6"/>
      <c r="IR354" s="6"/>
      <c r="IS354" s="6"/>
      <c r="IT354" s="6"/>
      <c r="IW354" s="6"/>
      <c r="IX354" s="6"/>
      <c r="IZ354" s="6"/>
      <c r="JA354" s="6"/>
    </row>
    <row r="355" spans="2:261" ht="15" hidden="1" customHeight="1" x14ac:dyDescent="0.2">
      <c r="B355" s="311">
        <f>SUBTOTAL(3,$D$5:D355)</f>
        <v>84</v>
      </c>
      <c r="C355" s="316">
        <v>351</v>
      </c>
      <c r="D355" s="315" t="s">
        <v>244</v>
      </c>
      <c r="E355" s="460" t="s">
        <v>2822</v>
      </c>
      <c r="F355" s="338" t="s">
        <v>2823</v>
      </c>
      <c r="G355" s="349">
        <v>46300</v>
      </c>
      <c r="H355" s="338" t="s">
        <v>247</v>
      </c>
      <c r="I355" s="338" t="s">
        <v>278</v>
      </c>
      <c r="J355" s="480"/>
      <c r="K355" s="338"/>
      <c r="L355" s="316"/>
      <c r="M355" s="355" t="s">
        <v>269</v>
      </c>
      <c r="N355" s="507">
        <v>10122</v>
      </c>
      <c r="O355" s="31" t="s">
        <v>252</v>
      </c>
      <c r="P35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5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5" s="35">
        <v>0.98078197539742196</v>
      </c>
      <c r="S355" s="327">
        <v>0.98078197539742196</v>
      </c>
      <c r="T355" s="152">
        <f>Table1[[#This Row],[Progres Total Aktual
(%)]]</f>
        <v>4.9723426988345039E-2</v>
      </c>
      <c r="U355" s="121">
        <f>Table1[[#This Row],[Progres Aktual
(%)]]-Table1[[#This Row],[Target Progres
(%)]]</f>
        <v>-0.93105854840907687</v>
      </c>
      <c r="V355" s="80">
        <f>Table1[[#This Row],["Volume
BA MC-0"]]</f>
        <v>0</v>
      </c>
      <c r="W355" s="80">
        <f>Table1[[#This Row],[Total Panjang Pipa Aktual
(Sum-&gt;)3]]</f>
        <v>0</v>
      </c>
      <c r="X355" s="117"/>
      <c r="Y355" s="508" t="s">
        <v>1</v>
      </c>
      <c r="Z355" s="67">
        <v>16449980828</v>
      </c>
      <c r="AA355" s="509">
        <f>ROUND((Table1[[#This Row],[Nilai RAB Jaringan
(Exclude Ppn)]]-Table1[[#This Row],[RAB Perizinan]])*1.11+Table1[[#This Row],[RAB Perizinan]],0)</f>
        <v>16449980828</v>
      </c>
      <c r="AB355" s="436">
        <f>SUM(Table1[[#This Row],[RAB Kegiatan Umum]:[RAB Perizinan]])</f>
        <v>14834689214</v>
      </c>
      <c r="AC355" s="436">
        <v>1065809734</v>
      </c>
      <c r="AD355" s="436">
        <f>8558129224+2099968108</f>
        <v>10658097332</v>
      </c>
      <c r="AE355" s="436">
        <v>2960562148</v>
      </c>
      <c r="AF355" s="436">
        <v>150220000</v>
      </c>
      <c r="AG355" s="436"/>
      <c r="AH355" s="510">
        <f>SUM(Table1[[#This Row],[Bobot Keg Umum]:[Bobot Perizinan]])</f>
        <v>1</v>
      </c>
      <c r="AI355" s="510">
        <f>Table1[[#This Row],[RAB Kegiatan Umum]]/Table1[[#This Row],[Nilai RAB Jaringan
(Exclude Ppn)]]</f>
        <v>7.1845774362037804E-2</v>
      </c>
      <c r="AJ355" s="510">
        <f>Table1[[#This Row],[RAB Pemasangan]]/Table1[[#This Row],[Nilai RAB Jaringan
(Exclude Ppn)]]</f>
        <v>0.71845774308110155</v>
      </c>
      <c r="AK355" s="129">
        <f>Table1[[#This Row],[RAB Pengadaan]]/Table1[[#This Row],[Nilai RAB Jaringan
(Exclude Ppn)]]</f>
        <v>0.19957021716410595</v>
      </c>
      <c r="AL355" s="130">
        <f>Table1[[#This Row],[RAB Perizinan]]/Table1[[#This Row],[Nilai RAB Jaringan
(Exclude Ppn)]]</f>
        <v>1.0126265392754725E-2</v>
      </c>
      <c r="AM355" s="47"/>
      <c r="AN355" s="285"/>
      <c r="AO355" s="285">
        <f>SUM(Table1[[#This Row],[Pipa 63 mm]:[Pipa 1,800 mm]])</f>
        <v>3579.7</v>
      </c>
      <c r="AP355" s="285">
        <v>2499.5</v>
      </c>
      <c r="AQ355" s="285">
        <v>824</v>
      </c>
      <c r="AR355" s="285">
        <v>256.2</v>
      </c>
      <c r="AS355" s="285"/>
      <c r="AT355" s="285"/>
      <c r="AU355" s="285"/>
      <c r="AV355" s="285"/>
      <c r="AW355" s="285"/>
      <c r="AX355" s="285"/>
      <c r="AY355" s="285"/>
      <c r="AZ355" s="285"/>
      <c r="BA355" s="285"/>
      <c r="BB355" s="285"/>
      <c r="BC355" s="285"/>
      <c r="BD355" s="285"/>
      <c r="BE355" s="285"/>
      <c r="BF355" s="285"/>
      <c r="BG355" s="285"/>
      <c r="BH355" s="285"/>
      <c r="BI355" s="285"/>
      <c r="BJ355" s="36">
        <f>SUM(Table1[[#This Row],[Pipa 63 mm2]:[Pipa 1,800 mm21]])</f>
        <v>0</v>
      </c>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f>IF((Table1[[#This Row],["Volume
BA MC-0"]]-Table1[[#This Row],[Total Panjang Pipa Aktual
(Sum-&gt;)3]]-Table1[[#This Row],[Total Volume
tidak dapat dipasang]])&gt;=0,Table1[[#This Row],["Volume
BA MC-0"]]-Table1[[#This Row],[Total Panjang Pipa Aktual
(Sum-&gt;)3]]-Table1[[#This Row],[Total Volume
tidak dapat dipasang]],0)</f>
        <v>0</v>
      </c>
      <c r="CK355" s="47"/>
      <c r="CL355" s="131"/>
      <c r="CM355" s="337"/>
      <c r="CN355" s="131"/>
      <c r="CO355" s="131"/>
      <c r="CP35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4.9723426988345039E-2</v>
      </c>
      <c r="CQ355" s="436">
        <f>IFERROR(Table1[[#This Row],[Progres Keg. Umum
(%)]]*Table1[[#This Row],[Nilai RAB Jaringan
(file pa aji)]],0)</f>
        <v>0</v>
      </c>
      <c r="CR355" s="436">
        <f>IFERROR(Table1[[#This Row],[Progres MOS
(%)]]*Table1[[#This Row],[Nilai RAB Jaringan
(file pa aji)]],0)</f>
        <v>0</v>
      </c>
      <c r="CS355" s="436">
        <f>IFERROR(Table1[[#This Row],[Progres Pemasangan
(%)]]*Table1[[#This Row],[Nilai RAB Jaringan
(file pa aji)]],0)</f>
        <v>0</v>
      </c>
      <c r="CT355" s="436">
        <f>IFERROR(Table1[[#This Row],[Progres Perizinan
(%)]]*Table1[[#This Row],[Nilai RAB Jaringan
(file pa aji)]],0)</f>
        <v>0</v>
      </c>
      <c r="CU355" s="329">
        <v>0</v>
      </c>
      <c r="CV355" s="329">
        <v>0</v>
      </c>
      <c r="CW355" s="511">
        <v>0</v>
      </c>
      <c r="CX355" s="329">
        <v>0</v>
      </c>
      <c r="CY355" s="47"/>
      <c r="CZ355" s="331">
        <v>45929</v>
      </c>
      <c r="DA355" s="331">
        <v>45956</v>
      </c>
      <c r="DB355" s="331">
        <v>45950</v>
      </c>
      <c r="DC355" s="316" t="s">
        <v>2824</v>
      </c>
      <c r="DD355" s="508">
        <v>16449980828</v>
      </c>
      <c r="DE35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5" s="331">
        <v>45957</v>
      </c>
      <c r="DG355" s="316" t="s">
        <v>2825</v>
      </c>
      <c r="DH355" s="508">
        <v>16449980828</v>
      </c>
      <c r="DI35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5" s="331">
        <v>45957</v>
      </c>
      <c r="DK355" s="331">
        <v>46019</v>
      </c>
      <c r="DL355" s="331">
        <v>46045</v>
      </c>
      <c r="DM355" s="316" t="s">
        <v>2826</v>
      </c>
      <c r="DN35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5" s="331">
        <v>46086.291666666664</v>
      </c>
      <c r="DP355" s="316"/>
      <c r="DQ355" s="338" t="s">
        <v>312</v>
      </c>
      <c r="DR35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5" s="331">
        <v>45957</v>
      </c>
      <c r="DT355" s="331">
        <v>46164</v>
      </c>
      <c r="DU355" s="331">
        <v>45998</v>
      </c>
      <c r="DV355" s="331">
        <v>46178</v>
      </c>
      <c r="DW355" s="331">
        <v>46045</v>
      </c>
      <c r="DX355" s="316" t="s">
        <v>2827</v>
      </c>
      <c r="DY355" s="334">
        <v>118</v>
      </c>
      <c r="DZ355" s="334">
        <v>118</v>
      </c>
      <c r="EA35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5" s="331"/>
      <c r="EC355" s="332">
        <v>103</v>
      </c>
      <c r="ED355" s="332">
        <v>103</v>
      </c>
      <c r="EE355" s="118"/>
      <c r="EF355" s="337">
        <v>0.8728813559322034</v>
      </c>
      <c r="EG355" s="337">
        <f>Table1[[#This Row],[Line PO]]/Table1[[#This Row],[Line PR]]</f>
        <v>0.8728813559322034</v>
      </c>
      <c r="EH355" s="316" t="str">
        <f>IF(Table1[[#This Row],[PO Material Aktual 
(%)]]&gt;=100%,"Selesai PO = 100%",IF(Table1[[#This Row],[PO Material Aktual 
(%)]]&gt;=50%,"Proses PO &gt; 100%",IF(Table1[[#This Row],[PO Material Aktual 
(%)]]&gt;0%,"Proses PO &gt; 50%",IF(Table1[[#This Row],[PO Material Aktual 
(%)]]=0,"Belum PO = 0%"))))</f>
        <v>Proses PO &gt; 100%</v>
      </c>
      <c r="EI35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5" s="331">
        <v>45999</v>
      </c>
      <c r="EK355" s="331">
        <v>46178</v>
      </c>
      <c r="EL355" s="331">
        <v>46110</v>
      </c>
      <c r="EM355" s="331">
        <v>46203</v>
      </c>
      <c r="EN355" s="331"/>
      <c r="EO355" s="332">
        <v>49</v>
      </c>
      <c r="EP355" s="332">
        <v>49</v>
      </c>
      <c r="EQ355" s="337">
        <v>0.4152542372881356</v>
      </c>
      <c r="ER355" s="337">
        <f>Table1[[#This Row],[Line MOS (kolom bantu)]]/Table1[[#This Row],[Line PR]]</f>
        <v>0.4152542372881356</v>
      </c>
      <c r="ES355" s="316" t="str">
        <f>IF(Table1[[#This Row],[Progres MOS]]&gt;=100%,"Selesai MOS = 100%",IF(Table1[[#This Row],[Progres MOS]]&gt;=50%,"Proses MOS &gt; 100%",IF(Table1[[#This Row],[Progres MOS]]&gt;0%,"Proses MOS &gt; 50%",IF(Table1[[#This Row],[Progres MOS]]=0,"Belum MOS = 0%"))))</f>
        <v>Proses MOS &gt; 50%</v>
      </c>
      <c r="ET35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5" s="47"/>
      <c r="EV355" s="331">
        <v>45957</v>
      </c>
      <c r="EW355" s="331">
        <v>46148</v>
      </c>
      <c r="EX355" s="331">
        <v>46047</v>
      </c>
      <c r="EY355" s="331">
        <v>46178</v>
      </c>
      <c r="EZ355" s="352" t="s">
        <v>2748</v>
      </c>
      <c r="FA355" s="409" t="s">
        <v>2748</v>
      </c>
      <c r="FB355" s="330"/>
      <c r="FC355" s="330">
        <v>45964</v>
      </c>
      <c r="FD355" s="330" t="s">
        <v>260</v>
      </c>
      <c r="FE355" s="330"/>
      <c r="FF355" s="330"/>
      <c r="FG355" s="330"/>
      <c r="FH355" s="330"/>
      <c r="FI355" s="330"/>
      <c r="FJ355" s="330"/>
      <c r="FK355" s="330"/>
      <c r="FL355" s="336" t="s">
        <v>2806</v>
      </c>
      <c r="FM355" s="352"/>
      <c r="FN355" s="338" t="str">
        <f>IF(Table1[[#This Row],[Tanggal Pengajuan Dokumen]]="","",Table1[[#This Row],[PLAN PERMIT
start]]-Table1[[#This Row],[Tanggal Pengajuan Dokumen]])</f>
        <v/>
      </c>
      <c r="FO355" s="352"/>
      <c r="FP355" s="316"/>
      <c r="FQ355" s="338"/>
      <c r="FR355" s="331"/>
      <c r="FS355" s="338"/>
      <c r="FT35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5" s="344">
        <f ca="1">IF(Table1[[#This Row],[Status Izin]]="Selesai",Table1[[#This Row],[PLAN PERMIT
finish]]-Table1[[#This Row],[Tanggal Terbit/ Target Izin Terbit]],ROUNDUP(Table1[[#This Row],[PLAN PERMIT
finish]]-NOW(),0))</f>
        <v>-144</v>
      </c>
      <c r="FV35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5" s="344"/>
      <c r="FX355" s="47"/>
      <c r="FY355" s="513">
        <v>46006</v>
      </c>
      <c r="FZ355" s="513">
        <v>45967</v>
      </c>
      <c r="GA35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5" s="331">
        <v>46020</v>
      </c>
      <c r="GC355" s="352">
        <f>Table1[[#This Row],[Tanggal Aktual Kick Off]]</f>
        <v>46112</v>
      </c>
      <c r="GD35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5" s="331">
        <v>46027</v>
      </c>
      <c r="GF355" s="352">
        <v>46112</v>
      </c>
      <c r="GG35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5" s="331">
        <v>46034</v>
      </c>
      <c r="GI355" s="331">
        <v>46040</v>
      </c>
      <c r="GJ355" s="352">
        <v>46118</v>
      </c>
      <c r="GK35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5" s="331">
        <v>46048</v>
      </c>
      <c r="GM355" s="331">
        <v>46206</v>
      </c>
      <c r="GN355" s="331">
        <v>46166</v>
      </c>
      <c r="GO355" s="330">
        <v>46275</v>
      </c>
      <c r="GP355" s="316"/>
      <c r="GQ35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5" s="331"/>
      <c r="GS355" s="331"/>
      <c r="GT355" s="354"/>
      <c r="GU355" s="344" t="str">
        <f>IF(Table1[[#This Row],[Hydro Tes Actual
(tanggal)]]&lt;&gt;"","Sudah","Belum")</f>
        <v>Belum</v>
      </c>
      <c r="GV355" s="330"/>
      <c r="GW355" s="330"/>
      <c r="GX355" s="331"/>
      <c r="GY355" s="344" t="str">
        <f>IF(Table1[[#This Row],[Interkoneksi Actual
(tanggal)]]&lt;&gt;"","Sudah","Belum")</f>
        <v>Belum</v>
      </c>
      <c r="GZ355" s="330"/>
      <c r="HA355" s="330"/>
      <c r="HB355" s="331"/>
      <c r="HC355" s="344" t="str">
        <f>IF(Table1[[#This Row],[Flushing Actual
(tanggal)]]&lt;&gt;"","Sudah","Belum")</f>
        <v>Belum</v>
      </c>
      <c r="HD355" s="331">
        <v>46169</v>
      </c>
      <c r="HE355" s="331">
        <v>46276</v>
      </c>
      <c r="HF355" s="331">
        <v>46174</v>
      </c>
      <c r="HG355" s="352"/>
      <c r="HH35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5" s="330"/>
      <c r="HJ355" s="330"/>
      <c r="HK355" s="331"/>
      <c r="HL355" s="331"/>
      <c r="HM355" s="331">
        <v>46191</v>
      </c>
      <c r="HN355" s="331">
        <v>46191</v>
      </c>
      <c r="HO355" s="330">
        <v>46293</v>
      </c>
      <c r="HP355" s="331"/>
      <c r="HQ35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55" s="331">
        <v>46199</v>
      </c>
      <c r="HS355" s="331"/>
      <c r="HT355" s="331">
        <v>46199</v>
      </c>
      <c r="HU355" s="420"/>
      <c r="HV355" s="395"/>
      <c r="HW35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55" s="47"/>
      <c r="HY355" s="352"/>
      <c r="HZ355" s="352"/>
      <c r="IA355" s="72"/>
      <c r="IB355" s="618">
        <f>IFERROR(ROUND((Table1[[#This Row],[PLAN TC
finish]]-Table1[[#This Row],[PLAN MC-0
start]])/30,2),"")</f>
        <v>4.67</v>
      </c>
      <c r="IC355">
        <f>DATEDIF(Table1[[#This Row],[PLAN MC-0
start]],Table1[[#This Row],[PLAN TC
finish]],"m")</f>
        <v>4</v>
      </c>
      <c r="ID355" s="6"/>
      <c r="IE355" s="6"/>
      <c r="IF355" s="72"/>
      <c r="IH355" s="6"/>
      <c r="II355" s="4"/>
      <c r="IJ355" s="4"/>
      <c r="IK355" s="6"/>
      <c r="IL355" s="6"/>
      <c r="IM355" s="6"/>
      <c r="IN355" s="6"/>
      <c r="IO355" s="6"/>
      <c r="IQ355" s="6"/>
      <c r="IR355" s="6"/>
      <c r="IS355" s="6"/>
      <c r="IT355" s="6"/>
      <c r="IW355" s="6"/>
      <c r="IX355" s="6"/>
      <c r="IZ355" s="6"/>
      <c r="JA355" s="6"/>
    </row>
    <row r="356" spans="2:261" ht="15" hidden="1" customHeight="1" x14ac:dyDescent="0.2">
      <c r="B356" s="311">
        <f>SUBTOTAL(3,$D$5:D356)</f>
        <v>84</v>
      </c>
      <c r="C356" s="316">
        <v>352</v>
      </c>
      <c r="D356" s="315" t="s">
        <v>244</v>
      </c>
      <c r="E356" s="460" t="s">
        <v>2828</v>
      </c>
      <c r="F356" s="338" t="s">
        <v>2829</v>
      </c>
      <c r="G356" s="349">
        <v>46300</v>
      </c>
      <c r="H356" s="338" t="s">
        <v>247</v>
      </c>
      <c r="I356" s="338" t="s">
        <v>278</v>
      </c>
      <c r="J356" s="480"/>
      <c r="K356" s="338"/>
      <c r="L356" s="316"/>
      <c r="M356" s="355" t="s">
        <v>269</v>
      </c>
      <c r="N356" s="507">
        <v>18612</v>
      </c>
      <c r="O356" s="31" t="s">
        <v>252</v>
      </c>
      <c r="P35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5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6" s="35">
        <v>0.98294663915627167</v>
      </c>
      <c r="S356" s="327">
        <v>0.98294663915627167</v>
      </c>
      <c r="T356" s="152">
        <f>Table1[[#This Row],[Progres Total Aktual
(%)]]</f>
        <v>4.6856345269157822E-2</v>
      </c>
      <c r="U356" s="121">
        <f>Table1[[#This Row],[Progres Aktual
(%)]]-Table1[[#This Row],[Target Progres
(%)]]</f>
        <v>-0.93609029388711384</v>
      </c>
      <c r="V356" s="80">
        <f>Table1[[#This Row],["Volume
BA MC-0"]]</f>
        <v>0</v>
      </c>
      <c r="W356" s="80">
        <f>Table1[[#This Row],[Total Panjang Pipa Aktual
(Sum-&gt;)3]]</f>
        <v>0</v>
      </c>
      <c r="X356" s="117"/>
      <c r="Y356" s="517" t="s">
        <v>1</v>
      </c>
      <c r="Z356" s="67">
        <v>31758437828</v>
      </c>
      <c r="AA356" s="509">
        <f>ROUND((Table1[[#This Row],[Nilai RAB Jaringan
(Exclude Ppn)]]-Table1[[#This Row],[RAB Perizinan]])*1.11+Table1[[#This Row],[RAB Perizinan]],0)</f>
        <v>31758437827</v>
      </c>
      <c r="AB356" s="436">
        <f>SUM(Table1[[#This Row],[RAB Kegiatan Umum]:[RAB Perizinan]])</f>
        <v>28640748673</v>
      </c>
      <c r="AC356" s="436">
        <v>1666362964</v>
      </c>
      <c r="AD356" s="436">
        <v>20829537040</v>
      </c>
      <c r="AE356" s="436">
        <v>5846728669</v>
      </c>
      <c r="AF356" s="436">
        <v>298120000</v>
      </c>
      <c r="AG356" s="436"/>
      <c r="AH356" s="510">
        <f>SUM(Table1[[#This Row],[Bobot Keg Umum]:[Bobot Perizinan]])</f>
        <v>1</v>
      </c>
      <c r="AI356" s="510">
        <f>Table1[[#This Row],[RAB Kegiatan Umum]]/Table1[[#This Row],[Nilai RAB Jaringan
(Exclude Ppn)]]</f>
        <v>5.8181543472391899E-2</v>
      </c>
      <c r="AJ356" s="510">
        <f>Table1[[#This Row],[RAB Pemasangan]]/Table1[[#This Row],[Nilai RAB Jaringan
(Exclude Ppn)]]</f>
        <v>0.72726929305574584</v>
      </c>
      <c r="AK356" s="129">
        <f>Table1[[#This Row],[RAB Pengadaan]]/Table1[[#This Row],[Nilai RAB Jaringan
(Exclude Ppn)]]</f>
        <v>0.2041402176931145</v>
      </c>
      <c r="AL356" s="130">
        <f>Table1[[#This Row],[RAB Perizinan]]/Table1[[#This Row],[Nilai RAB Jaringan
(Exclude Ppn)]]</f>
        <v>1.04089457787478E-2</v>
      </c>
      <c r="AM356" s="47"/>
      <c r="AN356" s="285"/>
      <c r="AO356" s="285">
        <f>SUM(Table1[[#This Row],[Pipa 63 mm]:[Pipa 1,800 mm]])</f>
        <v>4620.1000000000004</v>
      </c>
      <c r="AP356" s="285">
        <v>4496.3</v>
      </c>
      <c r="AQ356" s="285">
        <v>89.8</v>
      </c>
      <c r="AR356" s="285">
        <v>34</v>
      </c>
      <c r="AS356" s="285"/>
      <c r="AT356" s="285"/>
      <c r="AU356" s="285"/>
      <c r="AV356" s="285"/>
      <c r="AW356" s="285"/>
      <c r="AX356" s="285"/>
      <c r="AY356" s="285"/>
      <c r="AZ356" s="285"/>
      <c r="BA356" s="285"/>
      <c r="BB356" s="285"/>
      <c r="BC356" s="285"/>
      <c r="BD356" s="285"/>
      <c r="BE356" s="285"/>
      <c r="BF356" s="285"/>
      <c r="BG356" s="285"/>
      <c r="BH356" s="285"/>
      <c r="BI356" s="285"/>
      <c r="BJ356" s="36">
        <f>SUM(Table1[[#This Row],[Pipa 63 mm2]:[Pipa 1,800 mm21]])</f>
        <v>0</v>
      </c>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f>IF((Table1[[#This Row],["Volume
BA MC-0"]]-Table1[[#This Row],[Total Panjang Pipa Aktual
(Sum-&gt;)3]]-Table1[[#This Row],[Total Volume
tidak dapat dipasang]])&gt;=0,Table1[[#This Row],["Volume
BA MC-0"]]-Table1[[#This Row],[Total Panjang Pipa Aktual
(Sum-&gt;)3]]-Table1[[#This Row],[Total Volume
tidak dapat dipasang]],0)</f>
        <v>0</v>
      </c>
      <c r="CK356" s="47"/>
      <c r="CL356" s="131"/>
      <c r="CM356" s="337"/>
      <c r="CN356" s="131"/>
      <c r="CO356" s="131"/>
      <c r="CP35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4.6856345269157822E-2</v>
      </c>
      <c r="CQ356" s="436">
        <f>IFERROR(Table1[[#This Row],[Progres Keg. Umum
(%)]]*Table1[[#This Row],[Nilai RAB Jaringan
(file pa aji)]],0)</f>
        <v>0</v>
      </c>
      <c r="CR356" s="436">
        <f>IFERROR(Table1[[#This Row],[Progres MOS
(%)]]*Table1[[#This Row],[Nilai RAB Jaringan
(file pa aji)]],0)</f>
        <v>0</v>
      </c>
      <c r="CS356" s="436">
        <f>IFERROR(Table1[[#This Row],[Progres Pemasangan
(%)]]*Table1[[#This Row],[Nilai RAB Jaringan
(file pa aji)]],0)</f>
        <v>0</v>
      </c>
      <c r="CT356" s="436">
        <f>IFERROR(Table1[[#This Row],[Progres Perizinan
(%)]]*Table1[[#This Row],[Nilai RAB Jaringan
(file pa aji)]],0)</f>
        <v>0</v>
      </c>
      <c r="CU356" s="329">
        <v>0</v>
      </c>
      <c r="CV356" s="329">
        <v>0</v>
      </c>
      <c r="CW356" s="511">
        <v>0</v>
      </c>
      <c r="CX356" s="329">
        <v>0</v>
      </c>
      <c r="CY356" s="47"/>
      <c r="CZ356" s="331">
        <v>45929</v>
      </c>
      <c r="DA356" s="331">
        <v>45956</v>
      </c>
      <c r="DB356" s="331">
        <v>45999</v>
      </c>
      <c r="DC356" s="515" t="s">
        <v>2830</v>
      </c>
      <c r="DD356" s="508">
        <v>31758437828</v>
      </c>
      <c r="DE35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6" s="331">
        <v>46013</v>
      </c>
      <c r="DG356" s="516" t="s">
        <v>2831</v>
      </c>
      <c r="DH356" s="508">
        <v>31758437828</v>
      </c>
      <c r="DI35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6" s="331">
        <v>45957</v>
      </c>
      <c r="DK356" s="331">
        <v>46019</v>
      </c>
      <c r="DL356" s="331">
        <v>46049</v>
      </c>
      <c r="DM356" s="316" t="s">
        <v>2832</v>
      </c>
      <c r="DN35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6" s="331">
        <v>46086.291666666664</v>
      </c>
      <c r="DP356" s="316"/>
      <c r="DQ356" s="338" t="s">
        <v>312</v>
      </c>
      <c r="DR35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6" s="331">
        <v>45957</v>
      </c>
      <c r="DT356" s="331">
        <v>46164</v>
      </c>
      <c r="DU356" s="331">
        <v>45998</v>
      </c>
      <c r="DV356" s="331">
        <v>46178</v>
      </c>
      <c r="DW356" s="331">
        <v>46064</v>
      </c>
      <c r="DX356" s="426" t="s">
        <v>2833</v>
      </c>
      <c r="DY356" s="334">
        <v>149</v>
      </c>
      <c r="DZ356" s="334">
        <v>149</v>
      </c>
      <c r="EA35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6" s="331"/>
      <c r="EC356" s="334">
        <v>130</v>
      </c>
      <c r="ED356" s="334">
        <v>130</v>
      </c>
      <c r="EE356" s="118"/>
      <c r="EF356" s="337">
        <v>0.87248322147651003</v>
      </c>
      <c r="EG356" s="337">
        <f>Table1[[#This Row],[Line PO]]/Table1[[#This Row],[Line PR]]</f>
        <v>0.87248322147651003</v>
      </c>
      <c r="EH356" s="316" t="str">
        <f>IF(Table1[[#This Row],[PO Material Aktual 
(%)]]&gt;=100%,"Selesai PO = 100%",IF(Table1[[#This Row],[PO Material Aktual 
(%)]]&gt;=50%,"Proses PO &gt; 100%",IF(Table1[[#This Row],[PO Material Aktual 
(%)]]&gt;0%,"Proses PO &gt; 50%",IF(Table1[[#This Row],[PO Material Aktual 
(%)]]=0,"Belum PO = 0%"))))</f>
        <v>Proses PO &gt; 100%</v>
      </c>
      <c r="EI35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6" s="331">
        <v>45999</v>
      </c>
      <c r="EK356" s="331">
        <v>46178</v>
      </c>
      <c r="EL356" s="331">
        <v>46110</v>
      </c>
      <c r="EM356" s="331">
        <v>46203</v>
      </c>
      <c r="EN356" s="331"/>
      <c r="EO356" s="332">
        <v>57</v>
      </c>
      <c r="EP356" s="332">
        <v>57</v>
      </c>
      <c r="EQ356" s="337">
        <v>0.3825503355704698</v>
      </c>
      <c r="ER356" s="337">
        <f>Table1[[#This Row],[Line MOS (kolom bantu)]]/Table1[[#This Row],[Line PR]]</f>
        <v>0.3825503355704698</v>
      </c>
      <c r="ES356" s="316" t="str">
        <f>IF(Table1[[#This Row],[Progres MOS]]&gt;=100%,"Selesai MOS = 100%",IF(Table1[[#This Row],[Progres MOS]]&gt;=50%,"Proses MOS &gt; 100%",IF(Table1[[#This Row],[Progres MOS]]&gt;0%,"Proses MOS &gt; 50%",IF(Table1[[#This Row],[Progres MOS]]=0,"Belum MOS = 0%"))))</f>
        <v>Proses MOS &gt; 50%</v>
      </c>
      <c r="ET35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6" s="47"/>
      <c r="EV356" s="331">
        <v>45957</v>
      </c>
      <c r="EW356" s="331">
        <v>46148</v>
      </c>
      <c r="EX356" s="331">
        <v>46047</v>
      </c>
      <c r="EY356" s="331">
        <v>46178</v>
      </c>
      <c r="EZ356" s="352" t="s">
        <v>2748</v>
      </c>
      <c r="FA356" s="409" t="s">
        <v>2748</v>
      </c>
      <c r="FB356" s="330"/>
      <c r="FC356" s="330">
        <v>46010</v>
      </c>
      <c r="FD356" s="330" t="s">
        <v>260</v>
      </c>
      <c r="FE356" s="330">
        <v>46057</v>
      </c>
      <c r="FF356" s="330">
        <v>46071</v>
      </c>
      <c r="FG356" s="330"/>
      <c r="FH356" s="330"/>
      <c r="FI356" s="330"/>
      <c r="FJ356" s="330"/>
      <c r="FK356" s="330"/>
      <c r="FL356" s="336" t="s">
        <v>2806</v>
      </c>
      <c r="FM356" s="352"/>
      <c r="FN356" s="338" t="str">
        <f>IF(Table1[[#This Row],[Tanggal Pengajuan Dokumen]]="","",Table1[[#This Row],[PLAN PERMIT
start]]-Table1[[#This Row],[Tanggal Pengajuan Dokumen]])</f>
        <v/>
      </c>
      <c r="FO356" s="352"/>
      <c r="FP356" s="316"/>
      <c r="FQ356" s="338"/>
      <c r="FR356" s="331"/>
      <c r="FS356" s="338"/>
      <c r="FT35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6" s="344">
        <f ca="1">IF(Table1[[#This Row],[Status Izin]]="Selesai",Table1[[#This Row],[PLAN PERMIT
finish]]-Table1[[#This Row],[Tanggal Terbit/ Target Izin Terbit]],ROUNDUP(Table1[[#This Row],[PLAN PERMIT
finish]]-NOW(),0))</f>
        <v>-144</v>
      </c>
      <c r="FV35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6" s="344"/>
      <c r="FX356" s="47"/>
      <c r="FY356" s="513">
        <v>46006</v>
      </c>
      <c r="FZ356" s="513">
        <v>46050</v>
      </c>
      <c r="GA35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6" s="331">
        <v>46020</v>
      </c>
      <c r="GC356" s="352">
        <f>Table1[[#This Row],[Tanggal Aktual Kick Off]]</f>
        <v>46112</v>
      </c>
      <c r="GD35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6" s="331">
        <v>46027</v>
      </c>
      <c r="GF356" s="352">
        <v>46112</v>
      </c>
      <c r="GG35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6" s="331">
        <v>46034</v>
      </c>
      <c r="GI356" s="331">
        <v>46040</v>
      </c>
      <c r="GJ356" s="352">
        <v>46127</v>
      </c>
      <c r="GK35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6" s="331">
        <v>46048</v>
      </c>
      <c r="GM356" s="331">
        <v>46206</v>
      </c>
      <c r="GN356" s="331">
        <v>46166</v>
      </c>
      <c r="GO356" s="330">
        <v>46275</v>
      </c>
      <c r="GP356" s="316"/>
      <c r="GQ35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6" s="331"/>
      <c r="GS356" s="331"/>
      <c r="GT356" s="354"/>
      <c r="GU356" s="344" t="str">
        <f>IF(Table1[[#This Row],[Hydro Tes Actual
(tanggal)]]&lt;&gt;"","Sudah","Belum")</f>
        <v>Belum</v>
      </c>
      <c r="GV356" s="330"/>
      <c r="GW356" s="330"/>
      <c r="GX356" s="331"/>
      <c r="GY356" s="344" t="str">
        <f>IF(Table1[[#This Row],[Interkoneksi Actual
(tanggal)]]&lt;&gt;"","Sudah","Belum")</f>
        <v>Belum</v>
      </c>
      <c r="GZ356" s="330"/>
      <c r="HA356" s="330"/>
      <c r="HB356" s="331"/>
      <c r="HC356" s="344" t="str">
        <f>IF(Table1[[#This Row],[Flushing Actual
(tanggal)]]&lt;&gt;"","Sudah","Belum")</f>
        <v>Belum</v>
      </c>
      <c r="HD356" s="331">
        <v>46169</v>
      </c>
      <c r="HE356" s="331">
        <v>46276</v>
      </c>
      <c r="HF356" s="331">
        <v>46174</v>
      </c>
      <c r="HG356" s="352"/>
      <c r="HH35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6" s="330"/>
      <c r="HJ356" s="330"/>
      <c r="HK356" s="331"/>
      <c r="HL356" s="331"/>
      <c r="HM356" s="331">
        <v>46191</v>
      </c>
      <c r="HN356" s="331">
        <v>46191</v>
      </c>
      <c r="HO356" s="330">
        <v>46293</v>
      </c>
      <c r="HP356" s="331"/>
      <c r="HQ35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56" s="331">
        <v>46199</v>
      </c>
      <c r="HS356" s="331"/>
      <c r="HT356" s="331">
        <v>46199</v>
      </c>
      <c r="HU356" s="420"/>
      <c r="HV356" s="395"/>
      <c r="HW35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56" s="47"/>
      <c r="HY356" s="352"/>
      <c r="HZ356" s="352"/>
      <c r="IA356" s="72"/>
      <c r="IB356" s="618">
        <f>IFERROR(ROUND((Table1[[#This Row],[PLAN TC
finish]]-Table1[[#This Row],[PLAN MC-0
start]])/30,2),"")</f>
        <v>4.67</v>
      </c>
      <c r="IC356">
        <f>DATEDIF(Table1[[#This Row],[PLAN MC-0
start]],Table1[[#This Row],[PLAN TC
finish]],"m")</f>
        <v>4</v>
      </c>
      <c r="ID356" s="6"/>
      <c r="IE356" s="6"/>
      <c r="IF356" s="72"/>
      <c r="IH356" s="6"/>
      <c r="II356" s="4"/>
      <c r="IJ356" s="4"/>
      <c r="IK356" s="6"/>
      <c r="IL356" s="6"/>
      <c r="IM356" s="6"/>
      <c r="IN356" s="6"/>
      <c r="IO356" s="6"/>
      <c r="IQ356" s="6"/>
      <c r="IR356" s="6"/>
      <c r="IS356" s="6"/>
      <c r="IT356" s="6"/>
      <c r="IW356" s="6"/>
      <c r="IX356" s="6"/>
      <c r="IZ356" s="6"/>
      <c r="JA356" s="6"/>
    </row>
    <row r="357" spans="2:261" ht="15" hidden="1" customHeight="1" x14ac:dyDescent="0.2">
      <c r="B357" s="311">
        <f>SUBTOTAL(3,$D$5:D357)</f>
        <v>84</v>
      </c>
      <c r="C357" s="316">
        <v>353</v>
      </c>
      <c r="D357" s="315" t="s">
        <v>244</v>
      </c>
      <c r="E357" s="460" t="s">
        <v>2834</v>
      </c>
      <c r="F357" s="338" t="s">
        <v>2835</v>
      </c>
      <c r="G357" s="349">
        <v>46300</v>
      </c>
      <c r="H357" s="338" t="s">
        <v>247</v>
      </c>
      <c r="I357" s="338" t="s">
        <v>278</v>
      </c>
      <c r="J357" s="480"/>
      <c r="K357" s="338"/>
      <c r="L357" s="316"/>
      <c r="M357" s="355" t="s">
        <v>269</v>
      </c>
      <c r="N357" s="507">
        <v>1818</v>
      </c>
      <c r="O357" s="31" t="s">
        <v>252</v>
      </c>
      <c r="P35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5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7" s="35">
        <v>0.98043996379869913</v>
      </c>
      <c r="S357" s="327">
        <v>0.98043996379869913</v>
      </c>
      <c r="T357" s="152">
        <f>Table1[[#This Row],[Progres Total Aktual
(%)]]</f>
        <v>6.3111741538165636E-2</v>
      </c>
      <c r="U357" s="121">
        <f>Table1[[#This Row],[Progres Aktual
(%)]]-Table1[[#This Row],[Target Progres
(%)]]</f>
        <v>-0.91732822226053345</v>
      </c>
      <c r="V357" s="80">
        <f>Table1[[#This Row],["Volume
BA MC-0"]]</f>
        <v>1681.3</v>
      </c>
      <c r="W357" s="80">
        <f>Table1[[#This Row],[Total Panjang Pipa Aktual
(Sum-&gt;)3]]</f>
        <v>0</v>
      </c>
      <c r="X357" s="117"/>
      <c r="Y357" s="508" t="s">
        <v>2836</v>
      </c>
      <c r="Z357" s="67">
        <v>26670132107</v>
      </c>
      <c r="AA357" s="509">
        <f>ROUND((Table1[[#This Row],[Nilai RAB Jaringan
(Exclude Ppn)]]-Table1[[#This Row],[RAB Perizinan]])*1.11+Table1[[#This Row],[RAB Perizinan]],0)</f>
        <v>26670132106</v>
      </c>
      <c r="AB357" s="436">
        <f>SUM(Table1[[#This Row],[RAB Kegiatan Umum]:[RAB Perizinan]])</f>
        <v>24031968521</v>
      </c>
      <c r="AC357" s="436">
        <v>653882903</v>
      </c>
      <c r="AD357" s="436">
        <v>13077658050</v>
      </c>
      <c r="AE357" s="436">
        <v>10251764368</v>
      </c>
      <c r="AF357" s="436">
        <v>48663200</v>
      </c>
      <c r="AG357" s="436"/>
      <c r="AH357" s="510">
        <f>SUM(Table1[[#This Row],[Bobot Keg Umum]:[Bobot Perizinan]])</f>
        <v>0.99999999999999989</v>
      </c>
      <c r="AI357" s="510">
        <f>Table1[[#This Row],[RAB Kegiatan Umum]]/Table1[[#This Row],[Nilai RAB Jaringan
(Exclude Ppn)]]</f>
        <v>2.7208878141988808E-2</v>
      </c>
      <c r="AJ357" s="510">
        <f>Table1[[#This Row],[RAB Pemasangan]]/Table1[[#This Row],[Nilai RAB Jaringan
(Exclude Ppn)]]</f>
        <v>0.54417756242366377</v>
      </c>
      <c r="AK357" s="129">
        <f>Table1[[#This Row],[RAB Pengadaan]]/Table1[[#This Row],[Nilai RAB Jaringan
(Exclude Ppn)]]</f>
        <v>0.42658862335982334</v>
      </c>
      <c r="AL357" s="130">
        <f>Table1[[#This Row],[RAB Perizinan]]/Table1[[#This Row],[Nilai RAB Jaringan
(Exclude Ppn)]]</f>
        <v>2.0249360745240798E-3</v>
      </c>
      <c r="AM357" s="47"/>
      <c r="AN357" s="285">
        <v>1681.3</v>
      </c>
      <c r="AO357" s="285">
        <f>SUM(Table1[[#This Row],[Pipa 63 mm]:[Pipa 1,800 mm]])</f>
        <v>1681.3</v>
      </c>
      <c r="AP357" s="285"/>
      <c r="AQ357" s="285"/>
      <c r="AR357" s="285"/>
      <c r="AS357" s="285"/>
      <c r="AT357" s="285"/>
      <c r="AU357" s="285"/>
      <c r="AV357" s="285"/>
      <c r="AW357" s="285"/>
      <c r="AX357" s="285"/>
      <c r="AY357" s="285">
        <v>1681.3</v>
      </c>
      <c r="AZ357" s="285"/>
      <c r="BA357" s="285"/>
      <c r="BB357" s="285"/>
      <c r="BC357" s="285"/>
      <c r="BD357" s="285"/>
      <c r="BE357" s="285"/>
      <c r="BF357" s="285"/>
      <c r="BG357" s="285"/>
      <c r="BH357" s="285"/>
      <c r="BI357" s="285"/>
      <c r="BJ357" s="36">
        <f>SUM(Table1[[#This Row],[Pipa 63 mm2]:[Pipa 1,800 mm21]])</f>
        <v>0</v>
      </c>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f>IF((Table1[[#This Row],["Volume
BA MC-0"]]-Table1[[#This Row],[Total Panjang Pipa Aktual
(Sum-&gt;)3]]-Table1[[#This Row],[Total Volume
tidak dapat dipasang]])&gt;=0,Table1[[#This Row],["Volume
BA MC-0"]]-Table1[[#This Row],[Total Panjang Pipa Aktual
(Sum-&gt;)3]]-Table1[[#This Row],[Total Volume
tidak dapat dipasang]],0)</f>
        <v>1681.3</v>
      </c>
      <c r="CK357" s="47"/>
      <c r="CL357" s="131"/>
      <c r="CM357" s="337"/>
      <c r="CN357" s="131"/>
      <c r="CO357" s="131"/>
      <c r="CP35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6.3111741538165636E-2</v>
      </c>
      <c r="CQ357" s="436">
        <f>IFERROR(Table1[[#This Row],[Progres Keg. Umum
(%)]]*Table1[[#This Row],[Nilai RAB Jaringan
(file pa aji)]],0)</f>
        <v>0</v>
      </c>
      <c r="CR357" s="436">
        <f>IFERROR(Table1[[#This Row],[Progres MOS
(%)]]*Table1[[#This Row],[Nilai RAB Jaringan
(file pa aji)]],0)</f>
        <v>0</v>
      </c>
      <c r="CS357" s="436">
        <f>IFERROR(Table1[[#This Row],[Progres Pemasangan
(%)]]*Table1[[#This Row],[Nilai RAB Jaringan
(file pa aji)]],0)</f>
        <v>0</v>
      </c>
      <c r="CT357" s="436">
        <f>IFERROR(Table1[[#This Row],[Progres Perizinan
(%)]]*Table1[[#This Row],[Nilai RAB Jaringan
(file pa aji)]],0)</f>
        <v>0</v>
      </c>
      <c r="CU357" s="329">
        <v>0</v>
      </c>
      <c r="CV357" s="329">
        <v>0</v>
      </c>
      <c r="CW357" s="511">
        <v>0</v>
      </c>
      <c r="CX357" s="329">
        <v>0</v>
      </c>
      <c r="CY357" s="47"/>
      <c r="CZ357" s="331">
        <v>45929</v>
      </c>
      <c r="DA357" s="331">
        <v>45956</v>
      </c>
      <c r="DB357" s="331">
        <v>45999</v>
      </c>
      <c r="DC357" s="316" t="s">
        <v>2837</v>
      </c>
      <c r="DD357" s="508">
        <v>26670132107</v>
      </c>
      <c r="DE35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7" s="331">
        <v>46013</v>
      </c>
      <c r="DG357" s="316" t="s">
        <v>2838</v>
      </c>
      <c r="DH357" s="508">
        <v>26670132107</v>
      </c>
      <c r="DI35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7" s="331">
        <v>45957</v>
      </c>
      <c r="DK357" s="331">
        <v>46019</v>
      </c>
      <c r="DL357" s="331">
        <v>46050</v>
      </c>
      <c r="DM357" s="316" t="s">
        <v>2839</v>
      </c>
      <c r="DN35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7" s="331">
        <v>46085</v>
      </c>
      <c r="DP357" s="316"/>
      <c r="DQ357" s="338" t="s">
        <v>275</v>
      </c>
      <c r="DR35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7" s="331">
        <v>45957</v>
      </c>
      <c r="DT357" s="331">
        <v>46164</v>
      </c>
      <c r="DU357" s="331">
        <v>45998</v>
      </c>
      <c r="DV357" s="331">
        <v>46178</v>
      </c>
      <c r="DW357" s="331">
        <v>46050</v>
      </c>
      <c r="DX357" s="316" t="s">
        <v>2840</v>
      </c>
      <c r="DY357" s="334">
        <v>73</v>
      </c>
      <c r="DZ357" s="334">
        <v>73</v>
      </c>
      <c r="EA35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7" s="331"/>
      <c r="EC357" s="332">
        <v>64</v>
      </c>
      <c r="ED357" s="332">
        <v>64</v>
      </c>
      <c r="EE357" s="118"/>
      <c r="EF357" s="337">
        <v>0.87671232876712324</v>
      </c>
      <c r="EG357" s="337">
        <f>Table1[[#This Row],[Line PO]]/Table1[[#This Row],[Line PR]]</f>
        <v>0.87671232876712324</v>
      </c>
      <c r="EH357" s="316" t="str">
        <f>IF(Table1[[#This Row],[PO Material Aktual 
(%)]]&gt;=100%,"Selesai PO = 100%",IF(Table1[[#This Row],[PO Material Aktual 
(%)]]&gt;=50%,"Proses PO &gt; 100%",IF(Table1[[#This Row],[PO Material Aktual 
(%)]]&gt;0%,"Proses PO &gt; 50%",IF(Table1[[#This Row],[PO Material Aktual 
(%)]]=0,"Belum PO = 0%"))))</f>
        <v>Proses PO &gt; 100%</v>
      </c>
      <c r="EI35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7" s="331">
        <v>45999</v>
      </c>
      <c r="EK357" s="331">
        <v>46178</v>
      </c>
      <c r="EL357" s="331">
        <v>46110</v>
      </c>
      <c r="EM357" s="331">
        <v>46203</v>
      </c>
      <c r="EN357" s="331"/>
      <c r="EO357" s="332">
        <v>18</v>
      </c>
      <c r="EP357" s="332">
        <v>18</v>
      </c>
      <c r="EQ357" s="337">
        <v>0.24657534246575341</v>
      </c>
      <c r="ER357" s="337">
        <f>Table1[[#This Row],[Line MOS (kolom bantu)]]/Table1[[#This Row],[Line PR]]</f>
        <v>0.24657534246575341</v>
      </c>
      <c r="ES357" s="316" t="str">
        <f>IF(Table1[[#This Row],[Progres MOS]]&gt;=100%,"Selesai MOS = 100%",IF(Table1[[#This Row],[Progres MOS]]&gt;=50%,"Proses MOS &gt; 100%",IF(Table1[[#This Row],[Progres MOS]]&gt;0%,"Proses MOS &gt; 50%",IF(Table1[[#This Row],[Progres MOS]]=0,"Belum MOS = 0%"))))</f>
        <v>Proses MOS &gt; 50%</v>
      </c>
      <c r="ET35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7" s="47"/>
      <c r="EV357" s="331">
        <v>45957</v>
      </c>
      <c r="EW357" s="331">
        <v>46150</v>
      </c>
      <c r="EX357" s="331">
        <v>46047</v>
      </c>
      <c r="EY357" s="331">
        <v>46180</v>
      </c>
      <c r="EZ357" s="352" t="s">
        <v>2748</v>
      </c>
      <c r="FA357" s="409" t="s">
        <v>2748</v>
      </c>
      <c r="FB357" s="330"/>
      <c r="FC357" s="330">
        <v>46036</v>
      </c>
      <c r="FD357" s="330" t="s">
        <v>260</v>
      </c>
      <c r="FE357" s="330"/>
      <c r="FF357" s="330"/>
      <c r="FG357" s="330"/>
      <c r="FH357" s="330"/>
      <c r="FI357" s="330"/>
      <c r="FJ357" s="330"/>
      <c r="FK357" s="330"/>
      <c r="FL357" s="336" t="s">
        <v>2806</v>
      </c>
      <c r="FM357" s="352"/>
      <c r="FN357" s="338" t="str">
        <f>IF(Table1[[#This Row],[Tanggal Pengajuan Dokumen]]="","",Table1[[#This Row],[PLAN PERMIT
start]]-Table1[[#This Row],[Tanggal Pengajuan Dokumen]])</f>
        <v/>
      </c>
      <c r="FO357" s="352"/>
      <c r="FP357" s="316"/>
      <c r="FQ357" s="338"/>
      <c r="FR357" s="331"/>
      <c r="FS357" s="338"/>
      <c r="FT35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7" s="344">
        <f ca="1">IF(Table1[[#This Row],[Status Izin]]="Selesai",Table1[[#This Row],[PLAN PERMIT
finish]]-Table1[[#This Row],[Tanggal Terbit/ Target Izin Terbit]],ROUNDUP(Table1[[#This Row],[PLAN PERMIT
finish]]-NOW(),0))</f>
        <v>-144</v>
      </c>
      <c r="FV35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7" s="344"/>
      <c r="FX357" s="47"/>
      <c r="FY357" s="513">
        <v>46006</v>
      </c>
      <c r="FZ357" s="513">
        <v>46050</v>
      </c>
      <c r="GA35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7" s="331">
        <v>46020</v>
      </c>
      <c r="GC357" s="352">
        <v>46113</v>
      </c>
      <c r="GD35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7" s="331">
        <v>46027</v>
      </c>
      <c r="GF357" s="352">
        <v>46113</v>
      </c>
      <c r="GG35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7" s="331">
        <v>46034</v>
      </c>
      <c r="GI357" s="331">
        <v>46040</v>
      </c>
      <c r="GJ357" s="352">
        <v>46119</v>
      </c>
      <c r="GK35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7" s="331">
        <v>46048</v>
      </c>
      <c r="GM357" s="331">
        <v>46206</v>
      </c>
      <c r="GN357" s="331">
        <v>46166</v>
      </c>
      <c r="GO357" s="330">
        <v>46262</v>
      </c>
      <c r="GP357" s="316"/>
      <c r="GQ35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7" s="331"/>
      <c r="GS357" s="331"/>
      <c r="GT357" s="354"/>
      <c r="GU357" s="344" t="str">
        <f>IF(Table1[[#This Row],[Hydro Tes Actual
(tanggal)]]&lt;&gt;"","Sudah","Belum")</f>
        <v>Belum</v>
      </c>
      <c r="GV357" s="330"/>
      <c r="GW357" s="330"/>
      <c r="GX357" s="331"/>
      <c r="GY357" s="344" t="str">
        <f>IF(Table1[[#This Row],[Interkoneksi Actual
(tanggal)]]&lt;&gt;"","Sudah","Belum")</f>
        <v>Belum</v>
      </c>
      <c r="GZ357" s="330"/>
      <c r="HA357" s="330"/>
      <c r="HB357" s="331"/>
      <c r="HC357" s="344" t="str">
        <f>IF(Table1[[#This Row],[Flushing Actual
(tanggal)]]&lt;&gt;"","Sudah","Belum")</f>
        <v>Belum</v>
      </c>
      <c r="HD357" s="331">
        <v>46169</v>
      </c>
      <c r="HE357" s="331">
        <v>46263</v>
      </c>
      <c r="HF357" s="331">
        <v>46174</v>
      </c>
      <c r="HG357" s="352"/>
      <c r="HH35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7" s="330"/>
      <c r="HJ357" s="330"/>
      <c r="HK357" s="331"/>
      <c r="HL357" s="331"/>
      <c r="HM357" s="331">
        <v>46191</v>
      </c>
      <c r="HN357" s="331">
        <v>46191</v>
      </c>
      <c r="HO357" s="330">
        <v>46280</v>
      </c>
      <c r="HP357" s="331"/>
      <c r="HQ35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57" s="331">
        <v>46199</v>
      </c>
      <c r="HS357" s="331"/>
      <c r="HT357" s="331">
        <v>46199</v>
      </c>
      <c r="HU357" s="420"/>
      <c r="HV357" s="395"/>
      <c r="HW357"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57" s="47"/>
      <c r="HY357" s="352"/>
      <c r="HZ357" s="352"/>
      <c r="IA357" s="72"/>
      <c r="IB357" s="618">
        <f>IFERROR(ROUND((Table1[[#This Row],[PLAN TC
finish]]-Table1[[#This Row],[PLAN MC-0
start]])/30,2),"")</f>
        <v>4.67</v>
      </c>
      <c r="IC357">
        <f>DATEDIF(Table1[[#This Row],[PLAN MC-0
start]],Table1[[#This Row],[PLAN TC
finish]],"m")</f>
        <v>4</v>
      </c>
      <c r="ID357" s="6"/>
      <c r="IE357" s="6"/>
      <c r="IF357" s="72"/>
      <c r="IH357" s="6"/>
      <c r="II357" s="4"/>
      <c r="IJ357" s="4"/>
      <c r="IK357" s="6"/>
      <c r="IL357" s="6"/>
      <c r="IM357" s="6"/>
      <c r="IN357" s="6"/>
      <c r="IO357" s="6"/>
      <c r="IQ357" s="6"/>
      <c r="IR357" s="6"/>
      <c r="IS357" s="6"/>
      <c r="IT357" s="6"/>
      <c r="IW357" s="6"/>
      <c r="IX357" s="6"/>
      <c r="IZ357" s="6"/>
      <c r="JA357" s="6"/>
    </row>
    <row r="358" spans="2:261" ht="15" hidden="1" customHeight="1" x14ac:dyDescent="0.2">
      <c r="B358" s="311">
        <f>SUBTOTAL(3,$D$5:D358)</f>
        <v>84</v>
      </c>
      <c r="C358" s="316">
        <v>354</v>
      </c>
      <c r="D358" s="315" t="s">
        <v>244</v>
      </c>
      <c r="E358" s="460" t="s">
        <v>2841</v>
      </c>
      <c r="F358" s="338" t="s">
        <v>2842</v>
      </c>
      <c r="G358" s="349">
        <v>46300</v>
      </c>
      <c r="H358" s="338" t="s">
        <v>247</v>
      </c>
      <c r="I358" s="338" t="s">
        <v>278</v>
      </c>
      <c r="J358" s="480"/>
      <c r="K358" s="338"/>
      <c r="L358" s="316"/>
      <c r="M358" s="355" t="s">
        <v>269</v>
      </c>
      <c r="N358" s="507">
        <v>660</v>
      </c>
      <c r="O358" s="31" t="s">
        <v>252</v>
      </c>
      <c r="P35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5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8" s="35">
        <v>0.97991445784549469</v>
      </c>
      <c r="S358" s="327">
        <v>0.97991445784549469</v>
      </c>
      <c r="T358" s="152">
        <f>Table1[[#This Row],[Progres Total Aktual
(%)]]</f>
        <v>3.0464458736511119E-2</v>
      </c>
      <c r="U358" s="121">
        <f>Table1[[#This Row],[Progres Aktual
(%)]]-Table1[[#This Row],[Target Progres
(%)]]</f>
        <v>-0.94944999910898353</v>
      </c>
      <c r="V358" s="80">
        <f>Table1[[#This Row],["Volume
BA MC-0"]]</f>
        <v>659.5</v>
      </c>
      <c r="W358" s="80">
        <f>Table1[[#This Row],[Total Panjang Pipa Aktual
(Sum-&gt;)3]]</f>
        <v>0</v>
      </c>
      <c r="X358" s="117"/>
      <c r="Y358" s="508" t="s">
        <v>2843</v>
      </c>
      <c r="Z358" s="67">
        <v>3196946622</v>
      </c>
      <c r="AA358" s="509">
        <f>ROUND((Table1[[#This Row],[Nilai RAB Jaringan
(Exclude Ppn)]]-Table1[[#This Row],[RAB Perizinan]])*1.11+Table1[[#This Row],[RAB Perizinan]],0)</f>
        <v>3196946622</v>
      </c>
      <c r="AB358" s="436">
        <f>SUM(Table1[[#This Row],[RAB Kegiatan Umum]:[RAB Perizinan]])</f>
        <v>2881585360</v>
      </c>
      <c r="AC358" s="436">
        <v>75209213</v>
      </c>
      <c r="AD358" s="436">
        <v>1504184252</v>
      </c>
      <c r="AE358" s="436">
        <v>1287527095</v>
      </c>
      <c r="AF358" s="436">
        <v>14664800</v>
      </c>
      <c r="AG358" s="436"/>
      <c r="AH358" s="510">
        <f>SUM(Table1[[#This Row],[Bobot Keg Umum]:[Bobot Perizinan]])</f>
        <v>1</v>
      </c>
      <c r="AI358" s="510">
        <f>Table1[[#This Row],[RAB Kegiatan Umum]]/Table1[[#This Row],[Nilai RAB Jaringan
(Exclude Ppn)]]</f>
        <v>2.6099942775944698E-2</v>
      </c>
      <c r="AJ358" s="510">
        <f>Table1[[#This Row],[RAB Pemasangan]]/Table1[[#This Row],[Nilai RAB Jaringan
(Exclude Ppn)]]</f>
        <v>0.52199885274264446</v>
      </c>
      <c r="AK358" s="129">
        <f>Table1[[#This Row],[RAB Pengadaan]]/Table1[[#This Row],[Nilai RAB Jaringan
(Exclude Ppn)]]</f>
        <v>0.44681206146882979</v>
      </c>
      <c r="AL358" s="130">
        <f>Table1[[#This Row],[RAB Perizinan]]/Table1[[#This Row],[Nilai RAB Jaringan
(Exclude Ppn)]]</f>
        <v>5.0891430125811019E-3</v>
      </c>
      <c r="AM358" s="47"/>
      <c r="AN358" s="285">
        <v>659.5</v>
      </c>
      <c r="AO358" s="285">
        <f>SUM(Table1[[#This Row],[Pipa 63 mm]:[Pipa 1,800 mm]])</f>
        <v>659.5</v>
      </c>
      <c r="AP358" s="285"/>
      <c r="AQ358" s="285"/>
      <c r="AR358" s="285"/>
      <c r="AS358" s="285"/>
      <c r="AT358" s="285"/>
      <c r="AU358" s="285"/>
      <c r="AV358" s="285">
        <v>659.5</v>
      </c>
      <c r="AW358" s="285"/>
      <c r="AX358" s="285"/>
      <c r="AY358" s="285"/>
      <c r="AZ358" s="285"/>
      <c r="BA358" s="285"/>
      <c r="BB358" s="285"/>
      <c r="BC358" s="285"/>
      <c r="BD358" s="285"/>
      <c r="BE358" s="285"/>
      <c r="BF358" s="285"/>
      <c r="BG358" s="285"/>
      <c r="BH358" s="285"/>
      <c r="BI358" s="285"/>
      <c r="BJ358" s="36">
        <f>SUM(Table1[[#This Row],[Pipa 63 mm2]:[Pipa 1,800 mm21]])</f>
        <v>0</v>
      </c>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f>IF((Table1[[#This Row],["Volume
BA MC-0"]]-Table1[[#This Row],[Total Panjang Pipa Aktual
(Sum-&gt;)3]]-Table1[[#This Row],[Total Volume
tidak dapat dipasang]])&gt;=0,Table1[[#This Row],["Volume
BA MC-0"]]-Table1[[#This Row],[Total Panjang Pipa Aktual
(Sum-&gt;)3]]-Table1[[#This Row],[Total Volume
tidak dapat dipasang]],0)</f>
        <v>659.5</v>
      </c>
      <c r="CK358" s="47"/>
      <c r="CL358" s="131"/>
      <c r="CM358" s="337"/>
      <c r="CN358" s="131"/>
      <c r="CO358" s="131"/>
      <c r="CP35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3.0464458736511119E-2</v>
      </c>
      <c r="CQ358" s="436">
        <f>IFERROR(Table1[[#This Row],[Progres Keg. Umum
(%)]]*Table1[[#This Row],[Nilai RAB Jaringan
(file pa aji)]],0)</f>
        <v>0</v>
      </c>
      <c r="CR358" s="436">
        <f>IFERROR(Table1[[#This Row],[Progres MOS
(%)]]*Table1[[#This Row],[Nilai RAB Jaringan
(file pa aji)]],0)</f>
        <v>0</v>
      </c>
      <c r="CS358" s="436">
        <f>IFERROR(Table1[[#This Row],[Progres Pemasangan
(%)]]*Table1[[#This Row],[Nilai RAB Jaringan
(file pa aji)]],0)</f>
        <v>0</v>
      </c>
      <c r="CT358" s="436">
        <f>IFERROR(Table1[[#This Row],[Progres Perizinan
(%)]]*Table1[[#This Row],[Nilai RAB Jaringan
(file pa aji)]],0)</f>
        <v>0</v>
      </c>
      <c r="CU358" s="329">
        <v>0</v>
      </c>
      <c r="CV358" s="329">
        <v>0</v>
      </c>
      <c r="CW358" s="511">
        <v>0</v>
      </c>
      <c r="CX358" s="329">
        <v>0</v>
      </c>
      <c r="CY358" s="47"/>
      <c r="CZ358" s="331">
        <v>45929</v>
      </c>
      <c r="DA358" s="331">
        <v>45956</v>
      </c>
      <c r="DB358" s="331">
        <v>45999</v>
      </c>
      <c r="DC358" s="316" t="s">
        <v>2844</v>
      </c>
      <c r="DD358" s="508">
        <v>3196946622</v>
      </c>
      <c r="DE35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8" s="331">
        <v>46028</v>
      </c>
      <c r="DG358" s="316" t="s">
        <v>2845</v>
      </c>
      <c r="DH358" s="508">
        <v>3196946622</v>
      </c>
      <c r="DI35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8" s="331">
        <v>45957</v>
      </c>
      <c r="DK358" s="331">
        <v>46019</v>
      </c>
      <c r="DL358" s="331">
        <v>46062</v>
      </c>
      <c r="DM358" s="316" t="s">
        <v>2846</v>
      </c>
      <c r="DN35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8" s="331">
        <v>46085</v>
      </c>
      <c r="DP358" s="316"/>
      <c r="DQ358" s="338" t="s">
        <v>275</v>
      </c>
      <c r="DR35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8" s="331">
        <v>45957</v>
      </c>
      <c r="DT358" s="331">
        <v>46164</v>
      </c>
      <c r="DU358" s="331">
        <v>45998</v>
      </c>
      <c r="DV358" s="331">
        <v>46178</v>
      </c>
      <c r="DW358" s="331">
        <v>46062</v>
      </c>
      <c r="DX358" s="426" t="s">
        <v>2847</v>
      </c>
      <c r="DY358" s="334">
        <v>44</v>
      </c>
      <c r="DZ358" s="334">
        <v>44</v>
      </c>
      <c r="EA35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8" s="331"/>
      <c r="EC358" s="332">
        <v>37</v>
      </c>
      <c r="ED358" s="332">
        <v>37</v>
      </c>
      <c r="EE358" s="118"/>
      <c r="EF358" s="337">
        <v>0.84090909090909094</v>
      </c>
      <c r="EG358" s="337">
        <f>Table1[[#This Row],[Line PO]]/Table1[[#This Row],[Line PR]]</f>
        <v>0.84090909090909094</v>
      </c>
      <c r="EH358" s="316" t="str">
        <f>IF(Table1[[#This Row],[PO Material Aktual 
(%)]]&gt;=100%,"Selesai PO = 100%",IF(Table1[[#This Row],[PO Material Aktual 
(%)]]&gt;=50%,"Proses PO &gt; 100%",IF(Table1[[#This Row],[PO Material Aktual 
(%)]]&gt;0%,"Proses PO &gt; 50%",IF(Table1[[#This Row],[PO Material Aktual 
(%)]]=0,"Belum PO = 0%"))))</f>
        <v>Proses PO &gt; 100%</v>
      </c>
      <c r="EI35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8" s="331">
        <v>45999</v>
      </c>
      <c r="EK358" s="331">
        <v>46178</v>
      </c>
      <c r="EL358" s="331">
        <v>46110</v>
      </c>
      <c r="EM358" s="331">
        <v>46203</v>
      </c>
      <c r="EN358" s="331"/>
      <c r="EO358" s="332">
        <v>5</v>
      </c>
      <c r="EP358" s="332">
        <v>5</v>
      </c>
      <c r="EQ358" s="337">
        <v>0.11363636363636363</v>
      </c>
      <c r="ER358" s="337">
        <f>Table1[[#This Row],[Line MOS (kolom bantu)]]/Table1[[#This Row],[Line PR]]</f>
        <v>0.11363636363636363</v>
      </c>
      <c r="ES358" s="316" t="str">
        <f>IF(Table1[[#This Row],[Progres MOS]]&gt;=100%,"Selesai MOS = 100%",IF(Table1[[#This Row],[Progres MOS]]&gt;=50%,"Proses MOS &gt; 100%",IF(Table1[[#This Row],[Progres MOS]]&gt;0%,"Proses MOS &gt; 50%",IF(Table1[[#This Row],[Progres MOS]]=0,"Belum MOS = 0%"))))</f>
        <v>Proses MOS &gt; 50%</v>
      </c>
      <c r="ET35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8" s="47"/>
      <c r="EV358" s="331">
        <v>45957</v>
      </c>
      <c r="EW358" s="331">
        <v>46150</v>
      </c>
      <c r="EX358" s="331">
        <v>46047</v>
      </c>
      <c r="EY358" s="331">
        <v>46180</v>
      </c>
      <c r="EZ358" s="352" t="s">
        <v>2748</v>
      </c>
      <c r="FA358" s="409" t="s">
        <v>2748</v>
      </c>
      <c r="FB358" s="330"/>
      <c r="FC358" s="330">
        <v>46036</v>
      </c>
      <c r="FD358" s="330" t="s">
        <v>260</v>
      </c>
      <c r="FE358" s="330"/>
      <c r="FF358" s="330"/>
      <c r="FG358" s="330"/>
      <c r="FH358" s="330"/>
      <c r="FI358" s="330"/>
      <c r="FJ358" s="330"/>
      <c r="FK358" s="330"/>
      <c r="FL358" s="336" t="s">
        <v>2806</v>
      </c>
      <c r="FM358" s="352"/>
      <c r="FN358" s="338" t="str">
        <f>IF(Table1[[#This Row],[Tanggal Pengajuan Dokumen]]="","",Table1[[#This Row],[PLAN PERMIT
start]]-Table1[[#This Row],[Tanggal Pengajuan Dokumen]])</f>
        <v/>
      </c>
      <c r="FO358" s="352"/>
      <c r="FP358" s="316"/>
      <c r="FQ358" s="338"/>
      <c r="FR358" s="331"/>
      <c r="FS358" s="338"/>
      <c r="FT35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8" s="344">
        <f ca="1">IF(Table1[[#This Row],[Status Izin]]="Selesai",Table1[[#This Row],[PLAN PERMIT
finish]]-Table1[[#This Row],[Tanggal Terbit/ Target Izin Terbit]],ROUNDUP(Table1[[#This Row],[PLAN PERMIT
finish]]-NOW(),0))</f>
        <v>-144</v>
      </c>
      <c r="FV35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8" s="344"/>
      <c r="FX358" s="47"/>
      <c r="FY358" s="513">
        <v>46006</v>
      </c>
      <c r="FZ358" s="513">
        <v>46050</v>
      </c>
      <c r="GA35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8" s="331">
        <v>46020</v>
      </c>
      <c r="GC358" s="352">
        <v>46113</v>
      </c>
      <c r="GD35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8" s="331">
        <v>46027</v>
      </c>
      <c r="GF358" s="352">
        <v>46113</v>
      </c>
      <c r="GG35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8" s="331">
        <v>46034</v>
      </c>
      <c r="GI358" s="331">
        <v>46040</v>
      </c>
      <c r="GJ358" s="352">
        <v>46119</v>
      </c>
      <c r="GK35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8" s="331">
        <v>46048</v>
      </c>
      <c r="GM358" s="331">
        <v>46206</v>
      </c>
      <c r="GN358" s="331">
        <v>46166</v>
      </c>
      <c r="GO358" s="330">
        <v>46262</v>
      </c>
      <c r="GP358" s="316"/>
      <c r="GQ35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8" s="331"/>
      <c r="GS358" s="331"/>
      <c r="GT358" s="354"/>
      <c r="GU358" s="344" t="str">
        <f>IF(Table1[[#This Row],[Hydro Tes Actual
(tanggal)]]&lt;&gt;"","Sudah","Belum")</f>
        <v>Belum</v>
      </c>
      <c r="GV358" s="330"/>
      <c r="GW358" s="330"/>
      <c r="GX358" s="331"/>
      <c r="GY358" s="344" t="str">
        <f>IF(Table1[[#This Row],[Interkoneksi Actual
(tanggal)]]&lt;&gt;"","Sudah","Belum")</f>
        <v>Belum</v>
      </c>
      <c r="GZ358" s="330"/>
      <c r="HA358" s="330"/>
      <c r="HB358" s="331"/>
      <c r="HC358" s="344" t="str">
        <f>IF(Table1[[#This Row],[Flushing Actual
(tanggal)]]&lt;&gt;"","Sudah","Belum")</f>
        <v>Belum</v>
      </c>
      <c r="HD358" s="331">
        <v>46169</v>
      </c>
      <c r="HE358" s="331">
        <v>46263</v>
      </c>
      <c r="HF358" s="331">
        <v>46174</v>
      </c>
      <c r="HG358" s="352"/>
      <c r="HH35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8" s="330"/>
      <c r="HJ358" s="330"/>
      <c r="HK358" s="331"/>
      <c r="HL358" s="331"/>
      <c r="HM358" s="331">
        <v>46191</v>
      </c>
      <c r="HN358" s="331">
        <v>46191</v>
      </c>
      <c r="HO358" s="330">
        <v>46280</v>
      </c>
      <c r="HP358" s="331"/>
      <c r="HQ35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58" s="331">
        <v>46199</v>
      </c>
      <c r="HS358" s="331"/>
      <c r="HT358" s="331">
        <v>46199</v>
      </c>
      <c r="HU358" s="420"/>
      <c r="HV358" s="395"/>
      <c r="HW35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58" s="47"/>
      <c r="HY358" s="352"/>
      <c r="HZ358" s="352"/>
      <c r="IA358" s="72"/>
      <c r="IB358" s="618">
        <f>IFERROR(ROUND((Table1[[#This Row],[PLAN TC
finish]]-Table1[[#This Row],[PLAN MC-0
start]])/30,2),"")</f>
        <v>4.67</v>
      </c>
      <c r="IC358">
        <f>DATEDIF(Table1[[#This Row],[PLAN MC-0
start]],Table1[[#This Row],[PLAN TC
finish]],"m")</f>
        <v>4</v>
      </c>
      <c r="ID358" s="6"/>
      <c r="IE358" s="6"/>
      <c r="IF358" s="72"/>
      <c r="IH358" s="6"/>
      <c r="II358" s="4"/>
      <c r="IJ358" s="4"/>
      <c r="IK358" s="6"/>
      <c r="IL358" s="6"/>
      <c r="IM358" s="6"/>
      <c r="IN358" s="6"/>
      <c r="IO358" s="6"/>
      <c r="IQ358" s="6"/>
      <c r="IR358" s="6"/>
      <c r="IS358" s="6"/>
      <c r="IT358" s="6"/>
      <c r="IW358" s="6"/>
      <c r="IX358" s="6"/>
      <c r="IZ358" s="6"/>
      <c r="JA358" s="6"/>
    </row>
    <row r="359" spans="2:261" ht="15" hidden="1" customHeight="1" x14ac:dyDescent="0.2">
      <c r="B359" s="311">
        <f>SUBTOTAL(3,$D$5:D359)</f>
        <v>84</v>
      </c>
      <c r="C359" s="316">
        <v>355</v>
      </c>
      <c r="D359" s="315" t="s">
        <v>244</v>
      </c>
      <c r="E359" s="460" t="s">
        <v>2848</v>
      </c>
      <c r="F359" s="338" t="s">
        <v>2849</v>
      </c>
      <c r="G359" s="349">
        <v>46300</v>
      </c>
      <c r="H359" s="338" t="s">
        <v>247</v>
      </c>
      <c r="I359" s="338" t="s">
        <v>278</v>
      </c>
      <c r="J359" s="480"/>
      <c r="K359" s="338"/>
      <c r="L359" s="316"/>
      <c r="M359" s="355" t="s">
        <v>269</v>
      </c>
      <c r="N359" s="507">
        <v>1813</v>
      </c>
      <c r="O359" s="31" t="s">
        <v>252</v>
      </c>
      <c r="P35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5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9" s="35">
        <v>0.97877181234552679</v>
      </c>
      <c r="S359" s="327">
        <v>0.97877181234552679</v>
      </c>
      <c r="T359" s="152">
        <f>Table1[[#This Row],[Progres Total Aktual
(%)]]</f>
        <v>5.3324955065416353E-2</v>
      </c>
      <c r="U359" s="121">
        <f>Table1[[#This Row],[Progres Aktual
(%)]]-Table1[[#This Row],[Target Progres
(%)]]</f>
        <v>-0.92544685728011045</v>
      </c>
      <c r="V359" s="80">
        <v>1800</v>
      </c>
      <c r="W359" s="80">
        <f>Table1[[#This Row],[Total Panjang Pipa Aktual
(Sum-&gt;)3]]</f>
        <v>0</v>
      </c>
      <c r="X359" s="117"/>
      <c r="Y359" s="508" t="s">
        <v>2850</v>
      </c>
      <c r="Z359" s="67">
        <v>6927006818</v>
      </c>
      <c r="AA359" s="509">
        <f>ROUND((Table1[[#This Row],[Nilai RAB Jaringan
(Exclude Ppn)]]-Table1[[#This Row],[RAB Perizinan]])*1.11+Table1[[#This Row],[RAB Perizinan]],0)</f>
        <v>6927006818</v>
      </c>
      <c r="AB359" s="436">
        <f>SUM(Table1[[#This Row],[RAB Kegiatan Umum]:[RAB Perizinan]])</f>
        <v>6242448870</v>
      </c>
      <c r="AC359" s="436">
        <v>151041410</v>
      </c>
      <c r="AD359" s="436">
        <v>3020828193</v>
      </c>
      <c r="AE359" s="436">
        <v>3051384467</v>
      </c>
      <c r="AF359" s="436">
        <v>19194800</v>
      </c>
      <c r="AG359" s="436"/>
      <c r="AH359" s="510">
        <f>SUM(Table1[[#This Row],[Bobot Keg Umum]:[Bobot Perizinan]])</f>
        <v>1</v>
      </c>
      <c r="AI359" s="510">
        <f>Table1[[#This Row],[RAB Kegiatan Umum]]/Table1[[#This Row],[Nilai RAB Jaringan
(Exclude Ppn)]]</f>
        <v>2.4195858571765923E-2</v>
      </c>
      <c r="AJ359" s="510">
        <f>Table1[[#This Row],[RAB Pemasangan]]/Table1[[#This Row],[Nilai RAB Jaringan
(Exclude Ppn)]]</f>
        <v>0.48391717031396364</v>
      </c>
      <c r="AK359" s="129">
        <f>Table1[[#This Row],[RAB Pengadaan]]/Table1[[#This Row],[Nilai RAB Jaringan
(Exclude Ppn)]]</f>
        <v>0.48881208809964993</v>
      </c>
      <c r="AL359" s="130">
        <f>Table1[[#This Row],[RAB Perizinan]]/Table1[[#This Row],[Nilai RAB Jaringan
(Exclude Ppn)]]</f>
        <v>3.0748830146205106E-3</v>
      </c>
      <c r="AM359" s="47"/>
      <c r="AN359" s="285">
        <v>1800</v>
      </c>
      <c r="AO359" s="285">
        <f>SUM(Table1[[#This Row],[Pipa 63 mm]:[Pipa 1,800 mm]])</f>
        <v>1800</v>
      </c>
      <c r="AP359" s="285"/>
      <c r="AQ359" s="285"/>
      <c r="AR359" s="285"/>
      <c r="AS359" s="285"/>
      <c r="AT359" s="285"/>
      <c r="AU359" s="285"/>
      <c r="AV359" s="285">
        <v>1800</v>
      </c>
      <c r="AW359" s="285"/>
      <c r="AX359" s="285"/>
      <c r="AY359" s="285"/>
      <c r="AZ359" s="285"/>
      <c r="BA359" s="285"/>
      <c r="BB359" s="285"/>
      <c r="BC359" s="285"/>
      <c r="BD359" s="285"/>
      <c r="BE359" s="285"/>
      <c r="BF359" s="285"/>
      <c r="BG359" s="285"/>
      <c r="BH359" s="285"/>
      <c r="BI359" s="285"/>
      <c r="BJ359" s="36">
        <f>SUM(Table1[[#This Row],[Pipa 63 mm2]:[Pipa 1,800 mm21]])</f>
        <v>0</v>
      </c>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f>IF((Table1[[#This Row],["Volume
BA MC-0"]]-Table1[[#This Row],[Total Panjang Pipa Aktual
(Sum-&gt;)3]]-Table1[[#This Row],[Total Volume
tidak dapat dipasang]])&gt;=0,Table1[[#This Row],["Volume
BA MC-0"]]-Table1[[#This Row],[Total Panjang Pipa Aktual
(Sum-&gt;)3]]-Table1[[#This Row],[Total Volume
tidak dapat dipasang]],0)</f>
        <v>1800</v>
      </c>
      <c r="CK359" s="47"/>
      <c r="CL359" s="131"/>
      <c r="CM359" s="337"/>
      <c r="CN359" s="131"/>
      <c r="CO359" s="131"/>
      <c r="CP35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5.3324955065416353E-2</v>
      </c>
      <c r="CQ359" s="436">
        <f>IFERROR(Table1[[#This Row],[Progres Keg. Umum
(%)]]*Table1[[#This Row],[Nilai RAB Jaringan
(file pa aji)]],0)</f>
        <v>0</v>
      </c>
      <c r="CR359" s="436">
        <f>IFERROR(Table1[[#This Row],[Progres MOS
(%)]]*Table1[[#This Row],[Nilai RAB Jaringan
(file pa aji)]],0)</f>
        <v>0</v>
      </c>
      <c r="CS359" s="436">
        <f>IFERROR(Table1[[#This Row],[Progres Pemasangan
(%)]]*Table1[[#This Row],[Nilai RAB Jaringan
(file pa aji)]],0)</f>
        <v>0</v>
      </c>
      <c r="CT359" s="436">
        <f>IFERROR(Table1[[#This Row],[Progres Perizinan
(%)]]*Table1[[#This Row],[Nilai RAB Jaringan
(file pa aji)]],0)</f>
        <v>0</v>
      </c>
      <c r="CU359" s="329">
        <v>0</v>
      </c>
      <c r="CV359" s="329">
        <v>0</v>
      </c>
      <c r="CW359" s="511">
        <v>0</v>
      </c>
      <c r="CX359" s="329">
        <v>0</v>
      </c>
      <c r="CY359" s="47"/>
      <c r="CZ359" s="331">
        <v>45929</v>
      </c>
      <c r="DA359" s="331">
        <v>45956</v>
      </c>
      <c r="DB359" s="331">
        <v>46020</v>
      </c>
      <c r="DC359" s="316" t="s">
        <v>2851</v>
      </c>
      <c r="DD359" s="508">
        <v>6927006818</v>
      </c>
      <c r="DE35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9" s="331">
        <v>46049</v>
      </c>
      <c r="DG359" s="316" t="s">
        <v>2852</v>
      </c>
      <c r="DH359" s="508">
        <v>6927006818</v>
      </c>
      <c r="DI35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9" s="331">
        <v>45957</v>
      </c>
      <c r="DK359" s="331">
        <v>46019</v>
      </c>
      <c r="DL359" s="331">
        <v>46063</v>
      </c>
      <c r="DM359" s="316" t="s">
        <v>2853</v>
      </c>
      <c r="DN35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9" s="331">
        <v>46086.291666666664</v>
      </c>
      <c r="DP359" s="316" t="s">
        <v>2854</v>
      </c>
      <c r="DQ359" s="338" t="s">
        <v>312</v>
      </c>
      <c r="DR35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9" s="331">
        <v>45957</v>
      </c>
      <c r="DT359" s="331">
        <v>46164</v>
      </c>
      <c r="DU359" s="331">
        <v>45998</v>
      </c>
      <c r="DV359" s="331">
        <v>46178</v>
      </c>
      <c r="DW359" s="331">
        <v>46063</v>
      </c>
      <c r="DX359" s="426" t="s">
        <v>2855</v>
      </c>
      <c r="DY359" s="334">
        <v>55</v>
      </c>
      <c r="DZ359" s="334">
        <v>55</v>
      </c>
      <c r="EA35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9" s="331"/>
      <c r="EC359" s="332">
        <v>50</v>
      </c>
      <c r="ED359" s="332">
        <v>50</v>
      </c>
      <c r="EE359" s="118"/>
      <c r="EF359" s="337">
        <v>0.90909090909090906</v>
      </c>
      <c r="EG359" s="337">
        <f>Table1[[#This Row],[Line PO]]/Table1[[#This Row],[Line PR]]</f>
        <v>0.90909090909090906</v>
      </c>
      <c r="EH359" s="316" t="str">
        <f>IF(Table1[[#This Row],[PO Material Aktual 
(%)]]&gt;=100%,"Selesai PO = 100%",IF(Table1[[#This Row],[PO Material Aktual 
(%)]]&gt;=50%,"Proses PO &gt; 100%",IF(Table1[[#This Row],[PO Material Aktual 
(%)]]&gt;0%,"Proses PO &gt; 50%",IF(Table1[[#This Row],[PO Material Aktual 
(%)]]=0,"Belum PO = 0%"))))</f>
        <v>Proses PO &gt; 100%</v>
      </c>
      <c r="EI35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9" s="331">
        <v>45999</v>
      </c>
      <c r="EK359" s="331">
        <v>46178</v>
      </c>
      <c r="EL359" s="331">
        <v>46110</v>
      </c>
      <c r="EM359" s="331">
        <v>46203</v>
      </c>
      <c r="EN359" s="331"/>
      <c r="EO359" s="332">
        <v>10</v>
      </c>
      <c r="EP359" s="332">
        <v>10</v>
      </c>
      <c r="EQ359" s="337">
        <v>0.18181818181818182</v>
      </c>
      <c r="ER359" s="337">
        <f>Table1[[#This Row],[Line MOS (kolom bantu)]]/Table1[[#This Row],[Line PR]]</f>
        <v>0.18181818181818182</v>
      </c>
      <c r="ES359" s="316" t="str">
        <f>IF(Table1[[#This Row],[Progres MOS]]&gt;=100%,"Selesai MOS = 100%",IF(Table1[[#This Row],[Progres MOS]]&gt;=50%,"Proses MOS &gt; 100%",IF(Table1[[#This Row],[Progres MOS]]&gt;0%,"Proses MOS &gt; 50%",IF(Table1[[#This Row],[Progres MOS]]=0,"Belum MOS = 0%"))))</f>
        <v>Proses MOS &gt; 50%</v>
      </c>
      <c r="ET35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9" s="47"/>
      <c r="EV359" s="331">
        <v>45957</v>
      </c>
      <c r="EW359" s="331">
        <v>46150</v>
      </c>
      <c r="EX359" s="331">
        <v>46047</v>
      </c>
      <c r="EY359" s="331">
        <v>46180</v>
      </c>
      <c r="EZ359" s="352" t="s">
        <v>1592</v>
      </c>
      <c r="FA359" s="409" t="s">
        <v>1592</v>
      </c>
      <c r="FB359" s="330"/>
      <c r="FC359" s="330">
        <v>46010</v>
      </c>
      <c r="FD359" s="330" t="s">
        <v>260</v>
      </c>
      <c r="FE359" s="330">
        <v>46052</v>
      </c>
      <c r="FF359" s="330">
        <v>46071</v>
      </c>
      <c r="FG359" s="330"/>
      <c r="FH359" s="330"/>
      <c r="FI359" s="330"/>
      <c r="FJ359" s="330"/>
      <c r="FK359" s="330"/>
      <c r="FL359" s="336" t="s">
        <v>2806</v>
      </c>
      <c r="FM359" s="352"/>
      <c r="FN359" s="338" t="str">
        <f>IF(Table1[[#This Row],[Tanggal Pengajuan Dokumen]]="","",Table1[[#This Row],[PLAN PERMIT
start]]-Table1[[#This Row],[Tanggal Pengajuan Dokumen]])</f>
        <v/>
      </c>
      <c r="FO359" s="352"/>
      <c r="FP359" s="316"/>
      <c r="FQ359" s="338"/>
      <c r="FR359" s="331"/>
      <c r="FS359" s="338"/>
      <c r="FT35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9" s="344">
        <f ca="1">IF(Table1[[#This Row],[Status Izin]]="Selesai",Table1[[#This Row],[PLAN PERMIT
finish]]-Table1[[#This Row],[Tanggal Terbit/ Target Izin Terbit]],ROUNDUP(Table1[[#This Row],[PLAN PERMIT
finish]]-NOW(),0))</f>
        <v>-144</v>
      </c>
      <c r="FV35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9" s="344"/>
      <c r="FX359" s="47"/>
      <c r="FY359" s="513">
        <v>46006</v>
      </c>
      <c r="FZ359" s="513">
        <v>46050</v>
      </c>
      <c r="GA35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9" s="331">
        <v>46020</v>
      </c>
      <c r="GC359" s="352">
        <f>Table1[[#This Row],[Tanggal Aktual Kick Off]]</f>
        <v>46112</v>
      </c>
      <c r="GD35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9" s="331">
        <v>46027</v>
      </c>
      <c r="GF359" s="352">
        <v>46112</v>
      </c>
      <c r="GG35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9" s="331">
        <v>46034</v>
      </c>
      <c r="GI359" s="331">
        <v>46040</v>
      </c>
      <c r="GJ359" s="352">
        <v>46119</v>
      </c>
      <c r="GK35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9" s="331">
        <v>46048</v>
      </c>
      <c r="GM359" s="331">
        <v>46206</v>
      </c>
      <c r="GN359" s="331">
        <v>46166</v>
      </c>
      <c r="GO359" s="330">
        <v>46262</v>
      </c>
      <c r="GP359" s="316"/>
      <c r="GQ35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9" s="331"/>
      <c r="GS359" s="331"/>
      <c r="GT359" s="354"/>
      <c r="GU359" s="344" t="str">
        <f>IF(Table1[[#This Row],[Hydro Tes Actual
(tanggal)]]&lt;&gt;"","Sudah","Belum")</f>
        <v>Belum</v>
      </c>
      <c r="GV359" s="330"/>
      <c r="GW359" s="330"/>
      <c r="GX359" s="331"/>
      <c r="GY359" s="344" t="str">
        <f>IF(Table1[[#This Row],[Interkoneksi Actual
(tanggal)]]&lt;&gt;"","Sudah","Belum")</f>
        <v>Belum</v>
      </c>
      <c r="GZ359" s="330"/>
      <c r="HA359" s="330"/>
      <c r="HB359" s="331"/>
      <c r="HC359" s="344" t="str">
        <f>IF(Table1[[#This Row],[Flushing Actual
(tanggal)]]&lt;&gt;"","Sudah","Belum")</f>
        <v>Belum</v>
      </c>
      <c r="HD359" s="331">
        <v>46169</v>
      </c>
      <c r="HE359" s="331">
        <v>46263</v>
      </c>
      <c r="HF359" s="331">
        <v>46174</v>
      </c>
      <c r="HG359" s="352"/>
      <c r="HH35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9" s="330"/>
      <c r="HJ359" s="330"/>
      <c r="HK359" s="331"/>
      <c r="HL359" s="331"/>
      <c r="HM359" s="331">
        <v>46191</v>
      </c>
      <c r="HN359" s="331">
        <v>46191</v>
      </c>
      <c r="HO359" s="330">
        <v>46280</v>
      </c>
      <c r="HP359" s="331"/>
      <c r="HQ35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59" s="331">
        <v>46199</v>
      </c>
      <c r="HS359" s="331"/>
      <c r="HT359" s="331">
        <v>46199</v>
      </c>
      <c r="HU359" s="420"/>
      <c r="HV359" s="395"/>
      <c r="HW359"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59" s="47"/>
      <c r="HY359" s="352"/>
      <c r="HZ359" s="352"/>
      <c r="IA359" s="72"/>
      <c r="IB359" s="618">
        <f>IFERROR(ROUND((Table1[[#This Row],[PLAN TC
finish]]-Table1[[#This Row],[PLAN MC-0
start]])/30,2),"")</f>
        <v>4.67</v>
      </c>
      <c r="IC359">
        <f>DATEDIF(Table1[[#This Row],[PLAN MC-0
start]],Table1[[#This Row],[PLAN TC
finish]],"m")</f>
        <v>4</v>
      </c>
      <c r="ID359" s="6"/>
      <c r="IE359" s="6"/>
      <c r="IF359" s="72"/>
      <c r="IH359" s="6"/>
      <c r="II359" s="4"/>
      <c r="IJ359" s="4"/>
      <c r="IK359" s="6"/>
      <c r="IL359" s="6"/>
      <c r="IM359" s="6"/>
      <c r="IN359" s="6"/>
      <c r="IO359" s="6"/>
      <c r="IQ359" s="6"/>
      <c r="IR359" s="6"/>
      <c r="IS359" s="6"/>
      <c r="IT359" s="6"/>
      <c r="IW359" s="6"/>
      <c r="IX359" s="6"/>
      <c r="IZ359" s="6"/>
      <c r="JA359" s="6"/>
    </row>
    <row r="360" spans="2:261" ht="15" hidden="1" customHeight="1" x14ac:dyDescent="0.2">
      <c r="B360" s="311">
        <f>SUBTOTAL(3,$D$5:D360)</f>
        <v>84</v>
      </c>
      <c r="C360" s="316">
        <v>356</v>
      </c>
      <c r="D360" s="315" t="s">
        <v>244</v>
      </c>
      <c r="E360" s="315" t="s">
        <v>2856</v>
      </c>
      <c r="F360" s="338" t="s">
        <v>2857</v>
      </c>
      <c r="G360" s="349">
        <v>46300</v>
      </c>
      <c r="H360" s="338" t="s">
        <v>247</v>
      </c>
      <c r="I360" s="338" t="s">
        <v>278</v>
      </c>
      <c r="J360" s="480"/>
      <c r="K360" s="338"/>
      <c r="L360" s="316"/>
      <c r="M360" s="355" t="s">
        <v>269</v>
      </c>
      <c r="N360" s="507">
        <v>1953</v>
      </c>
      <c r="O360" s="31" t="s">
        <v>252</v>
      </c>
      <c r="P36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6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0" s="35">
        <v>0.97565835607069318</v>
      </c>
      <c r="S360" s="327">
        <v>0.97565835607069318</v>
      </c>
      <c r="T360" s="152">
        <f>Table1[[#This Row],[Progres Total Aktual
(%)]]</f>
        <v>2.3875109882788754E-2</v>
      </c>
      <c r="U360" s="121">
        <f>Table1[[#This Row],[Progres Aktual
(%)]]-Table1[[#This Row],[Target Progres
(%)]]</f>
        <v>-0.95178324618790444</v>
      </c>
      <c r="V360" s="80">
        <f>Table1[[#This Row],["Volume
BA MC-0"]]</f>
        <v>758.5</v>
      </c>
      <c r="W360" s="80">
        <f>Table1[[#This Row],[Total Panjang Pipa Aktual
(Sum-&gt;)3]]</f>
        <v>0</v>
      </c>
      <c r="X360" s="117"/>
      <c r="Y360" s="508" t="s">
        <v>2858</v>
      </c>
      <c r="Z360" s="67">
        <v>4118143290</v>
      </c>
      <c r="AA360" s="509">
        <f>ROUND((Table1[[#This Row],[Nilai RAB Jaringan
(Exclude Ppn)]]-Table1[[#This Row],[RAB Perizinan]])*1.11+Table1[[#This Row],[RAB Perizinan]],0)</f>
        <v>4118143289</v>
      </c>
      <c r="AB360" s="436">
        <f>SUM(Table1[[#This Row],[RAB Kegiatan Umum]:[RAB Perizinan]])</f>
        <v>3714055486</v>
      </c>
      <c r="AC360" s="436">
        <v>206837534</v>
      </c>
      <c r="AD360" s="436">
        <v>2068375338</v>
      </c>
      <c r="AE360" s="436">
        <v>1398312614</v>
      </c>
      <c r="AF360" s="436">
        <v>40530000</v>
      </c>
      <c r="AG360" s="436"/>
      <c r="AH360" s="510">
        <f>SUM(Table1[[#This Row],[Bobot Keg Umum]:[Bobot Perizinan]])</f>
        <v>1</v>
      </c>
      <c r="AI360" s="510">
        <f>Table1[[#This Row],[RAB Kegiatan Umum]]/Table1[[#This Row],[Nilai RAB Jaringan
(Exclude Ppn)]]</f>
        <v>5.5690480333335547E-2</v>
      </c>
      <c r="AJ360" s="510">
        <f>Table1[[#This Row],[RAB Pemasangan]]/Table1[[#This Row],[Nilai RAB Jaringan
(Exclude Ppn)]]</f>
        <v>0.55690480279486054</v>
      </c>
      <c r="AK360" s="129">
        <f>Table1[[#This Row],[RAB Pengadaan]]/Table1[[#This Row],[Nilai RAB Jaringan
(Exclude Ppn)]]</f>
        <v>0.37649211738243804</v>
      </c>
      <c r="AL360" s="130">
        <f>Table1[[#This Row],[RAB Perizinan]]/Table1[[#This Row],[Nilai RAB Jaringan
(Exclude Ppn)]]</f>
        <v>1.0912599489365842E-2</v>
      </c>
      <c r="AM360" s="47"/>
      <c r="AN360" s="285">
        <v>758.5</v>
      </c>
      <c r="AO360" s="285">
        <f>SUM(Table1[[#This Row],[Pipa 63 mm]:[Pipa 1,800 mm]])</f>
        <v>713.5</v>
      </c>
      <c r="AP360" s="285">
        <v>597</v>
      </c>
      <c r="AQ360" s="285"/>
      <c r="AR360" s="285">
        <v>93.5</v>
      </c>
      <c r="AS360" s="285">
        <v>18</v>
      </c>
      <c r="AT360" s="285"/>
      <c r="AU360" s="285">
        <v>5</v>
      </c>
      <c r="AV360" s="285"/>
      <c r="AW360" s="285"/>
      <c r="AX360" s="285"/>
      <c r="AY360" s="285"/>
      <c r="AZ360" s="285"/>
      <c r="BA360" s="285"/>
      <c r="BB360" s="285"/>
      <c r="BC360" s="285"/>
      <c r="BD360" s="285"/>
      <c r="BE360" s="285"/>
      <c r="BF360" s="285"/>
      <c r="BG360" s="285"/>
      <c r="BH360" s="285"/>
      <c r="BI360" s="285"/>
      <c r="BJ360" s="36">
        <f>SUM(Table1[[#This Row],[Pipa 63 mm2]:[Pipa 1,800 mm21]])</f>
        <v>0</v>
      </c>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f>IF((Table1[[#This Row],["Volume
BA MC-0"]]-Table1[[#This Row],[Total Panjang Pipa Aktual
(Sum-&gt;)3]]-Table1[[#This Row],[Total Volume
tidak dapat dipasang]])&gt;=0,Table1[[#This Row],["Volume
BA MC-0"]]-Table1[[#This Row],[Total Panjang Pipa Aktual
(Sum-&gt;)3]]-Table1[[#This Row],[Total Volume
tidak dapat dipasang]],0)</f>
        <v>758.5</v>
      </c>
      <c r="CK360" s="47"/>
      <c r="CL360" s="131"/>
      <c r="CM360" s="337"/>
      <c r="CN360" s="131"/>
      <c r="CO360" s="131"/>
      <c r="CP36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2.3875109882788754E-2</v>
      </c>
      <c r="CQ360" s="436">
        <f>IFERROR(Table1[[#This Row],[Progres Keg. Umum
(%)]]*Table1[[#This Row],[Nilai RAB Jaringan
(file pa aji)]],0)</f>
        <v>0</v>
      </c>
      <c r="CR360" s="436">
        <f>IFERROR(Table1[[#This Row],[Progres MOS
(%)]]*Table1[[#This Row],[Nilai RAB Jaringan
(file pa aji)]],0)</f>
        <v>0</v>
      </c>
      <c r="CS360" s="436">
        <f>IFERROR(Table1[[#This Row],[Progres Pemasangan
(%)]]*Table1[[#This Row],[Nilai RAB Jaringan
(file pa aji)]],0)</f>
        <v>0</v>
      </c>
      <c r="CT360" s="436">
        <f>IFERROR(Table1[[#This Row],[Progres Perizinan
(%)]]*Table1[[#This Row],[Nilai RAB Jaringan
(file pa aji)]],0)</f>
        <v>0</v>
      </c>
      <c r="CU360" s="329">
        <v>0</v>
      </c>
      <c r="CV360" s="329">
        <v>0</v>
      </c>
      <c r="CW360" s="511">
        <v>0</v>
      </c>
      <c r="CX360" s="329">
        <v>0</v>
      </c>
      <c r="CY360" s="47"/>
      <c r="CZ360" s="331">
        <v>45992</v>
      </c>
      <c r="DA360" s="331">
        <v>46019</v>
      </c>
      <c r="DB360" s="331">
        <v>45950</v>
      </c>
      <c r="DC360" s="316" t="s">
        <v>2859</v>
      </c>
      <c r="DD360" s="508">
        <v>4118143290</v>
      </c>
      <c r="DE36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0" s="331">
        <v>46049</v>
      </c>
      <c r="DG360" s="316" t="s">
        <v>2860</v>
      </c>
      <c r="DH360" s="508">
        <v>4118143290</v>
      </c>
      <c r="DI36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0" s="331">
        <v>46020</v>
      </c>
      <c r="DK360" s="331">
        <v>46082</v>
      </c>
      <c r="DL360" s="331">
        <v>46059</v>
      </c>
      <c r="DM360" s="316" t="s">
        <v>2861</v>
      </c>
      <c r="DN36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0" s="331">
        <v>46087</v>
      </c>
      <c r="DP360" s="316"/>
      <c r="DQ360" s="338" t="s">
        <v>560</v>
      </c>
      <c r="DR36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0" s="331">
        <v>46020</v>
      </c>
      <c r="DT360" s="331">
        <v>46162</v>
      </c>
      <c r="DU360" s="331">
        <v>46061</v>
      </c>
      <c r="DV360" s="331">
        <v>46176</v>
      </c>
      <c r="DW360" s="331">
        <v>46059</v>
      </c>
      <c r="DX360" s="426" t="s">
        <v>2862</v>
      </c>
      <c r="DY360" s="334">
        <v>123</v>
      </c>
      <c r="DZ360" s="334">
        <v>123</v>
      </c>
      <c r="EA36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60" s="331"/>
      <c r="EC360" s="332">
        <v>114</v>
      </c>
      <c r="ED360" s="332">
        <v>114</v>
      </c>
      <c r="EE360" s="118"/>
      <c r="EF360" s="337">
        <v>0.92682926829268297</v>
      </c>
      <c r="EG360" s="337">
        <f>Table1[[#This Row],[Line PO]]/Table1[[#This Row],[Line PR]]</f>
        <v>0.92682926829268297</v>
      </c>
      <c r="EH360" s="316" t="str">
        <f>IF(Table1[[#This Row],[PO Material Aktual 
(%)]]&gt;=100%,"Selesai PO = 100%",IF(Table1[[#This Row],[PO Material Aktual 
(%)]]&gt;=50%,"Proses PO &gt; 100%",IF(Table1[[#This Row],[PO Material Aktual 
(%)]]&gt;0%,"Proses PO &gt; 50%",IF(Table1[[#This Row],[PO Material Aktual 
(%)]]=0,"Belum PO = 0%"))))</f>
        <v>Proses PO &gt; 100%</v>
      </c>
      <c r="EI36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0" s="331">
        <v>46062</v>
      </c>
      <c r="EK360" s="331">
        <v>46176</v>
      </c>
      <c r="EL360" s="331">
        <v>46145</v>
      </c>
      <c r="EM360" s="331">
        <v>46190</v>
      </c>
      <c r="EN360" s="331"/>
      <c r="EO360" s="332">
        <v>13</v>
      </c>
      <c r="EP360" s="332">
        <v>13</v>
      </c>
      <c r="EQ360" s="337">
        <v>0.10569105691056911</v>
      </c>
      <c r="ER360" s="337">
        <f>Table1[[#This Row],[Line MOS (kolom bantu)]]/Table1[[#This Row],[Line PR]]</f>
        <v>0.10569105691056911</v>
      </c>
      <c r="ES360" s="316" t="str">
        <f>IF(Table1[[#This Row],[Progres MOS]]&gt;=100%,"Selesai MOS = 100%",IF(Table1[[#This Row],[Progres MOS]]&gt;=50%,"Proses MOS &gt; 100%",IF(Table1[[#This Row],[Progres MOS]]&gt;0%,"Proses MOS &gt; 50%",IF(Table1[[#This Row],[Progres MOS]]=0,"Belum MOS = 0%"))))</f>
        <v>Proses MOS &gt; 50%</v>
      </c>
      <c r="ET36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0" s="47"/>
      <c r="EV360" s="331">
        <v>46020</v>
      </c>
      <c r="EW360" s="331">
        <v>46156</v>
      </c>
      <c r="EX360" s="331">
        <v>46110</v>
      </c>
      <c r="EY360" s="331">
        <v>46186</v>
      </c>
      <c r="EZ360" s="352" t="s">
        <v>2748</v>
      </c>
      <c r="FA360" s="409" t="s">
        <v>2748</v>
      </c>
      <c r="FB360" s="330"/>
      <c r="FC360" s="330">
        <v>46010</v>
      </c>
      <c r="FD360" s="330" t="s">
        <v>260</v>
      </c>
      <c r="FE360" s="330">
        <v>46079</v>
      </c>
      <c r="FF360" s="330"/>
      <c r="FG360" s="330"/>
      <c r="FH360" s="330"/>
      <c r="FI360" s="330"/>
      <c r="FJ360" s="330"/>
      <c r="FK360" s="330"/>
      <c r="FL360" s="336" t="s">
        <v>2806</v>
      </c>
      <c r="FM360" s="352"/>
      <c r="FN360" s="338" t="str">
        <f>IF(Table1[[#This Row],[Tanggal Pengajuan Dokumen]]="","",Table1[[#This Row],[PLAN PERMIT
start]]-Table1[[#This Row],[Tanggal Pengajuan Dokumen]])</f>
        <v/>
      </c>
      <c r="FO360" s="352"/>
      <c r="FP360" s="316"/>
      <c r="FQ360" s="338"/>
      <c r="FR360" s="331"/>
      <c r="FS360" s="338"/>
      <c r="FT36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0" s="344">
        <f ca="1">IF(Table1[[#This Row],[Status Izin]]="Selesai",Table1[[#This Row],[PLAN PERMIT
finish]]-Table1[[#This Row],[Tanggal Terbit/ Target Izin Terbit]],ROUNDUP(Table1[[#This Row],[PLAN PERMIT
finish]]-NOW(),0))</f>
        <v>-81</v>
      </c>
      <c r="FV36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0" s="344"/>
      <c r="FX360" s="47"/>
      <c r="FY360" s="513">
        <v>46069</v>
      </c>
      <c r="FZ360" s="513">
        <v>46125</v>
      </c>
      <c r="GA36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0" s="331">
        <v>46083</v>
      </c>
      <c r="GC360" s="352">
        <v>46113</v>
      </c>
      <c r="GD36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0" s="331">
        <v>46090</v>
      </c>
      <c r="GF360" s="352">
        <v>46113</v>
      </c>
      <c r="GG36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0" s="331">
        <v>46097</v>
      </c>
      <c r="GI360" s="331">
        <v>46103</v>
      </c>
      <c r="GJ360" s="352">
        <v>46127</v>
      </c>
      <c r="GK36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0" s="331">
        <v>46111</v>
      </c>
      <c r="GM360" s="331">
        <v>46193</v>
      </c>
      <c r="GN360" s="331">
        <v>46166</v>
      </c>
      <c r="GO360" s="330">
        <v>46269</v>
      </c>
      <c r="GP360" s="316"/>
      <c r="GQ36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0" s="331"/>
      <c r="GS360" s="331"/>
      <c r="GT360" s="354"/>
      <c r="GU360" s="344" t="str">
        <f>IF(Table1[[#This Row],[Hydro Tes Actual
(tanggal)]]&lt;&gt;"","Sudah","Belum")</f>
        <v>Belum</v>
      </c>
      <c r="GV360" s="330"/>
      <c r="GW360" s="330"/>
      <c r="GX360" s="331"/>
      <c r="GY360" s="344" t="str">
        <f>IF(Table1[[#This Row],[Interkoneksi Actual
(tanggal)]]&lt;&gt;"","Sudah","Belum")</f>
        <v>Belum</v>
      </c>
      <c r="GZ360" s="330"/>
      <c r="HA360" s="330"/>
      <c r="HB360" s="331"/>
      <c r="HC360" s="344" t="str">
        <f>IF(Table1[[#This Row],[Flushing Actual
(tanggal)]]&lt;&gt;"","Sudah","Belum")</f>
        <v>Belum</v>
      </c>
      <c r="HD360" s="331">
        <v>46169</v>
      </c>
      <c r="HE360" s="331">
        <v>46270</v>
      </c>
      <c r="HF360" s="331">
        <v>46174</v>
      </c>
      <c r="HG360" s="352"/>
      <c r="HH36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0" s="330"/>
      <c r="HJ360" s="330"/>
      <c r="HK360" s="331"/>
      <c r="HL360" s="331"/>
      <c r="HM360" s="331">
        <v>46191</v>
      </c>
      <c r="HN360" s="331">
        <v>46191</v>
      </c>
      <c r="HO360" s="330">
        <v>46287</v>
      </c>
      <c r="HP360" s="331"/>
      <c r="HQ36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60" s="331">
        <v>46199</v>
      </c>
      <c r="HS360" s="331"/>
      <c r="HT360" s="331">
        <v>46199</v>
      </c>
      <c r="HU360" s="420"/>
      <c r="HV360" s="395"/>
      <c r="HW360"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60" s="47"/>
      <c r="HY360" s="352"/>
      <c r="HZ360" s="352"/>
      <c r="IA360" s="72"/>
      <c r="IB360" s="618">
        <f>IFERROR(ROUND((Table1[[#This Row],[PLAN TC
finish]]-Table1[[#This Row],[PLAN MC-0
start]])/30,2),"")</f>
        <v>2.57</v>
      </c>
      <c r="IC360">
        <f>DATEDIF(Table1[[#This Row],[PLAN MC-0
start]],Table1[[#This Row],[PLAN TC
finish]],"m")</f>
        <v>2</v>
      </c>
      <c r="ID360" s="6"/>
      <c r="IE360" s="6"/>
      <c r="IF360" s="72"/>
      <c r="IH360" s="6"/>
      <c r="II360" s="4"/>
      <c r="IJ360" s="4"/>
      <c r="IK360" s="6"/>
      <c r="IL360" s="6"/>
      <c r="IM360" s="6"/>
      <c r="IN360" s="6"/>
      <c r="IO360" s="6"/>
      <c r="IQ360" s="6"/>
      <c r="IR360" s="6"/>
      <c r="IS360" s="6"/>
      <c r="IT360" s="6"/>
      <c r="IW360" s="6"/>
      <c r="IX360" s="6"/>
      <c r="IZ360" s="6"/>
      <c r="JA360" s="6"/>
    </row>
    <row r="361" spans="2:261" ht="15" hidden="1" customHeight="1" x14ac:dyDescent="0.2">
      <c r="B361" s="311">
        <f>SUBTOTAL(3,$D$5:D361)</f>
        <v>84</v>
      </c>
      <c r="C361" s="316">
        <v>357</v>
      </c>
      <c r="D361" s="315" t="s">
        <v>244</v>
      </c>
      <c r="E361" s="315" t="s">
        <v>2863</v>
      </c>
      <c r="F361" s="338" t="s">
        <v>2864</v>
      </c>
      <c r="G361" s="349">
        <v>46300</v>
      </c>
      <c r="H361" s="338" t="s">
        <v>247</v>
      </c>
      <c r="I361" s="338" t="s">
        <v>278</v>
      </c>
      <c r="J361" s="480"/>
      <c r="K361" s="338"/>
      <c r="L361" s="316"/>
      <c r="M361" s="355" t="s">
        <v>269</v>
      </c>
      <c r="N361" s="507">
        <v>2201</v>
      </c>
      <c r="O361" s="31" t="s">
        <v>252</v>
      </c>
      <c r="P36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6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1" s="35">
        <v>0.97708675732251637</v>
      </c>
      <c r="S361" s="327">
        <v>0.97708675732251637</v>
      </c>
      <c r="T361" s="152">
        <f>Table1[[#This Row],[Progres Total Aktual
(%)]]</f>
        <v>8.7389253396450539E-2</v>
      </c>
      <c r="U361" s="121">
        <f>Table1[[#This Row],[Progres Aktual
(%)]]-Table1[[#This Row],[Target Progres
(%)]]</f>
        <v>-0.88969750392606584</v>
      </c>
      <c r="V361" s="80">
        <f>Table1[[#This Row],["Volume
BA MC-0"]]</f>
        <v>801.5</v>
      </c>
      <c r="W361" s="80">
        <f>Table1[[#This Row],[Total Panjang Pipa Aktual
(Sum-&gt;)3]]</f>
        <v>0</v>
      </c>
      <c r="X361" s="117"/>
      <c r="Y361" s="508" t="s">
        <v>2865</v>
      </c>
      <c r="Z361" s="67">
        <v>3704638539</v>
      </c>
      <c r="AA361" s="509">
        <f>ROUND((Table1[[#This Row],[Nilai RAB Jaringan
(Exclude Ppn)]]-Table1[[#This Row],[RAB Perizinan]])*1.11+Table1[[#This Row],[RAB Perizinan]],0)</f>
        <v>3704638538</v>
      </c>
      <c r="AB361" s="436">
        <f>SUM(Table1[[#This Row],[RAB Kegiatan Umum]:[RAB Perizinan]])</f>
        <v>3339693368</v>
      </c>
      <c r="AC361" s="436">
        <v>214301034</v>
      </c>
      <c r="AD361" s="436">
        <v>2143010331</v>
      </c>
      <c r="AE361" s="436">
        <v>960372003</v>
      </c>
      <c r="AF361" s="436">
        <v>22010000</v>
      </c>
      <c r="AG361" s="436"/>
      <c r="AH361" s="510">
        <f>SUM(Table1[[#This Row],[Bobot Keg Umum]:[Bobot Perizinan]])</f>
        <v>1</v>
      </c>
      <c r="AI361" s="510">
        <f>Table1[[#This Row],[RAB Kegiatan Umum]]/Table1[[#This Row],[Nilai RAB Jaringan
(Exclude Ppn)]]</f>
        <v>6.4167877222912756E-2</v>
      </c>
      <c r="AJ361" s="510">
        <f>Table1[[#This Row],[RAB Pemasangan]]/Table1[[#This Row],[Nilai RAB Jaringan
(Exclude Ppn)]]</f>
        <v>0.64167876953426939</v>
      </c>
      <c r="AK361" s="129">
        <f>Table1[[#This Row],[RAB Pengadaan]]/Table1[[#This Row],[Nilai RAB Jaringan
(Exclude Ppn)]]</f>
        <v>0.28756292784302107</v>
      </c>
      <c r="AL361" s="130">
        <f>Table1[[#This Row],[RAB Perizinan]]/Table1[[#This Row],[Nilai RAB Jaringan
(Exclude Ppn)]]</f>
        <v>6.5904253997967639E-3</v>
      </c>
      <c r="AM361" s="47"/>
      <c r="AN361" s="285">
        <v>801.5</v>
      </c>
      <c r="AO361" s="285">
        <f>SUM(Table1[[#This Row],[Pipa 63 mm]:[Pipa 1,800 mm]])</f>
        <v>801.5</v>
      </c>
      <c r="AP361" s="285">
        <v>792.5</v>
      </c>
      <c r="AQ361" s="285"/>
      <c r="AR361" s="285">
        <v>1</v>
      </c>
      <c r="AS361" s="285">
        <v>2</v>
      </c>
      <c r="AT361" s="285"/>
      <c r="AU361" s="285">
        <v>6</v>
      </c>
      <c r="AV361" s="285"/>
      <c r="AW361" s="285"/>
      <c r="AX361" s="285"/>
      <c r="AY361" s="285"/>
      <c r="AZ361" s="285"/>
      <c r="BA361" s="285"/>
      <c r="BB361" s="285"/>
      <c r="BC361" s="285"/>
      <c r="BD361" s="285"/>
      <c r="BE361" s="285"/>
      <c r="BF361" s="285"/>
      <c r="BG361" s="285"/>
      <c r="BH361" s="285"/>
      <c r="BI361" s="285"/>
      <c r="BJ361" s="36">
        <f>SUM(Table1[[#This Row],[Pipa 63 mm2]:[Pipa 1,800 mm21]])</f>
        <v>0</v>
      </c>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f>IF((Table1[[#This Row],["Volume
BA MC-0"]]-Table1[[#This Row],[Total Panjang Pipa Aktual
(Sum-&gt;)3]]-Table1[[#This Row],[Total Volume
tidak dapat dipasang]])&gt;=0,Table1[[#This Row],["Volume
BA MC-0"]]-Table1[[#This Row],[Total Panjang Pipa Aktual
(Sum-&gt;)3]]-Table1[[#This Row],[Total Volume
tidak dapat dipasang]],0)</f>
        <v>801.5</v>
      </c>
      <c r="CK361" s="47"/>
      <c r="CL361" s="131"/>
      <c r="CM361" s="337"/>
      <c r="CN361" s="131"/>
      <c r="CO361" s="131"/>
      <c r="CP36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8.7389253396450539E-2</v>
      </c>
      <c r="CQ361" s="436">
        <f>IFERROR(Table1[[#This Row],[Progres Keg. Umum
(%)]]*Table1[[#This Row],[Nilai RAB Jaringan
(file pa aji)]],0)</f>
        <v>0</v>
      </c>
      <c r="CR361" s="436">
        <f>IFERROR(Table1[[#This Row],[Progres MOS
(%)]]*Table1[[#This Row],[Nilai RAB Jaringan
(file pa aji)]],0)</f>
        <v>0</v>
      </c>
      <c r="CS361" s="436">
        <f>IFERROR(Table1[[#This Row],[Progres Pemasangan
(%)]]*Table1[[#This Row],[Nilai RAB Jaringan
(file pa aji)]],0)</f>
        <v>0</v>
      </c>
      <c r="CT361" s="436">
        <f>IFERROR(Table1[[#This Row],[Progres Perizinan
(%)]]*Table1[[#This Row],[Nilai RAB Jaringan
(file pa aji)]],0)</f>
        <v>0</v>
      </c>
      <c r="CU361" s="329">
        <v>0</v>
      </c>
      <c r="CV361" s="329">
        <v>0</v>
      </c>
      <c r="CW361" s="511">
        <v>0</v>
      </c>
      <c r="CX361" s="329">
        <v>0</v>
      </c>
      <c r="CY361" s="47"/>
      <c r="CZ361" s="331">
        <v>45992</v>
      </c>
      <c r="DA361" s="331">
        <v>46019</v>
      </c>
      <c r="DB361" s="331">
        <v>45951</v>
      </c>
      <c r="DC361" s="316" t="s">
        <v>2866</v>
      </c>
      <c r="DD361" s="508">
        <v>3704638539</v>
      </c>
      <c r="DE36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1" s="331">
        <v>45972</v>
      </c>
      <c r="DG361" s="316" t="s">
        <v>2867</v>
      </c>
      <c r="DH361" s="508">
        <v>3704638539</v>
      </c>
      <c r="DI36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61" s="331">
        <v>46020</v>
      </c>
      <c r="DK361" s="331">
        <v>46082</v>
      </c>
      <c r="DL361" s="331">
        <v>46050</v>
      </c>
      <c r="DM361" s="316" t="s">
        <v>2868</v>
      </c>
      <c r="DN36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1" s="331">
        <v>46093</v>
      </c>
      <c r="DP361" s="316" t="s">
        <v>2869</v>
      </c>
      <c r="DQ361" s="338" t="s">
        <v>479</v>
      </c>
      <c r="DR36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1" s="331">
        <v>46020</v>
      </c>
      <c r="DT361" s="331">
        <v>46162</v>
      </c>
      <c r="DU361" s="331">
        <v>46061</v>
      </c>
      <c r="DV361" s="331">
        <v>46176</v>
      </c>
      <c r="DW361" s="331">
        <v>46050</v>
      </c>
      <c r="DX361" s="316" t="s">
        <v>2870</v>
      </c>
      <c r="DY361" s="334">
        <v>77</v>
      </c>
      <c r="DZ361" s="334">
        <v>77</v>
      </c>
      <c r="EA36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61" s="331"/>
      <c r="EC361" s="332">
        <v>71</v>
      </c>
      <c r="ED361" s="332">
        <v>71</v>
      </c>
      <c r="EE361" s="118"/>
      <c r="EF361" s="337">
        <v>0.92207792207792205</v>
      </c>
      <c r="EG361" s="337">
        <f>Table1[[#This Row],[Line PO]]/Table1[[#This Row],[Line PR]]</f>
        <v>0.92207792207792205</v>
      </c>
      <c r="EH361" s="316" t="str">
        <f>IF(Table1[[#This Row],[PO Material Aktual 
(%)]]&gt;=100%,"Selesai PO = 100%",IF(Table1[[#This Row],[PO Material Aktual 
(%)]]&gt;=50%,"Proses PO &gt; 100%",IF(Table1[[#This Row],[PO Material Aktual 
(%)]]&gt;0%,"Proses PO &gt; 50%",IF(Table1[[#This Row],[PO Material Aktual 
(%)]]=0,"Belum PO = 0%"))))</f>
        <v>Proses PO &gt; 100%</v>
      </c>
      <c r="EI36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1" s="331">
        <v>46062</v>
      </c>
      <c r="EK361" s="331">
        <v>46176</v>
      </c>
      <c r="EL361" s="331">
        <v>46145</v>
      </c>
      <c r="EM361" s="331">
        <v>46190</v>
      </c>
      <c r="EN361" s="331"/>
      <c r="EO361" s="332">
        <v>39</v>
      </c>
      <c r="EP361" s="332">
        <v>39</v>
      </c>
      <c r="EQ361" s="337">
        <v>0.50649350649350644</v>
      </c>
      <c r="ER361" s="337">
        <f>Table1[[#This Row],[Line MOS (kolom bantu)]]/Table1[[#This Row],[Line PR]]</f>
        <v>0.50649350649350644</v>
      </c>
      <c r="ES361" s="316" t="str">
        <f>IF(Table1[[#This Row],[Progres MOS]]&gt;=100%,"Selesai MOS = 100%",IF(Table1[[#This Row],[Progres MOS]]&gt;=50%,"Proses MOS &gt; 100%",IF(Table1[[#This Row],[Progres MOS]]&gt;0%,"Proses MOS &gt; 50%",IF(Table1[[#This Row],[Progres MOS]]=0,"Belum MOS = 0%"))))</f>
        <v>Proses MOS &gt; 100%</v>
      </c>
      <c r="ET36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1" s="47"/>
      <c r="EV361" s="331">
        <v>46020</v>
      </c>
      <c r="EW361" s="331">
        <v>46156</v>
      </c>
      <c r="EX361" s="331">
        <v>46110</v>
      </c>
      <c r="EY361" s="331">
        <v>46186</v>
      </c>
      <c r="EZ361" s="352" t="s">
        <v>2748</v>
      </c>
      <c r="FA361" s="409" t="s">
        <v>2748</v>
      </c>
      <c r="FB361" s="330"/>
      <c r="FC361" s="330">
        <v>46010</v>
      </c>
      <c r="FD361" s="330" t="s">
        <v>260</v>
      </c>
      <c r="FE361" s="330">
        <v>46079</v>
      </c>
      <c r="FF361" s="330"/>
      <c r="FG361" s="330"/>
      <c r="FH361" s="330"/>
      <c r="FI361" s="330"/>
      <c r="FJ361" s="330"/>
      <c r="FK361" s="330"/>
      <c r="FL361" s="336" t="s">
        <v>2806</v>
      </c>
      <c r="FM361" s="352"/>
      <c r="FN361" s="338" t="str">
        <f>IF(Table1[[#This Row],[Tanggal Pengajuan Dokumen]]="","",Table1[[#This Row],[PLAN PERMIT
start]]-Table1[[#This Row],[Tanggal Pengajuan Dokumen]])</f>
        <v/>
      </c>
      <c r="FO361" s="352"/>
      <c r="FP361" s="316"/>
      <c r="FQ361" s="338"/>
      <c r="FR361" s="331"/>
      <c r="FS361" s="338"/>
      <c r="FT36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1" s="344">
        <f ca="1">IF(Table1[[#This Row],[Status Izin]]="Selesai",Table1[[#This Row],[PLAN PERMIT
finish]]-Table1[[#This Row],[Tanggal Terbit/ Target Izin Terbit]],ROUNDUP(Table1[[#This Row],[PLAN PERMIT
finish]]-NOW(),0))</f>
        <v>-81</v>
      </c>
      <c r="FV36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1" s="344"/>
      <c r="FX361" s="47"/>
      <c r="FY361" s="513">
        <v>46069</v>
      </c>
      <c r="FZ361" s="513">
        <v>46125</v>
      </c>
      <c r="GA36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1" s="331">
        <v>46083</v>
      </c>
      <c r="GC361" s="352">
        <f>Table1[[#This Row],[Tanggal Aktual Kick Off]]</f>
        <v>46112</v>
      </c>
      <c r="GD36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1" s="331">
        <v>46090</v>
      </c>
      <c r="GF361" s="352">
        <v>46112</v>
      </c>
      <c r="GG36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1" s="331">
        <v>46097</v>
      </c>
      <c r="GI361" s="331">
        <v>46103</v>
      </c>
      <c r="GJ361" s="352">
        <v>46120</v>
      </c>
      <c r="GK36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1" s="331">
        <v>46111</v>
      </c>
      <c r="GM361" s="331">
        <v>46193</v>
      </c>
      <c r="GN361" s="331">
        <v>46166</v>
      </c>
      <c r="GO361" s="330">
        <v>46269</v>
      </c>
      <c r="GP361" s="316"/>
      <c r="GQ36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1" s="331"/>
      <c r="GS361" s="331"/>
      <c r="GT361" s="354"/>
      <c r="GU361" s="344" t="str">
        <f>IF(Table1[[#This Row],[Hydro Tes Actual
(tanggal)]]&lt;&gt;"","Sudah","Belum")</f>
        <v>Belum</v>
      </c>
      <c r="GV361" s="330"/>
      <c r="GW361" s="330"/>
      <c r="GX361" s="331"/>
      <c r="GY361" s="344" t="str">
        <f>IF(Table1[[#This Row],[Interkoneksi Actual
(tanggal)]]&lt;&gt;"","Sudah","Belum")</f>
        <v>Belum</v>
      </c>
      <c r="GZ361" s="330"/>
      <c r="HA361" s="330"/>
      <c r="HB361" s="331"/>
      <c r="HC361" s="344" t="str">
        <f>IF(Table1[[#This Row],[Flushing Actual
(tanggal)]]&lt;&gt;"","Sudah","Belum")</f>
        <v>Belum</v>
      </c>
      <c r="HD361" s="331">
        <v>46169</v>
      </c>
      <c r="HE361" s="331">
        <v>46270</v>
      </c>
      <c r="HF361" s="331">
        <v>46174</v>
      </c>
      <c r="HG361" s="352"/>
      <c r="HH36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1" s="330"/>
      <c r="HJ361" s="330"/>
      <c r="HK361" s="331"/>
      <c r="HL361" s="331"/>
      <c r="HM361" s="331">
        <v>46191</v>
      </c>
      <c r="HN361" s="331">
        <v>46191</v>
      </c>
      <c r="HO361" s="330">
        <v>46287</v>
      </c>
      <c r="HP361" s="331"/>
      <c r="HQ36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61" s="331">
        <v>46199</v>
      </c>
      <c r="HS361" s="331"/>
      <c r="HT361" s="331">
        <v>46199</v>
      </c>
      <c r="HU361" s="420"/>
      <c r="HV361" s="395"/>
      <c r="HW361"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61" s="47"/>
      <c r="HY361" s="352"/>
      <c r="HZ361" s="352"/>
      <c r="IA361" s="72"/>
      <c r="IB361" s="618">
        <f>IFERROR(ROUND((Table1[[#This Row],[PLAN TC
finish]]-Table1[[#This Row],[PLAN MC-0
start]])/30,2),"")</f>
        <v>2.57</v>
      </c>
      <c r="IC361">
        <f>DATEDIF(Table1[[#This Row],[PLAN MC-0
start]],Table1[[#This Row],[PLAN TC
finish]],"m")</f>
        <v>2</v>
      </c>
      <c r="ID361" s="6"/>
      <c r="IE361" s="6"/>
      <c r="IF361" s="72"/>
      <c r="IH361" s="6"/>
      <c r="II361" s="4"/>
      <c r="IJ361" s="4"/>
      <c r="IK361" s="6"/>
      <c r="IL361" s="6"/>
      <c r="IM361" s="6"/>
      <c r="IN361" s="6"/>
      <c r="IO361" s="6"/>
      <c r="IQ361" s="6"/>
      <c r="IR361" s="6"/>
      <c r="IS361" s="6"/>
      <c r="IT361" s="6"/>
      <c r="IW361" s="6"/>
      <c r="IX361" s="6"/>
      <c r="IZ361" s="6"/>
      <c r="JA361" s="6"/>
    </row>
    <row r="362" spans="2:261" ht="15" hidden="1" customHeight="1" x14ac:dyDescent="0.2">
      <c r="B362" s="311">
        <f>SUBTOTAL(3,$D$5:D362)</f>
        <v>84</v>
      </c>
      <c r="C362" s="316">
        <v>358</v>
      </c>
      <c r="D362" s="315" t="s">
        <v>244</v>
      </c>
      <c r="E362" s="315" t="s">
        <v>2871</v>
      </c>
      <c r="F362" s="338" t="s">
        <v>2872</v>
      </c>
      <c r="G362" s="349">
        <v>46300</v>
      </c>
      <c r="H362" s="338" t="s">
        <v>247</v>
      </c>
      <c r="I362" s="338" t="s">
        <v>278</v>
      </c>
      <c r="J362" s="480"/>
      <c r="K362" s="338"/>
      <c r="L362" s="316"/>
      <c r="M362" s="355" t="s">
        <v>269</v>
      </c>
      <c r="N362" s="507">
        <v>7443</v>
      </c>
      <c r="O362" s="31" t="s">
        <v>252</v>
      </c>
      <c r="P36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6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2" s="35">
        <v>0.97536608604734887</v>
      </c>
      <c r="S362" s="327">
        <v>0.97536608604734887</v>
      </c>
      <c r="T362" s="152">
        <f>Table1[[#This Row],[Progres Total Aktual
(%)]]</f>
        <v>4.6586159875590352E-2</v>
      </c>
      <c r="U362" s="121">
        <f>Table1[[#This Row],[Progres Aktual
(%)]]-Table1[[#This Row],[Target Progres
(%)]]</f>
        <v>-0.92877992617175853</v>
      </c>
      <c r="V362" s="80">
        <f>Table1[[#This Row],["Volume
BA MC-0"]]</f>
        <v>479</v>
      </c>
      <c r="W362" s="80">
        <f>Table1[[#This Row],[Total Panjang Pipa Aktual
(Sum-&gt;)3]]</f>
        <v>0</v>
      </c>
      <c r="X362" s="117"/>
      <c r="Y362" s="508" t="s">
        <v>2873</v>
      </c>
      <c r="Z362" s="67">
        <v>11957112422</v>
      </c>
      <c r="AA362" s="509">
        <f>ROUND((Table1[[#This Row],[Nilai RAB Jaringan
(Exclude Ppn)]]-Table1[[#This Row],[RAB Perizinan]])*1.11+Table1[[#This Row],[RAB Perizinan]],0)</f>
        <v>11957112421</v>
      </c>
      <c r="AB362" s="436">
        <f>SUM(Table1[[#This Row],[RAB Kegiatan Umum]:[RAB Perizinan]])</f>
        <v>10782324072.87458</v>
      </c>
      <c r="AC362" s="436">
        <v>803225936</v>
      </c>
      <c r="AD362" s="436">
        <v>8032259352.8745804</v>
      </c>
      <c r="AE362" s="436">
        <v>1844408784</v>
      </c>
      <c r="AF362" s="436">
        <v>102430000</v>
      </c>
      <c r="AG362" s="436"/>
      <c r="AH362" s="510">
        <f>SUM(Table1[[#This Row],[Bobot Keg Umum]:[Bobot Perizinan]])</f>
        <v>1</v>
      </c>
      <c r="AI362" s="510">
        <f>Table1[[#This Row],[RAB Kegiatan Umum]]/Table1[[#This Row],[Nilai RAB Jaringan
(Exclude Ppn)]]</f>
        <v>7.4494694332245107E-2</v>
      </c>
      <c r="AJ362" s="510">
        <f>Table1[[#This Row],[RAB Pemasangan]]/Table1[[#This Row],[Nilai RAB Jaringan
(Exclude Ppn)]]</f>
        <v>0.74494694266160844</v>
      </c>
      <c r="AK362" s="129">
        <f>Table1[[#This Row],[RAB Pengadaan]]/Table1[[#This Row],[Nilai RAB Jaringan
(Exclude Ppn)]]</f>
        <v>0.17105855579318333</v>
      </c>
      <c r="AL362" s="130">
        <f>Table1[[#This Row],[RAB Perizinan]]/Table1[[#This Row],[Nilai RAB Jaringan
(Exclude Ppn)]]</f>
        <v>9.4998072129631357E-3</v>
      </c>
      <c r="AM362" s="47"/>
      <c r="AN362" s="285">
        <v>479</v>
      </c>
      <c r="AO362" s="285">
        <f>SUM(Table1[[#This Row],[Pipa 63 mm]:[Pipa 1,800 mm]])</f>
        <v>0</v>
      </c>
      <c r="AP362" s="285"/>
      <c r="AQ362" s="285"/>
      <c r="AR362" s="285"/>
      <c r="AS362" s="285"/>
      <c r="AT362" s="285"/>
      <c r="AU362" s="285"/>
      <c r="AV362" s="285"/>
      <c r="AW362" s="285"/>
      <c r="AX362" s="285"/>
      <c r="AY362" s="285"/>
      <c r="AZ362" s="285"/>
      <c r="BA362" s="285"/>
      <c r="BB362" s="285"/>
      <c r="BC362" s="285"/>
      <c r="BD362" s="285"/>
      <c r="BE362" s="285"/>
      <c r="BF362" s="285"/>
      <c r="BG362" s="285"/>
      <c r="BH362" s="285"/>
      <c r="BI362" s="285"/>
      <c r="BJ362" s="36">
        <f>SUM(Table1[[#This Row],[Pipa 63 mm2]:[Pipa 1,800 mm21]])</f>
        <v>0</v>
      </c>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f>IF((Table1[[#This Row],["Volume
BA MC-0"]]-Table1[[#This Row],[Total Panjang Pipa Aktual
(Sum-&gt;)3]]-Table1[[#This Row],[Total Volume
tidak dapat dipasang]])&gt;=0,Table1[[#This Row],["Volume
BA MC-0"]]-Table1[[#This Row],[Total Panjang Pipa Aktual
(Sum-&gt;)3]]-Table1[[#This Row],[Total Volume
tidak dapat dipasang]],0)</f>
        <v>479</v>
      </c>
      <c r="CK362" s="47"/>
      <c r="CL362" s="131"/>
      <c r="CM362" s="337"/>
      <c r="CN362" s="131"/>
      <c r="CO362" s="131"/>
      <c r="CP36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4.6586159875590352E-2</v>
      </c>
      <c r="CQ362" s="436">
        <f>IFERROR(Table1[[#This Row],[Progres Keg. Umum
(%)]]*Table1[[#This Row],[Nilai RAB Jaringan
(file pa aji)]],0)</f>
        <v>0</v>
      </c>
      <c r="CR362" s="436">
        <f>IFERROR(Table1[[#This Row],[Progres MOS
(%)]]*Table1[[#This Row],[Nilai RAB Jaringan
(file pa aji)]],0)</f>
        <v>0</v>
      </c>
      <c r="CS362" s="436">
        <f>IFERROR(Table1[[#This Row],[Progres Pemasangan
(%)]]*Table1[[#This Row],[Nilai RAB Jaringan
(file pa aji)]],0)</f>
        <v>0</v>
      </c>
      <c r="CT362" s="436">
        <f>IFERROR(Table1[[#This Row],[Progres Perizinan
(%)]]*Table1[[#This Row],[Nilai RAB Jaringan
(file pa aji)]],0)</f>
        <v>0</v>
      </c>
      <c r="CU362" s="329">
        <v>0</v>
      </c>
      <c r="CV362" s="329">
        <v>0</v>
      </c>
      <c r="CW362" s="511">
        <v>0</v>
      </c>
      <c r="CX362" s="329">
        <v>0</v>
      </c>
      <c r="CY362" s="47"/>
      <c r="CZ362" s="331">
        <v>45957</v>
      </c>
      <c r="DA362" s="331">
        <v>45984</v>
      </c>
      <c r="DB362" s="331">
        <v>45953</v>
      </c>
      <c r="DC362" s="316" t="s">
        <v>2874</v>
      </c>
      <c r="DD362" s="508">
        <v>11957112422</v>
      </c>
      <c r="DE36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2" s="331">
        <v>46001</v>
      </c>
      <c r="DG362" s="316" t="s">
        <v>2875</v>
      </c>
      <c r="DH362" s="508">
        <v>11957112422</v>
      </c>
      <c r="DI36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2" s="331">
        <v>45985</v>
      </c>
      <c r="DK362" s="331">
        <v>46047</v>
      </c>
      <c r="DL362" s="331">
        <v>46050</v>
      </c>
      <c r="DM362" s="316" t="s">
        <v>2876</v>
      </c>
      <c r="DN36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2" s="331">
        <v>46087</v>
      </c>
      <c r="DP362" s="334"/>
      <c r="DQ362" s="461" t="s">
        <v>762</v>
      </c>
      <c r="DR36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2" s="331">
        <v>45985</v>
      </c>
      <c r="DT362" s="331">
        <v>46158</v>
      </c>
      <c r="DU362" s="331">
        <v>46026</v>
      </c>
      <c r="DV362" s="331">
        <v>46172</v>
      </c>
      <c r="DW362" s="331">
        <v>46051</v>
      </c>
      <c r="DX362" s="316" t="s">
        <v>2877</v>
      </c>
      <c r="DY362" s="334">
        <v>141</v>
      </c>
      <c r="DZ362" s="334">
        <v>141</v>
      </c>
      <c r="EA36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2" s="331"/>
      <c r="EC362" s="332">
        <v>132</v>
      </c>
      <c r="ED362" s="332">
        <v>132</v>
      </c>
      <c r="EE362" s="118"/>
      <c r="EF362" s="337">
        <v>0.93617021276595747</v>
      </c>
      <c r="EG362" s="337">
        <f>Table1[[#This Row],[Line PO]]/Table1[[#This Row],[Line PR]]</f>
        <v>0.93617021276595747</v>
      </c>
      <c r="EH362" s="316" t="str">
        <f>IF(Table1[[#This Row],[PO Material Aktual 
(%)]]&gt;=100%,"Selesai PO = 100%",IF(Table1[[#This Row],[PO Material Aktual 
(%)]]&gt;=50%,"Proses PO &gt; 100%",IF(Table1[[#This Row],[PO Material Aktual 
(%)]]&gt;0%,"Proses PO &gt; 50%",IF(Table1[[#This Row],[PO Material Aktual 
(%)]]=0,"Belum PO = 0%"))))</f>
        <v>Proses PO &gt; 100%</v>
      </c>
      <c r="EI36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2" s="331">
        <v>46027</v>
      </c>
      <c r="EK362" s="331">
        <v>46172</v>
      </c>
      <c r="EL362" s="331">
        <v>46138</v>
      </c>
      <c r="EM362" s="331">
        <v>46187</v>
      </c>
      <c r="EN362" s="331"/>
      <c r="EO362" s="332">
        <v>64</v>
      </c>
      <c r="EP362" s="332">
        <v>64</v>
      </c>
      <c r="EQ362" s="337">
        <v>0.45390070921985815</v>
      </c>
      <c r="ER362" s="337">
        <f>Table1[[#This Row],[Line MOS (kolom bantu)]]/Table1[[#This Row],[Line PR]]</f>
        <v>0.45390070921985815</v>
      </c>
      <c r="ES362" s="316" t="str">
        <f>IF(Table1[[#This Row],[Progres MOS]]&gt;=100%,"Selesai MOS = 100%",IF(Table1[[#This Row],[Progres MOS]]&gt;=50%,"Proses MOS &gt; 100%",IF(Table1[[#This Row],[Progres MOS]]&gt;0%,"Proses MOS &gt; 50%",IF(Table1[[#This Row],[Progres MOS]]=0,"Belum MOS = 0%"))))</f>
        <v>Proses MOS &gt; 50%</v>
      </c>
      <c r="ET36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2" s="47"/>
      <c r="EV362" s="331">
        <v>45985</v>
      </c>
      <c r="EW362" s="331">
        <v>46153</v>
      </c>
      <c r="EX362" s="331">
        <v>46075</v>
      </c>
      <c r="EY362" s="331">
        <v>46183</v>
      </c>
      <c r="EZ362" s="352" t="s">
        <v>2748</v>
      </c>
      <c r="FA362" s="409" t="s">
        <v>2748</v>
      </c>
      <c r="FB362" s="330"/>
      <c r="FC362" s="330">
        <v>46010</v>
      </c>
      <c r="FD362" s="330" t="s">
        <v>260</v>
      </c>
      <c r="FE362" s="330">
        <v>46079</v>
      </c>
      <c r="FF362" s="330"/>
      <c r="FG362" s="330"/>
      <c r="FH362" s="330"/>
      <c r="FI362" s="330"/>
      <c r="FJ362" s="330"/>
      <c r="FK362" s="330"/>
      <c r="FL362" s="336" t="s">
        <v>2806</v>
      </c>
      <c r="FM362" s="352"/>
      <c r="FN362" s="338" t="str">
        <f>IF(Table1[[#This Row],[Tanggal Pengajuan Dokumen]]="","",Table1[[#This Row],[PLAN PERMIT
start]]-Table1[[#This Row],[Tanggal Pengajuan Dokumen]])</f>
        <v/>
      </c>
      <c r="FO362" s="352"/>
      <c r="FP362" s="316"/>
      <c r="FQ362" s="338"/>
      <c r="FR362" s="331"/>
      <c r="FS362" s="338"/>
      <c r="FT36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2" s="344">
        <f ca="1">IF(Table1[[#This Row],[Status Izin]]="Selesai",Table1[[#This Row],[PLAN PERMIT
finish]]-Table1[[#This Row],[Tanggal Terbit/ Target Izin Terbit]],ROUNDUP(Table1[[#This Row],[PLAN PERMIT
finish]]-NOW(),0))</f>
        <v>-116</v>
      </c>
      <c r="FV36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2" s="344"/>
      <c r="FX362" s="47"/>
      <c r="FY362" s="513">
        <v>46034</v>
      </c>
      <c r="FZ362" s="513">
        <v>46049</v>
      </c>
      <c r="GA36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2" s="331">
        <v>46048</v>
      </c>
      <c r="GC362" s="352">
        <v>46113</v>
      </c>
      <c r="GD36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2" s="331">
        <v>46055</v>
      </c>
      <c r="GF362" s="352">
        <v>46113</v>
      </c>
      <c r="GG36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2" s="331">
        <v>46062</v>
      </c>
      <c r="GI362" s="331">
        <v>46068</v>
      </c>
      <c r="GJ362" s="352">
        <v>46121</v>
      </c>
      <c r="GK36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2" s="331">
        <v>46076</v>
      </c>
      <c r="GM362" s="331">
        <v>46190</v>
      </c>
      <c r="GN362" s="331">
        <v>46166</v>
      </c>
      <c r="GO362" s="330">
        <v>46262</v>
      </c>
      <c r="GP362" s="316"/>
      <c r="GQ36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2" s="331"/>
      <c r="GS362" s="331"/>
      <c r="GT362" s="354"/>
      <c r="GU362" s="344" t="str">
        <f>IF(Table1[[#This Row],[Hydro Tes Actual
(tanggal)]]&lt;&gt;"","Sudah","Belum")</f>
        <v>Belum</v>
      </c>
      <c r="GV362" s="330"/>
      <c r="GW362" s="330"/>
      <c r="GX362" s="331"/>
      <c r="GY362" s="344" t="str">
        <f>IF(Table1[[#This Row],[Interkoneksi Actual
(tanggal)]]&lt;&gt;"","Sudah","Belum")</f>
        <v>Belum</v>
      </c>
      <c r="GZ362" s="330"/>
      <c r="HA362" s="330"/>
      <c r="HB362" s="331"/>
      <c r="HC362" s="344" t="str">
        <f>IF(Table1[[#This Row],[Flushing Actual
(tanggal)]]&lt;&gt;"","Sudah","Belum")</f>
        <v>Belum</v>
      </c>
      <c r="HD362" s="331">
        <v>46169</v>
      </c>
      <c r="HE362" s="331">
        <v>46263</v>
      </c>
      <c r="HF362" s="331">
        <v>46174</v>
      </c>
      <c r="HG362" s="352"/>
      <c r="HH36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2" s="330"/>
      <c r="HJ362" s="330"/>
      <c r="HK362" s="331"/>
      <c r="HL362" s="331"/>
      <c r="HM362" s="331">
        <v>46191</v>
      </c>
      <c r="HN362" s="331">
        <v>46191</v>
      </c>
      <c r="HO362" s="330">
        <v>46280</v>
      </c>
      <c r="HP362" s="331"/>
      <c r="HQ36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62" s="331">
        <v>46199</v>
      </c>
      <c r="HS362" s="331"/>
      <c r="HT362" s="331">
        <v>46199</v>
      </c>
      <c r="HU362" s="420"/>
      <c r="HV362" s="395"/>
      <c r="HW362"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62" s="47"/>
      <c r="HY362" s="352"/>
      <c r="HZ362" s="352"/>
      <c r="IA362" s="72"/>
      <c r="IB362" s="618">
        <f>IFERROR(ROUND((Table1[[#This Row],[PLAN TC
finish]]-Table1[[#This Row],[PLAN MC-0
start]])/30,2),"")</f>
        <v>3.73</v>
      </c>
      <c r="IC362">
        <f>DATEDIF(Table1[[#This Row],[PLAN MC-0
start]],Table1[[#This Row],[PLAN TC
finish]],"m")</f>
        <v>3</v>
      </c>
      <c r="ID362" s="6"/>
      <c r="IE362" s="6"/>
      <c r="IF362" s="72"/>
      <c r="IH362" s="6"/>
      <c r="II362" s="4"/>
      <c r="IJ362" s="4"/>
      <c r="IK362" s="6"/>
      <c r="IL362" s="6"/>
      <c r="IM362" s="6"/>
      <c r="IN362" s="6"/>
      <c r="IO362" s="6"/>
      <c r="IQ362" s="6"/>
      <c r="IR362" s="6"/>
      <c r="IS362" s="6"/>
      <c r="IT362" s="6"/>
      <c r="IW362" s="6"/>
      <c r="IX362" s="6"/>
      <c r="IZ362" s="6"/>
      <c r="JA362" s="6"/>
    </row>
    <row r="363" spans="2:261" ht="15" hidden="1" customHeight="1" x14ac:dyDescent="0.2">
      <c r="B363" s="311">
        <f>SUBTOTAL(3,$D$5:D363)</f>
        <v>84</v>
      </c>
      <c r="C363" s="316">
        <v>359</v>
      </c>
      <c r="D363" s="315" t="s">
        <v>244</v>
      </c>
      <c r="E363" s="315" t="s">
        <v>2878</v>
      </c>
      <c r="F363" s="338" t="s">
        <v>2879</v>
      </c>
      <c r="G363" s="349">
        <v>46300</v>
      </c>
      <c r="H363" s="338" t="s">
        <v>247</v>
      </c>
      <c r="I363" s="338" t="s">
        <v>278</v>
      </c>
      <c r="J363" s="480"/>
      <c r="K363" s="338"/>
      <c r="L363" s="316"/>
      <c r="M363" s="355" t="s">
        <v>269</v>
      </c>
      <c r="N363" s="507">
        <v>5686</v>
      </c>
      <c r="O363" s="31" t="s">
        <v>252</v>
      </c>
      <c r="P36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6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3" s="35">
        <v>0.97328700044952765</v>
      </c>
      <c r="S363" s="327">
        <v>0.97328700044952765</v>
      </c>
      <c r="T363" s="152">
        <f>Table1[[#This Row],[Progres Total Aktual
(%)]]</f>
        <v>4.6965113082318058E-2</v>
      </c>
      <c r="U363" s="121">
        <f>Table1[[#This Row],[Progres Aktual
(%)]]-Table1[[#This Row],[Target Progres
(%)]]</f>
        <v>-0.92632188736720955</v>
      </c>
      <c r="V363" s="80">
        <f>Table1[[#This Row],["Volume
BA MC-0"]]</f>
        <v>5239.3</v>
      </c>
      <c r="W363" s="80">
        <f>Table1[[#This Row],[Total Panjang Pipa Aktual
(Sum-&gt;)3]]</f>
        <v>0</v>
      </c>
      <c r="X363" s="117"/>
      <c r="Y363" s="508" t="s">
        <v>2880</v>
      </c>
      <c r="Z363" s="67">
        <v>27440000151</v>
      </c>
      <c r="AA363" s="509">
        <f>ROUND((Table1[[#This Row],[Nilai RAB Jaringan
(Exclude Ppn)]]-Table1[[#This Row],[RAB Perizinan]])*1.11+Table1[[#This Row],[RAB Perizinan]],0)</f>
        <v>27440000150</v>
      </c>
      <c r="AB363" s="436">
        <f>SUM(Table1[[#This Row],[RAB Kegiatan Umum]:[RAB Perizinan]])</f>
        <v>24730693198.579002</v>
      </c>
      <c r="AC363" s="436">
        <v>1493982275</v>
      </c>
      <c r="AD363" s="436">
        <v>14939822741.579</v>
      </c>
      <c r="AE363" s="436">
        <v>8196258182</v>
      </c>
      <c r="AF363" s="436">
        <v>100630000</v>
      </c>
      <c r="AG363" s="436"/>
      <c r="AH363" s="510">
        <f>SUM(Table1[[#This Row],[Bobot Keg Umum]:[Bobot Perizinan]])</f>
        <v>0.99999999999999989</v>
      </c>
      <c r="AI363" s="510">
        <f>Table1[[#This Row],[RAB Kegiatan Umum]]/Table1[[#This Row],[Nilai RAB Jaringan
(Exclude Ppn)]]</f>
        <v>6.0410044433604579E-2</v>
      </c>
      <c r="AJ363" s="510">
        <f>Table1[[#This Row],[RAB Pemasangan]]/Table1[[#This Row],[Nilai RAB Jaringan
(Exclude Ppn)]]</f>
        <v>0.60410044399553775</v>
      </c>
      <c r="AK363" s="129">
        <f>Table1[[#This Row],[RAB Pengadaan]]/Table1[[#This Row],[Nilai RAB Jaringan
(Exclude Ppn)]]</f>
        <v>0.33142047884330827</v>
      </c>
      <c r="AL363" s="130">
        <f>Table1[[#This Row],[RAB Perizinan]]/Table1[[#This Row],[Nilai RAB Jaringan
(Exclude Ppn)]]</f>
        <v>4.0690327275493465E-3</v>
      </c>
      <c r="AM363" s="47"/>
      <c r="AN363" s="285">
        <v>5239.3</v>
      </c>
      <c r="AO363" s="285">
        <f>SUM(Table1[[#This Row],[Pipa 63 mm]:[Pipa 1,800 mm]])</f>
        <v>3870</v>
      </c>
      <c r="AP363" s="285">
        <v>619</v>
      </c>
      <c r="AQ363" s="285">
        <v>90</v>
      </c>
      <c r="AR363" s="285">
        <v>4</v>
      </c>
      <c r="AS363" s="285">
        <v>1620</v>
      </c>
      <c r="AT363" s="285">
        <v>406</v>
      </c>
      <c r="AU363" s="285">
        <v>199</v>
      </c>
      <c r="AV363" s="285">
        <v>932</v>
      </c>
      <c r="AW363" s="285" t="s">
        <v>2881</v>
      </c>
      <c r="AX363" s="285"/>
      <c r="AY363" s="285"/>
      <c r="AZ363" s="285"/>
      <c r="BA363" s="285"/>
      <c r="BB363" s="285"/>
      <c r="BC363" s="285"/>
      <c r="BD363" s="285"/>
      <c r="BE363" s="285"/>
      <c r="BF363" s="285"/>
      <c r="BG363" s="285"/>
      <c r="BH363" s="285"/>
      <c r="BI363" s="285"/>
      <c r="BJ363" s="36">
        <f>SUM(Table1[[#This Row],[Pipa 63 mm2]:[Pipa 1,800 mm21]])</f>
        <v>0</v>
      </c>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f>IF((Table1[[#This Row],["Volume
BA MC-0"]]-Table1[[#This Row],[Total Panjang Pipa Aktual
(Sum-&gt;)3]]-Table1[[#This Row],[Total Volume
tidak dapat dipasang]])&gt;=0,Table1[[#This Row],["Volume
BA MC-0"]]-Table1[[#This Row],[Total Panjang Pipa Aktual
(Sum-&gt;)3]]-Table1[[#This Row],[Total Volume
tidak dapat dipasang]],0)</f>
        <v>5239.3</v>
      </c>
      <c r="CK363" s="47"/>
      <c r="CL363" s="131"/>
      <c r="CM363" s="337"/>
      <c r="CN363" s="131"/>
      <c r="CO363" s="131"/>
      <c r="CP36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4.6965113082318058E-2</v>
      </c>
      <c r="CQ363" s="436">
        <f>IFERROR(Table1[[#This Row],[Progres Keg. Umum
(%)]]*Table1[[#This Row],[Nilai RAB Jaringan
(file pa aji)]],0)</f>
        <v>0</v>
      </c>
      <c r="CR363" s="436">
        <f>IFERROR(Table1[[#This Row],[Progres MOS
(%)]]*Table1[[#This Row],[Nilai RAB Jaringan
(file pa aji)]],0)</f>
        <v>0</v>
      </c>
      <c r="CS363" s="436">
        <f>IFERROR(Table1[[#This Row],[Progres Pemasangan
(%)]]*Table1[[#This Row],[Nilai RAB Jaringan
(file pa aji)]],0)</f>
        <v>0</v>
      </c>
      <c r="CT363" s="436">
        <f>IFERROR(Table1[[#This Row],[Progres Perizinan
(%)]]*Table1[[#This Row],[Nilai RAB Jaringan
(file pa aji)]],0)</f>
        <v>0</v>
      </c>
      <c r="CU363" s="329">
        <v>0</v>
      </c>
      <c r="CV363" s="329">
        <v>0</v>
      </c>
      <c r="CW363" s="511">
        <v>0</v>
      </c>
      <c r="CX363" s="329">
        <v>0</v>
      </c>
      <c r="CY363" s="47"/>
      <c r="CZ363" s="331">
        <v>45957</v>
      </c>
      <c r="DA363" s="331">
        <v>45984</v>
      </c>
      <c r="DB363" s="331">
        <v>45953</v>
      </c>
      <c r="DC363" s="316" t="s">
        <v>2882</v>
      </c>
      <c r="DD363" s="508">
        <v>27440000151</v>
      </c>
      <c r="DE36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3" s="331">
        <v>45972</v>
      </c>
      <c r="DG363" s="316" t="s">
        <v>2883</v>
      </c>
      <c r="DH363" s="508">
        <v>27440000151</v>
      </c>
      <c r="DI36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63" s="331">
        <v>45985</v>
      </c>
      <c r="DK363" s="331">
        <v>46047</v>
      </c>
      <c r="DL363" s="331">
        <v>46051</v>
      </c>
      <c r="DM363" s="316" t="s">
        <v>2884</v>
      </c>
      <c r="DN36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3" s="331">
        <v>46087</v>
      </c>
      <c r="DP363" s="334"/>
      <c r="DQ363" s="461" t="s">
        <v>762</v>
      </c>
      <c r="DR36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3" s="331">
        <v>45985</v>
      </c>
      <c r="DT363" s="331">
        <v>46164</v>
      </c>
      <c r="DU363" s="331">
        <v>46026</v>
      </c>
      <c r="DV363" s="331">
        <v>46178</v>
      </c>
      <c r="DW363" s="331">
        <v>46051</v>
      </c>
      <c r="DX363" s="316" t="s">
        <v>2885</v>
      </c>
      <c r="DY363" s="334">
        <v>199</v>
      </c>
      <c r="DZ363" s="334">
        <v>199</v>
      </c>
      <c r="EA36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3" s="331"/>
      <c r="EC363" s="332">
        <v>172</v>
      </c>
      <c r="ED363" s="332">
        <v>172</v>
      </c>
      <c r="EE363" s="118"/>
      <c r="EF363" s="337">
        <v>0.86432160804020097</v>
      </c>
      <c r="EG363" s="337">
        <f>Table1[[#This Row],[Line PO]]/Table1[[#This Row],[Line PR]]</f>
        <v>0.86432160804020097</v>
      </c>
      <c r="EH363" s="316" t="str">
        <f>IF(Table1[[#This Row],[PO Material Aktual 
(%)]]&gt;=100%,"Selesai PO = 100%",IF(Table1[[#This Row],[PO Material Aktual 
(%)]]&gt;=50%,"Proses PO &gt; 100%",IF(Table1[[#This Row],[PO Material Aktual 
(%)]]&gt;0%,"Proses PO &gt; 50%",IF(Table1[[#This Row],[PO Material Aktual 
(%)]]=0,"Belum PO = 0%"))))</f>
        <v>Proses PO &gt; 100%</v>
      </c>
      <c r="EI36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3" s="331">
        <v>46027</v>
      </c>
      <c r="EK363" s="331">
        <v>46178</v>
      </c>
      <c r="EL363" s="331">
        <v>46138</v>
      </c>
      <c r="EM363" s="331">
        <v>46203</v>
      </c>
      <c r="EN363" s="331"/>
      <c r="EO363" s="332">
        <v>47</v>
      </c>
      <c r="EP363" s="332">
        <v>47</v>
      </c>
      <c r="EQ363" s="337">
        <v>0.23618090452261306</v>
      </c>
      <c r="ER363" s="337">
        <f>Table1[[#This Row],[Line MOS (kolom bantu)]]/Table1[[#This Row],[Line PR]]</f>
        <v>0.23618090452261306</v>
      </c>
      <c r="ES363" s="316" t="str">
        <f>IF(Table1[[#This Row],[Progres MOS]]&gt;=100%,"Selesai MOS = 100%",IF(Table1[[#This Row],[Progres MOS]]&gt;=50%,"Proses MOS &gt; 100%",IF(Table1[[#This Row],[Progres MOS]]&gt;0%,"Proses MOS &gt; 50%",IF(Table1[[#This Row],[Progres MOS]]=0,"Belum MOS = 0%"))))</f>
        <v>Proses MOS &gt; 50%</v>
      </c>
      <c r="ET36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3" s="47"/>
      <c r="EV363" s="331">
        <v>45985</v>
      </c>
      <c r="EW363" s="331">
        <v>46148</v>
      </c>
      <c r="EX363" s="331">
        <v>46075</v>
      </c>
      <c r="EY363" s="331">
        <v>46178</v>
      </c>
      <c r="EZ363" s="352" t="s">
        <v>2748</v>
      </c>
      <c r="FA363" s="409" t="s">
        <v>2748</v>
      </c>
      <c r="FB363" s="330"/>
      <c r="FC363" s="330">
        <v>46001</v>
      </c>
      <c r="FD363" s="330" t="s">
        <v>260</v>
      </c>
      <c r="FE363" s="330">
        <v>46045</v>
      </c>
      <c r="FF363" s="330"/>
      <c r="FG363" s="330"/>
      <c r="FH363" s="330"/>
      <c r="FI363" s="330"/>
      <c r="FJ363" s="330"/>
      <c r="FK363" s="330"/>
      <c r="FL363" s="336" t="s">
        <v>2806</v>
      </c>
      <c r="FM363" s="352"/>
      <c r="FN363" s="338" t="str">
        <f>IF(Table1[[#This Row],[Tanggal Pengajuan Dokumen]]="","",Table1[[#This Row],[PLAN PERMIT
start]]-Table1[[#This Row],[Tanggal Pengajuan Dokumen]])</f>
        <v/>
      </c>
      <c r="FO363" s="352"/>
      <c r="FP363" s="316"/>
      <c r="FQ363" s="338"/>
      <c r="FR363" s="331"/>
      <c r="FS363" s="338"/>
      <c r="FT36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3" s="344">
        <f ca="1">IF(Table1[[#This Row],[Status Izin]]="Selesai",Table1[[#This Row],[PLAN PERMIT
finish]]-Table1[[#This Row],[Tanggal Terbit/ Target Izin Terbit]],ROUNDUP(Table1[[#This Row],[PLAN PERMIT
finish]]-NOW(),0))</f>
        <v>-116</v>
      </c>
      <c r="FV36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3" s="344"/>
      <c r="FX363" s="47"/>
      <c r="FY363" s="513">
        <v>46034</v>
      </c>
      <c r="FZ363" s="513">
        <v>46049</v>
      </c>
      <c r="GA36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3" s="331">
        <v>46048</v>
      </c>
      <c r="GC363" s="352">
        <v>46113</v>
      </c>
      <c r="GD36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3" s="331">
        <v>46055</v>
      </c>
      <c r="GF363" s="352">
        <v>46113</v>
      </c>
      <c r="GG36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3" s="331">
        <v>46062</v>
      </c>
      <c r="GI363" s="331">
        <v>46068</v>
      </c>
      <c r="GJ363" s="352">
        <v>46122</v>
      </c>
      <c r="GK36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3" s="331">
        <v>46076</v>
      </c>
      <c r="GM363" s="331">
        <v>46206</v>
      </c>
      <c r="GN363" s="331">
        <v>46166</v>
      </c>
      <c r="GO363" s="330">
        <v>46275</v>
      </c>
      <c r="GP363" s="316"/>
      <c r="GQ36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3" s="331"/>
      <c r="GS363" s="331"/>
      <c r="GT363" s="354"/>
      <c r="GU363" s="344" t="str">
        <f>IF(Table1[[#This Row],[Hydro Tes Actual
(tanggal)]]&lt;&gt;"","Sudah","Belum")</f>
        <v>Belum</v>
      </c>
      <c r="GV363" s="330"/>
      <c r="GW363" s="330"/>
      <c r="GX363" s="331"/>
      <c r="GY363" s="344" t="str">
        <f>IF(Table1[[#This Row],[Interkoneksi Actual
(tanggal)]]&lt;&gt;"","Sudah","Belum")</f>
        <v>Belum</v>
      </c>
      <c r="GZ363" s="330"/>
      <c r="HA363" s="330"/>
      <c r="HB363" s="331"/>
      <c r="HC363" s="344" t="str">
        <f>IF(Table1[[#This Row],[Flushing Actual
(tanggal)]]&lt;&gt;"","Sudah","Belum")</f>
        <v>Belum</v>
      </c>
      <c r="HD363" s="331">
        <v>46169</v>
      </c>
      <c r="HE363" s="331">
        <v>46276</v>
      </c>
      <c r="HF363" s="331">
        <v>46174</v>
      </c>
      <c r="HG363" s="352"/>
      <c r="HH36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3" s="330"/>
      <c r="HJ363" s="330"/>
      <c r="HK363" s="331"/>
      <c r="HL363" s="331"/>
      <c r="HM363" s="331">
        <v>46191</v>
      </c>
      <c r="HN363" s="331">
        <v>46191</v>
      </c>
      <c r="HO363" s="330">
        <v>46293</v>
      </c>
      <c r="HP363" s="331"/>
      <c r="HQ36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63" s="331">
        <v>46199</v>
      </c>
      <c r="HS363" s="331"/>
      <c r="HT363" s="331">
        <v>46199</v>
      </c>
      <c r="HU363" s="420"/>
      <c r="HV363" s="395"/>
      <c r="HW363"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63" s="47"/>
      <c r="HY363" s="352"/>
      <c r="HZ363" s="352"/>
      <c r="IA363" s="72"/>
      <c r="IB363" s="618">
        <f>IFERROR(ROUND((Table1[[#This Row],[PLAN TC
finish]]-Table1[[#This Row],[PLAN MC-0
start]])/30,2),"")</f>
        <v>3.73</v>
      </c>
      <c r="IC363">
        <f>DATEDIF(Table1[[#This Row],[PLAN MC-0
start]],Table1[[#This Row],[PLAN TC
finish]],"m")</f>
        <v>3</v>
      </c>
      <c r="ID363" s="6"/>
      <c r="IE363" s="6"/>
      <c r="IF363" s="72"/>
      <c r="IH363" s="6"/>
      <c r="II363" s="4"/>
      <c r="IJ363" s="4"/>
      <c r="IK363" s="6"/>
      <c r="IL363" s="6"/>
      <c r="IM363" s="6"/>
      <c r="IN363" s="6"/>
      <c r="IO363" s="6"/>
      <c r="IQ363" s="6"/>
      <c r="IR363" s="6"/>
      <c r="IS363" s="6"/>
      <c r="IT363" s="6"/>
      <c r="IW363" s="6"/>
      <c r="IX363" s="6"/>
      <c r="IZ363" s="6"/>
      <c r="JA363" s="6"/>
    </row>
    <row r="364" spans="2:261" ht="15" hidden="1" customHeight="1" x14ac:dyDescent="0.2">
      <c r="B364" s="311">
        <f>SUBTOTAL(3,$D$5:D364)</f>
        <v>84</v>
      </c>
      <c r="C364" s="316">
        <v>360</v>
      </c>
      <c r="D364" s="315" t="s">
        <v>244</v>
      </c>
      <c r="E364" s="315" t="s">
        <v>2886</v>
      </c>
      <c r="F364" s="338" t="s">
        <v>2887</v>
      </c>
      <c r="G364" s="349">
        <v>46300</v>
      </c>
      <c r="H364" s="338" t="s">
        <v>247</v>
      </c>
      <c r="I364" s="338" t="s">
        <v>278</v>
      </c>
      <c r="J364" s="480"/>
      <c r="K364" s="338"/>
      <c r="L364" s="316"/>
      <c r="M364" s="355" t="s">
        <v>269</v>
      </c>
      <c r="N364" s="507">
        <v>32683</v>
      </c>
      <c r="O364" s="31" t="s">
        <v>252</v>
      </c>
      <c r="P36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6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4" s="35">
        <v>0.98190583561658817</v>
      </c>
      <c r="S364" s="327">
        <v>0.98190583561658817</v>
      </c>
      <c r="T364" s="152">
        <f>Table1[[#This Row],[Progres Total Aktual
(%)]]</f>
        <v>3.0757397495327382E-2</v>
      </c>
      <c r="U364" s="121">
        <f>Table1[[#This Row],[Progres Aktual
(%)]]-Table1[[#This Row],[Target Progres
(%)]]</f>
        <v>-0.95114843812126082</v>
      </c>
      <c r="V364" s="80">
        <f>Table1[[#This Row],["Volume
BA MC-0"]]</f>
        <v>0</v>
      </c>
      <c r="W364" s="80">
        <f>Table1[[#This Row],[Total Panjang Pipa Aktual
(Sum-&gt;)3]]</f>
        <v>0</v>
      </c>
      <c r="X364" s="117"/>
      <c r="Y364" s="508" t="s">
        <v>2888</v>
      </c>
      <c r="Z364" s="67">
        <v>55903447227</v>
      </c>
      <c r="AA364" s="509">
        <f>ROUND((Table1[[#This Row],[Nilai RAB Jaringan
(Exclude Ppn)]]-Table1[[#This Row],[RAB Perizinan]])*1.11+Table1[[#This Row],[RAB Perizinan]],0)</f>
        <v>55903447226</v>
      </c>
      <c r="AB364" s="436">
        <f>SUM(Table1[[#This Row],[RAB Kegiatan Umum]:[RAB Perizinan]])</f>
        <v>50396548222</v>
      </c>
      <c r="AC364" s="436">
        <v>2779868779</v>
      </c>
      <c r="AD364" s="436">
        <v>34748359736</v>
      </c>
      <c r="AE364" s="436">
        <v>12534489707</v>
      </c>
      <c r="AF364" s="436">
        <v>333830000</v>
      </c>
      <c r="AG364" s="436"/>
      <c r="AH364" s="510">
        <f>SUM(Table1[[#This Row],[Bobot Keg Umum]:[Bobot Perizinan]])</f>
        <v>1</v>
      </c>
      <c r="AI364" s="510">
        <f>Table1[[#This Row],[RAB Kegiatan Umum]]/Table1[[#This Row],[Nilai RAB Jaringan
(Exclude Ppn)]]</f>
        <v>5.5159904340164358E-2</v>
      </c>
      <c r="AJ364" s="510">
        <f>Table1[[#This Row],[RAB Pemasangan]]/Table1[[#This Row],[Nilai RAB Jaringan
(Exclude Ppn)]]</f>
        <v>0.68949880422229048</v>
      </c>
      <c r="AK364" s="129">
        <f>Table1[[#This Row],[RAB Pengadaan]]/Table1[[#This Row],[Nilai RAB Jaringan
(Exclude Ppn)]]</f>
        <v>0.24871722665974613</v>
      </c>
      <c r="AL364" s="130">
        <f>Table1[[#This Row],[RAB Perizinan]]/Table1[[#This Row],[Nilai RAB Jaringan
(Exclude Ppn)]]</f>
        <v>6.6240647777990195E-3</v>
      </c>
      <c r="AM364" s="47"/>
      <c r="AN364" s="285"/>
      <c r="AO364" s="285">
        <f>SUM(Table1[[#This Row],[Pipa 63 mm]:[Pipa 1,800 mm]])</f>
        <v>32900</v>
      </c>
      <c r="AP364" s="285">
        <v>14855</v>
      </c>
      <c r="AQ364" s="285">
        <v>7135</v>
      </c>
      <c r="AR364" s="285">
        <v>5896</v>
      </c>
      <c r="AS364" s="285">
        <v>1952</v>
      </c>
      <c r="AT364" s="285">
        <v>1979</v>
      </c>
      <c r="AU364" s="285">
        <v>592</v>
      </c>
      <c r="AV364" s="285">
        <v>491</v>
      </c>
      <c r="AW364" s="285"/>
      <c r="AX364" s="285"/>
      <c r="AY364" s="285"/>
      <c r="AZ364" s="285"/>
      <c r="BA364" s="285"/>
      <c r="BB364" s="285"/>
      <c r="BC364" s="285"/>
      <c r="BD364" s="285"/>
      <c r="BE364" s="285"/>
      <c r="BF364" s="285"/>
      <c r="BG364" s="285"/>
      <c r="BH364" s="285"/>
      <c r="BI364" s="285"/>
      <c r="BJ364" s="36">
        <f>SUM(Table1[[#This Row],[Pipa 63 mm2]:[Pipa 1,800 mm21]])</f>
        <v>0</v>
      </c>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f>IF((Table1[[#This Row],["Volume
BA MC-0"]]-Table1[[#This Row],[Total Panjang Pipa Aktual
(Sum-&gt;)3]]-Table1[[#This Row],[Total Volume
tidak dapat dipasang]])&gt;=0,Table1[[#This Row],["Volume
BA MC-0"]]-Table1[[#This Row],[Total Panjang Pipa Aktual
(Sum-&gt;)3]]-Table1[[#This Row],[Total Volume
tidak dapat dipasang]],0)</f>
        <v>0</v>
      </c>
      <c r="CK364" s="47"/>
      <c r="CL364" s="131"/>
      <c r="CM364" s="337"/>
      <c r="CN364" s="131"/>
      <c r="CO364" s="131"/>
      <c r="CP36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3.0757397495327382E-2</v>
      </c>
      <c r="CQ364" s="436">
        <f>IFERROR(Table1[[#This Row],[Progres Keg. Umum
(%)]]*Table1[[#This Row],[Nilai RAB Jaringan
(file pa aji)]],0)</f>
        <v>0</v>
      </c>
      <c r="CR364" s="436">
        <f>IFERROR(Table1[[#This Row],[Progres MOS
(%)]]*Table1[[#This Row],[Nilai RAB Jaringan
(file pa aji)]],0)</f>
        <v>0</v>
      </c>
      <c r="CS364" s="436">
        <f>IFERROR(Table1[[#This Row],[Progres Pemasangan
(%)]]*Table1[[#This Row],[Nilai RAB Jaringan
(file pa aji)]],0)</f>
        <v>0</v>
      </c>
      <c r="CT364" s="436">
        <f>IFERROR(Table1[[#This Row],[Progres Perizinan
(%)]]*Table1[[#This Row],[Nilai RAB Jaringan
(file pa aji)]],0)</f>
        <v>0</v>
      </c>
      <c r="CU364" s="329">
        <v>0</v>
      </c>
      <c r="CV364" s="329">
        <v>0</v>
      </c>
      <c r="CW364" s="511">
        <v>0</v>
      </c>
      <c r="CX364" s="329">
        <v>0</v>
      </c>
      <c r="CY364" s="47"/>
      <c r="CZ364" s="331">
        <v>45929</v>
      </c>
      <c r="DA364" s="331">
        <v>45956</v>
      </c>
      <c r="DB364" s="331">
        <v>45953</v>
      </c>
      <c r="DC364" s="316" t="s">
        <v>2889</v>
      </c>
      <c r="DD364" s="508">
        <v>55903447227</v>
      </c>
      <c r="DE36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4" s="331">
        <v>45972</v>
      </c>
      <c r="DG364" s="316" t="s">
        <v>2890</v>
      </c>
      <c r="DH364" s="508">
        <v>55903447227</v>
      </c>
      <c r="DI36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4" s="331">
        <v>45957</v>
      </c>
      <c r="DK364" s="331">
        <v>46019</v>
      </c>
      <c r="DL364" s="331">
        <v>46050</v>
      </c>
      <c r="DM364" s="316" t="s">
        <v>2891</v>
      </c>
      <c r="DN36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4" s="331">
        <v>46085.291666666664</v>
      </c>
      <c r="DP364" s="316" t="s">
        <v>2892</v>
      </c>
      <c r="DQ364" s="338" t="s">
        <v>2893</v>
      </c>
      <c r="DR36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4" s="331">
        <v>45957</v>
      </c>
      <c r="DT364" s="331">
        <v>46164</v>
      </c>
      <c r="DU364" s="331">
        <v>45998</v>
      </c>
      <c r="DV364" s="331">
        <v>46178</v>
      </c>
      <c r="DW364" s="331">
        <v>46050</v>
      </c>
      <c r="DX364" s="316" t="s">
        <v>2894</v>
      </c>
      <c r="DY364" s="334">
        <v>131</v>
      </c>
      <c r="DZ364" s="334">
        <v>131</v>
      </c>
      <c r="EA36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4" s="331"/>
      <c r="EC364" s="332">
        <v>119</v>
      </c>
      <c r="ED364" s="332">
        <v>119</v>
      </c>
      <c r="EE364" s="118"/>
      <c r="EF364" s="337">
        <v>0.90839694656488545</v>
      </c>
      <c r="EG364" s="337">
        <f>Table1[[#This Row],[Line PO]]/Table1[[#This Row],[Line PR]]</f>
        <v>0.90839694656488545</v>
      </c>
      <c r="EH364" s="316" t="str">
        <f>IF(Table1[[#This Row],[PO Material Aktual 
(%)]]&gt;=100%,"Selesai PO = 100%",IF(Table1[[#This Row],[PO Material Aktual 
(%)]]&gt;=50%,"Proses PO &gt; 100%",IF(Table1[[#This Row],[PO Material Aktual 
(%)]]&gt;0%,"Proses PO &gt; 50%",IF(Table1[[#This Row],[PO Material Aktual 
(%)]]=0,"Belum PO = 0%"))))</f>
        <v>Proses PO &gt; 100%</v>
      </c>
      <c r="EI36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4" s="331">
        <v>45999</v>
      </c>
      <c r="EK364" s="331">
        <v>46178</v>
      </c>
      <c r="EL364" s="331">
        <v>46110</v>
      </c>
      <c r="EM364" s="331">
        <v>46203</v>
      </c>
      <c r="EN364" s="331"/>
      <c r="EO364" s="332">
        <v>27</v>
      </c>
      <c r="EP364" s="332">
        <v>27</v>
      </c>
      <c r="EQ364" s="337">
        <v>0.20610687022900764</v>
      </c>
      <c r="ER364" s="337">
        <f>Table1[[#This Row],[Line MOS (kolom bantu)]]/Table1[[#This Row],[Line PR]]</f>
        <v>0.20610687022900764</v>
      </c>
      <c r="ES364" s="316" t="str">
        <f>IF(Table1[[#This Row],[Progres MOS]]&gt;=100%,"Selesai MOS = 100%",IF(Table1[[#This Row],[Progres MOS]]&gt;=50%,"Proses MOS &gt; 100%",IF(Table1[[#This Row],[Progres MOS]]&gt;0%,"Proses MOS &gt; 50%",IF(Table1[[#This Row],[Progres MOS]]=0,"Belum MOS = 0%"))))</f>
        <v>Proses MOS &gt; 50%</v>
      </c>
      <c r="ET36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4" s="47"/>
      <c r="EV364" s="331">
        <v>45957</v>
      </c>
      <c r="EW364" s="331">
        <v>46148</v>
      </c>
      <c r="EX364" s="331">
        <v>46047</v>
      </c>
      <c r="EY364" s="331">
        <v>46178</v>
      </c>
      <c r="EZ364" s="352" t="s">
        <v>2748</v>
      </c>
      <c r="FA364" s="409" t="s">
        <v>2748</v>
      </c>
      <c r="FB364" s="330"/>
      <c r="FC364" s="330">
        <v>46000</v>
      </c>
      <c r="FD364" s="330" t="s">
        <v>260</v>
      </c>
      <c r="FE364" s="330">
        <v>46056</v>
      </c>
      <c r="FF364" s="330">
        <v>46078</v>
      </c>
      <c r="FG364" s="330"/>
      <c r="FH364" s="330"/>
      <c r="FI364" s="330"/>
      <c r="FJ364" s="330"/>
      <c r="FK364" s="330"/>
      <c r="FL364" s="336" t="s">
        <v>2806</v>
      </c>
      <c r="FM364" s="352"/>
      <c r="FN364" s="338" t="str">
        <f>IF(Table1[[#This Row],[Tanggal Pengajuan Dokumen]]="","",Table1[[#This Row],[PLAN PERMIT
start]]-Table1[[#This Row],[Tanggal Pengajuan Dokumen]])</f>
        <v/>
      </c>
      <c r="FO364" s="352"/>
      <c r="FP364" s="316"/>
      <c r="FQ364" s="338"/>
      <c r="FR364" s="331"/>
      <c r="FS364" s="338"/>
      <c r="FT36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4" s="344">
        <f ca="1">IF(Table1[[#This Row],[Status Izin]]="Selesai",Table1[[#This Row],[PLAN PERMIT
finish]]-Table1[[#This Row],[Tanggal Terbit/ Target Izin Terbit]],ROUNDUP(Table1[[#This Row],[PLAN PERMIT
finish]]-NOW(),0))</f>
        <v>-144</v>
      </c>
      <c r="FV36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4" s="344"/>
      <c r="FX364" s="47"/>
      <c r="FY364" s="513">
        <v>46006</v>
      </c>
      <c r="FZ364" s="513">
        <v>45967</v>
      </c>
      <c r="GA36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64" s="331">
        <v>46020</v>
      </c>
      <c r="GC364" s="352">
        <v>46118</v>
      </c>
      <c r="GD36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4" s="331">
        <v>46027</v>
      </c>
      <c r="GF364" s="352">
        <v>46118</v>
      </c>
      <c r="GG36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4" s="331">
        <v>46034</v>
      </c>
      <c r="GI364" s="331">
        <v>46040</v>
      </c>
      <c r="GJ364" s="352">
        <v>46132</v>
      </c>
      <c r="GK36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4" s="331">
        <v>46048</v>
      </c>
      <c r="GM364" s="331">
        <v>46206</v>
      </c>
      <c r="GN364" s="331">
        <v>46166</v>
      </c>
      <c r="GO364" s="330">
        <v>46275</v>
      </c>
      <c r="GP364" s="316"/>
      <c r="GQ36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4" s="331"/>
      <c r="GS364" s="331"/>
      <c r="GT364" s="354"/>
      <c r="GU364" s="344" t="str">
        <f>IF(Table1[[#This Row],[Hydro Tes Actual
(tanggal)]]&lt;&gt;"","Sudah","Belum")</f>
        <v>Belum</v>
      </c>
      <c r="GV364" s="330"/>
      <c r="GW364" s="330"/>
      <c r="GX364" s="331"/>
      <c r="GY364" s="344" t="str">
        <f>IF(Table1[[#This Row],[Interkoneksi Actual
(tanggal)]]&lt;&gt;"","Sudah","Belum")</f>
        <v>Belum</v>
      </c>
      <c r="GZ364" s="330"/>
      <c r="HA364" s="330"/>
      <c r="HB364" s="331"/>
      <c r="HC364" s="344" t="str">
        <f>IF(Table1[[#This Row],[Flushing Actual
(tanggal)]]&lt;&gt;"","Sudah","Belum")</f>
        <v>Belum</v>
      </c>
      <c r="HD364" s="331">
        <v>46169</v>
      </c>
      <c r="HE364" s="331">
        <v>46276</v>
      </c>
      <c r="HF364" s="331">
        <v>46174</v>
      </c>
      <c r="HG364" s="352"/>
      <c r="HH36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4" s="330"/>
      <c r="HJ364" s="330"/>
      <c r="HK364" s="331"/>
      <c r="HL364" s="331"/>
      <c r="HM364" s="331">
        <v>46191</v>
      </c>
      <c r="HN364" s="331">
        <v>46191</v>
      </c>
      <c r="HO364" s="330">
        <v>46293</v>
      </c>
      <c r="HP364" s="331"/>
      <c r="HQ36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64" s="331">
        <v>46199</v>
      </c>
      <c r="HS364" s="331"/>
      <c r="HT364" s="331">
        <v>46199</v>
      </c>
      <c r="HU364" s="420"/>
      <c r="HV364" s="395"/>
      <c r="HW364"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64" s="47"/>
      <c r="HY364" s="352"/>
      <c r="HZ364" s="352"/>
      <c r="IA364" s="72"/>
      <c r="IB364" s="618">
        <f>IFERROR(ROUND((Table1[[#This Row],[PLAN TC
finish]]-Table1[[#This Row],[PLAN MC-0
start]])/30,2),"")</f>
        <v>4.67</v>
      </c>
      <c r="IC364">
        <f>DATEDIF(Table1[[#This Row],[PLAN MC-0
start]],Table1[[#This Row],[PLAN TC
finish]],"m")</f>
        <v>4</v>
      </c>
      <c r="ID364" s="6"/>
      <c r="IE364" s="6"/>
      <c r="IF364" s="72"/>
      <c r="IH364" s="6"/>
      <c r="II364" s="4"/>
      <c r="IJ364" s="4"/>
      <c r="IK364" s="6"/>
      <c r="IL364" s="6"/>
      <c r="IM364" s="6"/>
      <c r="IN364" s="6"/>
      <c r="IO364" s="6"/>
      <c r="IQ364" s="6"/>
      <c r="IR364" s="6"/>
      <c r="IS364" s="6"/>
      <c r="IT364" s="6"/>
      <c r="IW364" s="6"/>
      <c r="IX364" s="6"/>
      <c r="IZ364" s="6"/>
      <c r="JA364" s="6"/>
    </row>
    <row r="365" spans="2:261" ht="15" hidden="1" customHeight="1" x14ac:dyDescent="0.2">
      <c r="B365" s="311">
        <f>SUBTOTAL(3,$D$5:D365)</f>
        <v>84</v>
      </c>
      <c r="C365" s="316">
        <v>361</v>
      </c>
      <c r="D365" s="315" t="s">
        <v>244</v>
      </c>
      <c r="E365" s="315" t="s">
        <v>2895</v>
      </c>
      <c r="F365" s="338" t="s">
        <v>2896</v>
      </c>
      <c r="G365" s="349">
        <v>46300</v>
      </c>
      <c r="H365" s="338" t="s">
        <v>247</v>
      </c>
      <c r="I365" s="338" t="s">
        <v>278</v>
      </c>
      <c r="J365" s="480"/>
      <c r="K365" s="338"/>
      <c r="L365" s="316"/>
      <c r="M365" s="355" t="s">
        <v>269</v>
      </c>
      <c r="N365" s="507">
        <v>3332</v>
      </c>
      <c r="O365" s="31" t="s">
        <v>252</v>
      </c>
      <c r="P36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6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5" s="35">
        <v>0.97557069255757933</v>
      </c>
      <c r="S365" s="327">
        <v>0.97557069255757933</v>
      </c>
      <c r="T365" s="152">
        <f>Table1[[#This Row],[Progres Total Aktual
(%)]]</f>
        <v>2.0446069710954334E-2</v>
      </c>
      <c r="U365" s="121">
        <f>Table1[[#This Row],[Progres Aktual
(%)]]-Table1[[#This Row],[Target Progres
(%)]]</f>
        <v>-0.95512462284662503</v>
      </c>
      <c r="V365" s="80">
        <f>Table1[[#This Row],["Volume
BA MC-0"]]</f>
        <v>3607</v>
      </c>
      <c r="W365" s="80">
        <f>Table1[[#This Row],[Total Panjang Pipa Aktual
(Sum-&gt;)3]]</f>
        <v>0</v>
      </c>
      <c r="X365" s="117"/>
      <c r="Y365" s="508" t="s">
        <v>2897</v>
      </c>
      <c r="Z365" s="67">
        <v>4170299451</v>
      </c>
      <c r="AA365" s="509">
        <f>ROUND((Table1[[#This Row],[Nilai RAB Jaringan
(Exclude Ppn)]]-Table1[[#This Row],[RAB Perizinan]])*1.11+Table1[[#This Row],[RAB Perizinan]],0)</f>
        <v>4170299451</v>
      </c>
      <c r="AB365" s="436">
        <f>SUM(Table1[[#This Row],[RAB Kegiatan Umum]:[RAB Perizinan]])</f>
        <v>3760328514</v>
      </c>
      <c r="AC365" s="436">
        <v>286398089</v>
      </c>
      <c r="AD365" s="436">
        <v>2863980883</v>
      </c>
      <c r="AE365" s="436">
        <v>576629542</v>
      </c>
      <c r="AF365" s="436">
        <v>33320000</v>
      </c>
      <c r="AG365" s="436"/>
      <c r="AH365" s="510">
        <f>SUM(Table1[[#This Row],[Bobot Keg Umum]:[Bobot Perizinan]])</f>
        <v>0.99999999999999989</v>
      </c>
      <c r="AI365" s="510">
        <f>Table1[[#This Row],[RAB Kegiatan Umum]]/Table1[[#This Row],[Nilai RAB Jaringan
(Exclude Ppn)]]</f>
        <v>7.6163050098872295E-2</v>
      </c>
      <c r="AJ365" s="510">
        <f>Table1[[#This Row],[RAB Pemasangan]]/Table1[[#This Row],[Nilai RAB Jaringan
(Exclude Ppn)]]</f>
        <v>0.76163049912718339</v>
      </c>
      <c r="AK365" s="129">
        <f>Table1[[#This Row],[RAB Pengadaan]]/Table1[[#This Row],[Nilai RAB Jaringan
(Exclude Ppn)]]</f>
        <v>0.15334552283215752</v>
      </c>
      <c r="AL365" s="130">
        <f>Table1[[#This Row],[RAB Perizinan]]/Table1[[#This Row],[Nilai RAB Jaringan
(Exclude Ppn)]]</f>
        <v>8.8609279417867365E-3</v>
      </c>
      <c r="AM365" s="47"/>
      <c r="AN365" s="285">
        <v>3607</v>
      </c>
      <c r="AO365" s="285">
        <f>SUM(Table1[[#This Row],[Pipa 63 mm]:[Pipa 1,800 mm]])</f>
        <v>3282</v>
      </c>
      <c r="AP365" s="285">
        <v>3227</v>
      </c>
      <c r="AQ365" s="285"/>
      <c r="AR365" s="285">
        <v>13</v>
      </c>
      <c r="AS365" s="285">
        <v>40</v>
      </c>
      <c r="AT365" s="285">
        <v>2</v>
      </c>
      <c r="AU365" s="285"/>
      <c r="AV365" s="285"/>
      <c r="AW365" s="285"/>
      <c r="AX365" s="285"/>
      <c r="AY365" s="285"/>
      <c r="AZ365" s="285"/>
      <c r="BA365" s="285"/>
      <c r="BB365" s="285"/>
      <c r="BC365" s="285"/>
      <c r="BD365" s="285"/>
      <c r="BE365" s="285"/>
      <c r="BF365" s="285"/>
      <c r="BG365" s="285"/>
      <c r="BH365" s="285"/>
      <c r="BI365" s="285"/>
      <c r="BJ365" s="36">
        <f>SUM(Table1[[#This Row],[Pipa 63 mm2]:[Pipa 1,800 mm21]])</f>
        <v>0</v>
      </c>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f>IF((Table1[[#This Row],["Volume
BA MC-0"]]-Table1[[#This Row],[Total Panjang Pipa Aktual
(Sum-&gt;)3]]-Table1[[#This Row],[Total Volume
tidak dapat dipasang]])&gt;=0,Table1[[#This Row],["Volume
BA MC-0"]]-Table1[[#This Row],[Total Panjang Pipa Aktual
(Sum-&gt;)3]]-Table1[[#This Row],[Total Volume
tidak dapat dipasang]],0)</f>
        <v>3607</v>
      </c>
      <c r="CK365" s="47"/>
      <c r="CL365" s="131"/>
      <c r="CM365" s="337"/>
      <c r="CN365" s="131"/>
      <c r="CO365" s="131"/>
      <c r="CP36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2.0446069710954334E-2</v>
      </c>
      <c r="CQ365" s="436">
        <f>IFERROR(Table1[[#This Row],[Progres Keg. Umum
(%)]]*Table1[[#This Row],[Nilai RAB Jaringan
(file pa aji)]],0)</f>
        <v>0</v>
      </c>
      <c r="CR365" s="436">
        <f>IFERROR(Table1[[#This Row],[Progres MOS
(%)]]*Table1[[#This Row],[Nilai RAB Jaringan
(file pa aji)]],0)</f>
        <v>0</v>
      </c>
      <c r="CS365" s="436">
        <f>IFERROR(Table1[[#This Row],[Progres Pemasangan
(%)]]*Table1[[#This Row],[Nilai RAB Jaringan
(file pa aji)]],0)</f>
        <v>0</v>
      </c>
      <c r="CT365" s="436">
        <f>IFERROR(Table1[[#This Row],[Progres Perizinan
(%)]]*Table1[[#This Row],[Nilai RAB Jaringan
(file pa aji)]],0)</f>
        <v>0</v>
      </c>
      <c r="CU365" s="329">
        <v>0</v>
      </c>
      <c r="CV365" s="329">
        <v>0</v>
      </c>
      <c r="CW365" s="511">
        <v>0</v>
      </c>
      <c r="CX365" s="329">
        <v>0</v>
      </c>
      <c r="CY365" s="47"/>
      <c r="CZ365" s="331">
        <v>45957</v>
      </c>
      <c r="DA365" s="331">
        <v>45984</v>
      </c>
      <c r="DB365" s="331">
        <v>45964</v>
      </c>
      <c r="DC365" s="316" t="s">
        <v>2898</v>
      </c>
      <c r="DD365" s="508">
        <v>4170299451</v>
      </c>
      <c r="DE36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5" s="331">
        <v>45986</v>
      </c>
      <c r="DG365" s="316" t="s">
        <v>2899</v>
      </c>
      <c r="DH365" s="508">
        <v>4170299451</v>
      </c>
      <c r="DI36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5" s="331">
        <v>45985</v>
      </c>
      <c r="DK365" s="331">
        <v>46047</v>
      </c>
      <c r="DL365" s="331">
        <v>46050</v>
      </c>
      <c r="DM365" s="316" t="s">
        <v>2900</v>
      </c>
      <c r="DN36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5" s="331">
        <v>46087</v>
      </c>
      <c r="DP365" s="316"/>
      <c r="DQ365" s="338" t="s">
        <v>560</v>
      </c>
      <c r="DR36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5" s="331">
        <v>45985</v>
      </c>
      <c r="DT365" s="331">
        <v>46158</v>
      </c>
      <c r="DU365" s="331">
        <v>46026</v>
      </c>
      <c r="DV365" s="331">
        <v>46172</v>
      </c>
      <c r="DW365" s="331">
        <v>46050</v>
      </c>
      <c r="DX365" s="316" t="s">
        <v>2901</v>
      </c>
      <c r="DY365" s="334">
        <v>63</v>
      </c>
      <c r="DZ365" s="334">
        <v>63</v>
      </c>
      <c r="EA36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5" s="331"/>
      <c r="EC365" s="332">
        <v>59</v>
      </c>
      <c r="ED365" s="332">
        <v>59</v>
      </c>
      <c r="EE365" s="118"/>
      <c r="EF365" s="337">
        <v>0.93650793650793651</v>
      </c>
      <c r="EG365" s="337">
        <f>Table1[[#This Row],[Line PO]]/Table1[[#This Row],[Line PR]]</f>
        <v>0.93650793650793651</v>
      </c>
      <c r="EH365" s="316" t="str">
        <f>IF(Table1[[#This Row],[PO Material Aktual 
(%)]]&gt;=100%,"Selesai PO = 100%",IF(Table1[[#This Row],[PO Material Aktual 
(%)]]&gt;=50%,"Proses PO &gt; 100%",IF(Table1[[#This Row],[PO Material Aktual 
(%)]]&gt;0%,"Proses PO &gt; 50%",IF(Table1[[#This Row],[PO Material Aktual 
(%)]]=0,"Belum PO = 0%"))))</f>
        <v>Proses PO &gt; 100%</v>
      </c>
      <c r="EI36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5" s="331">
        <v>46027</v>
      </c>
      <c r="EK365" s="331">
        <v>46172</v>
      </c>
      <c r="EL365" s="331">
        <v>46138</v>
      </c>
      <c r="EM365" s="331">
        <v>46187</v>
      </c>
      <c r="EN365" s="331"/>
      <c r="EO365" s="332">
        <v>14</v>
      </c>
      <c r="EP365" s="332">
        <v>14</v>
      </c>
      <c r="EQ365" s="337">
        <v>0.22222222222222221</v>
      </c>
      <c r="ER365" s="337">
        <f>Table1[[#This Row],[Line MOS (kolom bantu)]]/Table1[[#This Row],[Line PR]]</f>
        <v>0.22222222222222221</v>
      </c>
      <c r="ES365" s="316" t="str">
        <f>IF(Table1[[#This Row],[Progres MOS]]&gt;=100%,"Selesai MOS = 100%",IF(Table1[[#This Row],[Progres MOS]]&gt;=50%,"Proses MOS &gt; 100%",IF(Table1[[#This Row],[Progres MOS]]&gt;0%,"Proses MOS &gt; 50%",IF(Table1[[#This Row],[Progres MOS]]=0,"Belum MOS = 0%"))))</f>
        <v>Proses MOS &gt; 50%</v>
      </c>
      <c r="ET36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5" s="47"/>
      <c r="EV365" s="331">
        <v>45985</v>
      </c>
      <c r="EW365" s="331">
        <v>46153</v>
      </c>
      <c r="EX365" s="331">
        <v>46075</v>
      </c>
      <c r="EY365" s="331">
        <v>46183</v>
      </c>
      <c r="EZ365" s="352" t="s">
        <v>2748</v>
      </c>
      <c r="FA365" s="409" t="s">
        <v>2748</v>
      </c>
      <c r="FB365" s="330"/>
      <c r="FC365" s="330">
        <v>46001</v>
      </c>
      <c r="FD365" s="330" t="s">
        <v>260</v>
      </c>
      <c r="FE365" s="330">
        <v>46045</v>
      </c>
      <c r="FF365" s="330">
        <v>46078</v>
      </c>
      <c r="FG365" s="330"/>
      <c r="FH365" s="330"/>
      <c r="FI365" s="330"/>
      <c r="FJ365" s="330"/>
      <c r="FK365" s="330"/>
      <c r="FL365" s="336" t="s">
        <v>2806</v>
      </c>
      <c r="FM365" s="352"/>
      <c r="FN365" s="338" t="str">
        <f>IF(Table1[[#This Row],[Tanggal Pengajuan Dokumen]]="","",Table1[[#This Row],[PLAN PERMIT
start]]-Table1[[#This Row],[Tanggal Pengajuan Dokumen]])</f>
        <v/>
      </c>
      <c r="FO365" s="352"/>
      <c r="FP365" s="316"/>
      <c r="FQ365" s="338"/>
      <c r="FR365" s="331"/>
      <c r="FS365" s="338"/>
      <c r="FT36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5" s="344">
        <f ca="1">IF(Table1[[#This Row],[Status Izin]]="Selesai",Table1[[#This Row],[PLAN PERMIT
finish]]-Table1[[#This Row],[Tanggal Terbit/ Target Izin Terbit]],ROUNDUP(Table1[[#This Row],[PLAN PERMIT
finish]]-NOW(),0))</f>
        <v>-116</v>
      </c>
      <c r="FV36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5" s="344"/>
      <c r="FX365" s="47"/>
      <c r="FY365" s="513">
        <v>46034</v>
      </c>
      <c r="FZ365" s="513">
        <v>46049</v>
      </c>
      <c r="GA36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5" s="331">
        <v>46048</v>
      </c>
      <c r="GC365" s="352">
        <v>46118</v>
      </c>
      <c r="GD36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5" s="331">
        <v>46055</v>
      </c>
      <c r="GF365" s="352">
        <v>46118</v>
      </c>
      <c r="GG36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5" s="331">
        <v>46062</v>
      </c>
      <c r="GI365" s="331">
        <v>46068</v>
      </c>
      <c r="GJ365" s="352">
        <v>46125</v>
      </c>
      <c r="GK36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5" s="331">
        <v>46076</v>
      </c>
      <c r="GM365" s="331">
        <v>46190</v>
      </c>
      <c r="GN365" s="331">
        <v>46166</v>
      </c>
      <c r="GO365" s="330">
        <v>46262</v>
      </c>
      <c r="GP365" s="316"/>
      <c r="GQ36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5" s="331"/>
      <c r="GS365" s="331"/>
      <c r="GT365" s="354"/>
      <c r="GU365" s="344" t="str">
        <f>IF(Table1[[#This Row],[Hydro Tes Actual
(tanggal)]]&lt;&gt;"","Sudah","Belum")</f>
        <v>Belum</v>
      </c>
      <c r="GV365" s="330"/>
      <c r="GW365" s="330"/>
      <c r="GX365" s="331"/>
      <c r="GY365" s="344" t="str">
        <f>IF(Table1[[#This Row],[Interkoneksi Actual
(tanggal)]]&lt;&gt;"","Sudah","Belum")</f>
        <v>Belum</v>
      </c>
      <c r="GZ365" s="330"/>
      <c r="HA365" s="330"/>
      <c r="HB365" s="331"/>
      <c r="HC365" s="344" t="str">
        <f>IF(Table1[[#This Row],[Flushing Actual
(tanggal)]]&lt;&gt;"","Sudah","Belum")</f>
        <v>Belum</v>
      </c>
      <c r="HD365" s="331">
        <v>46169</v>
      </c>
      <c r="HE365" s="331">
        <v>46263</v>
      </c>
      <c r="HF365" s="331">
        <v>46174</v>
      </c>
      <c r="HG365" s="352"/>
      <c r="HH36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5" s="330"/>
      <c r="HJ365" s="330"/>
      <c r="HK365" s="331"/>
      <c r="HL365" s="331"/>
      <c r="HM365" s="331">
        <v>46191</v>
      </c>
      <c r="HN365" s="331">
        <v>46191</v>
      </c>
      <c r="HO365" s="330">
        <v>46280</v>
      </c>
      <c r="HP365" s="331"/>
      <c r="HQ36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65" s="331">
        <v>46199</v>
      </c>
      <c r="HS365" s="331"/>
      <c r="HT365" s="331">
        <v>46199</v>
      </c>
      <c r="HU365" s="420"/>
      <c r="HV365" s="395"/>
      <c r="HW36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65" s="47"/>
      <c r="HY365" s="352"/>
      <c r="HZ365" s="352"/>
      <c r="IA365" s="72"/>
      <c r="IB365" s="618">
        <f>IFERROR(ROUND((Table1[[#This Row],[PLAN TC
finish]]-Table1[[#This Row],[PLAN MC-0
start]])/30,2),"")</f>
        <v>3.73</v>
      </c>
      <c r="IC365">
        <f>DATEDIF(Table1[[#This Row],[PLAN MC-0
start]],Table1[[#This Row],[PLAN TC
finish]],"m")</f>
        <v>3</v>
      </c>
      <c r="ID365" s="6"/>
      <c r="IE365" s="6"/>
      <c r="IF365" s="72"/>
      <c r="IH365" s="6"/>
      <c r="II365" s="4"/>
      <c r="IJ365" s="4"/>
      <c r="IK365" s="6"/>
      <c r="IL365" s="6"/>
      <c r="IM365" s="6"/>
      <c r="IN365" s="6"/>
      <c r="IO365" s="6"/>
      <c r="IQ365" s="6"/>
      <c r="IR365" s="6"/>
      <c r="IS365" s="6"/>
      <c r="IT365" s="6"/>
      <c r="IW365" s="6"/>
      <c r="IX365" s="6"/>
      <c r="IZ365" s="6"/>
      <c r="JA365" s="6"/>
    </row>
    <row r="366" spans="2:261" ht="15" hidden="1" customHeight="1" x14ac:dyDescent="0.2">
      <c r="B366" s="311">
        <f>SUBTOTAL(3,$D$5:D366)</f>
        <v>84</v>
      </c>
      <c r="C366" s="316">
        <v>362</v>
      </c>
      <c r="D366" s="315" t="s">
        <v>244</v>
      </c>
      <c r="E366" s="315" t="s">
        <v>2902</v>
      </c>
      <c r="F366" s="338" t="s">
        <v>2903</v>
      </c>
      <c r="G366" s="349">
        <v>46300</v>
      </c>
      <c r="H366" s="338" t="s">
        <v>247</v>
      </c>
      <c r="I366" s="338" t="s">
        <v>278</v>
      </c>
      <c r="J366" s="480"/>
      <c r="K366" s="338"/>
      <c r="L366" s="316"/>
      <c r="M366" s="355" t="s">
        <v>269</v>
      </c>
      <c r="N366" s="507">
        <v>1592</v>
      </c>
      <c r="O366" s="31" t="s">
        <v>252</v>
      </c>
      <c r="P36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6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6" s="35">
        <v>0.97469893497154869</v>
      </c>
      <c r="S366" s="327">
        <v>0.97469893497154869</v>
      </c>
      <c r="T366" s="152">
        <f>Table1[[#This Row],[Progres Total Aktual
(%)]]</f>
        <v>3.4327612783892542E-2</v>
      </c>
      <c r="U366" s="121">
        <f>Table1[[#This Row],[Progres Aktual
(%)]]-Table1[[#This Row],[Target Progres
(%)]]</f>
        <v>-0.94037132218765618</v>
      </c>
      <c r="V366" s="80">
        <f>Table1[[#This Row],["Volume
BA MC-0"]]</f>
        <v>1751</v>
      </c>
      <c r="W366" s="80">
        <f>Table1[[#This Row],[Total Panjang Pipa Aktual
(Sum-&gt;)3]]</f>
        <v>0</v>
      </c>
      <c r="X366" s="117"/>
      <c r="Y366" s="508" t="s">
        <v>2904</v>
      </c>
      <c r="Z366" s="67">
        <v>3277940339</v>
      </c>
      <c r="AA366" s="509">
        <f>ROUND((Table1[[#This Row],[Nilai RAB Jaringan
(Exclude Ppn)]]-Table1[[#This Row],[RAB Perizinan]])*1.11+Table1[[#This Row],[RAB Perizinan]],0)</f>
        <v>3277940338</v>
      </c>
      <c r="AB366" s="436">
        <f>SUM(Table1[[#This Row],[RAB Kegiatan Umum]:[RAB Perizinan]])</f>
        <v>2955370755.1108599</v>
      </c>
      <c r="AC366" s="436">
        <v>206809012</v>
      </c>
      <c r="AD366" s="436">
        <v>2068090113.1108601</v>
      </c>
      <c r="AE366" s="436">
        <v>657551630</v>
      </c>
      <c r="AF366" s="436">
        <v>22920000</v>
      </c>
      <c r="AG366" s="436"/>
      <c r="AH366" s="510">
        <f>SUM(Table1[[#This Row],[Bobot Keg Umum]:[Bobot Perizinan]])</f>
        <v>1</v>
      </c>
      <c r="AI366" s="510">
        <f>Table1[[#This Row],[RAB Kegiatan Umum]]/Table1[[#This Row],[Nilai RAB Jaringan
(Exclude Ppn)]]</f>
        <v>6.9977349421339291E-2</v>
      </c>
      <c r="AJ366" s="510">
        <f>Table1[[#This Row],[RAB Pemasangan]]/Table1[[#This Row],[Nilai RAB Jaringan
(Exclude Ppn)]]</f>
        <v>0.69977349188233517</v>
      </c>
      <c r="AK366" s="129">
        <f>Table1[[#This Row],[RAB Pengadaan]]/Table1[[#This Row],[Nilai RAB Jaringan
(Exclude Ppn)]]</f>
        <v>0.22249378656226648</v>
      </c>
      <c r="AL366" s="130">
        <f>Table1[[#This Row],[RAB Perizinan]]/Table1[[#This Row],[Nilai RAB Jaringan
(Exclude Ppn)]]</f>
        <v>7.7553721340591127E-3</v>
      </c>
      <c r="AM366" s="47"/>
      <c r="AN366" s="285">
        <v>1751</v>
      </c>
      <c r="AO366" s="285">
        <f>SUM(Table1[[#This Row],[Pipa 63 mm]:[Pipa 1,800 mm]])</f>
        <v>1751</v>
      </c>
      <c r="AP366" s="285">
        <v>911</v>
      </c>
      <c r="AQ366" s="285">
        <v>40</v>
      </c>
      <c r="AR366" s="285"/>
      <c r="AS366" s="285">
        <v>800</v>
      </c>
      <c r="AT366" s="285"/>
      <c r="AU366" s="285"/>
      <c r="AV366" s="285"/>
      <c r="AW366" s="285"/>
      <c r="AX366" s="285"/>
      <c r="AY366" s="285"/>
      <c r="AZ366" s="285"/>
      <c r="BA366" s="285"/>
      <c r="BB366" s="285"/>
      <c r="BC366" s="285"/>
      <c r="BD366" s="285"/>
      <c r="BE366" s="285"/>
      <c r="BF366" s="285"/>
      <c r="BG366" s="285"/>
      <c r="BH366" s="285"/>
      <c r="BI366" s="285"/>
      <c r="BJ366" s="36">
        <f>SUM(Table1[[#This Row],[Pipa 63 mm2]:[Pipa 1,800 mm21]])</f>
        <v>0</v>
      </c>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f>IF((Table1[[#This Row],["Volume
BA MC-0"]]-Table1[[#This Row],[Total Panjang Pipa Aktual
(Sum-&gt;)3]]-Table1[[#This Row],[Total Volume
tidak dapat dipasang]])&gt;=0,Table1[[#This Row],["Volume
BA MC-0"]]-Table1[[#This Row],[Total Panjang Pipa Aktual
(Sum-&gt;)3]]-Table1[[#This Row],[Total Volume
tidak dapat dipasang]],0)</f>
        <v>1751</v>
      </c>
      <c r="CK366" s="47"/>
      <c r="CL366" s="131"/>
      <c r="CM366" s="337"/>
      <c r="CN366" s="131"/>
      <c r="CO366" s="131"/>
      <c r="CP36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3.4327612783892542E-2</v>
      </c>
      <c r="CQ366" s="436">
        <f>IFERROR(Table1[[#This Row],[Progres Keg. Umum
(%)]]*Table1[[#This Row],[Nilai RAB Jaringan
(file pa aji)]],0)</f>
        <v>0</v>
      </c>
      <c r="CR366" s="436">
        <f>IFERROR(Table1[[#This Row],[Progres MOS
(%)]]*Table1[[#This Row],[Nilai RAB Jaringan
(file pa aji)]],0)</f>
        <v>0</v>
      </c>
      <c r="CS366" s="436">
        <f>IFERROR(Table1[[#This Row],[Progres Pemasangan
(%)]]*Table1[[#This Row],[Nilai RAB Jaringan
(file pa aji)]],0)</f>
        <v>0</v>
      </c>
      <c r="CT366" s="436">
        <f>IFERROR(Table1[[#This Row],[Progres Perizinan
(%)]]*Table1[[#This Row],[Nilai RAB Jaringan
(file pa aji)]],0)</f>
        <v>0</v>
      </c>
      <c r="CU366" s="329">
        <v>0</v>
      </c>
      <c r="CV366" s="329">
        <v>0</v>
      </c>
      <c r="CW366" s="511">
        <v>0</v>
      </c>
      <c r="CX366" s="329">
        <v>0</v>
      </c>
      <c r="CY366" s="47"/>
      <c r="CZ366" s="331">
        <v>45957</v>
      </c>
      <c r="DA366" s="331">
        <v>45984</v>
      </c>
      <c r="DB366" s="331">
        <v>45964</v>
      </c>
      <c r="DC366" s="316" t="s">
        <v>2905</v>
      </c>
      <c r="DD366" s="508">
        <v>3277940339</v>
      </c>
      <c r="DE36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6" s="331">
        <v>45669</v>
      </c>
      <c r="DG366" s="316" t="s">
        <v>2906</v>
      </c>
      <c r="DH366" s="508">
        <v>3277940339</v>
      </c>
      <c r="DI36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66" s="331">
        <v>45985</v>
      </c>
      <c r="DK366" s="331">
        <v>46047</v>
      </c>
      <c r="DL366" s="331">
        <v>46050</v>
      </c>
      <c r="DM366" s="316" t="s">
        <v>2907</v>
      </c>
      <c r="DN36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6" s="331">
        <v>46087</v>
      </c>
      <c r="DP366" s="316"/>
      <c r="DQ366" s="338" t="s">
        <v>560</v>
      </c>
      <c r="DR36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6" s="331">
        <v>45985</v>
      </c>
      <c r="DT366" s="331">
        <v>46158</v>
      </c>
      <c r="DU366" s="331">
        <v>46026</v>
      </c>
      <c r="DV366" s="331">
        <v>46172</v>
      </c>
      <c r="DW366" s="331">
        <v>46051</v>
      </c>
      <c r="DX366" s="316" t="s">
        <v>2908</v>
      </c>
      <c r="DY366" s="334">
        <v>35</v>
      </c>
      <c r="DZ366" s="334">
        <v>35</v>
      </c>
      <c r="EA36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6" s="331"/>
      <c r="EC366" s="332">
        <v>31</v>
      </c>
      <c r="ED366" s="332">
        <v>31</v>
      </c>
      <c r="EE366" s="118"/>
      <c r="EF366" s="337">
        <v>0.88571428571428568</v>
      </c>
      <c r="EG366" s="337">
        <f>Table1[[#This Row],[Line PO]]/Table1[[#This Row],[Line PR]]</f>
        <v>0.88571428571428568</v>
      </c>
      <c r="EH366" s="316" t="str">
        <f>IF(Table1[[#This Row],[PO Material Aktual 
(%)]]&gt;=100%,"Selesai PO = 100%",IF(Table1[[#This Row],[PO Material Aktual 
(%)]]&gt;=50%,"Proses PO &gt; 100%",IF(Table1[[#This Row],[PO Material Aktual 
(%)]]&gt;0%,"Proses PO &gt; 50%",IF(Table1[[#This Row],[PO Material Aktual 
(%)]]=0,"Belum PO = 0%"))))</f>
        <v>Proses PO &gt; 100%</v>
      </c>
      <c r="EI36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6" s="331">
        <v>46027</v>
      </c>
      <c r="EK366" s="331">
        <v>46172</v>
      </c>
      <c r="EL366" s="331">
        <v>46138</v>
      </c>
      <c r="EM366" s="331">
        <v>46187</v>
      </c>
      <c r="EN366" s="331"/>
      <c r="EO366" s="332">
        <v>9</v>
      </c>
      <c r="EP366" s="332">
        <v>9</v>
      </c>
      <c r="EQ366" s="337">
        <v>0.25714285714285712</v>
      </c>
      <c r="ER366" s="337">
        <f>Table1[[#This Row],[Line MOS (kolom bantu)]]/Table1[[#This Row],[Line PR]]</f>
        <v>0.25714285714285712</v>
      </c>
      <c r="ES366" s="316" t="str">
        <f>IF(Table1[[#This Row],[Progres MOS]]&gt;=100%,"Selesai MOS = 100%",IF(Table1[[#This Row],[Progres MOS]]&gt;=50%,"Proses MOS &gt; 100%",IF(Table1[[#This Row],[Progres MOS]]&gt;0%,"Proses MOS &gt; 50%",IF(Table1[[#This Row],[Progres MOS]]=0,"Belum MOS = 0%"))))</f>
        <v>Proses MOS &gt; 50%</v>
      </c>
      <c r="ET36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6" s="47"/>
      <c r="EV366" s="331">
        <v>45985</v>
      </c>
      <c r="EW366" s="331">
        <v>46153</v>
      </c>
      <c r="EX366" s="331">
        <v>46075</v>
      </c>
      <c r="EY366" s="331">
        <v>46183</v>
      </c>
      <c r="EZ366" s="352" t="s">
        <v>2748</v>
      </c>
      <c r="FA366" s="409" t="s">
        <v>2748</v>
      </c>
      <c r="FB366" s="330"/>
      <c r="FC366" s="330">
        <v>45994</v>
      </c>
      <c r="FD366" s="330" t="s">
        <v>260</v>
      </c>
      <c r="FE366" s="330">
        <v>46045</v>
      </c>
      <c r="FF366" s="330">
        <v>46078</v>
      </c>
      <c r="FG366" s="330"/>
      <c r="FH366" s="330"/>
      <c r="FI366" s="330"/>
      <c r="FJ366" s="330"/>
      <c r="FK366" s="330"/>
      <c r="FL366" s="336" t="s">
        <v>2806</v>
      </c>
      <c r="FM366" s="352"/>
      <c r="FN366" s="338" t="str">
        <f>IF(Table1[[#This Row],[Tanggal Pengajuan Dokumen]]="","",Table1[[#This Row],[PLAN PERMIT
start]]-Table1[[#This Row],[Tanggal Pengajuan Dokumen]])</f>
        <v/>
      </c>
      <c r="FO366" s="352"/>
      <c r="FP366" s="316"/>
      <c r="FQ366" s="338"/>
      <c r="FR366" s="331"/>
      <c r="FS366" s="338"/>
      <c r="FT36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6" s="344">
        <f ca="1">IF(Table1[[#This Row],[Status Izin]]="Selesai",Table1[[#This Row],[PLAN PERMIT
finish]]-Table1[[#This Row],[Tanggal Terbit/ Target Izin Terbit]],ROUNDUP(Table1[[#This Row],[PLAN PERMIT
finish]]-NOW(),0))</f>
        <v>-116</v>
      </c>
      <c r="FV36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6" s="344"/>
      <c r="FX366" s="47"/>
      <c r="FY366" s="513">
        <v>46034</v>
      </c>
      <c r="FZ366" s="513">
        <v>46049</v>
      </c>
      <c r="GA36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6" s="331">
        <v>46048</v>
      </c>
      <c r="GC366" s="352">
        <v>46118</v>
      </c>
      <c r="GD36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6" s="331">
        <v>46055</v>
      </c>
      <c r="GF366" s="352">
        <v>46118</v>
      </c>
      <c r="GG36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6" s="331">
        <v>46062</v>
      </c>
      <c r="GI366" s="331">
        <v>46068</v>
      </c>
      <c r="GJ366" s="352">
        <v>46125</v>
      </c>
      <c r="GK36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6" s="331">
        <v>46076</v>
      </c>
      <c r="GM366" s="331">
        <v>46190</v>
      </c>
      <c r="GN366" s="331">
        <v>46166</v>
      </c>
      <c r="GO366" s="330">
        <v>46262</v>
      </c>
      <c r="GP366" s="316"/>
      <c r="GQ36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6" s="331"/>
      <c r="GS366" s="331"/>
      <c r="GT366" s="354"/>
      <c r="GU366" s="344" t="str">
        <f>IF(Table1[[#This Row],[Hydro Tes Actual
(tanggal)]]&lt;&gt;"","Sudah","Belum")</f>
        <v>Belum</v>
      </c>
      <c r="GV366" s="330"/>
      <c r="GW366" s="330"/>
      <c r="GX366" s="331"/>
      <c r="GY366" s="344" t="str">
        <f>IF(Table1[[#This Row],[Interkoneksi Actual
(tanggal)]]&lt;&gt;"","Sudah","Belum")</f>
        <v>Belum</v>
      </c>
      <c r="GZ366" s="330"/>
      <c r="HA366" s="330"/>
      <c r="HB366" s="331"/>
      <c r="HC366" s="344" t="str">
        <f>IF(Table1[[#This Row],[Flushing Actual
(tanggal)]]&lt;&gt;"","Sudah","Belum")</f>
        <v>Belum</v>
      </c>
      <c r="HD366" s="331">
        <v>46169</v>
      </c>
      <c r="HE366" s="331">
        <v>46263</v>
      </c>
      <c r="HF366" s="331">
        <v>46174</v>
      </c>
      <c r="HG366" s="352"/>
      <c r="HH36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6" s="330"/>
      <c r="HJ366" s="330"/>
      <c r="HK366" s="331"/>
      <c r="HL366" s="331"/>
      <c r="HM366" s="331">
        <v>46191</v>
      </c>
      <c r="HN366" s="331">
        <v>46191</v>
      </c>
      <c r="HO366" s="330">
        <v>46280</v>
      </c>
      <c r="HP366" s="331"/>
      <c r="HQ36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66" s="331">
        <v>46199</v>
      </c>
      <c r="HS366" s="331"/>
      <c r="HT366" s="331">
        <v>46199</v>
      </c>
      <c r="HU366" s="420"/>
      <c r="HV366" s="395"/>
      <c r="HW36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66" s="47"/>
      <c r="HY366" s="352"/>
      <c r="HZ366" s="352"/>
      <c r="IA366" s="72"/>
      <c r="IB366" s="618">
        <f>IFERROR(ROUND((Table1[[#This Row],[PLAN TC
finish]]-Table1[[#This Row],[PLAN MC-0
start]])/30,2),"")</f>
        <v>3.73</v>
      </c>
      <c r="IC366">
        <f>DATEDIF(Table1[[#This Row],[PLAN MC-0
start]],Table1[[#This Row],[PLAN TC
finish]],"m")</f>
        <v>3</v>
      </c>
      <c r="ID366" s="6"/>
      <c r="IE366" s="6"/>
      <c r="IF366" s="72"/>
      <c r="IH366" s="6"/>
      <c r="II366" s="4"/>
      <c r="IJ366" s="4"/>
      <c r="IK366" s="6"/>
      <c r="IL366" s="6"/>
      <c r="IM366" s="6"/>
      <c r="IN366" s="6"/>
      <c r="IO366" s="6"/>
      <c r="IQ366" s="6"/>
      <c r="IR366" s="6"/>
      <c r="IS366" s="6"/>
      <c r="IT366" s="6"/>
      <c r="IW366" s="6"/>
      <c r="IX366" s="6"/>
      <c r="IZ366" s="6"/>
      <c r="JA366" s="6"/>
    </row>
    <row r="367" spans="2:261" ht="15" hidden="1" customHeight="1" x14ac:dyDescent="0.2">
      <c r="B367" s="311">
        <f>SUBTOTAL(3,$D$5:D367)</f>
        <v>84</v>
      </c>
      <c r="C367" s="316">
        <v>363</v>
      </c>
      <c r="D367" s="315" t="s">
        <v>244</v>
      </c>
      <c r="E367" s="315" t="s">
        <v>2909</v>
      </c>
      <c r="F367" s="338" t="s">
        <v>2910</v>
      </c>
      <c r="G367" s="349">
        <v>46300</v>
      </c>
      <c r="H367" s="338" t="s">
        <v>247</v>
      </c>
      <c r="I367" s="338" t="s">
        <v>278</v>
      </c>
      <c r="J367" s="480"/>
      <c r="K367" s="338"/>
      <c r="L367" s="316"/>
      <c r="M367" s="355" t="s">
        <v>269</v>
      </c>
      <c r="N367" s="507">
        <v>24864</v>
      </c>
      <c r="O367" s="31" t="s">
        <v>252</v>
      </c>
      <c r="P36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6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7" s="35">
        <v>0.9793062626879403</v>
      </c>
      <c r="S367" s="327">
        <v>0.9793062626879403</v>
      </c>
      <c r="T367" s="152">
        <f>Table1[[#This Row],[Progres Total Aktual
(%)]]</f>
        <v>6.6179284251258227E-2</v>
      </c>
      <c r="U367" s="121">
        <f>Table1[[#This Row],[Progres Aktual
(%)]]-Table1[[#This Row],[Target Progres
(%)]]</f>
        <v>-0.91312697843668211</v>
      </c>
      <c r="V367" s="80">
        <f>Table1[[#This Row],["Volume
BA MC-0"]]</f>
        <v>24266.7</v>
      </c>
      <c r="W367" s="80">
        <f>Table1[[#This Row],[Total Panjang Pipa Aktual
(Sum-&gt;)3]]</f>
        <v>0</v>
      </c>
      <c r="X367" s="117"/>
      <c r="Y367" s="508" t="s">
        <v>2911</v>
      </c>
      <c r="Z367" s="67">
        <v>48103364397</v>
      </c>
      <c r="AA367" s="509">
        <f>ROUND((Table1[[#This Row],[Nilai RAB Jaringan
(Exclude Ppn)]]-Table1[[#This Row],[RAB Perizinan]])*1.11+Table1[[#This Row],[RAB Perizinan]],0)</f>
        <v>48103364396</v>
      </c>
      <c r="AB367" s="436">
        <f>SUM(Table1[[#This Row],[RAB Kegiatan Umum]:[RAB Perizinan]])</f>
        <v>43364257744.226624</v>
      </c>
      <c r="AC367" s="436">
        <v>2842354566.2024202</v>
      </c>
      <c r="AD367" s="436">
        <v>28423545662.0242</v>
      </c>
      <c r="AE367" s="436">
        <v>11816887516</v>
      </c>
      <c r="AF367" s="436">
        <v>281470000</v>
      </c>
      <c r="AG367" s="436"/>
      <c r="AH367" s="510">
        <f>SUM(Table1[[#This Row],[Bobot Keg Umum]:[Bobot Perizinan]])</f>
        <v>0.99999999999999989</v>
      </c>
      <c r="AI367" s="510">
        <f>Table1[[#This Row],[RAB Kegiatan Umum]]/Table1[[#This Row],[Nilai RAB Jaringan
(Exclude Ppn)]]</f>
        <v>6.5546021402403509E-2</v>
      </c>
      <c r="AJ367" s="510">
        <f>Table1[[#This Row],[RAB Pemasangan]]/Table1[[#This Row],[Nilai RAB Jaringan
(Exclude Ppn)]]</f>
        <v>0.65546021402403498</v>
      </c>
      <c r="AK367" s="129">
        <f>Table1[[#This Row],[RAB Pengadaan]]/Table1[[#This Row],[Nilai RAB Jaringan
(Exclude Ppn)]]</f>
        <v>0.27250293515223978</v>
      </c>
      <c r="AL367" s="130">
        <f>Table1[[#This Row],[RAB Perizinan]]/Table1[[#This Row],[Nilai RAB Jaringan
(Exclude Ppn)]]</f>
        <v>6.4908294213216183E-3</v>
      </c>
      <c r="AM367" s="47"/>
      <c r="AN367" s="285">
        <v>24266.7</v>
      </c>
      <c r="AO367" s="285">
        <f>SUM(Table1[[#This Row],[Pipa 63 mm]:[Pipa 1,800 mm]])</f>
        <v>23284.7</v>
      </c>
      <c r="AP367" s="285">
        <v>12584</v>
      </c>
      <c r="AQ367" s="285">
        <v>2884.2</v>
      </c>
      <c r="AR367" s="285">
        <v>1951.4</v>
      </c>
      <c r="AS367" s="285">
        <v>2629.1</v>
      </c>
      <c r="AT367" s="285">
        <v>1304.3</v>
      </c>
      <c r="AU367" s="285">
        <v>1931.7</v>
      </c>
      <c r="AV367" s="285"/>
      <c r="AW367" s="285"/>
      <c r="AX367" s="285"/>
      <c r="AY367" s="285"/>
      <c r="AZ367" s="285"/>
      <c r="BA367" s="285"/>
      <c r="BB367" s="285"/>
      <c r="BC367" s="285"/>
      <c r="BD367" s="285"/>
      <c r="BE367" s="285"/>
      <c r="BF367" s="285"/>
      <c r="BG367" s="285"/>
      <c r="BH367" s="285"/>
      <c r="BI367" s="285"/>
      <c r="BJ367" s="36">
        <f>SUM(Table1[[#This Row],[Pipa 63 mm2]:[Pipa 1,800 mm21]])</f>
        <v>0</v>
      </c>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f>IF((Table1[[#This Row],["Volume
BA MC-0"]]-Table1[[#This Row],[Total Panjang Pipa Aktual
(Sum-&gt;)3]]-Table1[[#This Row],[Total Volume
tidak dapat dipasang]])&gt;=0,Table1[[#This Row],["Volume
BA MC-0"]]-Table1[[#This Row],[Total Panjang Pipa Aktual
(Sum-&gt;)3]]-Table1[[#This Row],[Total Volume
tidak dapat dipasang]],0)</f>
        <v>24266.7</v>
      </c>
      <c r="CK367" s="47"/>
      <c r="CL367" s="131"/>
      <c r="CM367" s="337"/>
      <c r="CN367" s="131"/>
      <c r="CO367" s="131"/>
      <c r="CP36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6.6179284251258227E-2</v>
      </c>
      <c r="CQ367" s="436">
        <f>IFERROR(Table1[[#This Row],[Progres Keg. Umum
(%)]]*Table1[[#This Row],[Nilai RAB Jaringan
(file pa aji)]],0)</f>
        <v>0</v>
      </c>
      <c r="CR367" s="436">
        <f>IFERROR(Table1[[#This Row],[Progres MOS
(%)]]*Table1[[#This Row],[Nilai RAB Jaringan
(file pa aji)]],0)</f>
        <v>0</v>
      </c>
      <c r="CS367" s="436">
        <f>IFERROR(Table1[[#This Row],[Progres Pemasangan
(%)]]*Table1[[#This Row],[Nilai RAB Jaringan
(file pa aji)]],0)</f>
        <v>0</v>
      </c>
      <c r="CT367" s="436">
        <f>IFERROR(Table1[[#This Row],[Progres Perizinan
(%)]]*Table1[[#This Row],[Nilai RAB Jaringan
(file pa aji)]],0)</f>
        <v>0</v>
      </c>
      <c r="CU367" s="329">
        <v>0</v>
      </c>
      <c r="CV367" s="329">
        <v>0</v>
      </c>
      <c r="CW367" s="511">
        <v>0</v>
      </c>
      <c r="CX367" s="329">
        <v>0</v>
      </c>
      <c r="CY367" s="47"/>
      <c r="CZ367" s="331">
        <v>45929</v>
      </c>
      <c r="DA367" s="331">
        <v>45956</v>
      </c>
      <c r="DB367" s="331">
        <v>45964</v>
      </c>
      <c r="DC367" s="316" t="s">
        <v>2912</v>
      </c>
      <c r="DD367" s="508">
        <v>48103364396</v>
      </c>
      <c r="DE36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67" s="331">
        <v>45992</v>
      </c>
      <c r="DG367" s="316" t="s">
        <v>2913</v>
      </c>
      <c r="DH367" s="508">
        <v>48103364396</v>
      </c>
      <c r="DI36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7" s="331">
        <v>45957</v>
      </c>
      <c r="DK367" s="331">
        <v>46019</v>
      </c>
      <c r="DL367" s="331">
        <v>46049</v>
      </c>
      <c r="DM367" s="316" t="s">
        <v>2914</v>
      </c>
      <c r="DN36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7" s="331">
        <v>46087</v>
      </c>
      <c r="DP367" s="316"/>
      <c r="DQ367" s="338" t="s">
        <v>560</v>
      </c>
      <c r="DR36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7" s="331">
        <v>45957</v>
      </c>
      <c r="DT367" s="331">
        <v>46164</v>
      </c>
      <c r="DU367" s="331">
        <v>45998</v>
      </c>
      <c r="DV367" s="331">
        <v>46178</v>
      </c>
      <c r="DW367" s="331">
        <v>46049</v>
      </c>
      <c r="DX367" s="316" t="s">
        <v>2915</v>
      </c>
      <c r="DY367" s="334">
        <v>210</v>
      </c>
      <c r="DZ367" s="334">
        <v>210</v>
      </c>
      <c r="EA36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7" s="331"/>
      <c r="EC367" s="334">
        <v>194</v>
      </c>
      <c r="ED367" s="334">
        <v>194</v>
      </c>
      <c r="EE367" s="118"/>
      <c r="EF367" s="337">
        <v>0.92380952380952386</v>
      </c>
      <c r="EG367" s="337">
        <f>Table1[[#This Row],[Line PO]]/Table1[[#This Row],[Line PR]]</f>
        <v>0.92380952380952386</v>
      </c>
      <c r="EH367" s="316" t="str">
        <f>IF(Table1[[#This Row],[PO Material Aktual 
(%)]]&gt;=100%,"Selesai PO = 100%",IF(Table1[[#This Row],[PO Material Aktual 
(%)]]&gt;=50%,"Proses PO &gt; 100%",IF(Table1[[#This Row],[PO Material Aktual 
(%)]]&gt;0%,"Proses PO &gt; 50%",IF(Table1[[#This Row],[PO Material Aktual 
(%)]]=0,"Belum PO = 0%"))))</f>
        <v>Proses PO &gt; 100%</v>
      </c>
      <c r="EI36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7" s="331">
        <v>45999</v>
      </c>
      <c r="EK367" s="331">
        <v>46178</v>
      </c>
      <c r="EL367" s="331">
        <v>46110</v>
      </c>
      <c r="EM367" s="331">
        <v>46203</v>
      </c>
      <c r="EN367" s="331"/>
      <c r="EO367" s="332">
        <v>85</v>
      </c>
      <c r="EP367" s="332">
        <v>85</v>
      </c>
      <c r="EQ367" s="337">
        <v>0.40476190476190477</v>
      </c>
      <c r="ER367" s="337">
        <f>Table1[[#This Row],[Line MOS (kolom bantu)]]/Table1[[#This Row],[Line PR]]</f>
        <v>0.40476190476190477</v>
      </c>
      <c r="ES367" s="316" t="str">
        <f>IF(Table1[[#This Row],[Progres MOS]]&gt;=100%,"Selesai MOS = 100%",IF(Table1[[#This Row],[Progres MOS]]&gt;=50%,"Proses MOS &gt; 100%",IF(Table1[[#This Row],[Progres MOS]]&gt;0%,"Proses MOS &gt; 50%",IF(Table1[[#This Row],[Progres MOS]]=0,"Belum MOS = 0%"))))</f>
        <v>Proses MOS &gt; 50%</v>
      </c>
      <c r="ET36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7" s="47"/>
      <c r="EV367" s="331">
        <v>45957</v>
      </c>
      <c r="EW367" s="331">
        <v>46148</v>
      </c>
      <c r="EX367" s="331">
        <v>46047</v>
      </c>
      <c r="EY367" s="331">
        <v>46178</v>
      </c>
      <c r="EZ367" s="352" t="s">
        <v>2748</v>
      </c>
      <c r="FA367" s="409" t="s">
        <v>2748</v>
      </c>
      <c r="FB367" s="330"/>
      <c r="FC367" s="330">
        <v>46000</v>
      </c>
      <c r="FD367" s="330" t="s">
        <v>260</v>
      </c>
      <c r="FE367" s="330">
        <v>46052</v>
      </c>
      <c r="FF367" s="330"/>
      <c r="FG367" s="330"/>
      <c r="FH367" s="330"/>
      <c r="FI367" s="330"/>
      <c r="FJ367" s="330"/>
      <c r="FK367" s="330"/>
      <c r="FL367" s="336" t="s">
        <v>2806</v>
      </c>
      <c r="FM367" s="352"/>
      <c r="FN367" s="338" t="str">
        <f>IF(Table1[[#This Row],[Tanggal Pengajuan Dokumen]]="","",Table1[[#This Row],[PLAN PERMIT
start]]-Table1[[#This Row],[Tanggal Pengajuan Dokumen]])</f>
        <v/>
      </c>
      <c r="FO367" s="352"/>
      <c r="FP367" s="316"/>
      <c r="FQ367" s="338"/>
      <c r="FR367" s="331"/>
      <c r="FS367" s="338"/>
      <c r="FT36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7" s="344">
        <f ca="1">IF(Table1[[#This Row],[Status Izin]]="Selesai",Table1[[#This Row],[PLAN PERMIT
finish]]-Table1[[#This Row],[Tanggal Terbit/ Target Izin Terbit]],ROUNDUP(Table1[[#This Row],[PLAN PERMIT
finish]]-NOW(),0))</f>
        <v>-144</v>
      </c>
      <c r="FV36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7" s="344"/>
      <c r="FX367" s="47"/>
      <c r="FY367" s="513">
        <v>46006</v>
      </c>
      <c r="FZ367" s="513">
        <v>45967</v>
      </c>
      <c r="GA36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67" s="331">
        <v>46020</v>
      </c>
      <c r="GC367" s="352">
        <v>46113</v>
      </c>
      <c r="GD36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7" s="331">
        <v>46027</v>
      </c>
      <c r="GF367" s="352">
        <v>46113</v>
      </c>
      <c r="GG36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7" s="331">
        <v>46034</v>
      </c>
      <c r="GI367" s="331">
        <v>46040</v>
      </c>
      <c r="GJ367" s="352">
        <v>46125</v>
      </c>
      <c r="GK36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7" s="331">
        <v>46048</v>
      </c>
      <c r="GM367" s="331">
        <v>46206</v>
      </c>
      <c r="GN367" s="331">
        <v>46166</v>
      </c>
      <c r="GO367" s="330">
        <v>46275</v>
      </c>
      <c r="GP367" s="316"/>
      <c r="GQ36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7" s="331"/>
      <c r="GS367" s="331"/>
      <c r="GT367" s="354"/>
      <c r="GU367" s="344" t="str">
        <f>IF(Table1[[#This Row],[Hydro Tes Actual
(tanggal)]]&lt;&gt;"","Sudah","Belum")</f>
        <v>Belum</v>
      </c>
      <c r="GV367" s="330"/>
      <c r="GW367" s="330"/>
      <c r="GX367" s="331"/>
      <c r="GY367" s="344" t="str">
        <f>IF(Table1[[#This Row],[Interkoneksi Actual
(tanggal)]]&lt;&gt;"","Sudah","Belum")</f>
        <v>Belum</v>
      </c>
      <c r="GZ367" s="330"/>
      <c r="HA367" s="330"/>
      <c r="HB367" s="331"/>
      <c r="HC367" s="344" t="str">
        <f>IF(Table1[[#This Row],[Flushing Actual
(tanggal)]]&lt;&gt;"","Sudah","Belum")</f>
        <v>Belum</v>
      </c>
      <c r="HD367" s="331">
        <v>46169</v>
      </c>
      <c r="HE367" s="331">
        <v>46276</v>
      </c>
      <c r="HF367" s="331">
        <v>46174</v>
      </c>
      <c r="HG367" s="352"/>
      <c r="HH36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7" s="330"/>
      <c r="HJ367" s="330"/>
      <c r="HK367" s="331"/>
      <c r="HL367" s="331"/>
      <c r="HM367" s="331">
        <v>46191</v>
      </c>
      <c r="HN367" s="331">
        <v>46191</v>
      </c>
      <c r="HO367" s="330">
        <v>46293</v>
      </c>
      <c r="HP367" s="331"/>
      <c r="HQ36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67" s="331">
        <v>46199</v>
      </c>
      <c r="HS367" s="331"/>
      <c r="HT367" s="331">
        <v>46199</v>
      </c>
      <c r="HU367" s="420"/>
      <c r="HV367" s="395"/>
      <c r="HW367"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67" s="47"/>
      <c r="HY367" s="352"/>
      <c r="HZ367" s="352"/>
      <c r="IA367" s="72"/>
      <c r="IB367" s="618">
        <f>IFERROR(ROUND((Table1[[#This Row],[PLAN TC
finish]]-Table1[[#This Row],[PLAN MC-0
start]])/30,2),"")</f>
        <v>4.67</v>
      </c>
      <c r="IC367">
        <f>DATEDIF(Table1[[#This Row],[PLAN MC-0
start]],Table1[[#This Row],[PLAN TC
finish]],"m")</f>
        <v>4</v>
      </c>
      <c r="ID367" s="6"/>
      <c r="IE367" s="6"/>
      <c r="IF367" s="72"/>
      <c r="IH367" s="6"/>
      <c r="II367" s="4"/>
      <c r="IJ367" s="4"/>
      <c r="IK367" s="6"/>
      <c r="IL367" s="6"/>
      <c r="IM367" s="6"/>
      <c r="IN367" s="6"/>
      <c r="IO367" s="6"/>
      <c r="IQ367" s="6"/>
      <c r="IR367" s="6"/>
      <c r="IS367" s="6"/>
      <c r="IT367" s="6"/>
      <c r="IW367" s="6"/>
      <c r="IX367" s="6"/>
      <c r="IZ367" s="6"/>
      <c r="JA367" s="6"/>
    </row>
    <row r="368" spans="2:261" ht="15" hidden="1" customHeight="1" x14ac:dyDescent="0.2">
      <c r="B368" s="311">
        <f>SUBTOTAL(3,$D$5:D368)</f>
        <v>84</v>
      </c>
      <c r="C368" s="316">
        <v>364</v>
      </c>
      <c r="D368" s="315" t="s">
        <v>244</v>
      </c>
      <c r="E368" s="315" t="s">
        <v>2916</v>
      </c>
      <c r="F368" s="338" t="s">
        <v>2917</v>
      </c>
      <c r="G368" s="349">
        <v>46300</v>
      </c>
      <c r="H368" s="338" t="s">
        <v>247</v>
      </c>
      <c r="I368" s="338" t="s">
        <v>278</v>
      </c>
      <c r="J368" s="518"/>
      <c r="K368" s="461"/>
      <c r="L368" s="334"/>
      <c r="M368" s="355" t="s">
        <v>269</v>
      </c>
      <c r="N368" s="507">
        <v>23765</v>
      </c>
      <c r="O368" s="31" t="s">
        <v>252</v>
      </c>
      <c r="P368"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6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8" s="35">
        <v>0.97887162573386333</v>
      </c>
      <c r="S368" s="327">
        <v>0.97887162573386333</v>
      </c>
      <c r="T368" s="153">
        <f>Table1[[#This Row],[Progres Total Aktual
(%)]]</f>
        <v>4.9887258871529006E-2</v>
      </c>
      <c r="U368" s="122">
        <f>Table1[[#This Row],[Progres Aktual
(%)]]-Table1[[#This Row],[Target Progres
(%)]]</f>
        <v>-0.92898436686233432</v>
      </c>
      <c r="V368" s="119">
        <f>Table1[[#This Row],["Volume
BA MC-0"]]</f>
        <v>22594.799999999999</v>
      </c>
      <c r="W368" s="119">
        <f>Table1[[#This Row],[Total Panjang Pipa Aktual
(Sum-&gt;)3]]</f>
        <v>0</v>
      </c>
      <c r="X368" s="120"/>
      <c r="Y368" s="508" t="s">
        <v>2918</v>
      </c>
      <c r="Z368" s="67">
        <v>71310108897</v>
      </c>
      <c r="AA368" s="519">
        <f>ROUND((Table1[[#This Row],[Nilai RAB Jaringan
(Exclude Ppn)]]-Table1[[#This Row],[RAB Perizinan]])*1.11+Table1[[#This Row],[RAB Perizinan]],0)</f>
        <v>71310108898</v>
      </c>
      <c r="AB368" s="465">
        <f>SUM(Table1[[#This Row],[RAB Kegiatan Umum]:[RAB Perizinan]])</f>
        <v>64275680635.685699</v>
      </c>
      <c r="AC368" s="465">
        <v>2911966329</v>
      </c>
      <c r="AD368" s="465">
        <v>36399579100.685699</v>
      </c>
      <c r="AE368" s="465">
        <v>24637802406</v>
      </c>
      <c r="AF368" s="465">
        <v>326332800</v>
      </c>
      <c r="AG368" s="465"/>
      <c r="AH368" s="520">
        <f>SUM(Table1[[#This Row],[Bobot Keg Umum]:[Bobot Perizinan]])</f>
        <v>1</v>
      </c>
      <c r="AI368" s="520">
        <f>Table1[[#This Row],[RAB Kegiatan Umum]]/Table1[[#This Row],[Nilai RAB Jaringan
(Exclude Ppn)]]</f>
        <v>4.5304325060437918E-2</v>
      </c>
      <c r="AJ368" s="520">
        <f>Table1[[#This Row],[RAB Pemasangan]]/Table1[[#This Row],[Nilai RAB Jaringan
(Exclude Ppn)]]</f>
        <v>0.56630406307166736</v>
      </c>
      <c r="AK368" s="521">
        <f>Table1[[#This Row],[RAB Pengadaan]]/Table1[[#This Row],[Nilai RAB Jaringan
(Exclude Ppn)]]</f>
        <v>0.38331453144225675</v>
      </c>
      <c r="AL368" s="522">
        <f>Table1[[#This Row],[RAB Perizinan]]/Table1[[#This Row],[Nilai RAB Jaringan
(Exclude Ppn)]]</f>
        <v>5.0770804256380104E-3</v>
      </c>
      <c r="AM368" s="47"/>
      <c r="AN368" s="470">
        <v>22594.799999999999</v>
      </c>
      <c r="AO368" s="470">
        <f>SUM(Table1[[#This Row],[Pipa 63 mm]:[Pipa 1,800 mm]])</f>
        <v>22594.799999999999</v>
      </c>
      <c r="AP368" s="470">
        <v>9903.1</v>
      </c>
      <c r="AQ368" s="470">
        <v>2730.8</v>
      </c>
      <c r="AR368" s="470">
        <v>2231.3000000000002</v>
      </c>
      <c r="AS368" s="470">
        <v>1348.8</v>
      </c>
      <c r="AT368" s="470">
        <v>2196.6</v>
      </c>
      <c r="AU368" s="470">
        <v>237.4</v>
      </c>
      <c r="AV368" s="470"/>
      <c r="AW368" s="470"/>
      <c r="AX368" s="470">
        <v>3121.8</v>
      </c>
      <c r="AY368" s="470"/>
      <c r="AZ368" s="470">
        <v>825</v>
      </c>
      <c r="BA368" s="470"/>
      <c r="BB368" s="470"/>
      <c r="BC368" s="470"/>
      <c r="BD368" s="470"/>
      <c r="BE368" s="470"/>
      <c r="BF368" s="470"/>
      <c r="BG368" s="470"/>
      <c r="BH368" s="470"/>
      <c r="BI368" s="470"/>
      <c r="BJ368" s="523">
        <f>SUM(Table1[[#This Row],[Pipa 63 mm2]:[Pipa 1,800 mm21]])</f>
        <v>0</v>
      </c>
      <c r="BK368" s="471"/>
      <c r="BL368" s="471"/>
      <c r="BM368" s="471"/>
      <c r="BN368" s="471"/>
      <c r="BO368" s="471"/>
      <c r="BP368" s="471"/>
      <c r="BQ368" s="471"/>
      <c r="BR368" s="471"/>
      <c r="BS368" s="471"/>
      <c r="BT368" s="471"/>
      <c r="BU368" s="471"/>
      <c r="BV368" s="471"/>
      <c r="BW368" s="471"/>
      <c r="BX368" s="471"/>
      <c r="BY368" s="471"/>
      <c r="BZ368" s="471"/>
      <c r="CA368" s="471"/>
      <c r="CB368" s="471"/>
      <c r="CC368" s="471"/>
      <c r="CD368" s="471"/>
      <c r="CE368" s="471"/>
      <c r="CF368" s="471"/>
      <c r="CG368" s="471"/>
      <c r="CH368" s="471"/>
      <c r="CI368" s="471"/>
      <c r="CJ368" s="471">
        <f>IF((Table1[[#This Row],["Volume
BA MC-0"]]-Table1[[#This Row],[Total Panjang Pipa Aktual
(Sum-&gt;)3]]-Table1[[#This Row],[Total Volume
tidak dapat dipasang]])&gt;=0,Table1[[#This Row],["Volume
BA MC-0"]]-Table1[[#This Row],[Total Panjang Pipa Aktual
(Sum-&gt;)3]]-Table1[[#This Row],[Total Volume
tidak dapat dipasang]],0)</f>
        <v>22594.799999999999</v>
      </c>
      <c r="CK368" s="47"/>
      <c r="CL368" s="472"/>
      <c r="CM368" s="475"/>
      <c r="CN368" s="472"/>
      <c r="CO368" s="472"/>
      <c r="CP36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4.9887258871529006E-2</v>
      </c>
      <c r="CQ368" s="465">
        <f>IFERROR(Table1[[#This Row],[Progres Keg. Umum
(%)]]*Table1[[#This Row],[Nilai RAB Jaringan
(file pa aji)]],0)</f>
        <v>0</v>
      </c>
      <c r="CR368" s="465">
        <f>IFERROR(Table1[[#This Row],[Progres MOS
(%)]]*Table1[[#This Row],[Nilai RAB Jaringan
(file pa aji)]],0)</f>
        <v>0</v>
      </c>
      <c r="CS368" s="465">
        <f>IFERROR(Table1[[#This Row],[Progres Pemasangan
(%)]]*Table1[[#This Row],[Nilai RAB Jaringan
(file pa aji)]],0)</f>
        <v>0</v>
      </c>
      <c r="CT368" s="465">
        <f>IFERROR(Table1[[#This Row],[Progres Perizinan
(%)]]*Table1[[#This Row],[Nilai RAB Jaringan
(file pa aji)]],0)</f>
        <v>0</v>
      </c>
      <c r="CU368" s="329">
        <v>0</v>
      </c>
      <c r="CV368" s="329">
        <v>0</v>
      </c>
      <c r="CW368" s="524">
        <v>0</v>
      </c>
      <c r="CX368" s="329">
        <v>0</v>
      </c>
      <c r="CY368" s="47"/>
      <c r="CZ368" s="331">
        <v>45929</v>
      </c>
      <c r="DA368" s="331">
        <v>45956</v>
      </c>
      <c r="DB368" s="420">
        <v>45965</v>
      </c>
      <c r="DC368" s="334" t="s">
        <v>2919</v>
      </c>
      <c r="DD368" s="525">
        <v>71310108898</v>
      </c>
      <c r="DE36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68" s="420">
        <v>45986</v>
      </c>
      <c r="DG368" s="334" t="s">
        <v>2920</v>
      </c>
      <c r="DH368" s="525">
        <v>71310108898</v>
      </c>
      <c r="DI368"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8" s="331">
        <v>45957</v>
      </c>
      <c r="DK368" s="331">
        <v>46019</v>
      </c>
      <c r="DL368" s="331">
        <v>46052</v>
      </c>
      <c r="DM368" s="316" t="s">
        <v>2921</v>
      </c>
      <c r="DN36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8" s="331">
        <v>46084</v>
      </c>
      <c r="DP368" s="334"/>
      <c r="DQ368" s="461" t="s">
        <v>2922</v>
      </c>
      <c r="DR36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8" s="331">
        <v>45957</v>
      </c>
      <c r="DT368" s="331">
        <v>46164</v>
      </c>
      <c r="DU368" s="331">
        <v>45998</v>
      </c>
      <c r="DV368" s="331">
        <v>46178</v>
      </c>
      <c r="DW368" s="331">
        <v>46052</v>
      </c>
      <c r="DX368" s="316" t="s">
        <v>2923</v>
      </c>
      <c r="DY368" s="334">
        <v>272</v>
      </c>
      <c r="DZ368" s="334">
        <v>272</v>
      </c>
      <c r="EA36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8" s="420"/>
      <c r="EC368" s="335">
        <v>242</v>
      </c>
      <c r="ED368" s="335">
        <v>242</v>
      </c>
      <c r="EE368" s="526"/>
      <c r="EF368" s="475">
        <v>0.88970588235294112</v>
      </c>
      <c r="EG368" s="337">
        <f>Table1[[#This Row],[Line PO]]/Table1[[#This Row],[Line PR]]</f>
        <v>0.88970588235294112</v>
      </c>
      <c r="EH368" s="316" t="str">
        <f>IF(Table1[[#This Row],[PO Material Aktual 
(%)]]&gt;=100%,"Selesai PO = 100%",IF(Table1[[#This Row],[PO Material Aktual 
(%)]]&gt;=50%,"Proses PO &gt; 100%",IF(Table1[[#This Row],[PO Material Aktual 
(%)]]&gt;0%,"Proses PO &gt; 50%",IF(Table1[[#This Row],[PO Material Aktual 
(%)]]=0,"Belum PO = 0%"))))</f>
        <v>Proses PO &gt; 100%</v>
      </c>
      <c r="EI36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8" s="331">
        <v>45999</v>
      </c>
      <c r="EK368" s="331">
        <v>46178</v>
      </c>
      <c r="EL368" s="331">
        <v>46110</v>
      </c>
      <c r="EM368" s="420">
        <v>46203</v>
      </c>
      <c r="EN368" s="420"/>
      <c r="EO368" s="332">
        <v>59</v>
      </c>
      <c r="EP368" s="332">
        <v>59</v>
      </c>
      <c r="EQ368" s="337">
        <v>0.21691176470588236</v>
      </c>
      <c r="ER368" s="337">
        <f>Table1[[#This Row],[Line MOS (kolom bantu)]]/Table1[[#This Row],[Line PR]]</f>
        <v>0.21691176470588236</v>
      </c>
      <c r="ES368" s="316" t="str">
        <f>IF(Table1[[#This Row],[Progres MOS]]&gt;=100%,"Selesai MOS = 100%",IF(Table1[[#This Row],[Progres MOS]]&gt;=50%,"Proses MOS &gt; 100%",IF(Table1[[#This Row],[Progres MOS]]&gt;0%,"Proses MOS &gt; 50%",IF(Table1[[#This Row],[Progres MOS]]=0,"Belum MOS = 0%"))))</f>
        <v>Proses MOS &gt; 50%</v>
      </c>
      <c r="ET36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8" s="47"/>
      <c r="EV368" s="331">
        <v>45957</v>
      </c>
      <c r="EW368" s="331">
        <v>46148</v>
      </c>
      <c r="EX368" s="331">
        <v>46047</v>
      </c>
      <c r="EY368" s="420">
        <v>46178</v>
      </c>
      <c r="EZ368" s="477" t="s">
        <v>1592</v>
      </c>
      <c r="FA368" s="409" t="s">
        <v>1592</v>
      </c>
      <c r="FB368" s="527"/>
      <c r="FC368" s="330">
        <v>46000</v>
      </c>
      <c r="FD368" s="527" t="s">
        <v>260</v>
      </c>
      <c r="FE368" s="527">
        <v>46079</v>
      </c>
      <c r="FF368" s="527"/>
      <c r="FG368" s="527"/>
      <c r="FH368" s="527"/>
      <c r="FI368" s="527"/>
      <c r="FJ368" s="527"/>
      <c r="FK368" s="527"/>
      <c r="FL368" s="336" t="s">
        <v>2806</v>
      </c>
      <c r="FM368" s="477"/>
      <c r="FN368" s="461" t="str">
        <f>IF(Table1[[#This Row],[Tanggal Pengajuan Dokumen]]="","",Table1[[#This Row],[PLAN PERMIT
start]]-Table1[[#This Row],[Tanggal Pengajuan Dokumen]])</f>
        <v/>
      </c>
      <c r="FO368" s="477"/>
      <c r="FP368" s="334"/>
      <c r="FQ368" s="461"/>
      <c r="FR368" s="420"/>
      <c r="FS368" s="461"/>
      <c r="FT368"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8" s="476">
        <f ca="1">IF(Table1[[#This Row],[Status Izin]]="Selesai",Table1[[#This Row],[PLAN PERMIT
finish]]-Table1[[#This Row],[Tanggal Terbit/ Target Izin Terbit]],ROUNDUP(Table1[[#This Row],[PLAN PERMIT
finish]]-NOW(),0))</f>
        <v>-144</v>
      </c>
      <c r="FV368"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8" s="476"/>
      <c r="FX368" s="47"/>
      <c r="FY368" s="513">
        <v>46006</v>
      </c>
      <c r="FZ368" s="513">
        <v>45967</v>
      </c>
      <c r="GA36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68" s="331">
        <v>46020</v>
      </c>
      <c r="GC368" s="477">
        <v>46113</v>
      </c>
      <c r="GD368"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8" s="331">
        <v>46027</v>
      </c>
      <c r="GF368" s="477">
        <v>46113</v>
      </c>
      <c r="GG368"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8" s="331">
        <v>46034</v>
      </c>
      <c r="GI368" s="331">
        <v>46040</v>
      </c>
      <c r="GJ368" s="477">
        <v>46126</v>
      </c>
      <c r="GK368"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8" s="331">
        <v>46048</v>
      </c>
      <c r="GM368" s="331">
        <v>46206</v>
      </c>
      <c r="GN368" s="331">
        <v>46166</v>
      </c>
      <c r="GO368" s="330">
        <v>46275</v>
      </c>
      <c r="GP368" s="334"/>
      <c r="GQ368"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8" s="420"/>
      <c r="GS368" s="420"/>
      <c r="GT368" s="419">
        <v>46163</v>
      </c>
      <c r="GU368" s="476" t="str">
        <f>IF(Table1[[#This Row],[Hydro Tes Actual
(tanggal)]]&lt;&gt;"","Sudah","Belum")</f>
        <v>Sudah</v>
      </c>
      <c r="GV368" s="527"/>
      <c r="GW368" s="527"/>
      <c r="GX368" s="420"/>
      <c r="GY368" s="476" t="str">
        <f>IF(Table1[[#This Row],[Interkoneksi Actual
(tanggal)]]&lt;&gt;"","Sudah","Belum")</f>
        <v>Belum</v>
      </c>
      <c r="GZ368" s="527"/>
      <c r="HA368" s="527"/>
      <c r="HB368" s="420"/>
      <c r="HC368" s="476" t="str">
        <f>IF(Table1[[#This Row],[Flushing Actual
(tanggal)]]&lt;&gt;"","Sudah","Belum")</f>
        <v>Belum</v>
      </c>
      <c r="HD368" s="331">
        <v>46169</v>
      </c>
      <c r="HE368" s="331">
        <v>46276</v>
      </c>
      <c r="HF368" s="331">
        <v>46174</v>
      </c>
      <c r="HG368" s="477"/>
      <c r="HH368"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8" s="527"/>
      <c r="HJ368" s="527"/>
      <c r="HK368" s="420"/>
      <c r="HL368" s="420"/>
      <c r="HM368" s="331">
        <v>46191</v>
      </c>
      <c r="HN368" s="331">
        <v>46191</v>
      </c>
      <c r="HO368" s="330">
        <v>46293</v>
      </c>
      <c r="HP368" s="420"/>
      <c r="HQ368"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68" s="331">
        <v>46199</v>
      </c>
      <c r="HS368" s="331"/>
      <c r="HT368" s="331">
        <v>46199</v>
      </c>
      <c r="HU368" s="420"/>
      <c r="HV368" s="347"/>
      <c r="HW368"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68" s="47"/>
      <c r="HY368" s="477"/>
      <c r="HZ368" s="477"/>
      <c r="IA368" s="72"/>
      <c r="IB368" s="618">
        <f>IFERROR(ROUND((Table1[[#This Row],[PLAN TC
finish]]-Table1[[#This Row],[PLAN MC-0
start]])/30,2),"")</f>
        <v>4.67</v>
      </c>
      <c r="IC368">
        <f>DATEDIF(Table1[[#This Row],[PLAN MC-0
start]],Table1[[#This Row],[PLAN TC
finish]],"m")</f>
        <v>4</v>
      </c>
      <c r="ID368" s="6"/>
      <c r="IE368" s="6"/>
      <c r="IF368" s="72"/>
      <c r="IH368" s="6"/>
      <c r="II368" s="4"/>
      <c r="IJ368" s="4"/>
      <c r="IK368" s="6"/>
      <c r="IL368" s="6"/>
      <c r="IM368" s="6"/>
      <c r="IN368" s="6"/>
      <c r="IO368" s="6"/>
      <c r="IQ368" s="6"/>
      <c r="IR368" s="6"/>
      <c r="IS368" s="6"/>
      <c r="IT368" s="6"/>
      <c r="IW368" s="6"/>
      <c r="IX368" s="6"/>
      <c r="IZ368" s="6"/>
      <c r="JA368" s="6"/>
    </row>
    <row r="369" spans="2:261" ht="15" hidden="1" customHeight="1" x14ac:dyDescent="0.2">
      <c r="B369" s="311">
        <f>SUBTOTAL(3,$D$5:D369)</f>
        <v>84</v>
      </c>
      <c r="C369" s="316">
        <v>365</v>
      </c>
      <c r="D369" s="315" t="s">
        <v>244</v>
      </c>
      <c r="E369" s="338" t="s">
        <v>2924</v>
      </c>
      <c r="F369" s="338" t="s">
        <v>2925</v>
      </c>
      <c r="G369" s="349">
        <v>46300</v>
      </c>
      <c r="H369" s="338" t="s">
        <v>681</v>
      </c>
      <c r="I369" s="338" t="s">
        <v>278</v>
      </c>
      <c r="J369" s="480"/>
      <c r="K369" s="338"/>
      <c r="L369" s="316"/>
      <c r="M369" s="355" t="s">
        <v>269</v>
      </c>
      <c r="N369" s="507">
        <v>88</v>
      </c>
      <c r="O369" s="507" t="s">
        <v>252</v>
      </c>
      <c r="P36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9" s="35">
        <v>1.0000000000000002</v>
      </c>
      <c r="S369" s="327">
        <v>1.0000000000000002</v>
      </c>
      <c r="T369" s="152">
        <f>Table1[[#This Row],[Progres Total Aktual
(%)]]</f>
        <v>6.4387339111755884E-2</v>
      </c>
      <c r="U369" s="121">
        <f>Table1[[#This Row],[Progres Aktual
(%)]]-Table1[[#This Row],[Target Progres
(%)]]</f>
        <v>-0.93561266088824435</v>
      </c>
      <c r="V369" s="80">
        <f>Table1[[#This Row],["Volume
BA MC-0"]]</f>
        <v>0</v>
      </c>
      <c r="W369" s="80">
        <f>Table1[[#This Row],[Total Panjang Pipa Aktual
(Sum-&gt;)3]]</f>
        <v>0</v>
      </c>
      <c r="X369" s="117"/>
      <c r="Y369" s="67" t="s">
        <v>2926</v>
      </c>
      <c r="Z369" s="67">
        <v>149392990</v>
      </c>
      <c r="AA369" s="509">
        <f>ROUND((Table1[[#This Row],[Nilai RAB Jaringan
(Exclude Ppn)]]-Table1[[#This Row],[RAB Perizinan]])*1.11+Table1[[#This Row],[RAB Perizinan]],0)</f>
        <v>149392990</v>
      </c>
      <c r="AB369" s="436">
        <f>SUM(Table1[[#This Row],[RAB Kegiatan Umum]:[RAB Perizinan]])</f>
        <v>134675486.19999999</v>
      </c>
      <c r="AC369" s="436">
        <v>9535530.1999999993</v>
      </c>
      <c r="AD369" s="436">
        <v>95355302</v>
      </c>
      <c r="AE369" s="436">
        <v>28904654</v>
      </c>
      <c r="AF369" s="436">
        <v>880000</v>
      </c>
      <c r="AG369" s="436"/>
      <c r="AH369" s="510">
        <f>SUM(Table1[[#This Row],[Bobot Keg Umum]:[Bobot Perizinan]])</f>
        <v>1</v>
      </c>
      <c r="AI369" s="510">
        <f>Table1[[#This Row],[RAB Kegiatan Umum]]/Table1[[#This Row],[Nilai RAB Jaringan
(Exclude Ppn)]]</f>
        <v>7.080375552414378E-2</v>
      </c>
      <c r="AJ369" s="510">
        <f>Table1[[#This Row],[RAB Pemasangan]]/Table1[[#This Row],[Nilai RAB Jaringan
(Exclude Ppn)]]</f>
        <v>0.70803755524143785</v>
      </c>
      <c r="AK369" s="129">
        <f>Table1[[#This Row],[RAB Pengadaan]]/Table1[[#This Row],[Nilai RAB Jaringan
(Exclude Ppn)]]</f>
        <v>0.21462446370585297</v>
      </c>
      <c r="AL369" s="130">
        <f>Table1[[#This Row],[RAB Perizinan]]/Table1[[#This Row],[Nilai RAB Jaringan
(Exclude Ppn)]]</f>
        <v>6.5342255285654209E-3</v>
      </c>
      <c r="AM369" s="47"/>
      <c r="AN369" s="285"/>
      <c r="AO369" s="285">
        <f>SUM(Table1[[#This Row],[Pipa 63 mm]:[Pipa 1,800 mm]])</f>
        <v>86</v>
      </c>
      <c r="AP369" s="285">
        <v>86</v>
      </c>
      <c r="AQ369" s="285"/>
      <c r="AR369" s="285"/>
      <c r="AS369" s="285"/>
      <c r="AT369" s="285"/>
      <c r="AU369" s="285"/>
      <c r="AV369" s="285"/>
      <c r="AW369" s="285"/>
      <c r="AX369" s="285"/>
      <c r="AY369" s="285"/>
      <c r="AZ369" s="285"/>
      <c r="BA369" s="285"/>
      <c r="BB369" s="285"/>
      <c r="BC369" s="285"/>
      <c r="BD369" s="285"/>
      <c r="BE369" s="285"/>
      <c r="BF369" s="285"/>
      <c r="BG369" s="285"/>
      <c r="BH369" s="285"/>
      <c r="BI369" s="285"/>
      <c r="BJ369" s="36">
        <f>SUM(Table1[[#This Row],[Pipa 63 mm2]:[Pipa 1,800 mm21]])</f>
        <v>0</v>
      </c>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f>IF((Table1[[#This Row],["Volume
BA MC-0"]]-Table1[[#This Row],[Total Panjang Pipa Aktual
(Sum-&gt;)3]]-Table1[[#This Row],[Total Volume
tidak dapat dipasang]])&gt;=0,Table1[[#This Row],["Volume
BA MC-0"]]-Table1[[#This Row],[Total Panjang Pipa Aktual
(Sum-&gt;)3]]-Table1[[#This Row],[Total Volume
tidak dapat dipasang]],0)</f>
        <v>0</v>
      </c>
      <c r="CK369" s="47"/>
      <c r="CL369" s="131"/>
      <c r="CM369" s="337"/>
      <c r="CN369" s="131"/>
      <c r="CO369" s="131"/>
      <c r="CP36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6.4387339111755884E-2</v>
      </c>
      <c r="CQ369" s="436">
        <f>IFERROR(Table1[[#This Row],[Progres Keg. Umum
(%)]]*Table1[[#This Row],[Nilai RAB Jaringan
(file pa aji)]],0)</f>
        <v>0</v>
      </c>
      <c r="CR369" s="436">
        <f>IFERROR(Table1[[#This Row],[Progres MOS
(%)]]*Table1[[#This Row],[Nilai RAB Jaringan
(file pa aji)]],0)</f>
        <v>0</v>
      </c>
      <c r="CS369" s="436">
        <f>IFERROR(Table1[[#This Row],[Progres Pemasangan
(%)]]*Table1[[#This Row],[Nilai RAB Jaringan
(file pa aji)]],0)</f>
        <v>0</v>
      </c>
      <c r="CT369" s="436">
        <f>IFERROR(Table1[[#This Row],[Progres Perizinan
(%)]]*Table1[[#This Row],[Nilai RAB Jaringan
(file pa aji)]],0)</f>
        <v>0</v>
      </c>
      <c r="CU369" s="329">
        <v>0</v>
      </c>
      <c r="CV369" s="329">
        <v>0</v>
      </c>
      <c r="CW369" s="511">
        <v>0</v>
      </c>
      <c r="CX369" s="329">
        <v>0</v>
      </c>
      <c r="CY369" s="47"/>
      <c r="CZ369" s="331">
        <v>45957</v>
      </c>
      <c r="DA369" s="331">
        <v>45984</v>
      </c>
      <c r="DB369" s="331">
        <v>45966</v>
      </c>
      <c r="DC369" s="316" t="s">
        <v>2927</v>
      </c>
      <c r="DD369" s="508">
        <v>149392990</v>
      </c>
      <c r="DE36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9" s="331">
        <v>45987</v>
      </c>
      <c r="DG369" s="316" t="s">
        <v>2928</v>
      </c>
      <c r="DH369" s="508">
        <v>149392990</v>
      </c>
      <c r="DI36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9" s="331">
        <v>45985</v>
      </c>
      <c r="DK369" s="331">
        <v>46047</v>
      </c>
      <c r="DL369" s="331">
        <v>46042</v>
      </c>
      <c r="DM369" s="316" t="s">
        <v>2929</v>
      </c>
      <c r="DN36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9" s="331">
        <v>46091</v>
      </c>
      <c r="DP369" s="316" t="s">
        <v>2930</v>
      </c>
      <c r="DQ369" s="338" t="s">
        <v>479</v>
      </c>
      <c r="DR36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9" s="331">
        <v>45985</v>
      </c>
      <c r="DT369" s="331">
        <v>46164</v>
      </c>
      <c r="DU369" s="331">
        <v>46026</v>
      </c>
      <c r="DV369" s="331">
        <v>46178</v>
      </c>
      <c r="DW369" s="331">
        <v>46042</v>
      </c>
      <c r="DX369" s="316" t="s">
        <v>2931</v>
      </c>
      <c r="DY369" s="334">
        <v>16</v>
      </c>
      <c r="DZ369" s="334">
        <v>16</v>
      </c>
      <c r="EA36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9" s="331"/>
      <c r="EC369" s="332">
        <v>13</v>
      </c>
      <c r="ED369" s="332">
        <v>13</v>
      </c>
      <c r="EE369" s="118"/>
      <c r="EF369" s="337">
        <v>0.8125</v>
      </c>
      <c r="EG369" s="337">
        <f>Table1[[#This Row],[Line PO]]/Table1[[#This Row],[Line PR]]</f>
        <v>0.8125</v>
      </c>
      <c r="EH369" s="316" t="str">
        <f>IF(Table1[[#This Row],[PO Material Aktual 
(%)]]&gt;=100%,"Selesai PO = 100%",IF(Table1[[#This Row],[PO Material Aktual 
(%)]]&gt;=50%,"Proses PO &gt; 100%",IF(Table1[[#This Row],[PO Material Aktual 
(%)]]&gt;0%,"Proses PO &gt; 50%",IF(Table1[[#This Row],[PO Material Aktual 
(%)]]=0,"Belum PO = 0%"))))</f>
        <v>Proses PO &gt; 100%</v>
      </c>
      <c r="EI36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9" s="331">
        <v>46027</v>
      </c>
      <c r="EK369" s="331">
        <v>46178</v>
      </c>
      <c r="EL369" s="331">
        <v>46103</v>
      </c>
      <c r="EM369" s="331">
        <v>46183</v>
      </c>
      <c r="EN369" s="331"/>
      <c r="EO369" s="332">
        <v>8</v>
      </c>
      <c r="EP369" s="332">
        <v>8</v>
      </c>
      <c r="EQ369" s="337">
        <v>0.5</v>
      </c>
      <c r="ER369" s="337">
        <f>Table1[[#This Row],[Line MOS (kolom bantu)]]/Table1[[#This Row],[Line PR]]</f>
        <v>0.5</v>
      </c>
      <c r="ES369" s="316" t="str">
        <f>IF(Table1[[#This Row],[Progres MOS]]&gt;=100%,"Selesai MOS = 100%",IF(Table1[[#This Row],[Progres MOS]]&gt;=50%,"Proses MOS &gt; 100%",IF(Table1[[#This Row],[Progres MOS]]&gt;0%,"Proses MOS &gt; 50%",IF(Table1[[#This Row],[Progres MOS]]=0,"Belum MOS = 0%"))))</f>
        <v>Proses MOS &gt; 100%</v>
      </c>
      <c r="ET36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9" s="47"/>
      <c r="EV369" s="331">
        <v>45985</v>
      </c>
      <c r="EW369" s="331">
        <v>46156</v>
      </c>
      <c r="EX369" s="331">
        <v>46075</v>
      </c>
      <c r="EY369" s="331">
        <v>46186</v>
      </c>
      <c r="EZ369" s="352" t="s">
        <v>2748</v>
      </c>
      <c r="FA369" s="409" t="s">
        <v>2748</v>
      </c>
      <c r="FB369" s="330"/>
      <c r="FC369" s="330">
        <v>46036</v>
      </c>
      <c r="FD369" s="330" t="s">
        <v>260</v>
      </c>
      <c r="FE369" s="330"/>
      <c r="FF369" s="330"/>
      <c r="FG369" s="330"/>
      <c r="FH369" s="330"/>
      <c r="FI369" s="330"/>
      <c r="FJ369" s="330"/>
      <c r="FK369" s="330"/>
      <c r="FL369" s="336" t="s">
        <v>2806</v>
      </c>
      <c r="FM369" s="352"/>
      <c r="FN369" s="338" t="str">
        <f>IF(Table1[[#This Row],[Tanggal Pengajuan Dokumen]]="","",Table1[[#This Row],[PLAN PERMIT
start]]-Table1[[#This Row],[Tanggal Pengajuan Dokumen]])</f>
        <v/>
      </c>
      <c r="FO369" s="352"/>
      <c r="FP369" s="316"/>
      <c r="FQ369" s="338"/>
      <c r="FR369" s="331"/>
      <c r="FS369" s="338"/>
      <c r="FT36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9" s="344">
        <f ca="1">IF(Table1[[#This Row],[Status Izin]]="Selesai",Table1[[#This Row],[PLAN PERMIT
finish]]-Table1[[#This Row],[Tanggal Terbit/ Target Izin Terbit]],ROUNDUP(Table1[[#This Row],[PLAN PERMIT
finish]]-NOW(),0))</f>
        <v>-116</v>
      </c>
      <c r="FV36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9" s="344"/>
      <c r="FX369" s="47"/>
      <c r="FY369" s="513">
        <v>46034</v>
      </c>
      <c r="FZ369" s="513">
        <v>46049</v>
      </c>
      <c r="GA36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9" s="331">
        <v>46048</v>
      </c>
      <c r="GC369" s="352">
        <v>46141</v>
      </c>
      <c r="GD36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9" s="331">
        <v>46055</v>
      </c>
      <c r="GF369" s="352">
        <v>46141</v>
      </c>
      <c r="GG36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9" s="331">
        <v>46062</v>
      </c>
      <c r="GI369" s="331">
        <v>46068</v>
      </c>
      <c r="GJ369" s="352">
        <v>46150</v>
      </c>
      <c r="GK36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9" s="331">
        <v>46076</v>
      </c>
      <c r="GM369" s="331">
        <v>46193</v>
      </c>
      <c r="GN369" s="331">
        <v>46103</v>
      </c>
      <c r="GO369" s="330">
        <v>46241</v>
      </c>
      <c r="GP369" s="316"/>
      <c r="GQ36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9" s="331"/>
      <c r="GS369" s="331"/>
      <c r="GT369" s="354"/>
      <c r="GU369" s="344" t="str">
        <f>IF(Table1[[#This Row],[Hydro Tes Actual
(tanggal)]]&lt;&gt;"","Sudah","Belum")</f>
        <v>Belum</v>
      </c>
      <c r="GV369" s="330"/>
      <c r="GW369" s="330"/>
      <c r="GX369" s="331"/>
      <c r="GY369" s="344" t="str">
        <f>IF(Table1[[#This Row],[Interkoneksi Actual
(tanggal)]]&lt;&gt;"","Sudah","Belum")</f>
        <v>Belum</v>
      </c>
      <c r="GZ369" s="330"/>
      <c r="HA369" s="330"/>
      <c r="HB369" s="331"/>
      <c r="HC369" s="344" t="str">
        <f>IF(Table1[[#This Row],[Flushing Actual
(tanggal)]]&lt;&gt;"","Sudah","Belum")</f>
        <v>Belum</v>
      </c>
      <c r="HD369" s="331">
        <v>46106</v>
      </c>
      <c r="HE369" s="331">
        <v>46242</v>
      </c>
      <c r="HF369" s="331">
        <v>46111</v>
      </c>
      <c r="HG369" s="352"/>
      <c r="HH36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9" s="330"/>
      <c r="HJ369" s="330"/>
      <c r="HK369" s="331"/>
      <c r="HL369" s="331"/>
      <c r="HM369" s="331">
        <v>46128</v>
      </c>
      <c r="HN369" s="331">
        <v>46128</v>
      </c>
      <c r="HO369" s="330">
        <v>46259</v>
      </c>
      <c r="HP369" s="331"/>
      <c r="HQ36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69" s="331">
        <v>46136</v>
      </c>
      <c r="HS369" s="331"/>
      <c r="HT369" s="331">
        <v>46136</v>
      </c>
      <c r="HU369" s="420"/>
      <c r="HV369" s="395"/>
      <c r="HW369"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69" s="47"/>
      <c r="HY369" s="352"/>
      <c r="HZ369" s="352"/>
      <c r="IA369" s="72"/>
      <c r="IB369" s="618">
        <f>IFERROR(ROUND((Table1[[#This Row],[PLAN TC
finish]]-Table1[[#This Row],[PLAN MC-0
start]])/30,2),"")</f>
        <v>1.63</v>
      </c>
      <c r="IC369">
        <f>DATEDIF(Table1[[#This Row],[PLAN MC-0
start]],Table1[[#This Row],[PLAN TC
finish]],"m")</f>
        <v>1</v>
      </c>
      <c r="ID369" s="6"/>
      <c r="IE369" s="6"/>
      <c r="IF369" s="72"/>
      <c r="IH369" s="6"/>
      <c r="II369" s="4"/>
      <c r="IJ369" s="4"/>
      <c r="IK369" s="6"/>
      <c r="IL369" s="6"/>
      <c r="IM369" s="6"/>
      <c r="IN369" s="6"/>
      <c r="IO369" s="6"/>
      <c r="IQ369" s="6"/>
      <c r="IR369" s="6"/>
      <c r="IS369" s="6"/>
      <c r="IT369" s="6"/>
      <c r="IW369" s="6"/>
      <c r="IX369" s="6"/>
      <c r="IZ369" s="6"/>
      <c r="JA369" s="6"/>
    </row>
    <row r="370" spans="2:261" ht="15" hidden="1" customHeight="1" x14ac:dyDescent="0.2">
      <c r="B370" s="311">
        <f>SUBTOTAL(3,$D$5:D370)</f>
        <v>84</v>
      </c>
      <c r="C370" s="316">
        <v>366</v>
      </c>
      <c r="D370" s="315" t="s">
        <v>244</v>
      </c>
      <c r="E370" s="338" t="s">
        <v>2932</v>
      </c>
      <c r="F370" s="338" t="s">
        <v>2933</v>
      </c>
      <c r="G370" s="349">
        <v>46300</v>
      </c>
      <c r="H370" s="338" t="s">
        <v>681</v>
      </c>
      <c r="I370" s="338" t="s">
        <v>278</v>
      </c>
      <c r="J370" s="480"/>
      <c r="K370" s="338"/>
      <c r="L370" s="316"/>
      <c r="M370" s="355" t="s">
        <v>269</v>
      </c>
      <c r="N370" s="507">
        <v>904</v>
      </c>
      <c r="O370" s="507" t="s">
        <v>252</v>
      </c>
      <c r="P37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0" s="35">
        <v>1</v>
      </c>
      <c r="S370" s="327">
        <v>1</v>
      </c>
      <c r="T370" s="152">
        <f>Table1[[#This Row],[Progres Total Aktual
(%)]]</f>
        <v>4.0866486686973222E-2</v>
      </c>
      <c r="U370" s="121">
        <f>Table1[[#This Row],[Progres Aktual
(%)]]-Table1[[#This Row],[Target Progres
(%)]]</f>
        <v>-0.95913351331302676</v>
      </c>
      <c r="V370" s="80">
        <f>Table1[[#This Row],["Volume
BA MC-0"]]</f>
        <v>920</v>
      </c>
      <c r="W370" s="80">
        <f>Table1[[#This Row],[Total Panjang Pipa Aktual
(Sum-&gt;)3]]</f>
        <v>0</v>
      </c>
      <c r="X370" s="117"/>
      <c r="Y370" s="67" t="s">
        <v>2934</v>
      </c>
      <c r="Z370" s="67">
        <v>1722020292</v>
      </c>
      <c r="AA370" s="509">
        <f>ROUND((Table1[[#This Row],[Nilai RAB Jaringan
(Exclude Ppn)]]-Table1[[#This Row],[RAB Perizinan]])*1.11+Table1[[#This Row],[RAB Perizinan]],0)</f>
        <v>1722020292</v>
      </c>
      <c r="AB370" s="436">
        <f>SUM(Table1[[#This Row],[RAB Kegiatan Umum]:[RAB Perizinan]])</f>
        <v>1552265488</v>
      </c>
      <c r="AC370" s="436">
        <v>121070306</v>
      </c>
      <c r="AD370" s="436">
        <v>1210703059</v>
      </c>
      <c r="AE370" s="436">
        <v>211452123</v>
      </c>
      <c r="AF370" s="436">
        <v>9040000</v>
      </c>
      <c r="AG370" s="436"/>
      <c r="AH370" s="510">
        <f>SUM(Table1[[#This Row],[Bobot Keg Umum]:[Bobot Perizinan]])</f>
        <v>0.99999999999999989</v>
      </c>
      <c r="AI370" s="510">
        <f>Table1[[#This Row],[RAB Kegiatan Umum]]/Table1[[#This Row],[Nilai RAB Jaringan
(Exclude Ppn)]]</f>
        <v>7.7995875664279402E-2</v>
      </c>
      <c r="AJ370" s="510">
        <f>Table1[[#This Row],[RAB Pemasangan]]/Table1[[#This Row],[Nilai RAB Jaringan
(Exclude Ppn)]]</f>
        <v>0.77995875599857434</v>
      </c>
      <c r="AK370" s="129">
        <f>Table1[[#This Row],[RAB Pengadaan]]/Table1[[#This Row],[Nilai RAB Jaringan
(Exclude Ppn)]]</f>
        <v>0.13622162228991075</v>
      </c>
      <c r="AL370" s="130">
        <f>Table1[[#This Row],[RAB Perizinan]]/Table1[[#This Row],[Nilai RAB Jaringan
(Exclude Ppn)]]</f>
        <v>5.8237460472354459E-3</v>
      </c>
      <c r="AM370" s="47"/>
      <c r="AN370" s="285">
        <v>920</v>
      </c>
      <c r="AO370" s="285">
        <f>SUM(Table1[[#This Row],[Pipa 63 mm]:[Pipa 1,800 mm]])</f>
        <v>920</v>
      </c>
      <c r="AP370" s="285"/>
      <c r="AQ370" s="285"/>
      <c r="AR370" s="285">
        <v>920</v>
      </c>
      <c r="AS370" s="285"/>
      <c r="AT370" s="285"/>
      <c r="AU370" s="285"/>
      <c r="AV370" s="285"/>
      <c r="AW370" s="285"/>
      <c r="AX370" s="285"/>
      <c r="AY370" s="285"/>
      <c r="AZ370" s="285"/>
      <c r="BA370" s="285"/>
      <c r="BB370" s="285"/>
      <c r="BC370" s="285"/>
      <c r="BD370" s="285"/>
      <c r="BE370" s="285"/>
      <c r="BF370" s="285"/>
      <c r="BG370" s="285"/>
      <c r="BH370" s="285"/>
      <c r="BI370" s="285"/>
      <c r="BJ370" s="36">
        <f>SUM(Table1[[#This Row],[Pipa 63 mm2]:[Pipa 1,800 mm21]])</f>
        <v>0</v>
      </c>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f>IF((Table1[[#This Row],["Volume
BA MC-0"]]-Table1[[#This Row],[Total Panjang Pipa Aktual
(Sum-&gt;)3]]-Table1[[#This Row],[Total Volume
tidak dapat dipasang]])&gt;=0,Table1[[#This Row],["Volume
BA MC-0"]]-Table1[[#This Row],[Total Panjang Pipa Aktual
(Sum-&gt;)3]]-Table1[[#This Row],[Total Volume
tidak dapat dipasang]],0)</f>
        <v>920</v>
      </c>
      <c r="CK370" s="47"/>
      <c r="CL370" s="131"/>
      <c r="CM370" s="337"/>
      <c r="CN370" s="131"/>
      <c r="CO370" s="131"/>
      <c r="CP37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4.0866486686973222E-2</v>
      </c>
      <c r="CQ370" s="436">
        <f>IFERROR(Table1[[#This Row],[Progres Keg. Umum
(%)]]*Table1[[#This Row],[Nilai RAB Jaringan
(file pa aji)]],0)</f>
        <v>0</v>
      </c>
      <c r="CR370" s="436">
        <f>IFERROR(Table1[[#This Row],[Progres MOS
(%)]]*Table1[[#This Row],[Nilai RAB Jaringan
(file pa aji)]],0)</f>
        <v>0</v>
      </c>
      <c r="CS370" s="436">
        <f>IFERROR(Table1[[#This Row],[Progres Pemasangan
(%)]]*Table1[[#This Row],[Nilai RAB Jaringan
(file pa aji)]],0)</f>
        <v>0</v>
      </c>
      <c r="CT370" s="436">
        <f>IFERROR(Table1[[#This Row],[Progres Perizinan
(%)]]*Table1[[#This Row],[Nilai RAB Jaringan
(file pa aji)]],0)</f>
        <v>0</v>
      </c>
      <c r="CU370" s="329">
        <v>0</v>
      </c>
      <c r="CV370" s="329">
        <v>0</v>
      </c>
      <c r="CW370" s="511">
        <v>0</v>
      </c>
      <c r="CX370" s="329">
        <v>0</v>
      </c>
      <c r="CY370" s="47"/>
      <c r="CZ370" s="331">
        <v>45957</v>
      </c>
      <c r="DA370" s="331">
        <v>45984</v>
      </c>
      <c r="DB370" s="331">
        <v>45966</v>
      </c>
      <c r="DC370" s="316" t="s">
        <v>2935</v>
      </c>
      <c r="DD370" s="508">
        <v>1722020292</v>
      </c>
      <c r="DE37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0" s="331">
        <v>45986</v>
      </c>
      <c r="DG370" s="516" t="s">
        <v>2936</v>
      </c>
      <c r="DH370" s="508">
        <v>1722020292</v>
      </c>
      <c r="DI37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0" s="331">
        <v>45985</v>
      </c>
      <c r="DK370" s="331">
        <v>46047</v>
      </c>
      <c r="DL370" s="331">
        <v>46046</v>
      </c>
      <c r="DM370" s="316" t="s">
        <v>2937</v>
      </c>
      <c r="DN37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0" s="331">
        <v>46091</v>
      </c>
      <c r="DP370" s="316" t="s">
        <v>2938</v>
      </c>
      <c r="DQ370" s="338" t="s">
        <v>479</v>
      </c>
      <c r="DR37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0" s="331">
        <v>45985</v>
      </c>
      <c r="DT370" s="331">
        <v>46158</v>
      </c>
      <c r="DU370" s="331">
        <v>46026</v>
      </c>
      <c r="DV370" s="331">
        <v>46172</v>
      </c>
      <c r="DW370" s="331">
        <v>46046</v>
      </c>
      <c r="DX370" s="316" t="s">
        <v>2939</v>
      </c>
      <c r="DY370" s="334">
        <v>38</v>
      </c>
      <c r="DZ370" s="334">
        <v>38</v>
      </c>
      <c r="EA37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0" s="331"/>
      <c r="EC370" s="332">
        <v>34</v>
      </c>
      <c r="ED370" s="332">
        <v>34</v>
      </c>
      <c r="EE370" s="118"/>
      <c r="EF370" s="337">
        <v>0.89473684210526316</v>
      </c>
      <c r="EG370" s="337">
        <f>Table1[[#This Row],[Line PO]]/Table1[[#This Row],[Line PR]]</f>
        <v>0.89473684210526316</v>
      </c>
      <c r="EH370" s="316" t="str">
        <f>IF(Table1[[#This Row],[PO Material Aktual 
(%)]]&gt;=100%,"Selesai PO = 100%",IF(Table1[[#This Row],[PO Material Aktual 
(%)]]&gt;=50%,"Proses PO &gt; 100%",IF(Table1[[#This Row],[PO Material Aktual 
(%)]]&gt;0%,"Proses PO &gt; 50%",IF(Table1[[#This Row],[PO Material Aktual 
(%)]]=0,"Belum PO = 0%"))))</f>
        <v>Proses PO &gt; 100%</v>
      </c>
      <c r="EI37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0" s="331">
        <v>46027</v>
      </c>
      <c r="EK370" s="331">
        <v>46172</v>
      </c>
      <c r="EL370" s="331">
        <v>46124</v>
      </c>
      <c r="EM370" s="331">
        <v>46187</v>
      </c>
      <c r="EN370" s="331"/>
      <c r="EO370" s="332">
        <v>19</v>
      </c>
      <c r="EP370" s="332">
        <v>19</v>
      </c>
      <c r="EQ370" s="337">
        <v>0.5</v>
      </c>
      <c r="ER370" s="337">
        <f>Table1[[#This Row],[Line MOS (kolom bantu)]]/Table1[[#This Row],[Line PR]]</f>
        <v>0.5</v>
      </c>
      <c r="ES370" s="316" t="str">
        <f>IF(Table1[[#This Row],[Progres MOS]]&gt;=100%,"Selesai MOS = 100%",IF(Table1[[#This Row],[Progres MOS]]&gt;=50%,"Proses MOS &gt; 100%",IF(Table1[[#This Row],[Progres MOS]]&gt;0%,"Proses MOS &gt; 50%",IF(Table1[[#This Row],[Progres MOS]]=0,"Belum MOS = 0%"))))</f>
        <v>Proses MOS &gt; 100%</v>
      </c>
      <c r="ET37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0" s="47"/>
      <c r="EV370" s="331">
        <v>45985</v>
      </c>
      <c r="EW370" s="331">
        <v>46153</v>
      </c>
      <c r="EX370" s="331">
        <v>46075</v>
      </c>
      <c r="EY370" s="331">
        <v>46183</v>
      </c>
      <c r="EZ370" s="352" t="s">
        <v>2748</v>
      </c>
      <c r="FA370" s="409" t="s">
        <v>2748</v>
      </c>
      <c r="FB370" s="330"/>
      <c r="FC370" s="330">
        <v>46010</v>
      </c>
      <c r="FD370" s="330" t="s">
        <v>260</v>
      </c>
      <c r="FE370" s="330"/>
      <c r="FF370" s="330"/>
      <c r="FG370" s="330"/>
      <c r="FH370" s="330"/>
      <c r="FI370" s="330"/>
      <c r="FJ370" s="330"/>
      <c r="FK370" s="330"/>
      <c r="FL370" s="336" t="s">
        <v>2806</v>
      </c>
      <c r="FM370" s="352"/>
      <c r="FN370" s="338" t="str">
        <f>IF(Table1[[#This Row],[Tanggal Pengajuan Dokumen]]="","",Table1[[#This Row],[PLAN PERMIT
start]]-Table1[[#This Row],[Tanggal Pengajuan Dokumen]])</f>
        <v/>
      </c>
      <c r="FO370" s="352"/>
      <c r="FP370" s="316"/>
      <c r="FQ370" s="338"/>
      <c r="FR370" s="331"/>
      <c r="FS370" s="338"/>
      <c r="FT37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0" s="344">
        <f ca="1">IF(Table1[[#This Row],[Status Izin]]="Selesai",Table1[[#This Row],[PLAN PERMIT
finish]]-Table1[[#This Row],[Tanggal Terbit/ Target Izin Terbit]],ROUNDUP(Table1[[#This Row],[PLAN PERMIT
finish]]-NOW(),0))</f>
        <v>-116</v>
      </c>
      <c r="FV37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0" s="344"/>
      <c r="FX370" s="47"/>
      <c r="FY370" s="513">
        <v>46034</v>
      </c>
      <c r="FZ370" s="513">
        <v>46049</v>
      </c>
      <c r="GA37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0" s="331">
        <v>46048</v>
      </c>
      <c r="GC370" s="352">
        <f>Table1[[#This Row],[Tanggal Aktual Kick Off]]</f>
        <v>46112</v>
      </c>
      <c r="GD37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0" s="331">
        <v>46055</v>
      </c>
      <c r="GF370" s="352">
        <v>46112</v>
      </c>
      <c r="GG37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0" s="331">
        <v>46062</v>
      </c>
      <c r="GI370" s="331">
        <v>46068</v>
      </c>
      <c r="GJ370" s="352">
        <v>46127</v>
      </c>
      <c r="GK37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0" s="331">
        <v>46076</v>
      </c>
      <c r="GM370" s="331">
        <v>46190</v>
      </c>
      <c r="GN370" s="331">
        <v>46138</v>
      </c>
      <c r="GO370" s="330">
        <v>46273</v>
      </c>
      <c r="GP370" s="316"/>
      <c r="GQ37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0" s="331"/>
      <c r="GS370" s="331"/>
      <c r="GT370" s="354"/>
      <c r="GU370" s="344" t="str">
        <f>IF(Table1[[#This Row],[Hydro Tes Actual
(tanggal)]]&lt;&gt;"","Sudah","Belum")</f>
        <v>Belum</v>
      </c>
      <c r="GV370" s="330"/>
      <c r="GW370" s="330"/>
      <c r="GX370" s="331"/>
      <c r="GY370" s="344" t="str">
        <f>IF(Table1[[#This Row],[Interkoneksi Actual
(tanggal)]]&lt;&gt;"","Sudah","Belum")</f>
        <v>Belum</v>
      </c>
      <c r="GZ370" s="330"/>
      <c r="HA370" s="330"/>
      <c r="HB370" s="331"/>
      <c r="HC370" s="344" t="str">
        <f>IF(Table1[[#This Row],[Flushing Actual
(tanggal)]]&lt;&gt;"","Sudah","Belum")</f>
        <v>Belum</v>
      </c>
      <c r="HD370" s="331">
        <v>46141</v>
      </c>
      <c r="HE370" s="331">
        <v>46274</v>
      </c>
      <c r="HF370" s="331">
        <v>46146</v>
      </c>
      <c r="HG370" s="352"/>
      <c r="HH37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0" s="330"/>
      <c r="HJ370" s="330"/>
      <c r="HK370" s="331"/>
      <c r="HL370" s="331"/>
      <c r="HM370" s="331">
        <v>46163</v>
      </c>
      <c r="HN370" s="331">
        <v>46163</v>
      </c>
      <c r="HO370" s="330">
        <v>46291</v>
      </c>
      <c r="HP370" s="331"/>
      <c r="HQ37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70" s="331">
        <v>46171</v>
      </c>
      <c r="HS370" s="331"/>
      <c r="HT370" s="331">
        <v>46171</v>
      </c>
      <c r="HU370" s="420"/>
      <c r="HV370" s="395"/>
      <c r="HW370"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70" s="47"/>
      <c r="HY370" s="352"/>
      <c r="HZ370" s="352"/>
      <c r="IA370" s="72"/>
      <c r="IB370" s="618">
        <f>IFERROR(ROUND((Table1[[#This Row],[PLAN TC
finish]]-Table1[[#This Row],[PLAN MC-0
start]])/30,2),"")</f>
        <v>2.8</v>
      </c>
      <c r="IC370">
        <f>DATEDIF(Table1[[#This Row],[PLAN MC-0
start]],Table1[[#This Row],[PLAN TC
finish]],"m")</f>
        <v>2</v>
      </c>
      <c r="ID370" s="6"/>
      <c r="IE370" s="6"/>
      <c r="IF370" s="72"/>
      <c r="IH370" s="6"/>
      <c r="II370" s="4"/>
      <c r="IJ370" s="4"/>
      <c r="IK370" s="6"/>
      <c r="IL370" s="6"/>
      <c r="IM370" s="6"/>
      <c r="IN370" s="6"/>
      <c r="IO370" s="6"/>
      <c r="IQ370" s="6"/>
      <c r="IR370" s="6"/>
      <c r="IS370" s="6"/>
      <c r="IT370" s="6"/>
      <c r="IW370" s="6"/>
      <c r="IX370" s="6"/>
      <c r="IZ370" s="6"/>
      <c r="JA370" s="6"/>
    </row>
    <row r="371" spans="2:261" ht="15" hidden="1" customHeight="1" x14ac:dyDescent="0.2">
      <c r="B371" s="590">
        <f>SUBTOTAL(3,$D$5:D371)</f>
        <v>84</v>
      </c>
      <c r="C371" s="316">
        <v>367</v>
      </c>
      <c r="D371" s="584" t="s">
        <v>244</v>
      </c>
      <c r="E371" s="585" t="s">
        <v>2940</v>
      </c>
      <c r="F371" s="585" t="s">
        <v>2941</v>
      </c>
      <c r="G371" s="586">
        <v>46300</v>
      </c>
      <c r="H371" s="585" t="s">
        <v>681</v>
      </c>
      <c r="I371" s="338" t="s">
        <v>278</v>
      </c>
      <c r="J371" s="587"/>
      <c r="K371" s="338"/>
      <c r="L371" s="316"/>
      <c r="M371" s="355" t="s">
        <v>269</v>
      </c>
      <c r="N371" s="588">
        <v>29</v>
      </c>
      <c r="O371" s="588" t="s">
        <v>252</v>
      </c>
      <c r="P37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1" s="589" t="s">
        <v>389</v>
      </c>
      <c r="R371" s="35">
        <v>1.0000000000000002</v>
      </c>
      <c r="S371" s="327">
        <v>1.0000000000000002</v>
      </c>
      <c r="T371" s="152">
        <f>Table1[[#This Row],[Progres Total Aktual
(%)]]</f>
        <v>7.0822232078847316E-2</v>
      </c>
      <c r="U371" s="121">
        <f>Table1[[#This Row],[Progres Aktual
(%)]]-Table1[[#This Row],[Target Progres
(%)]]</f>
        <v>-0.92917776792115292</v>
      </c>
      <c r="V371" s="80">
        <f>Table1[[#This Row],["Volume
BA MC-0"]]</f>
        <v>0</v>
      </c>
      <c r="W371" s="80">
        <f>Table1[[#This Row],[Total Panjang Pipa Aktual
(Sum-&gt;)3]]</f>
        <v>0</v>
      </c>
      <c r="X371" s="117"/>
      <c r="Y371" s="67" t="s">
        <v>2942</v>
      </c>
      <c r="Z371" s="67">
        <v>57696121</v>
      </c>
      <c r="AA371" s="509">
        <f>ROUND((Table1[[#This Row],[Nilai RAB Jaringan
(Exclude Ppn)]]-Table1[[#This Row],[RAB Perizinan]])*1.11+Table1[[#This Row],[RAB Perizinan]],0)</f>
        <v>57696121</v>
      </c>
      <c r="AB371" s="436">
        <f>SUM(Table1[[#This Row],[RAB Kegiatan Umum]:[RAB Perizinan]])</f>
        <v>52007225.799999997</v>
      </c>
      <c r="AC371" s="436">
        <v>3794700.8</v>
      </c>
      <c r="AD371" s="436">
        <v>37947008</v>
      </c>
      <c r="AE371" s="436">
        <v>9975517</v>
      </c>
      <c r="AF371" s="436">
        <v>290000</v>
      </c>
      <c r="AG371" s="436"/>
      <c r="AH371" s="510">
        <f>SUM(Table1[[#This Row],[Bobot Keg Umum]:[Bobot Perizinan]])</f>
        <v>1</v>
      </c>
      <c r="AI371" s="510">
        <f>Table1[[#This Row],[RAB Kegiatan Umum]]/Table1[[#This Row],[Nilai RAB Jaringan
(Exclude Ppn)]]</f>
        <v>7.2964876353777755E-2</v>
      </c>
      <c r="AJ371" s="510">
        <f>Table1[[#This Row],[RAB Pemasangan]]/Table1[[#This Row],[Nilai RAB Jaringan
(Exclude Ppn)]]</f>
        <v>0.72964876353777752</v>
      </c>
      <c r="AK371" s="129">
        <f>Table1[[#This Row],[RAB Pengadaan]]/Table1[[#This Row],[Nilai RAB Jaringan
(Exclude Ppn)]]</f>
        <v>0.19181021188021147</v>
      </c>
      <c r="AL371" s="130">
        <f>Table1[[#This Row],[RAB Perizinan]]/Table1[[#This Row],[Nilai RAB Jaringan
(Exclude Ppn)]]</f>
        <v>5.5761482282333163E-3</v>
      </c>
      <c r="AM371" s="47"/>
      <c r="AN371" s="285"/>
      <c r="AO371" s="285">
        <f>SUM(Table1[[#This Row],[Pipa 63 mm]:[Pipa 1,800 mm]])</f>
        <v>0</v>
      </c>
      <c r="AP371" s="285"/>
      <c r="AQ371" s="285"/>
      <c r="AR371" s="285"/>
      <c r="AS371" s="285"/>
      <c r="AT371" s="285"/>
      <c r="AU371" s="285"/>
      <c r="AV371" s="285"/>
      <c r="AW371" s="285"/>
      <c r="AX371" s="285"/>
      <c r="AY371" s="285"/>
      <c r="AZ371" s="285"/>
      <c r="BA371" s="285"/>
      <c r="BB371" s="285"/>
      <c r="BC371" s="285"/>
      <c r="BD371" s="285"/>
      <c r="BE371" s="285"/>
      <c r="BF371" s="285"/>
      <c r="BG371" s="285"/>
      <c r="BH371" s="285"/>
      <c r="BI371" s="285"/>
      <c r="BJ371" s="36">
        <f>SUM(Table1[[#This Row],[Pipa 63 mm2]:[Pipa 1,800 mm21]])</f>
        <v>0</v>
      </c>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f>IF((Table1[[#This Row],["Volume
BA MC-0"]]-Table1[[#This Row],[Total Panjang Pipa Aktual
(Sum-&gt;)3]]-Table1[[#This Row],[Total Volume
tidak dapat dipasang]])&gt;=0,Table1[[#This Row],["Volume
BA MC-0"]]-Table1[[#This Row],[Total Panjang Pipa Aktual
(Sum-&gt;)3]]-Table1[[#This Row],[Total Volume
tidak dapat dipasang]],0)</f>
        <v>0</v>
      </c>
      <c r="CK371" s="47"/>
      <c r="CL371" s="131"/>
      <c r="CM371" s="337"/>
      <c r="CN371" s="131"/>
      <c r="CO371" s="131"/>
      <c r="CP37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7.0822232078847316E-2</v>
      </c>
      <c r="CQ371" s="436">
        <f>IFERROR(Table1[[#This Row],[Progres Keg. Umum
(%)]]*Table1[[#This Row],[Nilai RAB Jaringan
(file pa aji)]],0)</f>
        <v>0</v>
      </c>
      <c r="CR371" s="436">
        <f>IFERROR(Table1[[#This Row],[Progres MOS
(%)]]*Table1[[#This Row],[Nilai RAB Jaringan
(file pa aji)]],0)</f>
        <v>0</v>
      </c>
      <c r="CS371" s="436">
        <f>IFERROR(Table1[[#This Row],[Progres Pemasangan
(%)]]*Table1[[#This Row],[Nilai RAB Jaringan
(file pa aji)]],0)</f>
        <v>0</v>
      </c>
      <c r="CT371" s="436">
        <f>IFERROR(Table1[[#This Row],[Progres Perizinan
(%)]]*Table1[[#This Row],[Nilai RAB Jaringan
(file pa aji)]],0)</f>
        <v>0</v>
      </c>
      <c r="CU371" s="329">
        <v>0</v>
      </c>
      <c r="CV371" s="329">
        <v>0</v>
      </c>
      <c r="CW371" s="511">
        <v>0</v>
      </c>
      <c r="CX371" s="329">
        <v>0</v>
      </c>
      <c r="CY371" s="47"/>
      <c r="CZ371" s="331">
        <v>45957</v>
      </c>
      <c r="DA371" s="331">
        <v>45984</v>
      </c>
      <c r="DB371" s="331">
        <v>45966</v>
      </c>
      <c r="DC371" s="316" t="s">
        <v>2943</v>
      </c>
      <c r="DD371" s="508">
        <v>57696121</v>
      </c>
      <c r="DE37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1" s="331">
        <v>45987</v>
      </c>
      <c r="DG371" s="316" t="s">
        <v>2944</v>
      </c>
      <c r="DH371" s="508">
        <v>57696121</v>
      </c>
      <c r="DI37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1" s="331">
        <v>45985</v>
      </c>
      <c r="DK371" s="331">
        <v>46047</v>
      </c>
      <c r="DL371" s="331">
        <v>46042</v>
      </c>
      <c r="DM371" s="316" t="s">
        <v>2945</v>
      </c>
      <c r="DN37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1" s="331">
        <v>46091</v>
      </c>
      <c r="DP371" s="316" t="s">
        <v>2946</v>
      </c>
      <c r="DQ371" s="338" t="s">
        <v>479</v>
      </c>
      <c r="DR37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1" s="331">
        <v>45985</v>
      </c>
      <c r="DT371" s="331">
        <v>0</v>
      </c>
      <c r="DU371" s="331">
        <v>46026</v>
      </c>
      <c r="DV371" s="331">
        <v>0</v>
      </c>
      <c r="DW371" s="331">
        <v>46042</v>
      </c>
      <c r="DX371" s="316" t="s">
        <v>2947</v>
      </c>
      <c r="DY371" s="334">
        <v>13</v>
      </c>
      <c r="DZ371" s="334">
        <v>13</v>
      </c>
      <c r="EA37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1" s="331"/>
      <c r="EC371" s="332">
        <v>11</v>
      </c>
      <c r="ED371" s="332">
        <v>11</v>
      </c>
      <c r="EE371" s="118"/>
      <c r="EF371" s="337">
        <v>0.84615384615384615</v>
      </c>
      <c r="EG371" s="337">
        <f>Table1[[#This Row],[Line PO]]/Table1[[#This Row],[Line PR]]</f>
        <v>0.84615384615384615</v>
      </c>
      <c r="EH371" s="316" t="str">
        <f>IF(Table1[[#This Row],[PO Material Aktual 
(%)]]&gt;=100%,"Selesai PO = 100%",IF(Table1[[#This Row],[PO Material Aktual 
(%)]]&gt;=50%,"Proses PO &gt; 100%",IF(Table1[[#This Row],[PO Material Aktual 
(%)]]&gt;0%,"Proses PO &gt; 50%",IF(Table1[[#This Row],[PO Material Aktual 
(%)]]=0,"Belum PO = 0%"))))</f>
        <v>Proses PO &gt; 100%</v>
      </c>
      <c r="EI37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1" s="331">
        <v>46027</v>
      </c>
      <c r="EK371" s="331">
        <v>0</v>
      </c>
      <c r="EL371" s="331">
        <v>46103</v>
      </c>
      <c r="EM371" s="331">
        <v>0</v>
      </c>
      <c r="EN371" s="331"/>
      <c r="EO371" s="332">
        <v>8</v>
      </c>
      <c r="EP371" s="332">
        <v>8</v>
      </c>
      <c r="EQ371" s="337">
        <v>0.61538461538461542</v>
      </c>
      <c r="ER371" s="337">
        <f>Table1[[#This Row],[Line MOS (kolom bantu)]]/Table1[[#This Row],[Line PR]]</f>
        <v>0.61538461538461542</v>
      </c>
      <c r="ES371" s="316" t="str">
        <f>IF(Table1[[#This Row],[Progres MOS]]&gt;=100%,"Selesai MOS = 100%",IF(Table1[[#This Row],[Progres MOS]]&gt;=50%,"Proses MOS &gt; 100%",IF(Table1[[#This Row],[Progres MOS]]&gt;0%,"Proses MOS &gt; 50%",IF(Table1[[#This Row],[Progres MOS]]=0,"Belum MOS = 0%"))))</f>
        <v>Proses MOS &gt; 100%</v>
      </c>
      <c r="ET37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1" s="47"/>
      <c r="EV371" s="331">
        <v>45985</v>
      </c>
      <c r="EW371" s="331">
        <v>0</v>
      </c>
      <c r="EX371" s="331">
        <v>46075</v>
      </c>
      <c r="EY371" s="331">
        <v>0</v>
      </c>
      <c r="EZ371" s="352" t="s">
        <v>2748</v>
      </c>
      <c r="FA371" s="409" t="s">
        <v>2748</v>
      </c>
      <c r="FB371" s="330"/>
      <c r="FC371" s="330">
        <v>46010</v>
      </c>
      <c r="FD371" s="330" t="s">
        <v>260</v>
      </c>
      <c r="FE371" s="330"/>
      <c r="FF371" s="330"/>
      <c r="FG371" s="330"/>
      <c r="FH371" s="330"/>
      <c r="FI371" s="330"/>
      <c r="FJ371" s="330"/>
      <c r="FK371" s="330"/>
      <c r="FL371" s="336" t="s">
        <v>2806</v>
      </c>
      <c r="FM371" s="352"/>
      <c r="FN371" s="338" t="str">
        <f>IF(Table1[[#This Row],[Tanggal Pengajuan Dokumen]]="","",Table1[[#This Row],[PLAN PERMIT
start]]-Table1[[#This Row],[Tanggal Pengajuan Dokumen]])</f>
        <v/>
      </c>
      <c r="FO371" s="352"/>
      <c r="FP371" s="316"/>
      <c r="FQ371" s="338"/>
      <c r="FR371" s="331"/>
      <c r="FS371" s="338"/>
      <c r="FT37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1" s="344">
        <f ca="1">IF(Table1[[#This Row],[Status Izin]]="Selesai",Table1[[#This Row],[PLAN PERMIT
finish]]-Table1[[#This Row],[Tanggal Terbit/ Target Izin Terbit]],ROUNDUP(Table1[[#This Row],[PLAN PERMIT
finish]]-NOW(),0))</f>
        <v>-116</v>
      </c>
      <c r="FV37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1" s="344"/>
      <c r="FX371" s="47"/>
      <c r="FY371" s="513">
        <v>46034</v>
      </c>
      <c r="FZ371" s="513">
        <v>46049</v>
      </c>
      <c r="GA37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1" s="331">
        <v>46048</v>
      </c>
      <c r="GC371" s="352">
        <v>46141</v>
      </c>
      <c r="GD37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1" s="331">
        <v>46055</v>
      </c>
      <c r="GF371" s="352">
        <v>46141</v>
      </c>
      <c r="GG37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1" s="331">
        <v>46062</v>
      </c>
      <c r="GI371" s="331">
        <v>46068</v>
      </c>
      <c r="GJ371" s="352">
        <v>46146</v>
      </c>
      <c r="GK37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1" s="331">
        <v>46076</v>
      </c>
      <c r="GM371" s="331">
        <v>0</v>
      </c>
      <c r="GN371" s="331">
        <v>46103</v>
      </c>
      <c r="GO371" s="330">
        <v>0</v>
      </c>
      <c r="GP371" s="316"/>
      <c r="GQ37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1" s="331"/>
      <c r="GS371" s="331"/>
      <c r="GT371" s="354"/>
      <c r="GU371" s="344" t="str">
        <f>IF(Table1[[#This Row],[Hydro Tes Actual
(tanggal)]]&lt;&gt;"","Sudah","Belum")</f>
        <v>Belum</v>
      </c>
      <c r="GV371" s="330"/>
      <c r="GW371" s="330"/>
      <c r="GX371" s="331"/>
      <c r="GY371" s="344" t="str">
        <f>IF(Table1[[#This Row],[Interkoneksi Actual
(tanggal)]]&lt;&gt;"","Sudah","Belum")</f>
        <v>Belum</v>
      </c>
      <c r="GZ371" s="330"/>
      <c r="HA371" s="330"/>
      <c r="HB371" s="331"/>
      <c r="HC371" s="344" t="str">
        <f>IF(Table1[[#This Row],[Flushing Actual
(tanggal)]]&lt;&gt;"","Sudah","Belum")</f>
        <v>Belum</v>
      </c>
      <c r="HD371" s="331">
        <v>46106</v>
      </c>
      <c r="HE371" s="331">
        <v>0</v>
      </c>
      <c r="HF371" s="331">
        <v>46111</v>
      </c>
      <c r="HG371" s="352"/>
      <c r="HH37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1" s="330"/>
      <c r="HJ371" s="330"/>
      <c r="HK371" s="331"/>
      <c r="HL371" s="331"/>
      <c r="HM371" s="331">
        <v>46128</v>
      </c>
      <c r="HN371" s="331">
        <v>46128</v>
      </c>
      <c r="HO371" s="330">
        <v>0</v>
      </c>
      <c r="HP371" s="331"/>
      <c r="HQ37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71" s="331">
        <v>46136</v>
      </c>
      <c r="HS371" s="331"/>
      <c r="HT371" s="331">
        <v>46136</v>
      </c>
      <c r="HU371" s="420"/>
      <c r="HV371" s="395"/>
      <c r="HW371"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71" s="47"/>
      <c r="HY371" s="352"/>
      <c r="HZ371" s="352"/>
      <c r="IA371" s="72"/>
      <c r="IB371" s="618">
        <f>IFERROR(ROUND((Table1[[#This Row],[PLAN TC
finish]]-Table1[[#This Row],[PLAN MC-0
start]])/30,2),"")</f>
        <v>1.63</v>
      </c>
      <c r="IC371">
        <f>DATEDIF(Table1[[#This Row],[PLAN MC-0
start]],Table1[[#This Row],[PLAN TC
finish]],"m")</f>
        <v>1</v>
      </c>
      <c r="ID371" s="6"/>
      <c r="IE371" s="6"/>
      <c r="IF371" s="72"/>
      <c r="IH371" s="6"/>
      <c r="II371" s="4"/>
      <c r="IJ371" s="4"/>
      <c r="IK371" s="6"/>
      <c r="IL371" s="6"/>
      <c r="IM371" s="6"/>
      <c r="IN371" s="6"/>
      <c r="IO371" s="6"/>
      <c r="IQ371" s="6"/>
      <c r="IR371" s="6"/>
      <c r="IS371" s="6"/>
      <c r="IT371" s="6"/>
      <c r="IW371" s="6"/>
      <c r="IX371" s="6"/>
      <c r="IZ371" s="6"/>
      <c r="JA371" s="6"/>
    </row>
    <row r="372" spans="2:261" ht="15" hidden="1" customHeight="1" x14ac:dyDescent="0.2">
      <c r="B372" s="311">
        <f>SUBTOTAL(3,$D$5:D372)</f>
        <v>84</v>
      </c>
      <c r="C372" s="316">
        <v>368</v>
      </c>
      <c r="D372" s="315" t="s">
        <v>244</v>
      </c>
      <c r="E372" s="338" t="s">
        <v>2948</v>
      </c>
      <c r="F372" s="338" t="s">
        <v>2949</v>
      </c>
      <c r="G372" s="349">
        <v>46300</v>
      </c>
      <c r="H372" s="338" t="s">
        <v>681</v>
      </c>
      <c r="I372" s="338" t="s">
        <v>278</v>
      </c>
      <c r="J372" s="480"/>
      <c r="K372" s="338"/>
      <c r="L372" s="316"/>
      <c r="M372" s="355" t="s">
        <v>269</v>
      </c>
      <c r="N372" s="507">
        <v>55</v>
      </c>
      <c r="O372" s="507" t="s">
        <v>252</v>
      </c>
      <c r="P37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2" s="35">
        <v>1</v>
      </c>
      <c r="S372" s="327">
        <v>1</v>
      </c>
      <c r="T372" s="152">
        <f>Table1[[#This Row],[Progres Total Aktual
(%)]]</f>
        <v>6.4639055083658359E-2</v>
      </c>
      <c r="U372" s="121">
        <f>Table1[[#This Row],[Progres Aktual
(%)]]-Table1[[#This Row],[Target Progres
(%)]]</f>
        <v>-0.93536094491634159</v>
      </c>
      <c r="V372" s="80">
        <f>Table1[[#This Row],["Volume
BA MC-0"]]</f>
        <v>0</v>
      </c>
      <c r="W372" s="80">
        <f>Table1[[#This Row],[Total Panjang Pipa Aktual
(Sum-&gt;)3]]</f>
        <v>0</v>
      </c>
      <c r="X372" s="117"/>
      <c r="Y372" s="67" t="s">
        <v>2950</v>
      </c>
      <c r="Z372" s="67">
        <v>134399396</v>
      </c>
      <c r="AA372" s="509">
        <f>ROUND((Table1[[#This Row],[Nilai RAB Jaringan
(Exclude Ppn)]]-Table1[[#This Row],[RAB Perizinan]])*1.11+Table1[[#This Row],[RAB Perizinan]],0)</f>
        <v>134058202</v>
      </c>
      <c r="AB372" s="436">
        <f>SUM(Table1[[#This Row],[RAB Kegiatan Umum]:[RAB Perizinan]])</f>
        <v>120793847</v>
      </c>
      <c r="AC372" s="436">
        <v>8333321</v>
      </c>
      <c r="AD372" s="436">
        <v>83333201</v>
      </c>
      <c r="AE372" s="436">
        <v>28918519</v>
      </c>
      <c r="AF372" s="436">
        <v>208806</v>
      </c>
      <c r="AG372" s="436"/>
      <c r="AH372" s="510">
        <f>SUM(Table1[[#This Row],[Bobot Keg Umum]:[Bobot Perizinan]])</f>
        <v>1</v>
      </c>
      <c r="AI372" s="510">
        <f>Table1[[#This Row],[RAB Kegiatan Umum]]/Table1[[#This Row],[Nilai RAB Jaringan
(Exclude Ppn)]]</f>
        <v>6.8987959295641943E-2</v>
      </c>
      <c r="AJ372" s="510">
        <f>Table1[[#This Row],[RAB Pemasangan]]/Table1[[#This Row],[Nilai RAB Jaringan
(Exclude Ppn)]]</f>
        <v>0.68987951844931306</v>
      </c>
      <c r="AK372" s="129">
        <f>Table1[[#This Row],[RAB Pengadaan]]/Table1[[#This Row],[Nilai RAB Jaringan
(Exclude Ppn)]]</f>
        <v>0.23940390771725317</v>
      </c>
      <c r="AL372" s="130">
        <f>Table1[[#This Row],[RAB Perizinan]]/Table1[[#This Row],[Nilai RAB Jaringan
(Exclude Ppn)]]</f>
        <v>1.7286145377918131E-3</v>
      </c>
      <c r="AM372" s="47"/>
      <c r="AN372" s="285"/>
      <c r="AO372" s="285">
        <f>SUM(Table1[[#This Row],[Pipa 63 mm]:[Pipa 1,800 mm]])</f>
        <v>63</v>
      </c>
      <c r="AP372" s="285">
        <v>63</v>
      </c>
      <c r="AQ372" s="285"/>
      <c r="AR372" s="285"/>
      <c r="AS372" s="285"/>
      <c r="AT372" s="285"/>
      <c r="AU372" s="285"/>
      <c r="AV372" s="285"/>
      <c r="AW372" s="285"/>
      <c r="AX372" s="285"/>
      <c r="AY372" s="285"/>
      <c r="AZ372" s="285"/>
      <c r="BA372" s="285"/>
      <c r="BB372" s="285"/>
      <c r="BC372" s="285"/>
      <c r="BD372" s="285"/>
      <c r="BE372" s="285"/>
      <c r="BF372" s="285"/>
      <c r="BG372" s="285"/>
      <c r="BH372" s="285"/>
      <c r="BI372" s="285"/>
      <c r="BJ372" s="36">
        <f>SUM(Table1[[#This Row],[Pipa 63 mm2]:[Pipa 1,800 mm21]])</f>
        <v>0</v>
      </c>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f>IF((Table1[[#This Row],["Volume
BA MC-0"]]-Table1[[#This Row],[Total Panjang Pipa Aktual
(Sum-&gt;)3]]-Table1[[#This Row],[Total Volume
tidak dapat dipasang]])&gt;=0,Table1[[#This Row],["Volume
BA MC-0"]]-Table1[[#This Row],[Total Panjang Pipa Aktual
(Sum-&gt;)3]]-Table1[[#This Row],[Total Volume
tidak dapat dipasang]],0)</f>
        <v>0</v>
      </c>
      <c r="CK372" s="47"/>
      <c r="CL372" s="131"/>
      <c r="CM372" s="337"/>
      <c r="CN372" s="131"/>
      <c r="CO372" s="131"/>
      <c r="CP37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6.4639055083658359E-2</v>
      </c>
      <c r="CQ372" s="436">
        <f>IFERROR(Table1[[#This Row],[Progres Keg. Umum
(%)]]*Table1[[#This Row],[Nilai RAB Jaringan
(file pa aji)]],0)</f>
        <v>0</v>
      </c>
      <c r="CR372" s="436">
        <f>IFERROR(Table1[[#This Row],[Progres MOS
(%)]]*Table1[[#This Row],[Nilai RAB Jaringan
(file pa aji)]],0)</f>
        <v>0</v>
      </c>
      <c r="CS372" s="436">
        <f>IFERROR(Table1[[#This Row],[Progres Pemasangan
(%)]]*Table1[[#This Row],[Nilai RAB Jaringan
(file pa aji)]],0)</f>
        <v>0</v>
      </c>
      <c r="CT372" s="436">
        <f>IFERROR(Table1[[#This Row],[Progres Perizinan
(%)]]*Table1[[#This Row],[Nilai RAB Jaringan
(file pa aji)]],0)</f>
        <v>0</v>
      </c>
      <c r="CU372" s="329">
        <v>0</v>
      </c>
      <c r="CV372" s="329">
        <v>0</v>
      </c>
      <c r="CW372" s="511">
        <v>0</v>
      </c>
      <c r="CX372" s="329">
        <v>0</v>
      </c>
      <c r="CY372" s="47"/>
      <c r="CZ372" s="331">
        <v>45957</v>
      </c>
      <c r="DA372" s="331">
        <v>45984</v>
      </c>
      <c r="DB372" s="331">
        <v>45967</v>
      </c>
      <c r="DC372" s="316" t="s">
        <v>2951</v>
      </c>
      <c r="DD372" s="508">
        <v>134399396</v>
      </c>
      <c r="DE37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2" s="331">
        <v>45987</v>
      </c>
      <c r="DG372" s="316" t="s">
        <v>2952</v>
      </c>
      <c r="DH372" s="508">
        <v>134399396</v>
      </c>
      <c r="DI37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2" s="331">
        <v>45985</v>
      </c>
      <c r="DK372" s="331">
        <v>46047</v>
      </c>
      <c r="DL372" s="331">
        <v>46042</v>
      </c>
      <c r="DM372" s="316" t="s">
        <v>2953</v>
      </c>
      <c r="DN37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2" s="331">
        <v>46087</v>
      </c>
      <c r="DP372" s="316"/>
      <c r="DQ372" s="338" t="s">
        <v>371</v>
      </c>
      <c r="DR37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2" s="331">
        <v>45985</v>
      </c>
      <c r="DT372" s="331">
        <v>46164</v>
      </c>
      <c r="DU372" s="331">
        <v>46026</v>
      </c>
      <c r="DV372" s="331">
        <v>46178</v>
      </c>
      <c r="DW372" s="331">
        <v>46042</v>
      </c>
      <c r="DX372" s="316" t="s">
        <v>2954</v>
      </c>
      <c r="DY372" s="334">
        <v>20</v>
      </c>
      <c r="DZ372" s="334">
        <v>20</v>
      </c>
      <c r="EA37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2" s="331"/>
      <c r="EC372" s="332">
        <v>18</v>
      </c>
      <c r="ED372" s="332">
        <v>18</v>
      </c>
      <c r="EE372" s="118"/>
      <c r="EF372" s="337">
        <v>0.9</v>
      </c>
      <c r="EG372" s="337">
        <f>Table1[[#This Row],[Line PO]]/Table1[[#This Row],[Line PR]]</f>
        <v>0.9</v>
      </c>
      <c r="EH372" s="316" t="str">
        <f>IF(Table1[[#This Row],[PO Material Aktual 
(%)]]&gt;=100%,"Selesai PO = 100%",IF(Table1[[#This Row],[PO Material Aktual 
(%)]]&gt;=50%,"Proses PO &gt; 100%",IF(Table1[[#This Row],[PO Material Aktual 
(%)]]&gt;0%,"Proses PO &gt; 50%",IF(Table1[[#This Row],[PO Material Aktual 
(%)]]=0,"Belum PO = 0%"))))</f>
        <v>Proses PO &gt; 100%</v>
      </c>
      <c r="EI37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2" s="331">
        <v>46027</v>
      </c>
      <c r="EK372" s="331">
        <v>46178</v>
      </c>
      <c r="EL372" s="331">
        <v>46103</v>
      </c>
      <c r="EM372" s="331">
        <v>46183</v>
      </c>
      <c r="EN372" s="331"/>
      <c r="EO372" s="332">
        <v>9</v>
      </c>
      <c r="EP372" s="332">
        <v>9</v>
      </c>
      <c r="EQ372" s="337">
        <v>0.45</v>
      </c>
      <c r="ER372" s="337">
        <f>Table1[[#This Row],[Line MOS (kolom bantu)]]/Table1[[#This Row],[Line PR]]</f>
        <v>0.45</v>
      </c>
      <c r="ES372" s="316" t="str">
        <f>IF(Table1[[#This Row],[Progres MOS]]&gt;=100%,"Selesai MOS = 100%",IF(Table1[[#This Row],[Progres MOS]]&gt;=50%,"Proses MOS &gt; 100%",IF(Table1[[#This Row],[Progres MOS]]&gt;0%,"Proses MOS &gt; 50%",IF(Table1[[#This Row],[Progres MOS]]=0,"Belum MOS = 0%"))))</f>
        <v>Proses MOS &gt; 50%</v>
      </c>
      <c r="ET37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2" s="47"/>
      <c r="EV372" s="331">
        <v>45985</v>
      </c>
      <c r="EW372" s="331">
        <v>46156</v>
      </c>
      <c r="EX372" s="331">
        <v>46075</v>
      </c>
      <c r="EY372" s="331">
        <v>46186</v>
      </c>
      <c r="EZ372" s="352" t="s">
        <v>2955</v>
      </c>
      <c r="FA372" s="409" t="s">
        <v>2955</v>
      </c>
      <c r="FB372" s="330"/>
      <c r="FC372" s="330">
        <v>46010</v>
      </c>
      <c r="FD372" s="330" t="s">
        <v>260</v>
      </c>
      <c r="FE372" s="330"/>
      <c r="FF372" s="330"/>
      <c r="FG372" s="330"/>
      <c r="FH372" s="330"/>
      <c r="FI372" s="330"/>
      <c r="FJ372" s="330"/>
      <c r="FK372" s="330"/>
      <c r="FL372" s="336" t="s">
        <v>2806</v>
      </c>
      <c r="FM372" s="352"/>
      <c r="FN372" s="338" t="str">
        <f>IF(Table1[[#This Row],[Tanggal Pengajuan Dokumen]]="","",Table1[[#This Row],[PLAN PERMIT
start]]-Table1[[#This Row],[Tanggal Pengajuan Dokumen]])</f>
        <v/>
      </c>
      <c r="FO372" s="352"/>
      <c r="FP372" s="316"/>
      <c r="FQ372" s="338"/>
      <c r="FR372" s="331"/>
      <c r="FS372" s="338"/>
      <c r="FT37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2" s="344">
        <f ca="1">IF(Table1[[#This Row],[Status Izin]]="Selesai",Table1[[#This Row],[PLAN PERMIT
finish]]-Table1[[#This Row],[Tanggal Terbit/ Target Izin Terbit]],ROUNDUP(Table1[[#This Row],[PLAN PERMIT
finish]]-NOW(),0))</f>
        <v>-116</v>
      </c>
      <c r="FV37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2" s="344"/>
      <c r="FX372" s="47"/>
      <c r="FY372" s="513">
        <v>46034</v>
      </c>
      <c r="FZ372" s="513">
        <v>46049</v>
      </c>
      <c r="GA37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2" s="331">
        <v>46048</v>
      </c>
      <c r="GC372" s="352">
        <v>46141</v>
      </c>
      <c r="GD37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2" s="331">
        <v>46055</v>
      </c>
      <c r="GF372" s="352">
        <v>46141</v>
      </c>
      <c r="GG37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2" s="331">
        <v>46062</v>
      </c>
      <c r="GI372" s="331">
        <v>46068</v>
      </c>
      <c r="GJ372" s="352">
        <v>46148</v>
      </c>
      <c r="GK37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2" s="331">
        <v>46076</v>
      </c>
      <c r="GM372" s="331">
        <v>46193</v>
      </c>
      <c r="GN372" s="331">
        <v>46103</v>
      </c>
      <c r="GO372" s="330">
        <v>46241</v>
      </c>
      <c r="GP372" s="316"/>
      <c r="GQ37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2" s="331"/>
      <c r="GS372" s="331"/>
      <c r="GT372" s="354"/>
      <c r="GU372" s="344" t="str">
        <f>IF(Table1[[#This Row],[Hydro Tes Actual
(tanggal)]]&lt;&gt;"","Sudah","Belum")</f>
        <v>Belum</v>
      </c>
      <c r="GV372" s="330"/>
      <c r="GW372" s="330"/>
      <c r="GX372" s="331"/>
      <c r="GY372" s="344" t="str">
        <f>IF(Table1[[#This Row],[Interkoneksi Actual
(tanggal)]]&lt;&gt;"","Sudah","Belum")</f>
        <v>Belum</v>
      </c>
      <c r="GZ372" s="330"/>
      <c r="HA372" s="330"/>
      <c r="HB372" s="331"/>
      <c r="HC372" s="344" t="str">
        <f>IF(Table1[[#This Row],[Flushing Actual
(tanggal)]]&lt;&gt;"","Sudah","Belum")</f>
        <v>Belum</v>
      </c>
      <c r="HD372" s="331">
        <v>46106</v>
      </c>
      <c r="HE372" s="331">
        <v>46242</v>
      </c>
      <c r="HF372" s="331">
        <v>46111</v>
      </c>
      <c r="HG372" s="352"/>
      <c r="HH37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2" s="330"/>
      <c r="HJ372" s="330"/>
      <c r="HK372" s="331"/>
      <c r="HL372" s="331"/>
      <c r="HM372" s="331">
        <v>46128</v>
      </c>
      <c r="HN372" s="331">
        <v>46128</v>
      </c>
      <c r="HO372" s="330">
        <v>46259</v>
      </c>
      <c r="HP372" s="331"/>
      <c r="HQ37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72" s="331">
        <v>46136</v>
      </c>
      <c r="HS372" s="331"/>
      <c r="HT372" s="331">
        <v>46136</v>
      </c>
      <c r="HU372" s="420"/>
      <c r="HV372" s="395"/>
      <c r="HW372"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72" s="47"/>
      <c r="HY372" s="352"/>
      <c r="HZ372" s="352"/>
      <c r="IA372" s="72"/>
      <c r="IB372" s="618">
        <f>IFERROR(ROUND((Table1[[#This Row],[PLAN TC
finish]]-Table1[[#This Row],[PLAN MC-0
start]])/30,2),"")</f>
        <v>1.63</v>
      </c>
      <c r="IC372">
        <f>DATEDIF(Table1[[#This Row],[PLAN MC-0
start]],Table1[[#This Row],[PLAN TC
finish]],"m")</f>
        <v>1</v>
      </c>
      <c r="ID372" s="6"/>
      <c r="IE372" s="6"/>
      <c r="IF372" s="72"/>
      <c r="IH372" s="6"/>
      <c r="II372" s="4"/>
      <c r="IJ372" s="4"/>
      <c r="IK372" s="6"/>
      <c r="IL372" s="6"/>
      <c r="IM372" s="6"/>
      <c r="IN372" s="6"/>
      <c r="IO372" s="6"/>
      <c r="IQ372" s="6"/>
      <c r="IR372" s="6"/>
      <c r="IS372" s="6"/>
      <c r="IT372" s="6"/>
      <c r="IW372" s="6"/>
      <c r="IX372" s="6"/>
      <c r="IZ372" s="6"/>
      <c r="JA372" s="6"/>
    </row>
    <row r="373" spans="2:261" ht="15" hidden="1" customHeight="1" x14ac:dyDescent="0.2">
      <c r="B373" s="311">
        <f>SUBTOTAL(3,$D$5:D373)</f>
        <v>84</v>
      </c>
      <c r="C373" s="316">
        <v>369</v>
      </c>
      <c r="D373" s="315" t="s">
        <v>244</v>
      </c>
      <c r="E373" s="338" t="s">
        <v>2956</v>
      </c>
      <c r="F373" s="338" t="s">
        <v>2957</v>
      </c>
      <c r="G373" s="349">
        <v>46300</v>
      </c>
      <c r="H373" s="338" t="s">
        <v>681</v>
      </c>
      <c r="I373" s="338" t="s">
        <v>278</v>
      </c>
      <c r="J373" s="480"/>
      <c r="K373" s="338"/>
      <c r="L373" s="316"/>
      <c r="M373" s="355" t="s">
        <v>269</v>
      </c>
      <c r="N373" s="507">
        <v>87</v>
      </c>
      <c r="O373" s="507" t="s">
        <v>252</v>
      </c>
      <c r="P37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3" s="35">
        <v>1</v>
      </c>
      <c r="S373" s="327">
        <v>1</v>
      </c>
      <c r="T373" s="152">
        <f>Table1[[#This Row],[Progres Total Aktual
(%)]]</f>
        <v>8.8178517756254113E-2</v>
      </c>
      <c r="U373" s="121">
        <f>Table1[[#This Row],[Progres Aktual
(%)]]-Table1[[#This Row],[Target Progres
(%)]]</f>
        <v>-0.91182148224374593</v>
      </c>
      <c r="V373" s="80">
        <f>Table1[[#This Row],["Volume
BA MC-0"]]</f>
        <v>0</v>
      </c>
      <c r="W373" s="80">
        <f>Table1[[#This Row],[Total Panjang Pipa Aktual
(Sum-&gt;)3]]</f>
        <v>0</v>
      </c>
      <c r="X373" s="117"/>
      <c r="Y373" s="67" t="s">
        <v>2958</v>
      </c>
      <c r="Z373" s="67">
        <v>161289261</v>
      </c>
      <c r="AA373" s="509">
        <f>ROUND((Table1[[#This Row],[Nilai RAB Jaringan
(Exclude Ppn)]]-Table1[[#This Row],[RAB Perizinan]])*1.11+Table1[[#This Row],[RAB Perizinan]],0)</f>
        <v>161289261</v>
      </c>
      <c r="AB373" s="436">
        <f>SUM(Table1[[#This Row],[RAB Kegiatan Umum]:[RAB Perizinan]])</f>
        <v>145391856.5</v>
      </c>
      <c r="AC373" s="436">
        <v>9959729.5</v>
      </c>
      <c r="AD373" s="436">
        <v>99597295</v>
      </c>
      <c r="AE373" s="436">
        <v>34964832</v>
      </c>
      <c r="AF373" s="436">
        <v>870000</v>
      </c>
      <c r="AG373" s="436"/>
      <c r="AH373" s="510">
        <f>SUM(Table1[[#This Row],[Bobot Keg Umum]:[Bobot Perizinan]])</f>
        <v>1</v>
      </c>
      <c r="AI373" s="510">
        <f>Table1[[#This Row],[RAB Kegiatan Umum]]/Table1[[#This Row],[Nilai RAB Jaringan
(Exclude Ppn)]]</f>
        <v>6.8502664040196781E-2</v>
      </c>
      <c r="AJ373" s="510">
        <f>Table1[[#This Row],[RAB Pemasangan]]/Table1[[#This Row],[Nilai RAB Jaringan
(Exclude Ppn)]]</f>
        <v>0.68502664040196781</v>
      </c>
      <c r="AK373" s="129">
        <f>Table1[[#This Row],[RAB Pengadaan]]/Table1[[#This Row],[Nilai RAB Jaringan
(Exclude Ppn)]]</f>
        <v>0.24048686660796575</v>
      </c>
      <c r="AL373" s="130">
        <f>Table1[[#This Row],[RAB Perizinan]]/Table1[[#This Row],[Nilai RAB Jaringan
(Exclude Ppn)]]</f>
        <v>5.9838289498696925E-3</v>
      </c>
      <c r="AM373" s="47"/>
      <c r="AN373" s="285"/>
      <c r="AO373" s="285">
        <f>SUM(Table1[[#This Row],[Pipa 63 mm]:[Pipa 1,800 mm]])</f>
        <v>0</v>
      </c>
      <c r="AP373" s="285"/>
      <c r="AQ373" s="285"/>
      <c r="AR373" s="285"/>
      <c r="AS373" s="285"/>
      <c r="AT373" s="285"/>
      <c r="AU373" s="285"/>
      <c r="AV373" s="285"/>
      <c r="AW373" s="285"/>
      <c r="AX373" s="285"/>
      <c r="AY373" s="285"/>
      <c r="AZ373" s="285"/>
      <c r="BA373" s="285"/>
      <c r="BB373" s="285"/>
      <c r="BC373" s="285"/>
      <c r="BD373" s="285"/>
      <c r="BE373" s="285"/>
      <c r="BF373" s="285"/>
      <c r="BG373" s="285"/>
      <c r="BH373" s="285"/>
      <c r="BI373" s="285"/>
      <c r="BJ373" s="36">
        <f>SUM(Table1[[#This Row],[Pipa 63 mm2]:[Pipa 1,800 mm21]])</f>
        <v>0</v>
      </c>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f>IF((Table1[[#This Row],["Volume
BA MC-0"]]-Table1[[#This Row],[Total Panjang Pipa Aktual
(Sum-&gt;)3]]-Table1[[#This Row],[Total Volume
tidak dapat dipasang]])&gt;=0,Table1[[#This Row],["Volume
BA MC-0"]]-Table1[[#This Row],[Total Panjang Pipa Aktual
(Sum-&gt;)3]]-Table1[[#This Row],[Total Volume
tidak dapat dipasang]],0)</f>
        <v>0</v>
      </c>
      <c r="CK373" s="47"/>
      <c r="CL373" s="131"/>
      <c r="CM373" s="337"/>
      <c r="CN373" s="131"/>
      <c r="CO373" s="131"/>
      <c r="CP37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8.8178517756254113E-2</v>
      </c>
      <c r="CQ373" s="436">
        <f>IFERROR(Table1[[#This Row],[Progres Keg. Umum
(%)]]*Table1[[#This Row],[Nilai RAB Jaringan
(file pa aji)]],0)</f>
        <v>0</v>
      </c>
      <c r="CR373" s="436">
        <f>IFERROR(Table1[[#This Row],[Progres MOS
(%)]]*Table1[[#This Row],[Nilai RAB Jaringan
(file pa aji)]],0)</f>
        <v>0</v>
      </c>
      <c r="CS373" s="436">
        <f>IFERROR(Table1[[#This Row],[Progres Pemasangan
(%)]]*Table1[[#This Row],[Nilai RAB Jaringan
(file pa aji)]],0)</f>
        <v>0</v>
      </c>
      <c r="CT373" s="436">
        <f>IFERROR(Table1[[#This Row],[Progres Perizinan
(%)]]*Table1[[#This Row],[Nilai RAB Jaringan
(file pa aji)]],0)</f>
        <v>0</v>
      </c>
      <c r="CU373" s="329">
        <v>0</v>
      </c>
      <c r="CV373" s="329">
        <v>0</v>
      </c>
      <c r="CW373" s="511">
        <v>0</v>
      </c>
      <c r="CX373" s="329">
        <v>0</v>
      </c>
      <c r="CY373" s="47"/>
      <c r="CZ373" s="331">
        <v>45957</v>
      </c>
      <c r="DA373" s="331">
        <v>45984</v>
      </c>
      <c r="DB373" s="331">
        <v>45967</v>
      </c>
      <c r="DC373" s="316" t="s">
        <v>2959</v>
      </c>
      <c r="DD373" s="508">
        <v>161289261</v>
      </c>
      <c r="DE37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3" s="331">
        <v>45987</v>
      </c>
      <c r="DG373" s="316" t="s">
        <v>2960</v>
      </c>
      <c r="DH373" s="508">
        <v>161289261</v>
      </c>
      <c r="DI37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3" s="331">
        <v>45985</v>
      </c>
      <c r="DK373" s="331">
        <v>46047</v>
      </c>
      <c r="DL373" s="331">
        <v>46047</v>
      </c>
      <c r="DM373" s="316" t="s">
        <v>2961</v>
      </c>
      <c r="DN37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3" s="331">
        <v>46093</v>
      </c>
      <c r="DP373" s="316" t="s">
        <v>2962</v>
      </c>
      <c r="DQ373" s="338" t="s">
        <v>479</v>
      </c>
      <c r="DR37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3" s="331">
        <v>45985</v>
      </c>
      <c r="DT373" s="331">
        <v>46164</v>
      </c>
      <c r="DU373" s="331">
        <v>46026</v>
      </c>
      <c r="DV373" s="331">
        <v>46178</v>
      </c>
      <c r="DW373" s="331">
        <v>46047</v>
      </c>
      <c r="DX373" s="316" t="s">
        <v>2963</v>
      </c>
      <c r="DY373" s="334">
        <v>18</v>
      </c>
      <c r="DZ373" s="334">
        <v>18</v>
      </c>
      <c r="EA37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3" s="331"/>
      <c r="EC373" s="332">
        <v>16</v>
      </c>
      <c r="ED373" s="332">
        <v>16</v>
      </c>
      <c r="EE373" s="118"/>
      <c r="EF373" s="337">
        <v>0.88888888888888884</v>
      </c>
      <c r="EG373" s="337">
        <f>Table1[[#This Row],[Line PO]]/Table1[[#This Row],[Line PR]]</f>
        <v>0.88888888888888884</v>
      </c>
      <c r="EH373" s="316" t="str">
        <f>IF(Table1[[#This Row],[PO Material Aktual 
(%)]]&gt;=100%,"Selesai PO = 100%",IF(Table1[[#This Row],[PO Material Aktual 
(%)]]&gt;=50%,"Proses PO &gt; 100%",IF(Table1[[#This Row],[PO Material Aktual 
(%)]]&gt;0%,"Proses PO &gt; 50%",IF(Table1[[#This Row],[PO Material Aktual 
(%)]]=0,"Belum PO = 0%"))))</f>
        <v>Proses PO &gt; 100%</v>
      </c>
      <c r="EI37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3" s="331">
        <v>46027</v>
      </c>
      <c r="EK373" s="331">
        <v>46178</v>
      </c>
      <c r="EL373" s="331">
        <v>46103</v>
      </c>
      <c r="EM373" s="331">
        <v>46183</v>
      </c>
      <c r="EN373" s="331"/>
      <c r="EO373" s="332">
        <v>11</v>
      </c>
      <c r="EP373" s="332">
        <v>11</v>
      </c>
      <c r="EQ373" s="337">
        <v>0.61111111111111116</v>
      </c>
      <c r="ER373" s="337">
        <f>Table1[[#This Row],[Line MOS (kolom bantu)]]/Table1[[#This Row],[Line PR]]</f>
        <v>0.61111111111111116</v>
      </c>
      <c r="ES373" s="316" t="str">
        <f>IF(Table1[[#This Row],[Progres MOS]]&gt;=100%,"Selesai MOS = 100%",IF(Table1[[#This Row],[Progres MOS]]&gt;=50%,"Proses MOS &gt; 100%",IF(Table1[[#This Row],[Progres MOS]]&gt;0%,"Proses MOS &gt; 50%",IF(Table1[[#This Row],[Progres MOS]]=0,"Belum MOS = 0%"))))</f>
        <v>Proses MOS &gt; 100%</v>
      </c>
      <c r="ET37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3" s="47"/>
      <c r="EV373" s="331">
        <v>45985</v>
      </c>
      <c r="EW373" s="331">
        <v>46156</v>
      </c>
      <c r="EX373" s="331">
        <v>46075</v>
      </c>
      <c r="EY373" s="331">
        <v>46186</v>
      </c>
      <c r="EZ373" s="352" t="s">
        <v>2748</v>
      </c>
      <c r="FA373" s="409" t="s">
        <v>2748</v>
      </c>
      <c r="FB373" s="330"/>
      <c r="FC373" s="330">
        <v>46036</v>
      </c>
      <c r="FD373" s="330" t="s">
        <v>260</v>
      </c>
      <c r="FE373" s="330"/>
      <c r="FF373" s="330"/>
      <c r="FG373" s="330"/>
      <c r="FH373" s="330"/>
      <c r="FI373" s="330"/>
      <c r="FJ373" s="330"/>
      <c r="FK373" s="330"/>
      <c r="FL373" s="336" t="s">
        <v>2806</v>
      </c>
      <c r="FM373" s="352"/>
      <c r="FN373" s="338" t="str">
        <f>IF(Table1[[#This Row],[Tanggal Pengajuan Dokumen]]="","",Table1[[#This Row],[PLAN PERMIT
start]]-Table1[[#This Row],[Tanggal Pengajuan Dokumen]])</f>
        <v/>
      </c>
      <c r="FO373" s="352"/>
      <c r="FP373" s="316"/>
      <c r="FQ373" s="338"/>
      <c r="FR373" s="331"/>
      <c r="FS373" s="338"/>
      <c r="FT37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3" s="344">
        <f ca="1">IF(Table1[[#This Row],[Status Izin]]="Selesai",Table1[[#This Row],[PLAN PERMIT
finish]]-Table1[[#This Row],[Tanggal Terbit/ Target Izin Terbit]],ROUNDUP(Table1[[#This Row],[PLAN PERMIT
finish]]-NOW(),0))</f>
        <v>-116</v>
      </c>
      <c r="FV37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3" s="344"/>
      <c r="FX373" s="47"/>
      <c r="FY373" s="513">
        <v>46034</v>
      </c>
      <c r="FZ373" s="513">
        <v>46049</v>
      </c>
      <c r="GA37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3" s="331">
        <v>46048</v>
      </c>
      <c r="GC373" s="352">
        <v>46141</v>
      </c>
      <c r="GD37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3" s="331">
        <v>46055</v>
      </c>
      <c r="GF373" s="352">
        <v>46141</v>
      </c>
      <c r="GG37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3" s="331">
        <v>46062</v>
      </c>
      <c r="GI373" s="331">
        <v>46068</v>
      </c>
      <c r="GJ373" s="352">
        <v>46147</v>
      </c>
      <c r="GK37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3" s="331">
        <v>46076</v>
      </c>
      <c r="GM373" s="331">
        <v>46193</v>
      </c>
      <c r="GN373" s="331">
        <v>46103</v>
      </c>
      <c r="GO373" s="330">
        <v>46241</v>
      </c>
      <c r="GP373" s="316"/>
      <c r="GQ37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3" s="331"/>
      <c r="GS373" s="331"/>
      <c r="GT373" s="354"/>
      <c r="GU373" s="344" t="str">
        <f>IF(Table1[[#This Row],[Hydro Tes Actual
(tanggal)]]&lt;&gt;"","Sudah","Belum")</f>
        <v>Belum</v>
      </c>
      <c r="GV373" s="330"/>
      <c r="GW373" s="330"/>
      <c r="GX373" s="331"/>
      <c r="GY373" s="344" t="str">
        <f>IF(Table1[[#This Row],[Interkoneksi Actual
(tanggal)]]&lt;&gt;"","Sudah","Belum")</f>
        <v>Belum</v>
      </c>
      <c r="GZ373" s="330"/>
      <c r="HA373" s="330"/>
      <c r="HB373" s="331"/>
      <c r="HC373" s="344" t="str">
        <f>IF(Table1[[#This Row],[Flushing Actual
(tanggal)]]&lt;&gt;"","Sudah","Belum")</f>
        <v>Belum</v>
      </c>
      <c r="HD373" s="331">
        <v>46106</v>
      </c>
      <c r="HE373" s="331">
        <v>46242</v>
      </c>
      <c r="HF373" s="331">
        <v>46111</v>
      </c>
      <c r="HG373" s="352"/>
      <c r="HH37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3" s="330"/>
      <c r="HJ373" s="330"/>
      <c r="HK373" s="331"/>
      <c r="HL373" s="331"/>
      <c r="HM373" s="331">
        <v>46128</v>
      </c>
      <c r="HN373" s="331">
        <v>46128</v>
      </c>
      <c r="HO373" s="330">
        <v>46259</v>
      </c>
      <c r="HP373" s="331"/>
      <c r="HQ37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73" s="331">
        <v>46136</v>
      </c>
      <c r="HS373" s="331"/>
      <c r="HT373" s="331">
        <v>46136</v>
      </c>
      <c r="HU373" s="420"/>
      <c r="HV373" s="395"/>
      <c r="HW373"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73" s="47"/>
      <c r="HY373" s="352"/>
      <c r="HZ373" s="352"/>
      <c r="IA373" s="72"/>
      <c r="IB373" s="618">
        <f>IFERROR(ROUND((Table1[[#This Row],[PLAN TC
finish]]-Table1[[#This Row],[PLAN MC-0
start]])/30,2),"")</f>
        <v>1.63</v>
      </c>
      <c r="IC373">
        <f>DATEDIF(Table1[[#This Row],[PLAN MC-0
start]],Table1[[#This Row],[PLAN TC
finish]],"m")</f>
        <v>1</v>
      </c>
      <c r="ID373" s="6"/>
      <c r="IE373" s="6"/>
      <c r="IF373" s="72"/>
      <c r="IH373" s="6"/>
      <c r="II373" s="4"/>
      <c r="IJ373" s="4"/>
      <c r="IK373" s="6"/>
      <c r="IL373" s="6"/>
      <c r="IM373" s="6"/>
      <c r="IN373" s="6"/>
      <c r="IO373" s="6"/>
      <c r="IQ373" s="6"/>
      <c r="IR373" s="6"/>
      <c r="IS373" s="6"/>
      <c r="IT373" s="6"/>
      <c r="IW373" s="6"/>
      <c r="IX373" s="6"/>
      <c r="IZ373" s="6"/>
      <c r="JA373" s="6"/>
    </row>
    <row r="374" spans="2:261" ht="15" hidden="1" customHeight="1" x14ac:dyDescent="0.2">
      <c r="B374" s="311">
        <f>SUBTOTAL(3,$D$5:D374)</f>
        <v>84</v>
      </c>
      <c r="C374" s="316">
        <v>370</v>
      </c>
      <c r="D374" s="315" t="s">
        <v>244</v>
      </c>
      <c r="E374" s="338" t="s">
        <v>2964</v>
      </c>
      <c r="F374" s="338" t="s">
        <v>2965</v>
      </c>
      <c r="G374" s="349">
        <v>46300</v>
      </c>
      <c r="H374" s="338" t="s">
        <v>681</v>
      </c>
      <c r="I374" s="338" t="s">
        <v>278</v>
      </c>
      <c r="J374" s="480"/>
      <c r="K374" s="338"/>
      <c r="L374" s="316"/>
      <c r="M374" s="355" t="s">
        <v>269</v>
      </c>
      <c r="N374" s="507">
        <v>22</v>
      </c>
      <c r="O374" s="507" t="s">
        <v>252</v>
      </c>
      <c r="P37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4" s="35">
        <v>0.99999999999999989</v>
      </c>
      <c r="S374" s="327">
        <v>0.99999999999999989</v>
      </c>
      <c r="T374" s="152">
        <f>Table1[[#This Row],[Progres Total Aktual
(%)]]</f>
        <v>0.11540202893979591</v>
      </c>
      <c r="U374" s="121">
        <f>Table1[[#This Row],[Progres Aktual
(%)]]-Table1[[#This Row],[Target Progres
(%)]]</f>
        <v>-0.88459797106020399</v>
      </c>
      <c r="V374" s="80">
        <f>Table1[[#This Row],["Volume
BA MC-0"]]</f>
        <v>0</v>
      </c>
      <c r="W374" s="80">
        <f>Table1[[#This Row],[Total Panjang Pipa Aktual
(Sum-&gt;)3]]</f>
        <v>0</v>
      </c>
      <c r="X374" s="117"/>
      <c r="Y374" s="67" t="s">
        <v>2966</v>
      </c>
      <c r="Z374" s="67">
        <v>53491610</v>
      </c>
      <c r="AA374" s="509">
        <f>ROUND((Table1[[#This Row],[Nilai RAB Jaringan
(Exclude Ppn)]]-Table1[[#This Row],[RAB Perizinan]])*1.11+Table1[[#This Row],[RAB Perizinan]],0)</f>
        <v>53491609</v>
      </c>
      <c r="AB374" s="436">
        <f>SUM(Table1[[#This Row],[RAB Kegiatan Umum]:[RAB Perizinan]])</f>
        <v>48212440.899999999</v>
      </c>
      <c r="AC374" s="436">
        <v>3014145.9</v>
      </c>
      <c r="AD374" s="436">
        <v>30141459</v>
      </c>
      <c r="AE374" s="436">
        <v>14836836</v>
      </c>
      <c r="AF374" s="436">
        <v>220000</v>
      </c>
      <c r="AG374" s="436"/>
      <c r="AH374" s="510">
        <f>SUM(Table1[[#This Row],[Bobot Keg Umum]:[Bobot Perizinan]])</f>
        <v>1</v>
      </c>
      <c r="AI374" s="510">
        <f>Table1[[#This Row],[RAB Kegiatan Umum]]/Table1[[#This Row],[Nilai RAB Jaringan
(Exclude Ppn)]]</f>
        <v>6.25180107817358E-2</v>
      </c>
      <c r="AJ374" s="510">
        <f>Table1[[#This Row],[RAB Pemasangan]]/Table1[[#This Row],[Nilai RAB Jaringan
(Exclude Ppn)]]</f>
        <v>0.625180107817358</v>
      </c>
      <c r="AK374" s="129">
        <f>Table1[[#This Row],[RAB Pengadaan]]/Table1[[#This Row],[Nilai RAB Jaringan
(Exclude Ppn)]]</f>
        <v>0.30773874383945576</v>
      </c>
      <c r="AL374" s="130">
        <f>Table1[[#This Row],[RAB Perizinan]]/Table1[[#This Row],[Nilai RAB Jaringan
(Exclude Ppn)]]</f>
        <v>4.5631375614504513E-3</v>
      </c>
      <c r="AM374" s="47"/>
      <c r="AN374" s="285"/>
      <c r="AO374" s="285">
        <f>SUM(Table1[[#This Row],[Pipa 63 mm]:[Pipa 1,800 mm]])</f>
        <v>22</v>
      </c>
      <c r="AP374" s="285">
        <v>22</v>
      </c>
      <c r="AQ374" s="285"/>
      <c r="AR374" s="285"/>
      <c r="AS374" s="285"/>
      <c r="AT374" s="285"/>
      <c r="AU374" s="285"/>
      <c r="AV374" s="285"/>
      <c r="AW374" s="285"/>
      <c r="AX374" s="285"/>
      <c r="AY374" s="285"/>
      <c r="AZ374" s="285"/>
      <c r="BA374" s="285"/>
      <c r="BB374" s="285"/>
      <c r="BC374" s="285"/>
      <c r="BD374" s="285"/>
      <c r="BE374" s="285"/>
      <c r="BF374" s="285"/>
      <c r="BG374" s="285"/>
      <c r="BH374" s="285"/>
      <c r="BI374" s="285"/>
      <c r="BJ374" s="36">
        <f>SUM(Table1[[#This Row],[Pipa 63 mm2]:[Pipa 1,800 mm21]])</f>
        <v>0</v>
      </c>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f>IF((Table1[[#This Row],["Volume
BA MC-0"]]-Table1[[#This Row],[Total Panjang Pipa Aktual
(Sum-&gt;)3]]-Table1[[#This Row],[Total Volume
tidak dapat dipasang]])&gt;=0,Table1[[#This Row],["Volume
BA MC-0"]]-Table1[[#This Row],[Total Panjang Pipa Aktual
(Sum-&gt;)3]]-Table1[[#This Row],[Total Volume
tidak dapat dipasang]],0)</f>
        <v>0</v>
      </c>
      <c r="CK374" s="47"/>
      <c r="CL374" s="131"/>
      <c r="CM374" s="337"/>
      <c r="CN374" s="131"/>
      <c r="CO374" s="131"/>
      <c r="CP37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0.11540202893979591</v>
      </c>
      <c r="CQ374" s="436">
        <f>IFERROR(Table1[[#This Row],[Progres Keg. Umum
(%)]]*Table1[[#This Row],[Nilai RAB Jaringan
(file pa aji)]],0)</f>
        <v>0</v>
      </c>
      <c r="CR374" s="436">
        <f>IFERROR(Table1[[#This Row],[Progres MOS
(%)]]*Table1[[#This Row],[Nilai RAB Jaringan
(file pa aji)]],0)</f>
        <v>0</v>
      </c>
      <c r="CS374" s="436">
        <f>IFERROR(Table1[[#This Row],[Progres Pemasangan
(%)]]*Table1[[#This Row],[Nilai RAB Jaringan
(file pa aji)]],0)</f>
        <v>0</v>
      </c>
      <c r="CT374" s="436">
        <f>IFERROR(Table1[[#This Row],[Progres Perizinan
(%)]]*Table1[[#This Row],[Nilai RAB Jaringan
(file pa aji)]],0)</f>
        <v>0</v>
      </c>
      <c r="CU374" s="329">
        <v>0</v>
      </c>
      <c r="CV374" s="329">
        <v>0</v>
      </c>
      <c r="CW374" s="511">
        <v>0</v>
      </c>
      <c r="CX374" s="329">
        <v>0</v>
      </c>
      <c r="CY374" s="47"/>
      <c r="CZ374" s="331">
        <v>45957</v>
      </c>
      <c r="DA374" s="331">
        <v>45984</v>
      </c>
      <c r="DB374" s="331">
        <v>45967</v>
      </c>
      <c r="DC374" s="316" t="s">
        <v>2967</v>
      </c>
      <c r="DD374" s="508">
        <v>53491609</v>
      </c>
      <c r="DE37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4" s="331">
        <v>45999</v>
      </c>
      <c r="DG374" s="516" t="s">
        <v>2968</v>
      </c>
      <c r="DH374" s="508">
        <v>53491609</v>
      </c>
      <c r="DI37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4" s="331">
        <v>45985</v>
      </c>
      <c r="DK374" s="331">
        <v>46047</v>
      </c>
      <c r="DL374" s="331">
        <v>46047</v>
      </c>
      <c r="DM374" s="316" t="s">
        <v>2969</v>
      </c>
      <c r="DN37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4" s="331">
        <v>46093</v>
      </c>
      <c r="DP374" s="316" t="s">
        <v>2970</v>
      </c>
      <c r="DQ374" s="338" t="s">
        <v>479</v>
      </c>
      <c r="DR37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4" s="331">
        <v>45985</v>
      </c>
      <c r="DT374" s="331">
        <v>46164</v>
      </c>
      <c r="DU374" s="331">
        <v>46026</v>
      </c>
      <c r="DV374" s="331">
        <v>46178</v>
      </c>
      <c r="DW374" s="331">
        <v>46047</v>
      </c>
      <c r="DX374" s="316" t="s">
        <v>2971</v>
      </c>
      <c r="DY374" s="334">
        <v>16</v>
      </c>
      <c r="DZ374" s="334">
        <v>16</v>
      </c>
      <c r="EA37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4" s="331"/>
      <c r="EC374" s="332">
        <v>14</v>
      </c>
      <c r="ED374" s="332">
        <v>14</v>
      </c>
      <c r="EE374" s="118"/>
      <c r="EF374" s="337">
        <v>0.875</v>
      </c>
      <c r="EG374" s="337">
        <f>Table1[[#This Row],[Line PO]]/Table1[[#This Row],[Line PR]]</f>
        <v>0.875</v>
      </c>
      <c r="EH374" s="316" t="str">
        <f>IF(Table1[[#This Row],[PO Material Aktual 
(%)]]&gt;=100%,"Selesai PO = 100%",IF(Table1[[#This Row],[PO Material Aktual 
(%)]]&gt;=50%,"Proses PO &gt; 100%",IF(Table1[[#This Row],[PO Material Aktual 
(%)]]&gt;0%,"Proses PO &gt; 50%",IF(Table1[[#This Row],[PO Material Aktual 
(%)]]=0,"Belum PO = 0%"))))</f>
        <v>Proses PO &gt; 100%</v>
      </c>
      <c r="EI37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4" s="331">
        <v>46027</v>
      </c>
      <c r="EK374" s="331">
        <v>46178</v>
      </c>
      <c r="EL374" s="331">
        <v>46103</v>
      </c>
      <c r="EM374" s="331">
        <v>46183</v>
      </c>
      <c r="EN374" s="331"/>
      <c r="EO374" s="332">
        <v>10</v>
      </c>
      <c r="EP374" s="332">
        <v>10</v>
      </c>
      <c r="EQ374" s="337">
        <v>0.625</v>
      </c>
      <c r="ER374" s="337">
        <f>Table1[[#This Row],[Line MOS (kolom bantu)]]/Table1[[#This Row],[Line PR]]</f>
        <v>0.625</v>
      </c>
      <c r="ES374" s="316" t="str">
        <f>IF(Table1[[#This Row],[Progres MOS]]&gt;=100%,"Selesai MOS = 100%",IF(Table1[[#This Row],[Progres MOS]]&gt;=50%,"Proses MOS &gt; 100%",IF(Table1[[#This Row],[Progres MOS]]&gt;0%,"Proses MOS &gt; 50%",IF(Table1[[#This Row],[Progres MOS]]=0,"Belum MOS = 0%"))))</f>
        <v>Proses MOS &gt; 100%</v>
      </c>
      <c r="ET37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4" s="47"/>
      <c r="EV374" s="331">
        <v>45985</v>
      </c>
      <c r="EW374" s="331">
        <v>46156</v>
      </c>
      <c r="EX374" s="331">
        <v>46075</v>
      </c>
      <c r="EY374" s="331">
        <v>46186</v>
      </c>
      <c r="EZ374" s="352" t="s">
        <v>2748</v>
      </c>
      <c r="FA374" s="409" t="s">
        <v>2748</v>
      </c>
      <c r="FB374" s="330"/>
      <c r="FC374" s="330">
        <v>46036</v>
      </c>
      <c r="FD374" s="330" t="s">
        <v>260</v>
      </c>
      <c r="FE374" s="330"/>
      <c r="FF374" s="330"/>
      <c r="FG374" s="330"/>
      <c r="FH374" s="330"/>
      <c r="FI374" s="330"/>
      <c r="FJ374" s="330"/>
      <c r="FK374" s="330"/>
      <c r="FL374" s="336" t="s">
        <v>2806</v>
      </c>
      <c r="FM374" s="352"/>
      <c r="FN374" s="338" t="str">
        <f>IF(Table1[[#This Row],[Tanggal Pengajuan Dokumen]]="","",Table1[[#This Row],[PLAN PERMIT
start]]-Table1[[#This Row],[Tanggal Pengajuan Dokumen]])</f>
        <v/>
      </c>
      <c r="FO374" s="352"/>
      <c r="FP374" s="316"/>
      <c r="FQ374" s="338"/>
      <c r="FR374" s="331"/>
      <c r="FS374" s="338"/>
      <c r="FT37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4" s="344">
        <f ca="1">IF(Table1[[#This Row],[Status Izin]]="Selesai",Table1[[#This Row],[PLAN PERMIT
finish]]-Table1[[#This Row],[Tanggal Terbit/ Target Izin Terbit]],ROUNDUP(Table1[[#This Row],[PLAN PERMIT
finish]]-NOW(),0))</f>
        <v>-116</v>
      </c>
      <c r="FV37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4" s="344"/>
      <c r="FX374" s="47"/>
      <c r="FY374" s="513">
        <v>46034</v>
      </c>
      <c r="FZ374" s="513">
        <v>46049</v>
      </c>
      <c r="GA37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4" s="331">
        <v>46048</v>
      </c>
      <c r="GC374" s="352">
        <v>46141</v>
      </c>
      <c r="GD37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4" s="331">
        <v>46055</v>
      </c>
      <c r="GF374" s="352">
        <v>46141</v>
      </c>
      <c r="GG37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4" s="331">
        <v>46062</v>
      </c>
      <c r="GI374" s="331">
        <v>46068</v>
      </c>
      <c r="GJ374" s="352">
        <v>46147</v>
      </c>
      <c r="GK37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4" s="331">
        <v>46076</v>
      </c>
      <c r="GM374" s="331">
        <v>46193</v>
      </c>
      <c r="GN374" s="331">
        <v>46103</v>
      </c>
      <c r="GO374" s="330">
        <v>46241</v>
      </c>
      <c r="GP374" s="316"/>
      <c r="GQ37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4" s="331"/>
      <c r="GS374" s="331"/>
      <c r="GT374" s="354"/>
      <c r="GU374" s="344" t="str">
        <f>IF(Table1[[#This Row],[Hydro Tes Actual
(tanggal)]]&lt;&gt;"","Sudah","Belum")</f>
        <v>Belum</v>
      </c>
      <c r="GV374" s="330"/>
      <c r="GW374" s="330"/>
      <c r="GX374" s="331"/>
      <c r="GY374" s="344" t="str">
        <f>IF(Table1[[#This Row],[Interkoneksi Actual
(tanggal)]]&lt;&gt;"","Sudah","Belum")</f>
        <v>Belum</v>
      </c>
      <c r="GZ374" s="330"/>
      <c r="HA374" s="330"/>
      <c r="HB374" s="331"/>
      <c r="HC374" s="344" t="str">
        <f>IF(Table1[[#This Row],[Flushing Actual
(tanggal)]]&lt;&gt;"","Sudah","Belum")</f>
        <v>Belum</v>
      </c>
      <c r="HD374" s="331">
        <v>46106</v>
      </c>
      <c r="HE374" s="331">
        <v>46242</v>
      </c>
      <c r="HF374" s="331">
        <v>46111</v>
      </c>
      <c r="HG374" s="352"/>
      <c r="HH37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4" s="330"/>
      <c r="HJ374" s="330"/>
      <c r="HK374" s="331"/>
      <c r="HL374" s="331"/>
      <c r="HM374" s="331">
        <v>46128</v>
      </c>
      <c r="HN374" s="331">
        <v>46128</v>
      </c>
      <c r="HO374" s="330">
        <v>46259</v>
      </c>
      <c r="HP374" s="331"/>
      <c r="HQ37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74" s="331">
        <v>46136</v>
      </c>
      <c r="HS374" s="331"/>
      <c r="HT374" s="331">
        <v>46136</v>
      </c>
      <c r="HU374" s="420"/>
      <c r="HV374" s="395"/>
      <c r="HW374"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74" s="47"/>
      <c r="HY374" s="352"/>
      <c r="HZ374" s="352"/>
      <c r="IA374" s="72"/>
      <c r="IB374" s="618">
        <f>IFERROR(ROUND((Table1[[#This Row],[PLAN TC
finish]]-Table1[[#This Row],[PLAN MC-0
start]])/30,2),"")</f>
        <v>1.63</v>
      </c>
      <c r="IC374">
        <f>DATEDIF(Table1[[#This Row],[PLAN MC-0
start]],Table1[[#This Row],[PLAN TC
finish]],"m")</f>
        <v>1</v>
      </c>
      <c r="ID374" s="6"/>
      <c r="IE374" s="6"/>
      <c r="IF374" s="72"/>
      <c r="IH374" s="6"/>
      <c r="II374" s="4"/>
      <c r="IJ374" s="4"/>
      <c r="IK374" s="6"/>
      <c r="IL374" s="6"/>
      <c r="IM374" s="6"/>
      <c r="IN374" s="6"/>
      <c r="IO374" s="6"/>
      <c r="IQ374" s="6"/>
      <c r="IR374" s="6"/>
      <c r="IS374" s="6"/>
      <c r="IT374" s="6"/>
      <c r="IW374" s="6"/>
      <c r="IX374" s="6"/>
      <c r="IZ374" s="6"/>
      <c r="JA374" s="6"/>
    </row>
    <row r="375" spans="2:261" ht="15" hidden="1" customHeight="1" x14ac:dyDescent="0.2">
      <c r="B375" s="311">
        <f>SUBTOTAL(3,$D$5:D375)</f>
        <v>84</v>
      </c>
      <c r="C375" s="316">
        <v>371</v>
      </c>
      <c r="D375" s="315" t="s">
        <v>244</v>
      </c>
      <c r="E375" s="338" t="s">
        <v>2972</v>
      </c>
      <c r="F375" s="338" t="s">
        <v>2973</v>
      </c>
      <c r="G375" s="349">
        <v>46300</v>
      </c>
      <c r="H375" s="338" t="s">
        <v>681</v>
      </c>
      <c r="I375" s="338" t="s">
        <v>278</v>
      </c>
      <c r="J375" s="480"/>
      <c r="K375" s="338"/>
      <c r="L375" s="316"/>
      <c r="M375" s="355" t="s">
        <v>269</v>
      </c>
      <c r="N375" s="507">
        <v>85</v>
      </c>
      <c r="O375" s="507" t="s">
        <v>252</v>
      </c>
      <c r="P37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5" s="35">
        <v>1.0000000000000002</v>
      </c>
      <c r="S375" s="327">
        <v>1.0000000000000002</v>
      </c>
      <c r="T375" s="152">
        <f>Table1[[#This Row],[Progres Total Aktual
(%)]]</f>
        <v>7.4970633073719484E-2</v>
      </c>
      <c r="U375" s="121">
        <f>Table1[[#This Row],[Progres Aktual
(%)]]-Table1[[#This Row],[Target Progres
(%)]]</f>
        <v>-0.92502936692628079</v>
      </c>
      <c r="V375" s="80">
        <f>Table1[[#This Row],["Volume
BA MC-0"]]</f>
        <v>0</v>
      </c>
      <c r="W375" s="80">
        <f>Table1[[#This Row],[Total Panjang Pipa Aktual
(Sum-&gt;)3]]</f>
        <v>0</v>
      </c>
      <c r="X375" s="117"/>
      <c r="Y375" s="67" t="s">
        <v>2974</v>
      </c>
      <c r="Z375" s="67">
        <v>139276257</v>
      </c>
      <c r="AA375" s="509">
        <f>ROUND((Table1[[#This Row],[Nilai RAB Jaringan
(Exclude Ppn)]]-Table1[[#This Row],[RAB Perizinan]])*1.11+Table1[[#This Row],[RAB Perizinan]],0)</f>
        <v>139276257</v>
      </c>
      <c r="AB375" s="436">
        <f>SUM(Table1[[#This Row],[RAB Kegiatan Umum]:[RAB Perizinan]])</f>
        <v>125558339.5</v>
      </c>
      <c r="AC375" s="436">
        <v>8484640.5</v>
      </c>
      <c r="AD375" s="436">
        <v>84846405</v>
      </c>
      <c r="AE375" s="436">
        <v>31377294</v>
      </c>
      <c r="AF375" s="436">
        <v>850000</v>
      </c>
      <c r="AG375" s="436"/>
      <c r="AH375" s="510">
        <f>SUM(Table1[[#This Row],[Bobot Keg Umum]:[Bobot Perizinan]])</f>
        <v>1</v>
      </c>
      <c r="AI375" s="510">
        <f>Table1[[#This Row],[RAB Kegiatan Umum]]/Table1[[#This Row],[Nilai RAB Jaringan
(Exclude Ppn)]]</f>
        <v>6.7575284395983912E-2</v>
      </c>
      <c r="AJ375" s="510">
        <f>Table1[[#This Row],[RAB Pemasangan]]/Table1[[#This Row],[Nilai RAB Jaringan
(Exclude Ppn)]]</f>
        <v>0.67575284395983903</v>
      </c>
      <c r="AK375" s="129">
        <f>Table1[[#This Row],[RAB Pengadaan]]/Table1[[#This Row],[Nilai RAB Jaringan
(Exclude Ppn)]]</f>
        <v>0.24990211024573164</v>
      </c>
      <c r="AL375" s="130">
        <f>Table1[[#This Row],[RAB Perizinan]]/Table1[[#This Row],[Nilai RAB Jaringan
(Exclude Ppn)]]</f>
        <v>6.7697613984453817E-3</v>
      </c>
      <c r="AM375" s="47"/>
      <c r="AN375" s="285"/>
      <c r="AO375" s="285">
        <f>SUM(Table1[[#This Row],[Pipa 63 mm]:[Pipa 1,800 mm]])</f>
        <v>90</v>
      </c>
      <c r="AP375" s="285">
        <v>90</v>
      </c>
      <c r="AQ375" s="285"/>
      <c r="AR375" s="285"/>
      <c r="AS375" s="285"/>
      <c r="AT375" s="285"/>
      <c r="AU375" s="285"/>
      <c r="AV375" s="285"/>
      <c r="AW375" s="285"/>
      <c r="AX375" s="285"/>
      <c r="AY375" s="285"/>
      <c r="AZ375" s="285"/>
      <c r="BA375" s="285"/>
      <c r="BB375" s="285"/>
      <c r="BC375" s="285"/>
      <c r="BD375" s="285"/>
      <c r="BE375" s="285"/>
      <c r="BF375" s="285"/>
      <c r="BG375" s="285"/>
      <c r="BH375" s="285"/>
      <c r="BI375" s="285"/>
      <c r="BJ375" s="36">
        <f>SUM(Table1[[#This Row],[Pipa 63 mm2]:[Pipa 1,800 mm21]])</f>
        <v>0</v>
      </c>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f>IF((Table1[[#This Row],["Volume
BA MC-0"]]-Table1[[#This Row],[Total Panjang Pipa Aktual
(Sum-&gt;)3]]-Table1[[#This Row],[Total Volume
tidak dapat dipasang]])&gt;=0,Table1[[#This Row],["Volume
BA MC-0"]]-Table1[[#This Row],[Total Panjang Pipa Aktual
(Sum-&gt;)3]]-Table1[[#This Row],[Total Volume
tidak dapat dipasang]],0)</f>
        <v>0</v>
      </c>
      <c r="CK375" s="47"/>
      <c r="CL375" s="131"/>
      <c r="CM375" s="337"/>
      <c r="CN375" s="131"/>
      <c r="CO375" s="131"/>
      <c r="CP37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7.4970633073719484E-2</v>
      </c>
      <c r="CQ375" s="436">
        <f>IFERROR(Table1[[#This Row],[Progres Keg. Umum
(%)]]*Table1[[#This Row],[Nilai RAB Jaringan
(file pa aji)]],0)</f>
        <v>0</v>
      </c>
      <c r="CR375" s="436">
        <f>IFERROR(Table1[[#This Row],[Progres MOS
(%)]]*Table1[[#This Row],[Nilai RAB Jaringan
(file pa aji)]],0)</f>
        <v>0</v>
      </c>
      <c r="CS375" s="436">
        <f>IFERROR(Table1[[#This Row],[Progres Pemasangan
(%)]]*Table1[[#This Row],[Nilai RAB Jaringan
(file pa aji)]],0)</f>
        <v>0</v>
      </c>
      <c r="CT375" s="436">
        <f>IFERROR(Table1[[#This Row],[Progres Perizinan
(%)]]*Table1[[#This Row],[Nilai RAB Jaringan
(file pa aji)]],0)</f>
        <v>0</v>
      </c>
      <c r="CU375" s="329">
        <v>0</v>
      </c>
      <c r="CV375" s="329">
        <v>0</v>
      </c>
      <c r="CW375" s="511">
        <v>0</v>
      </c>
      <c r="CX375" s="329">
        <v>0</v>
      </c>
      <c r="CY375" s="47"/>
      <c r="CZ375" s="331">
        <v>45957</v>
      </c>
      <c r="DA375" s="331">
        <v>45984</v>
      </c>
      <c r="DB375" s="331">
        <v>45967</v>
      </c>
      <c r="DC375" s="316" t="s">
        <v>2975</v>
      </c>
      <c r="DD375" s="508">
        <v>139276257</v>
      </c>
      <c r="DE37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5" s="331">
        <v>45987</v>
      </c>
      <c r="DG375" s="316" t="s">
        <v>2976</v>
      </c>
      <c r="DH375" s="508">
        <v>139276257</v>
      </c>
      <c r="DI37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5" s="331">
        <v>45985</v>
      </c>
      <c r="DK375" s="331">
        <v>46047</v>
      </c>
      <c r="DL375" s="331">
        <v>46048</v>
      </c>
      <c r="DM375" s="316" t="s">
        <v>2977</v>
      </c>
      <c r="DN37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5" s="331">
        <v>46093</v>
      </c>
      <c r="DP375" s="316" t="s">
        <v>2978</v>
      </c>
      <c r="DQ375" s="338" t="s">
        <v>479</v>
      </c>
      <c r="DR37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5" s="331">
        <v>45985</v>
      </c>
      <c r="DT375" s="331">
        <v>46164</v>
      </c>
      <c r="DU375" s="331">
        <v>46026</v>
      </c>
      <c r="DV375" s="331">
        <v>46178</v>
      </c>
      <c r="DW375" s="331">
        <v>46048</v>
      </c>
      <c r="DX375" s="316" t="s">
        <v>2979</v>
      </c>
      <c r="DY375" s="334">
        <v>16</v>
      </c>
      <c r="DZ375" s="334">
        <v>16</v>
      </c>
      <c r="EA37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5" s="331"/>
      <c r="EC375" s="332">
        <v>14</v>
      </c>
      <c r="ED375" s="332">
        <v>14</v>
      </c>
      <c r="EE375" s="118"/>
      <c r="EF375" s="337">
        <v>0.875</v>
      </c>
      <c r="EG375" s="337">
        <f>Table1[[#This Row],[Line PO]]/Table1[[#This Row],[Line PR]]</f>
        <v>0.875</v>
      </c>
      <c r="EH375" s="316" t="str">
        <f>IF(Table1[[#This Row],[PO Material Aktual 
(%)]]&gt;=100%,"Selesai PO = 100%",IF(Table1[[#This Row],[PO Material Aktual 
(%)]]&gt;=50%,"Proses PO &gt; 100%",IF(Table1[[#This Row],[PO Material Aktual 
(%)]]&gt;0%,"Proses PO &gt; 50%",IF(Table1[[#This Row],[PO Material Aktual 
(%)]]=0,"Belum PO = 0%"))))</f>
        <v>Proses PO &gt; 100%</v>
      </c>
      <c r="EI37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5" s="331">
        <v>46027</v>
      </c>
      <c r="EK375" s="331">
        <v>46178</v>
      </c>
      <c r="EL375" s="331">
        <v>46103</v>
      </c>
      <c r="EM375" s="331">
        <v>46183</v>
      </c>
      <c r="EN375" s="331"/>
      <c r="EO375" s="332">
        <v>8</v>
      </c>
      <c r="EP375" s="332">
        <v>8</v>
      </c>
      <c r="EQ375" s="337">
        <v>0.5</v>
      </c>
      <c r="ER375" s="337">
        <f>Table1[[#This Row],[Line MOS (kolom bantu)]]/Table1[[#This Row],[Line PR]]</f>
        <v>0.5</v>
      </c>
      <c r="ES375" s="316" t="str">
        <f>IF(Table1[[#This Row],[Progres MOS]]&gt;=100%,"Selesai MOS = 100%",IF(Table1[[#This Row],[Progres MOS]]&gt;=50%,"Proses MOS &gt; 100%",IF(Table1[[#This Row],[Progres MOS]]&gt;0%,"Proses MOS &gt; 50%",IF(Table1[[#This Row],[Progres MOS]]=0,"Belum MOS = 0%"))))</f>
        <v>Proses MOS &gt; 100%</v>
      </c>
      <c r="ET37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5" s="47"/>
      <c r="EV375" s="331">
        <v>45985</v>
      </c>
      <c r="EW375" s="331">
        <v>46156</v>
      </c>
      <c r="EX375" s="331">
        <v>46075</v>
      </c>
      <c r="EY375" s="331">
        <v>46186</v>
      </c>
      <c r="EZ375" s="352" t="s">
        <v>2748</v>
      </c>
      <c r="FA375" s="409" t="s">
        <v>2748</v>
      </c>
      <c r="FB375" s="330"/>
      <c r="FC375" s="330">
        <v>46036</v>
      </c>
      <c r="FD375" s="330" t="s">
        <v>260</v>
      </c>
      <c r="FE375" s="330"/>
      <c r="FF375" s="330"/>
      <c r="FG375" s="330"/>
      <c r="FH375" s="330"/>
      <c r="FI375" s="330"/>
      <c r="FJ375" s="330"/>
      <c r="FK375" s="330"/>
      <c r="FL375" s="336" t="s">
        <v>2806</v>
      </c>
      <c r="FM375" s="352"/>
      <c r="FN375" s="338" t="str">
        <f>IF(Table1[[#This Row],[Tanggal Pengajuan Dokumen]]="","",Table1[[#This Row],[PLAN PERMIT
start]]-Table1[[#This Row],[Tanggal Pengajuan Dokumen]])</f>
        <v/>
      </c>
      <c r="FO375" s="352"/>
      <c r="FP375" s="316"/>
      <c r="FQ375" s="338"/>
      <c r="FR375" s="331"/>
      <c r="FS375" s="338"/>
      <c r="FT37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5" s="344">
        <f ca="1">IF(Table1[[#This Row],[Status Izin]]="Selesai",Table1[[#This Row],[PLAN PERMIT
finish]]-Table1[[#This Row],[Tanggal Terbit/ Target Izin Terbit]],ROUNDUP(Table1[[#This Row],[PLAN PERMIT
finish]]-NOW(),0))</f>
        <v>-116</v>
      </c>
      <c r="FV37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5" s="344"/>
      <c r="FX375" s="47"/>
      <c r="FY375" s="513">
        <v>46034</v>
      </c>
      <c r="FZ375" s="513">
        <v>46049</v>
      </c>
      <c r="GA37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5" s="331">
        <v>46048</v>
      </c>
      <c r="GC375" s="352">
        <v>46141</v>
      </c>
      <c r="GD37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5" s="331">
        <v>46055</v>
      </c>
      <c r="GF375" s="352">
        <v>46141</v>
      </c>
      <c r="GG37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5" s="331">
        <v>46062</v>
      </c>
      <c r="GI375" s="331">
        <v>46068</v>
      </c>
      <c r="GJ375" s="352">
        <v>46147</v>
      </c>
      <c r="GK37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5" s="331">
        <v>46076</v>
      </c>
      <c r="GM375" s="331">
        <v>46193</v>
      </c>
      <c r="GN375" s="331">
        <v>46103</v>
      </c>
      <c r="GO375" s="330">
        <v>46241</v>
      </c>
      <c r="GP375" s="316"/>
      <c r="GQ37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5" s="331"/>
      <c r="GS375" s="331"/>
      <c r="GT375" s="354"/>
      <c r="GU375" s="344" t="str">
        <f>IF(Table1[[#This Row],[Hydro Tes Actual
(tanggal)]]&lt;&gt;"","Sudah","Belum")</f>
        <v>Belum</v>
      </c>
      <c r="GV375" s="330"/>
      <c r="GW375" s="330"/>
      <c r="GX375" s="331"/>
      <c r="GY375" s="344" t="str">
        <f>IF(Table1[[#This Row],[Interkoneksi Actual
(tanggal)]]&lt;&gt;"","Sudah","Belum")</f>
        <v>Belum</v>
      </c>
      <c r="GZ375" s="330"/>
      <c r="HA375" s="330"/>
      <c r="HB375" s="331"/>
      <c r="HC375" s="344" t="str">
        <f>IF(Table1[[#This Row],[Flushing Actual
(tanggal)]]&lt;&gt;"","Sudah","Belum")</f>
        <v>Belum</v>
      </c>
      <c r="HD375" s="331">
        <v>46106</v>
      </c>
      <c r="HE375" s="331">
        <v>46242</v>
      </c>
      <c r="HF375" s="331">
        <v>46111</v>
      </c>
      <c r="HG375" s="352"/>
      <c r="HH37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5" s="330"/>
      <c r="HJ375" s="330"/>
      <c r="HK375" s="331"/>
      <c r="HL375" s="331"/>
      <c r="HM375" s="331">
        <v>46128</v>
      </c>
      <c r="HN375" s="331">
        <v>46128</v>
      </c>
      <c r="HO375" s="330">
        <v>46259</v>
      </c>
      <c r="HP375" s="331"/>
      <c r="HQ37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75" s="331">
        <v>46136</v>
      </c>
      <c r="HS375" s="331"/>
      <c r="HT375" s="331">
        <v>46136</v>
      </c>
      <c r="HU375" s="420"/>
      <c r="HV375" s="395"/>
      <c r="HW37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75" s="47"/>
      <c r="HY375" s="352"/>
      <c r="HZ375" s="352"/>
      <c r="IA375" s="72"/>
      <c r="IB375" s="618">
        <f>IFERROR(ROUND((Table1[[#This Row],[PLAN TC
finish]]-Table1[[#This Row],[PLAN MC-0
start]])/30,2),"")</f>
        <v>1.63</v>
      </c>
      <c r="IC375">
        <f>DATEDIF(Table1[[#This Row],[PLAN MC-0
start]],Table1[[#This Row],[PLAN TC
finish]],"m")</f>
        <v>1</v>
      </c>
      <c r="ID375" s="6"/>
      <c r="IE375" s="6"/>
      <c r="IF375" s="72"/>
      <c r="IH375" s="6"/>
      <c r="II375" s="4"/>
      <c r="IJ375" s="4"/>
      <c r="IK375" s="6"/>
      <c r="IL375" s="6"/>
      <c r="IM375" s="6"/>
      <c r="IN375" s="6"/>
      <c r="IO375" s="6"/>
      <c r="IQ375" s="6"/>
      <c r="IR375" s="6"/>
      <c r="IS375" s="6"/>
      <c r="IT375" s="6"/>
      <c r="IW375" s="6"/>
      <c r="IX375" s="6"/>
      <c r="IZ375" s="6"/>
      <c r="JA375" s="6"/>
    </row>
    <row r="376" spans="2:261" ht="15" hidden="1" customHeight="1" x14ac:dyDescent="0.2">
      <c r="B376" s="590">
        <f>SUBTOTAL(3,$D$5:D376)</f>
        <v>84</v>
      </c>
      <c r="C376" s="316">
        <v>372</v>
      </c>
      <c r="D376" s="584" t="s">
        <v>244</v>
      </c>
      <c r="E376" s="585" t="s">
        <v>2980</v>
      </c>
      <c r="F376" s="585" t="s">
        <v>2981</v>
      </c>
      <c r="G376" s="586">
        <v>46300</v>
      </c>
      <c r="H376" s="585" t="s">
        <v>681</v>
      </c>
      <c r="I376" s="338" t="s">
        <v>278</v>
      </c>
      <c r="J376" s="587"/>
      <c r="K376" s="338"/>
      <c r="L376" s="316"/>
      <c r="M376" s="355" t="s">
        <v>269</v>
      </c>
      <c r="N376" s="588">
        <v>38</v>
      </c>
      <c r="O376" s="588" t="s">
        <v>252</v>
      </c>
      <c r="P37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6" s="35">
        <v>0.99999999999999989</v>
      </c>
      <c r="S376" s="327">
        <v>0.99999999999999989</v>
      </c>
      <c r="T376" s="152">
        <f>Table1[[#This Row],[Progres Total Aktual
(%)]]</f>
        <v>7.9008761264391339E-2</v>
      </c>
      <c r="U376" s="121">
        <f>Table1[[#This Row],[Progres Aktual
(%)]]-Table1[[#This Row],[Target Progres
(%)]]</f>
        <v>-0.92099123873560851</v>
      </c>
      <c r="V376" s="80">
        <f>Table1[[#This Row],["Volume
BA MC-0"]]</f>
        <v>0</v>
      </c>
      <c r="W376" s="80">
        <f>Table1[[#This Row],[Total Panjang Pipa Aktual
(Sum-&gt;)3]]</f>
        <v>0</v>
      </c>
      <c r="X376" s="117"/>
      <c r="Y376" s="67" t="s">
        <v>2982</v>
      </c>
      <c r="Z376" s="67">
        <v>74085744</v>
      </c>
      <c r="AA376" s="509">
        <f>ROUND((Table1[[#This Row],[Nilai RAB Jaringan
(Exclude Ppn)]]-Table1[[#This Row],[RAB Perizinan]])*1.11+Table1[[#This Row],[RAB Perizinan]],0)</f>
        <v>74085744</v>
      </c>
      <c r="AB376" s="436">
        <f>SUM(Table1[[#This Row],[RAB Kegiatan Umum]:[RAB Perizinan]])</f>
        <v>66781571</v>
      </c>
      <c r="AC376" s="436">
        <v>4615273</v>
      </c>
      <c r="AD376" s="436">
        <v>46152730</v>
      </c>
      <c r="AE376" s="436">
        <v>15633568</v>
      </c>
      <c r="AF376" s="436">
        <v>380000</v>
      </c>
      <c r="AG376" s="436"/>
      <c r="AH376" s="510">
        <f>SUM(Table1[[#This Row],[Bobot Keg Umum]:[Bobot Perizinan]])</f>
        <v>1</v>
      </c>
      <c r="AI376" s="510">
        <f>Table1[[#This Row],[RAB Kegiatan Umum]]/Table1[[#This Row],[Nilai RAB Jaringan
(Exclude Ppn)]]</f>
        <v>6.9109979458255033E-2</v>
      </c>
      <c r="AJ376" s="510">
        <f>Table1[[#This Row],[RAB Pemasangan]]/Table1[[#This Row],[Nilai RAB Jaringan
(Exclude Ppn)]]</f>
        <v>0.69109979458255033</v>
      </c>
      <c r="AK376" s="129">
        <f>Table1[[#This Row],[RAB Pengadaan]]/Table1[[#This Row],[Nilai RAB Jaringan
(Exclude Ppn)]]</f>
        <v>0.23410003337597435</v>
      </c>
      <c r="AL376" s="130">
        <f>Table1[[#This Row],[RAB Perizinan]]/Table1[[#This Row],[Nilai RAB Jaringan
(Exclude Ppn)]]</f>
        <v>5.6901925832203021E-3</v>
      </c>
      <c r="AM376" s="47"/>
      <c r="AN376" s="285"/>
      <c r="AO376" s="285">
        <f>SUM(Table1[[#This Row],[Pipa 63 mm]:[Pipa 1,800 mm]])</f>
        <v>0</v>
      </c>
      <c r="AP376" s="285"/>
      <c r="AQ376" s="285"/>
      <c r="AR376" s="285"/>
      <c r="AS376" s="285"/>
      <c r="AT376" s="285"/>
      <c r="AU376" s="285"/>
      <c r="AV376" s="285"/>
      <c r="AW376" s="285"/>
      <c r="AX376" s="285"/>
      <c r="AY376" s="285"/>
      <c r="AZ376" s="285"/>
      <c r="BA376" s="285"/>
      <c r="BB376" s="285"/>
      <c r="BC376" s="285"/>
      <c r="BD376" s="285"/>
      <c r="BE376" s="285"/>
      <c r="BF376" s="285"/>
      <c r="BG376" s="285"/>
      <c r="BH376" s="285"/>
      <c r="BI376" s="285"/>
      <c r="BJ376" s="36">
        <f>SUM(Table1[[#This Row],[Pipa 63 mm2]:[Pipa 1,800 mm21]])</f>
        <v>0</v>
      </c>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f>IF((Table1[[#This Row],["Volume
BA MC-0"]]-Table1[[#This Row],[Total Panjang Pipa Aktual
(Sum-&gt;)3]]-Table1[[#This Row],[Total Volume
tidak dapat dipasang]])&gt;=0,Table1[[#This Row],["Volume
BA MC-0"]]-Table1[[#This Row],[Total Panjang Pipa Aktual
(Sum-&gt;)3]]-Table1[[#This Row],[Total Volume
tidak dapat dipasang]],0)</f>
        <v>0</v>
      </c>
      <c r="CK376" s="47"/>
      <c r="CL376" s="131"/>
      <c r="CM376" s="337"/>
      <c r="CN376" s="131"/>
      <c r="CO376" s="131"/>
      <c r="CP37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7.9008761264391339E-2</v>
      </c>
      <c r="CQ376" s="436">
        <f>IFERROR(Table1[[#This Row],[Progres Keg. Umum
(%)]]*Table1[[#This Row],[Nilai RAB Jaringan
(file pa aji)]],0)</f>
        <v>0</v>
      </c>
      <c r="CR376" s="436">
        <f>IFERROR(Table1[[#This Row],[Progres MOS
(%)]]*Table1[[#This Row],[Nilai RAB Jaringan
(file pa aji)]],0)</f>
        <v>0</v>
      </c>
      <c r="CS376" s="436">
        <f>IFERROR(Table1[[#This Row],[Progres Pemasangan
(%)]]*Table1[[#This Row],[Nilai RAB Jaringan
(file pa aji)]],0)</f>
        <v>0</v>
      </c>
      <c r="CT376" s="436">
        <f>IFERROR(Table1[[#This Row],[Progres Perizinan
(%)]]*Table1[[#This Row],[Nilai RAB Jaringan
(file pa aji)]],0)</f>
        <v>0</v>
      </c>
      <c r="CU376" s="329">
        <v>0</v>
      </c>
      <c r="CV376" s="329">
        <v>0</v>
      </c>
      <c r="CW376" s="511">
        <v>0</v>
      </c>
      <c r="CX376" s="329">
        <v>0</v>
      </c>
      <c r="CY376" s="47"/>
      <c r="CZ376" s="331">
        <v>45957</v>
      </c>
      <c r="DA376" s="331">
        <v>45984</v>
      </c>
      <c r="DB376" s="331">
        <v>45971</v>
      </c>
      <c r="DC376" s="316" t="s">
        <v>2983</v>
      </c>
      <c r="DD376" s="508">
        <v>74085743</v>
      </c>
      <c r="DE37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6" s="331">
        <v>45987</v>
      </c>
      <c r="DG376" s="516" t="s">
        <v>2984</v>
      </c>
      <c r="DH376" s="508">
        <v>74085743</v>
      </c>
      <c r="DI37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6" s="331">
        <v>45985</v>
      </c>
      <c r="DK376" s="331">
        <v>46047</v>
      </c>
      <c r="DL376" s="331">
        <v>46048</v>
      </c>
      <c r="DM376" s="316" t="s">
        <v>2985</v>
      </c>
      <c r="DN37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6" s="331">
        <v>46093</v>
      </c>
      <c r="DP376" s="316" t="s">
        <v>2986</v>
      </c>
      <c r="DQ376" s="338" t="s">
        <v>479</v>
      </c>
      <c r="DR37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6" s="331">
        <v>45985</v>
      </c>
      <c r="DT376" s="331">
        <v>46164</v>
      </c>
      <c r="DU376" s="331">
        <v>46026</v>
      </c>
      <c r="DV376" s="331">
        <v>46178</v>
      </c>
      <c r="DW376" s="331">
        <v>46048</v>
      </c>
      <c r="DX376" s="316" t="s">
        <v>2987</v>
      </c>
      <c r="DY376" s="334">
        <v>16</v>
      </c>
      <c r="DZ376" s="334">
        <v>16</v>
      </c>
      <c r="EA37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6" s="331"/>
      <c r="EC376" s="332">
        <v>14</v>
      </c>
      <c r="ED376" s="332">
        <v>14</v>
      </c>
      <c r="EE376" s="118"/>
      <c r="EF376" s="337">
        <v>0.875</v>
      </c>
      <c r="EG376" s="337">
        <f>Table1[[#This Row],[Line PO]]/Table1[[#This Row],[Line PR]]</f>
        <v>0.875</v>
      </c>
      <c r="EH376" s="316" t="str">
        <f>IF(Table1[[#This Row],[PO Material Aktual 
(%)]]&gt;=100%,"Selesai PO = 100%",IF(Table1[[#This Row],[PO Material Aktual 
(%)]]&gt;=50%,"Proses PO &gt; 100%",IF(Table1[[#This Row],[PO Material Aktual 
(%)]]&gt;0%,"Proses PO &gt; 50%",IF(Table1[[#This Row],[PO Material Aktual 
(%)]]=0,"Belum PO = 0%"))))</f>
        <v>Proses PO &gt; 100%</v>
      </c>
      <c r="EI37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6" s="331">
        <v>46027</v>
      </c>
      <c r="EK376" s="331">
        <v>46178</v>
      </c>
      <c r="EL376" s="331">
        <v>46103</v>
      </c>
      <c r="EM376" s="331">
        <v>46183</v>
      </c>
      <c r="EN376" s="331"/>
      <c r="EO376" s="332">
        <v>9</v>
      </c>
      <c r="EP376" s="332">
        <v>9</v>
      </c>
      <c r="EQ376" s="337">
        <v>0.5625</v>
      </c>
      <c r="ER376" s="337">
        <f>Table1[[#This Row],[Line MOS (kolom bantu)]]/Table1[[#This Row],[Line PR]]</f>
        <v>0.5625</v>
      </c>
      <c r="ES376" s="316" t="str">
        <f>IF(Table1[[#This Row],[Progres MOS]]&gt;=100%,"Selesai MOS = 100%",IF(Table1[[#This Row],[Progres MOS]]&gt;=50%,"Proses MOS &gt; 100%",IF(Table1[[#This Row],[Progres MOS]]&gt;0%,"Proses MOS &gt; 50%",IF(Table1[[#This Row],[Progres MOS]]=0,"Belum MOS = 0%"))))</f>
        <v>Proses MOS &gt; 100%</v>
      </c>
      <c r="ET37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6" s="47"/>
      <c r="EV376" s="331">
        <v>45985</v>
      </c>
      <c r="EW376" s="331">
        <v>46156</v>
      </c>
      <c r="EX376" s="331">
        <v>46075</v>
      </c>
      <c r="EY376" s="331">
        <v>46186</v>
      </c>
      <c r="EZ376" s="352" t="s">
        <v>2748</v>
      </c>
      <c r="FA376" s="409" t="s">
        <v>2748</v>
      </c>
      <c r="FB376" s="330"/>
      <c r="FC376" s="330">
        <v>46036</v>
      </c>
      <c r="FD376" s="330" t="s">
        <v>260</v>
      </c>
      <c r="FE376" s="330"/>
      <c r="FF376" s="330"/>
      <c r="FG376" s="330"/>
      <c r="FH376" s="330"/>
      <c r="FI376" s="330"/>
      <c r="FJ376" s="330"/>
      <c r="FK376" s="330"/>
      <c r="FL376" s="336" t="s">
        <v>2806</v>
      </c>
      <c r="FM376" s="352"/>
      <c r="FN376" s="338" t="str">
        <f>IF(Table1[[#This Row],[Tanggal Pengajuan Dokumen]]="","",Table1[[#This Row],[PLAN PERMIT
start]]-Table1[[#This Row],[Tanggal Pengajuan Dokumen]])</f>
        <v/>
      </c>
      <c r="FO376" s="352"/>
      <c r="FP376" s="316"/>
      <c r="FQ376" s="338"/>
      <c r="FR376" s="331"/>
      <c r="FS376" s="338"/>
      <c r="FT37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6" s="344">
        <f ca="1">IF(Table1[[#This Row],[Status Izin]]="Selesai",Table1[[#This Row],[PLAN PERMIT
finish]]-Table1[[#This Row],[Tanggal Terbit/ Target Izin Terbit]],ROUNDUP(Table1[[#This Row],[PLAN PERMIT
finish]]-NOW(),0))</f>
        <v>-116</v>
      </c>
      <c r="FV37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6" s="344"/>
      <c r="FX376" s="47"/>
      <c r="FY376" s="513">
        <v>46034</v>
      </c>
      <c r="FZ376" s="513">
        <v>46049</v>
      </c>
      <c r="GA37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6" s="331">
        <v>46048</v>
      </c>
      <c r="GC376" s="352">
        <v>46141</v>
      </c>
      <c r="GD37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6" s="331">
        <v>46055</v>
      </c>
      <c r="GF376" s="352">
        <v>46141</v>
      </c>
      <c r="GG37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6" s="331">
        <v>46062</v>
      </c>
      <c r="GI376" s="331">
        <v>46068</v>
      </c>
      <c r="GJ376" s="352">
        <v>46150</v>
      </c>
      <c r="GK37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6" s="331">
        <v>46076</v>
      </c>
      <c r="GM376" s="331">
        <v>46193</v>
      </c>
      <c r="GN376" s="331">
        <v>46103</v>
      </c>
      <c r="GO376" s="330">
        <v>46241</v>
      </c>
      <c r="GP376" s="316"/>
      <c r="GQ37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6" s="331"/>
      <c r="GS376" s="331"/>
      <c r="GT376" s="354"/>
      <c r="GU376" s="344" t="str">
        <f>IF(Table1[[#This Row],[Hydro Tes Actual
(tanggal)]]&lt;&gt;"","Sudah","Belum")</f>
        <v>Belum</v>
      </c>
      <c r="GV376" s="330"/>
      <c r="GW376" s="330"/>
      <c r="GX376" s="331"/>
      <c r="GY376" s="344" t="str">
        <f>IF(Table1[[#This Row],[Interkoneksi Actual
(tanggal)]]&lt;&gt;"","Sudah","Belum")</f>
        <v>Belum</v>
      </c>
      <c r="GZ376" s="330"/>
      <c r="HA376" s="330"/>
      <c r="HB376" s="331"/>
      <c r="HC376" s="344" t="str">
        <f>IF(Table1[[#This Row],[Flushing Actual
(tanggal)]]&lt;&gt;"","Sudah","Belum")</f>
        <v>Belum</v>
      </c>
      <c r="HD376" s="331">
        <v>46106</v>
      </c>
      <c r="HE376" s="331">
        <v>46242</v>
      </c>
      <c r="HF376" s="331">
        <v>46111</v>
      </c>
      <c r="HG376" s="352"/>
      <c r="HH37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6" s="330"/>
      <c r="HJ376" s="330"/>
      <c r="HK376" s="331"/>
      <c r="HL376" s="331"/>
      <c r="HM376" s="331">
        <v>46128</v>
      </c>
      <c r="HN376" s="331">
        <v>46128</v>
      </c>
      <c r="HO376" s="330">
        <v>46259</v>
      </c>
      <c r="HP376" s="331"/>
      <c r="HQ37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76" s="331">
        <v>46136</v>
      </c>
      <c r="HS376" s="331"/>
      <c r="HT376" s="331">
        <v>46136</v>
      </c>
      <c r="HU376" s="420"/>
      <c r="HV376" s="395"/>
      <c r="HW37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76" s="47"/>
      <c r="HY376" s="352"/>
      <c r="HZ376" s="352"/>
      <c r="IA376" s="72"/>
      <c r="IB376" s="618">
        <f>IFERROR(ROUND((Table1[[#This Row],[PLAN TC
finish]]-Table1[[#This Row],[PLAN MC-0
start]])/30,2),"")</f>
        <v>1.63</v>
      </c>
      <c r="IC376">
        <f>DATEDIF(Table1[[#This Row],[PLAN MC-0
start]],Table1[[#This Row],[PLAN TC
finish]],"m")</f>
        <v>1</v>
      </c>
      <c r="ID376" s="6"/>
      <c r="IE376" s="6"/>
      <c r="IF376" s="72"/>
      <c r="IH376" s="6"/>
      <c r="II376" s="4"/>
      <c r="IJ376" s="4"/>
      <c r="IK376" s="6"/>
      <c r="IL376" s="6"/>
      <c r="IM376" s="6"/>
      <c r="IN376" s="6"/>
      <c r="IO376" s="6"/>
      <c r="IQ376" s="6"/>
      <c r="IR376" s="6"/>
      <c r="IS376" s="6"/>
      <c r="IT376" s="6"/>
      <c r="IW376" s="6"/>
      <c r="IX376" s="6"/>
      <c r="IZ376" s="6"/>
      <c r="JA376" s="6"/>
    </row>
    <row r="377" spans="2:261" ht="15" hidden="1" customHeight="1" x14ac:dyDescent="0.2">
      <c r="B377" s="590">
        <f>SUBTOTAL(3,$D$5:D377)</f>
        <v>84</v>
      </c>
      <c r="C377" s="316">
        <v>373</v>
      </c>
      <c r="D377" s="584" t="s">
        <v>244</v>
      </c>
      <c r="E377" s="585" t="s">
        <v>2988</v>
      </c>
      <c r="F377" s="585" t="s">
        <v>2989</v>
      </c>
      <c r="G377" s="586">
        <v>46300</v>
      </c>
      <c r="H377" s="585" t="s">
        <v>681</v>
      </c>
      <c r="I377" s="338" t="s">
        <v>278</v>
      </c>
      <c r="J377" s="587"/>
      <c r="K377" s="338"/>
      <c r="L377" s="316"/>
      <c r="M377" s="355" t="s">
        <v>269</v>
      </c>
      <c r="N377" s="588">
        <v>45</v>
      </c>
      <c r="O377" s="588" t="s">
        <v>252</v>
      </c>
      <c r="P37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7" s="589" t="s">
        <v>389</v>
      </c>
      <c r="R377" s="35">
        <v>1</v>
      </c>
      <c r="S377" s="327">
        <v>1</v>
      </c>
      <c r="T377" s="152">
        <f>Table1[[#This Row],[Progres Total Aktual
(%)]]</f>
        <v>8.503043894049904E-2</v>
      </c>
      <c r="U377" s="121">
        <f>Table1[[#This Row],[Progres Aktual
(%)]]-Table1[[#This Row],[Target Progres
(%)]]</f>
        <v>-0.914969561059501</v>
      </c>
      <c r="V377" s="80">
        <f>Table1[[#This Row],["Volume
BA MC-0"]]</f>
        <v>0</v>
      </c>
      <c r="W377" s="80">
        <f>Table1[[#This Row],[Total Panjang Pipa Aktual
(Sum-&gt;)3]]</f>
        <v>0</v>
      </c>
      <c r="X377" s="117"/>
      <c r="Y377" s="67" t="s">
        <v>2990</v>
      </c>
      <c r="Z377" s="67">
        <v>109944292</v>
      </c>
      <c r="AA377" s="509">
        <f>ROUND((Table1[[#This Row],[Nilai RAB Jaringan
(Exclude Ppn)]]-Table1[[#This Row],[RAB Perizinan]])*1.11+Table1[[#This Row],[RAB Perizinan]],0)</f>
        <v>109944292</v>
      </c>
      <c r="AB377" s="436">
        <f>SUM(Table1[[#This Row],[RAB Kegiatan Umum]:[RAB Perizinan]])</f>
        <v>99093506.299999997</v>
      </c>
      <c r="AC377" s="436">
        <v>6762449.2999999998</v>
      </c>
      <c r="AD377" s="436">
        <v>67624493</v>
      </c>
      <c r="AE377" s="436">
        <v>24256564</v>
      </c>
      <c r="AF377" s="436">
        <v>450000</v>
      </c>
      <c r="AG377" s="436"/>
      <c r="AH377" s="510">
        <f>SUM(Table1[[#This Row],[Bobot Keg Umum]:[Bobot Perizinan]])</f>
        <v>1</v>
      </c>
      <c r="AI377" s="510">
        <f>Table1[[#This Row],[RAB Kegiatan Umum]]/Table1[[#This Row],[Nilai RAB Jaringan
(Exclude Ppn)]]</f>
        <v>6.8243112515638166E-2</v>
      </c>
      <c r="AJ377" s="510">
        <f>Table1[[#This Row],[RAB Pemasangan]]/Table1[[#This Row],[Nilai RAB Jaringan
(Exclude Ppn)]]</f>
        <v>0.68243112515638171</v>
      </c>
      <c r="AK377" s="129">
        <f>Table1[[#This Row],[RAB Pengadaan]]/Table1[[#This Row],[Nilai RAB Jaringan
(Exclude Ppn)]]</f>
        <v>0.24478459694992144</v>
      </c>
      <c r="AL377" s="130">
        <f>Table1[[#This Row],[RAB Perizinan]]/Table1[[#This Row],[Nilai RAB Jaringan
(Exclude Ppn)]]</f>
        <v>4.5411653780586831E-3</v>
      </c>
      <c r="AM377" s="47"/>
      <c r="AN377" s="285"/>
      <c r="AO377" s="285">
        <f>SUM(Table1[[#This Row],[Pipa 63 mm]:[Pipa 1,800 mm]])</f>
        <v>0</v>
      </c>
      <c r="AP377" s="285"/>
      <c r="AQ377" s="285"/>
      <c r="AR377" s="285"/>
      <c r="AS377" s="285"/>
      <c r="AT377" s="285"/>
      <c r="AU377" s="285"/>
      <c r="AV377" s="285"/>
      <c r="AW377" s="285"/>
      <c r="AX377" s="285"/>
      <c r="AY377" s="285"/>
      <c r="AZ377" s="285"/>
      <c r="BA377" s="285"/>
      <c r="BB377" s="285"/>
      <c r="BC377" s="285"/>
      <c r="BD377" s="285"/>
      <c r="BE377" s="285"/>
      <c r="BF377" s="285"/>
      <c r="BG377" s="285"/>
      <c r="BH377" s="285"/>
      <c r="BI377" s="285"/>
      <c r="BJ377" s="36">
        <f>SUM(Table1[[#This Row],[Pipa 63 mm2]:[Pipa 1,800 mm21]])</f>
        <v>0</v>
      </c>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f>IF((Table1[[#This Row],["Volume
BA MC-0"]]-Table1[[#This Row],[Total Panjang Pipa Aktual
(Sum-&gt;)3]]-Table1[[#This Row],[Total Volume
tidak dapat dipasang]])&gt;=0,Table1[[#This Row],["Volume
BA MC-0"]]-Table1[[#This Row],[Total Panjang Pipa Aktual
(Sum-&gt;)3]]-Table1[[#This Row],[Total Volume
tidak dapat dipasang]],0)</f>
        <v>0</v>
      </c>
      <c r="CK377" s="47"/>
      <c r="CL377" s="131"/>
      <c r="CM377" s="337"/>
      <c r="CN377" s="131"/>
      <c r="CO377" s="131"/>
      <c r="CP37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8.503043894049904E-2</v>
      </c>
      <c r="CQ377" s="436">
        <f>IFERROR(Table1[[#This Row],[Progres Keg. Umum
(%)]]*Table1[[#This Row],[Nilai RAB Jaringan
(file pa aji)]],0)</f>
        <v>0</v>
      </c>
      <c r="CR377" s="436">
        <f>IFERROR(Table1[[#This Row],[Progres MOS
(%)]]*Table1[[#This Row],[Nilai RAB Jaringan
(file pa aji)]],0)</f>
        <v>0</v>
      </c>
      <c r="CS377" s="436">
        <f>IFERROR(Table1[[#This Row],[Progres Pemasangan
(%)]]*Table1[[#This Row],[Nilai RAB Jaringan
(file pa aji)]],0)</f>
        <v>0</v>
      </c>
      <c r="CT377" s="436">
        <f>IFERROR(Table1[[#This Row],[Progres Perizinan
(%)]]*Table1[[#This Row],[Nilai RAB Jaringan
(file pa aji)]],0)</f>
        <v>0</v>
      </c>
      <c r="CU377" s="329">
        <v>0</v>
      </c>
      <c r="CV377" s="329">
        <v>0</v>
      </c>
      <c r="CW377" s="511">
        <v>0</v>
      </c>
      <c r="CX377" s="329">
        <v>0</v>
      </c>
      <c r="CY377" s="47"/>
      <c r="CZ377" s="331">
        <v>45957</v>
      </c>
      <c r="DA377" s="331">
        <v>45984</v>
      </c>
      <c r="DB377" s="331">
        <v>45971</v>
      </c>
      <c r="DC377" s="316" t="s">
        <v>2991</v>
      </c>
      <c r="DD377" s="508">
        <v>109944292</v>
      </c>
      <c r="DE37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7" s="331">
        <v>46049</v>
      </c>
      <c r="DG377" s="316" t="s">
        <v>2992</v>
      </c>
      <c r="DH377" s="508">
        <v>109944292</v>
      </c>
      <c r="DI37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7" s="331">
        <v>45985</v>
      </c>
      <c r="DK377" s="331">
        <v>46047</v>
      </c>
      <c r="DL377" s="331">
        <v>46059</v>
      </c>
      <c r="DM377" s="316" t="s">
        <v>2993</v>
      </c>
      <c r="DN37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7" s="331">
        <v>46083</v>
      </c>
      <c r="DP377" s="316"/>
      <c r="DQ377" s="338" t="s">
        <v>365</v>
      </c>
      <c r="DR37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7" s="331">
        <v>45985</v>
      </c>
      <c r="DT377" s="331">
        <v>0</v>
      </c>
      <c r="DU377" s="331">
        <v>46026</v>
      </c>
      <c r="DV377" s="331">
        <v>0</v>
      </c>
      <c r="DW377" s="395">
        <v>46059</v>
      </c>
      <c r="DX377" s="316" t="s">
        <v>2994</v>
      </c>
      <c r="DY377" s="334">
        <v>19</v>
      </c>
      <c r="DZ377" s="334">
        <v>19</v>
      </c>
      <c r="EA37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7" s="331"/>
      <c r="EC377" s="332">
        <v>17</v>
      </c>
      <c r="ED377" s="332">
        <v>17</v>
      </c>
      <c r="EE377" s="118"/>
      <c r="EF377" s="337">
        <v>0.89473684210526316</v>
      </c>
      <c r="EG377" s="337">
        <f>Table1[[#This Row],[Line PO]]/Table1[[#This Row],[Line PR]]</f>
        <v>0.89473684210526316</v>
      </c>
      <c r="EH377" s="316" t="str">
        <f>IF(Table1[[#This Row],[PO Material Aktual 
(%)]]&gt;=100%,"Selesai PO = 100%",IF(Table1[[#This Row],[PO Material Aktual 
(%)]]&gt;=50%,"Proses PO &gt; 100%",IF(Table1[[#This Row],[PO Material Aktual 
(%)]]&gt;0%,"Proses PO &gt; 50%",IF(Table1[[#This Row],[PO Material Aktual 
(%)]]=0,"Belum PO = 0%"))))</f>
        <v>Proses PO &gt; 100%</v>
      </c>
      <c r="EI37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7" s="331">
        <v>46027</v>
      </c>
      <c r="EK377" s="331">
        <v>0</v>
      </c>
      <c r="EL377" s="331">
        <v>46103</v>
      </c>
      <c r="EM377" s="331">
        <v>0</v>
      </c>
      <c r="EN377" s="331"/>
      <c r="EO377" s="332">
        <v>11</v>
      </c>
      <c r="EP377" s="332">
        <v>11</v>
      </c>
      <c r="EQ377" s="337">
        <v>0.57894736842105265</v>
      </c>
      <c r="ER377" s="337">
        <f>Table1[[#This Row],[Line MOS (kolom bantu)]]/Table1[[#This Row],[Line PR]]</f>
        <v>0.57894736842105265</v>
      </c>
      <c r="ES377" s="316" t="str">
        <f>IF(Table1[[#This Row],[Progres MOS]]&gt;=100%,"Selesai MOS = 100%",IF(Table1[[#This Row],[Progres MOS]]&gt;=50%,"Proses MOS &gt; 100%",IF(Table1[[#This Row],[Progres MOS]]&gt;0%,"Proses MOS &gt; 50%",IF(Table1[[#This Row],[Progres MOS]]=0,"Belum MOS = 0%"))))</f>
        <v>Proses MOS &gt; 100%</v>
      </c>
      <c r="ET37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7" s="47"/>
      <c r="EV377" s="331">
        <v>45985</v>
      </c>
      <c r="EW377" s="331">
        <v>0</v>
      </c>
      <c r="EX377" s="331">
        <v>46075</v>
      </c>
      <c r="EY377" s="331">
        <v>0</v>
      </c>
      <c r="EZ377" s="352" t="s">
        <v>2748</v>
      </c>
      <c r="FA377" s="409" t="s">
        <v>2748</v>
      </c>
      <c r="FB377" s="330"/>
      <c r="FC377" s="330">
        <v>46010</v>
      </c>
      <c r="FD377" s="330" t="s">
        <v>260</v>
      </c>
      <c r="FE377" s="330"/>
      <c r="FF377" s="330"/>
      <c r="FG377" s="330"/>
      <c r="FH377" s="330"/>
      <c r="FI377" s="330"/>
      <c r="FJ377" s="330"/>
      <c r="FK377" s="330"/>
      <c r="FL377" s="336" t="s">
        <v>2806</v>
      </c>
      <c r="FM377" s="352"/>
      <c r="FN377" s="338" t="str">
        <f>IF(Table1[[#This Row],[Tanggal Pengajuan Dokumen]]="","",Table1[[#This Row],[PLAN PERMIT
start]]-Table1[[#This Row],[Tanggal Pengajuan Dokumen]])</f>
        <v/>
      </c>
      <c r="FO377" s="352"/>
      <c r="FP377" s="316"/>
      <c r="FQ377" s="338"/>
      <c r="FR377" s="331"/>
      <c r="FS377" s="338"/>
      <c r="FT37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7" s="344">
        <f ca="1">IF(Table1[[#This Row],[Status Izin]]="Selesai",Table1[[#This Row],[PLAN PERMIT
finish]]-Table1[[#This Row],[Tanggal Terbit/ Target Izin Terbit]],ROUNDUP(Table1[[#This Row],[PLAN PERMIT
finish]]-NOW(),0))</f>
        <v>-116</v>
      </c>
      <c r="FV37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7" s="344"/>
      <c r="FX377" s="47"/>
      <c r="FY377" s="513">
        <v>46034</v>
      </c>
      <c r="FZ377" s="513">
        <v>46049</v>
      </c>
      <c r="GA37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7" s="331">
        <v>46048</v>
      </c>
      <c r="GC377" s="352">
        <v>46141</v>
      </c>
      <c r="GD37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7" s="331">
        <v>46055</v>
      </c>
      <c r="GF377" s="352">
        <v>46141</v>
      </c>
      <c r="GG37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7" s="331">
        <v>46062</v>
      </c>
      <c r="GI377" s="331">
        <v>46068</v>
      </c>
      <c r="GJ377" s="352">
        <v>46146</v>
      </c>
      <c r="GK37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7" s="331">
        <v>46076</v>
      </c>
      <c r="GM377" s="331">
        <v>0</v>
      </c>
      <c r="GN377" s="331">
        <v>46103</v>
      </c>
      <c r="GO377" s="330">
        <v>0</v>
      </c>
      <c r="GP377" s="316"/>
      <c r="GQ37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7" s="331"/>
      <c r="GS377" s="331"/>
      <c r="GT377" s="354"/>
      <c r="GU377" s="344" t="str">
        <f>IF(Table1[[#This Row],[Hydro Tes Actual
(tanggal)]]&lt;&gt;"","Sudah","Belum")</f>
        <v>Belum</v>
      </c>
      <c r="GV377" s="330"/>
      <c r="GW377" s="330"/>
      <c r="GX377" s="331"/>
      <c r="GY377" s="344" t="str">
        <f>IF(Table1[[#This Row],[Interkoneksi Actual
(tanggal)]]&lt;&gt;"","Sudah","Belum")</f>
        <v>Belum</v>
      </c>
      <c r="GZ377" s="330"/>
      <c r="HA377" s="330"/>
      <c r="HB377" s="331"/>
      <c r="HC377" s="344" t="str">
        <f>IF(Table1[[#This Row],[Flushing Actual
(tanggal)]]&lt;&gt;"","Sudah","Belum")</f>
        <v>Belum</v>
      </c>
      <c r="HD377" s="331">
        <v>46106</v>
      </c>
      <c r="HE377" s="331">
        <v>0</v>
      </c>
      <c r="HF377" s="331">
        <v>46111</v>
      </c>
      <c r="HG377" s="352"/>
      <c r="HH37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7" s="330"/>
      <c r="HJ377" s="330"/>
      <c r="HK377" s="331"/>
      <c r="HL377" s="331"/>
      <c r="HM377" s="331">
        <v>46128</v>
      </c>
      <c r="HN377" s="331">
        <v>46128</v>
      </c>
      <c r="HO377" s="330">
        <v>0</v>
      </c>
      <c r="HP377" s="331"/>
      <c r="HQ37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77" s="331">
        <v>46136</v>
      </c>
      <c r="HS377" s="331"/>
      <c r="HT377" s="331">
        <v>46136</v>
      </c>
      <c r="HU377" s="420"/>
      <c r="HV377" s="395"/>
      <c r="HW377"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77" s="47"/>
      <c r="HY377" s="352"/>
      <c r="HZ377" s="352"/>
      <c r="IA377" s="72"/>
      <c r="IB377" s="618">
        <f>IFERROR(ROUND((Table1[[#This Row],[PLAN TC
finish]]-Table1[[#This Row],[PLAN MC-0
start]])/30,2),"")</f>
        <v>1.63</v>
      </c>
      <c r="IC377">
        <f>DATEDIF(Table1[[#This Row],[PLAN MC-0
start]],Table1[[#This Row],[PLAN TC
finish]],"m")</f>
        <v>1</v>
      </c>
      <c r="ID377" s="6"/>
      <c r="IE377" s="6"/>
      <c r="IF377" s="72"/>
      <c r="IH377" s="6"/>
      <c r="II377" s="4"/>
      <c r="IJ377" s="4"/>
      <c r="IK377" s="6"/>
      <c r="IL377" s="6"/>
      <c r="IM377" s="6"/>
      <c r="IN377" s="6"/>
      <c r="IO377" s="6"/>
      <c r="IQ377" s="6"/>
      <c r="IR377" s="6"/>
      <c r="IS377" s="6"/>
      <c r="IT377" s="6"/>
      <c r="IW377" s="6"/>
      <c r="IX377" s="6"/>
      <c r="IZ377" s="6"/>
      <c r="JA377" s="6"/>
    </row>
    <row r="378" spans="2:261" ht="15" hidden="1" customHeight="1" x14ac:dyDescent="0.2">
      <c r="B378" s="590">
        <f>SUBTOTAL(3,$D$5:D378)</f>
        <v>84</v>
      </c>
      <c r="C378" s="316">
        <v>374</v>
      </c>
      <c r="D378" s="584" t="s">
        <v>244</v>
      </c>
      <c r="E378" s="585" t="s">
        <v>2995</v>
      </c>
      <c r="F378" s="585" t="s">
        <v>2996</v>
      </c>
      <c r="G378" s="586">
        <v>46300</v>
      </c>
      <c r="H378" s="585" t="s">
        <v>681</v>
      </c>
      <c r="I378" s="338" t="s">
        <v>278</v>
      </c>
      <c r="J378" s="587"/>
      <c r="K378" s="338"/>
      <c r="L378" s="316"/>
      <c r="M378" s="355" t="s">
        <v>269</v>
      </c>
      <c r="N378" s="588">
        <v>178</v>
      </c>
      <c r="O378" s="588" t="s">
        <v>252</v>
      </c>
      <c r="P37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8" s="589" t="s">
        <v>389</v>
      </c>
      <c r="R378" s="35">
        <v>1</v>
      </c>
      <c r="S378" s="327">
        <v>1</v>
      </c>
      <c r="T378" s="152">
        <f>Table1[[#This Row],[Progres Total Aktual
(%)]]</f>
        <v>7.6200840245465626E-2</v>
      </c>
      <c r="U378" s="121">
        <f>Table1[[#This Row],[Progres Aktual
(%)]]-Table1[[#This Row],[Target Progres
(%)]]</f>
        <v>-0.92379915975453442</v>
      </c>
      <c r="V378" s="80">
        <f>Table1[[#This Row],["Volume
BA MC-0"]]</f>
        <v>0</v>
      </c>
      <c r="W378" s="80">
        <f>Table1[[#This Row],[Total Panjang Pipa Aktual
(Sum-&gt;)3]]</f>
        <v>0</v>
      </c>
      <c r="X378" s="117"/>
      <c r="Y378" s="67" t="s">
        <v>2997</v>
      </c>
      <c r="Z378" s="67">
        <v>370414688</v>
      </c>
      <c r="AA378" s="509">
        <f>ROUND((Table1[[#This Row],[Nilai RAB Jaringan
(Exclude Ppn)]]-Table1[[#This Row],[RAB Perizinan]])*1.11+Table1[[#This Row],[RAB Perizinan]],0)</f>
        <v>370414687</v>
      </c>
      <c r="AB378" s="436">
        <f>SUM(Table1[[#This Row],[RAB Kegiatan Umum]:[RAB Perizinan]])</f>
        <v>333883321.89999998</v>
      </c>
      <c r="AC378" s="436">
        <v>24890754.899999999</v>
      </c>
      <c r="AD378" s="436">
        <v>248907549</v>
      </c>
      <c r="AE378" s="436">
        <v>58305018</v>
      </c>
      <c r="AF378" s="436">
        <v>1780000</v>
      </c>
      <c r="AG378" s="436"/>
      <c r="AH378" s="510">
        <f>SUM(Table1[[#This Row],[Bobot Keg Umum]:[Bobot Perizinan]])</f>
        <v>1</v>
      </c>
      <c r="AI378" s="510">
        <f>Table1[[#This Row],[RAB Kegiatan Umum]]/Table1[[#This Row],[Nilai RAB Jaringan
(Exclude Ppn)]]</f>
        <v>7.4549260976428541E-2</v>
      </c>
      <c r="AJ378" s="510">
        <f>Table1[[#This Row],[RAB Pemasangan]]/Table1[[#This Row],[Nilai RAB Jaringan
(Exclude Ppn)]]</f>
        <v>0.74549260976428555</v>
      </c>
      <c r="AK378" s="129">
        <f>Table1[[#This Row],[RAB Pengadaan]]/Table1[[#This Row],[Nilai RAB Jaringan
(Exclude Ppn)]]</f>
        <v>0.1746269255625254</v>
      </c>
      <c r="AL378" s="130">
        <f>Table1[[#This Row],[RAB Perizinan]]/Table1[[#This Row],[Nilai RAB Jaringan
(Exclude Ppn)]]</f>
        <v>5.3312036967606323E-3</v>
      </c>
      <c r="AM378" s="47"/>
      <c r="AN378" s="285"/>
      <c r="AO378" s="285">
        <f>SUM(Table1[[#This Row],[Pipa 63 mm]:[Pipa 1,800 mm]])</f>
        <v>0</v>
      </c>
      <c r="AP378" s="285"/>
      <c r="AQ378" s="285"/>
      <c r="AR378" s="285"/>
      <c r="AS378" s="285"/>
      <c r="AT378" s="285"/>
      <c r="AU378" s="285"/>
      <c r="AV378" s="285"/>
      <c r="AW378" s="285"/>
      <c r="AX378" s="285"/>
      <c r="AY378" s="285"/>
      <c r="AZ378" s="285"/>
      <c r="BA378" s="285"/>
      <c r="BB378" s="285"/>
      <c r="BC378" s="285"/>
      <c r="BD378" s="285"/>
      <c r="BE378" s="285"/>
      <c r="BF378" s="285"/>
      <c r="BG378" s="285"/>
      <c r="BH378" s="285"/>
      <c r="BI378" s="285"/>
      <c r="BJ378" s="36">
        <f>SUM(Table1[[#This Row],[Pipa 63 mm2]:[Pipa 1,800 mm21]])</f>
        <v>0</v>
      </c>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f>IF((Table1[[#This Row],["Volume
BA MC-0"]]-Table1[[#This Row],[Total Panjang Pipa Aktual
(Sum-&gt;)3]]-Table1[[#This Row],[Total Volume
tidak dapat dipasang]])&gt;=0,Table1[[#This Row],["Volume
BA MC-0"]]-Table1[[#This Row],[Total Panjang Pipa Aktual
(Sum-&gt;)3]]-Table1[[#This Row],[Total Volume
tidak dapat dipasang]],0)</f>
        <v>0</v>
      </c>
      <c r="CK378" s="47"/>
      <c r="CL378" s="131"/>
      <c r="CM378" s="337"/>
      <c r="CN378" s="131"/>
      <c r="CO378" s="131"/>
      <c r="CP37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7.6200840245465626E-2</v>
      </c>
      <c r="CQ378" s="436">
        <f>IFERROR(Table1[[#This Row],[Progres Keg. Umum
(%)]]*Table1[[#This Row],[Nilai RAB Jaringan
(file pa aji)]],0)</f>
        <v>0</v>
      </c>
      <c r="CR378" s="436">
        <f>IFERROR(Table1[[#This Row],[Progres MOS
(%)]]*Table1[[#This Row],[Nilai RAB Jaringan
(file pa aji)]],0)</f>
        <v>0</v>
      </c>
      <c r="CS378" s="436">
        <f>IFERROR(Table1[[#This Row],[Progres Pemasangan
(%)]]*Table1[[#This Row],[Nilai RAB Jaringan
(file pa aji)]],0)</f>
        <v>0</v>
      </c>
      <c r="CT378" s="436">
        <f>IFERROR(Table1[[#This Row],[Progres Perizinan
(%)]]*Table1[[#This Row],[Nilai RAB Jaringan
(file pa aji)]],0)</f>
        <v>0</v>
      </c>
      <c r="CU378" s="329">
        <v>0</v>
      </c>
      <c r="CV378" s="329">
        <v>0</v>
      </c>
      <c r="CW378" s="511">
        <v>0</v>
      </c>
      <c r="CX378" s="329">
        <v>0</v>
      </c>
      <c r="CY378" s="47"/>
      <c r="CZ378" s="331">
        <v>45957</v>
      </c>
      <c r="DA378" s="331">
        <v>45984</v>
      </c>
      <c r="DB378" s="331">
        <v>45971</v>
      </c>
      <c r="DC378" s="515" t="s">
        <v>2998</v>
      </c>
      <c r="DD378" s="508">
        <v>370414687</v>
      </c>
      <c r="DE37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8" s="331">
        <v>45999</v>
      </c>
      <c r="DG378" s="516" t="s">
        <v>2999</v>
      </c>
      <c r="DH378" s="508">
        <v>370414687</v>
      </c>
      <c r="DI37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8" s="331">
        <v>45985</v>
      </c>
      <c r="DK378" s="331">
        <v>46047</v>
      </c>
      <c r="DL378" s="331">
        <v>46048</v>
      </c>
      <c r="DM378" s="316" t="s">
        <v>3000</v>
      </c>
      <c r="DN37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8" s="331">
        <v>46114</v>
      </c>
      <c r="DP378" s="316" t="s">
        <v>2746</v>
      </c>
      <c r="DQ378" s="338" t="s">
        <v>365</v>
      </c>
      <c r="DR37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8" s="331">
        <v>45985</v>
      </c>
      <c r="DT378" s="331">
        <v>0</v>
      </c>
      <c r="DU378" s="331">
        <v>46026</v>
      </c>
      <c r="DV378" s="331">
        <v>0</v>
      </c>
      <c r="DW378" s="331">
        <v>46048</v>
      </c>
      <c r="DX378" s="331" t="s">
        <v>3001</v>
      </c>
      <c r="DY378" s="334">
        <v>22</v>
      </c>
      <c r="DZ378" s="334">
        <v>22</v>
      </c>
      <c r="EA37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8" s="331"/>
      <c r="EC378" s="332">
        <v>21</v>
      </c>
      <c r="ED378" s="332">
        <v>21</v>
      </c>
      <c r="EE378" s="118"/>
      <c r="EF378" s="337">
        <v>0.95454545454545459</v>
      </c>
      <c r="EG378" s="337">
        <f>Table1[[#This Row],[Line PO]]/Table1[[#This Row],[Line PR]]</f>
        <v>0.95454545454545459</v>
      </c>
      <c r="EH378" s="316" t="str">
        <f>IF(Table1[[#This Row],[PO Material Aktual 
(%)]]&gt;=100%,"Selesai PO = 100%",IF(Table1[[#This Row],[PO Material Aktual 
(%)]]&gt;=50%,"Proses PO &gt; 100%",IF(Table1[[#This Row],[PO Material Aktual 
(%)]]&gt;0%,"Proses PO &gt; 50%",IF(Table1[[#This Row],[PO Material Aktual 
(%)]]=0,"Belum PO = 0%"))))</f>
        <v>Proses PO &gt; 100%</v>
      </c>
      <c r="EI37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8" s="331">
        <v>46027</v>
      </c>
      <c r="EK378" s="331">
        <v>0</v>
      </c>
      <c r="EL378" s="331">
        <v>46103</v>
      </c>
      <c r="EM378" s="331">
        <v>0</v>
      </c>
      <c r="EN378" s="331"/>
      <c r="EO378" s="332">
        <v>16</v>
      </c>
      <c r="EP378" s="332">
        <v>16</v>
      </c>
      <c r="EQ378" s="337">
        <v>0.72727272727272729</v>
      </c>
      <c r="ER378" s="337">
        <f>Table1[[#This Row],[Line MOS (kolom bantu)]]/Table1[[#This Row],[Line PR]]</f>
        <v>0.72727272727272729</v>
      </c>
      <c r="ES378" s="316" t="str">
        <f>IF(Table1[[#This Row],[Progres MOS]]&gt;=100%,"Selesai MOS = 100%",IF(Table1[[#This Row],[Progres MOS]]&gt;=50%,"Proses MOS &gt; 100%",IF(Table1[[#This Row],[Progres MOS]]&gt;0%,"Proses MOS &gt; 50%",IF(Table1[[#This Row],[Progres MOS]]=0,"Belum MOS = 0%"))))</f>
        <v>Proses MOS &gt; 100%</v>
      </c>
      <c r="ET37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8" s="47"/>
      <c r="EV378" s="331">
        <v>45985</v>
      </c>
      <c r="EW378" s="331">
        <v>0</v>
      </c>
      <c r="EX378" s="331">
        <v>46075</v>
      </c>
      <c r="EY378" s="331">
        <v>0</v>
      </c>
      <c r="EZ378" s="352" t="s">
        <v>2748</v>
      </c>
      <c r="FA378" s="409" t="s">
        <v>2748</v>
      </c>
      <c r="FB378" s="330"/>
      <c r="FC378" s="330">
        <v>46036</v>
      </c>
      <c r="FD378" s="330" t="s">
        <v>260</v>
      </c>
      <c r="FE378" s="330"/>
      <c r="FF378" s="330"/>
      <c r="FG378" s="330"/>
      <c r="FH378" s="330"/>
      <c r="FI378" s="330"/>
      <c r="FJ378" s="330"/>
      <c r="FK378" s="330"/>
      <c r="FL378" s="336" t="s">
        <v>2806</v>
      </c>
      <c r="FM378" s="352"/>
      <c r="FN378" s="338" t="str">
        <f>IF(Table1[[#This Row],[Tanggal Pengajuan Dokumen]]="","",Table1[[#This Row],[PLAN PERMIT
start]]-Table1[[#This Row],[Tanggal Pengajuan Dokumen]])</f>
        <v/>
      </c>
      <c r="FO378" s="352"/>
      <c r="FP378" s="316"/>
      <c r="FQ378" s="338"/>
      <c r="FR378" s="331"/>
      <c r="FS378" s="338"/>
      <c r="FT37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8" s="344">
        <f ca="1">IF(Table1[[#This Row],[Status Izin]]="Selesai",Table1[[#This Row],[PLAN PERMIT
finish]]-Table1[[#This Row],[Tanggal Terbit/ Target Izin Terbit]],ROUNDUP(Table1[[#This Row],[PLAN PERMIT
finish]]-NOW(),0))</f>
        <v>-116</v>
      </c>
      <c r="FV37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8" s="344"/>
      <c r="FX378" s="47"/>
      <c r="FY378" s="513">
        <v>46034</v>
      </c>
      <c r="FZ378" s="513">
        <v>46049</v>
      </c>
      <c r="GA37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8" s="331">
        <v>46048</v>
      </c>
      <c r="GC378" s="352">
        <v>46141</v>
      </c>
      <c r="GD37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8" s="331">
        <v>46055</v>
      </c>
      <c r="GF378" s="352">
        <v>46141</v>
      </c>
      <c r="GG37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8" s="331">
        <v>46062</v>
      </c>
      <c r="GI378" s="331">
        <v>46068</v>
      </c>
      <c r="GJ378" s="352">
        <v>46146</v>
      </c>
      <c r="GK37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8" s="331">
        <v>46076</v>
      </c>
      <c r="GM378" s="331">
        <v>0</v>
      </c>
      <c r="GN378" s="331">
        <v>46103</v>
      </c>
      <c r="GO378" s="330">
        <v>0</v>
      </c>
      <c r="GP378" s="316"/>
      <c r="GQ37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8" s="331"/>
      <c r="GS378" s="331"/>
      <c r="GT378" s="354"/>
      <c r="GU378" s="344" t="str">
        <f>IF(Table1[[#This Row],[Hydro Tes Actual
(tanggal)]]&lt;&gt;"","Sudah","Belum")</f>
        <v>Belum</v>
      </c>
      <c r="GV378" s="330"/>
      <c r="GW378" s="330"/>
      <c r="GX378" s="331"/>
      <c r="GY378" s="344" t="str">
        <f>IF(Table1[[#This Row],[Interkoneksi Actual
(tanggal)]]&lt;&gt;"","Sudah","Belum")</f>
        <v>Belum</v>
      </c>
      <c r="GZ378" s="330"/>
      <c r="HA378" s="330"/>
      <c r="HB378" s="331"/>
      <c r="HC378" s="344" t="str">
        <f>IF(Table1[[#This Row],[Flushing Actual
(tanggal)]]&lt;&gt;"","Sudah","Belum")</f>
        <v>Belum</v>
      </c>
      <c r="HD378" s="331">
        <v>46106</v>
      </c>
      <c r="HE378" s="331">
        <v>0</v>
      </c>
      <c r="HF378" s="331">
        <v>46111</v>
      </c>
      <c r="HG378" s="352"/>
      <c r="HH37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8" s="330"/>
      <c r="HJ378" s="330"/>
      <c r="HK378" s="331"/>
      <c r="HL378" s="331"/>
      <c r="HM378" s="331">
        <v>46128</v>
      </c>
      <c r="HN378" s="331">
        <v>46128</v>
      </c>
      <c r="HO378" s="330">
        <v>0</v>
      </c>
      <c r="HP378" s="331"/>
      <c r="HQ37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78" s="331">
        <v>46136</v>
      </c>
      <c r="HS378" s="331"/>
      <c r="HT378" s="331">
        <v>46136</v>
      </c>
      <c r="HU378" s="420"/>
      <c r="HV378" s="395"/>
      <c r="HW37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78" s="47"/>
      <c r="HY378" s="352"/>
      <c r="HZ378" s="352"/>
      <c r="IA378" s="72"/>
      <c r="IB378" s="618">
        <f>IFERROR(ROUND((Table1[[#This Row],[PLAN TC
finish]]-Table1[[#This Row],[PLAN MC-0
start]])/30,2),"")</f>
        <v>1.63</v>
      </c>
      <c r="IC378">
        <f>DATEDIF(Table1[[#This Row],[PLAN MC-0
start]],Table1[[#This Row],[PLAN TC
finish]],"m")</f>
        <v>1</v>
      </c>
      <c r="ID378" s="6"/>
      <c r="IE378" s="6"/>
      <c r="IF378" s="72"/>
      <c r="IH378" s="6"/>
      <c r="II378" s="4"/>
      <c r="IJ378" s="4"/>
      <c r="IK378" s="6"/>
      <c r="IL378" s="6"/>
      <c r="IM378" s="6"/>
      <c r="IN378" s="6"/>
      <c r="IO378" s="6"/>
      <c r="IQ378" s="6"/>
      <c r="IR378" s="6"/>
      <c r="IS378" s="6"/>
      <c r="IT378" s="6"/>
      <c r="IW378" s="6"/>
      <c r="IX378" s="6"/>
      <c r="IZ378" s="6"/>
      <c r="JA378" s="6"/>
    </row>
    <row r="379" spans="2:261" ht="15" hidden="1" customHeight="1" x14ac:dyDescent="0.2">
      <c r="B379" s="311">
        <f>SUBTOTAL(3,$D$5:D379)</f>
        <v>84</v>
      </c>
      <c r="C379" s="316">
        <v>375</v>
      </c>
      <c r="D379" s="315" t="s">
        <v>244</v>
      </c>
      <c r="E379" s="338" t="s">
        <v>3002</v>
      </c>
      <c r="F379" s="338" t="s">
        <v>3003</v>
      </c>
      <c r="G379" s="349">
        <v>46300</v>
      </c>
      <c r="H379" s="338" t="s">
        <v>681</v>
      </c>
      <c r="I379" s="338" t="s">
        <v>278</v>
      </c>
      <c r="J379" s="480"/>
      <c r="K379" s="338"/>
      <c r="L379" s="316"/>
      <c r="M379" s="355" t="s">
        <v>269</v>
      </c>
      <c r="N379" s="507">
        <v>1886</v>
      </c>
      <c r="O379" s="507" t="s">
        <v>252</v>
      </c>
      <c r="P37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9" s="35">
        <v>1.0000000000000002</v>
      </c>
      <c r="S379" s="327">
        <v>1.0000000000000002</v>
      </c>
      <c r="T379" s="152">
        <f>Table1[[#This Row],[Progres Total Aktual
(%)]]</f>
        <v>7.7136899085555363E-2</v>
      </c>
      <c r="U379" s="121">
        <f>Table1[[#This Row],[Progres Aktual
(%)]]-Table1[[#This Row],[Target Progres
(%)]]</f>
        <v>-0.9228631009144449</v>
      </c>
      <c r="V379" s="80">
        <v>1657.2</v>
      </c>
      <c r="W379" s="80">
        <f>Table1[[#This Row],[Total Panjang Pipa Aktual
(Sum-&gt;)3]]</f>
        <v>0</v>
      </c>
      <c r="X379" s="117"/>
      <c r="Y379" s="67" t="s">
        <v>3004</v>
      </c>
      <c r="Z379" s="67">
        <v>4385993618</v>
      </c>
      <c r="AA379" s="509">
        <f>ROUND((Table1[[#This Row],[Nilai RAB Jaringan
(Exclude Ppn)]]-Table1[[#This Row],[RAB Perizinan]])*1.11+Table1[[#This Row],[RAB Perizinan]],0)</f>
        <v>4915268963</v>
      </c>
      <c r="AB379" s="436">
        <f>SUM(Table1[[#This Row],[RAB Kegiatan Umum]:[RAB Perizinan]])</f>
        <v>4430732940</v>
      </c>
      <c r="AC379" s="436">
        <v>305917033</v>
      </c>
      <c r="AD379" s="436">
        <v>3059170326</v>
      </c>
      <c r="AE379" s="436">
        <v>1039785581</v>
      </c>
      <c r="AF379" s="436">
        <v>25860000</v>
      </c>
      <c r="AG379" s="436"/>
      <c r="AH379" s="510">
        <f>SUM(Table1[[#This Row],[Bobot Keg Umum]:[Bobot Perizinan]])</f>
        <v>1</v>
      </c>
      <c r="AI379" s="510">
        <f>Table1[[#This Row],[RAB Kegiatan Umum]]/Table1[[#This Row],[Nilai RAB Jaringan
(Exclude Ppn)]]</f>
        <v>6.904434032532776E-2</v>
      </c>
      <c r="AJ379" s="510">
        <f>Table1[[#This Row],[RAB Pemasangan]]/Table1[[#This Row],[Nilai RAB Jaringan
(Exclude Ppn)]]</f>
        <v>0.6904434023504924</v>
      </c>
      <c r="AK379" s="129">
        <f>Table1[[#This Row],[RAB Pengadaan]]/Table1[[#This Row],[Nilai RAB Jaringan
(Exclude Ppn)]]</f>
        <v>0.23467575118621345</v>
      </c>
      <c r="AL379" s="130">
        <f>Table1[[#This Row],[RAB Perizinan]]/Table1[[#This Row],[Nilai RAB Jaringan
(Exclude Ppn)]]</f>
        <v>5.8365061379664195E-3</v>
      </c>
      <c r="AM379" s="47"/>
      <c r="AN379" s="285">
        <v>1657.2</v>
      </c>
      <c r="AO379" s="285">
        <f>SUM(Table1[[#This Row],[Pipa 63 mm]:[Pipa 1,800 mm]])</f>
        <v>1657.2</v>
      </c>
      <c r="AP379" s="285">
        <v>98</v>
      </c>
      <c r="AQ379" s="285">
        <v>150</v>
      </c>
      <c r="AR379" s="285">
        <v>438.5</v>
      </c>
      <c r="AS379" s="285">
        <v>945.5</v>
      </c>
      <c r="AT379" s="285">
        <v>25.2</v>
      </c>
      <c r="AU379" s="285"/>
      <c r="AV379" s="285"/>
      <c r="AW379" s="285"/>
      <c r="AX379" s="285"/>
      <c r="AY379" s="285"/>
      <c r="AZ379" s="285"/>
      <c r="BA379" s="285"/>
      <c r="BB379" s="285"/>
      <c r="BC379" s="285"/>
      <c r="BD379" s="285"/>
      <c r="BE379" s="285"/>
      <c r="BF379" s="285"/>
      <c r="BG379" s="285"/>
      <c r="BH379" s="285"/>
      <c r="BI379" s="285"/>
      <c r="BJ379" s="36">
        <f>SUM(Table1[[#This Row],[Pipa 63 mm2]:[Pipa 1,800 mm21]])</f>
        <v>0</v>
      </c>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f>IF((Table1[[#This Row],["Volume
BA MC-0"]]-Table1[[#This Row],[Total Panjang Pipa Aktual
(Sum-&gt;)3]]-Table1[[#This Row],[Total Volume
tidak dapat dipasang]])&gt;=0,Table1[[#This Row],["Volume
BA MC-0"]]-Table1[[#This Row],[Total Panjang Pipa Aktual
(Sum-&gt;)3]]-Table1[[#This Row],[Total Volume
tidak dapat dipasang]],0)</f>
        <v>1657.2</v>
      </c>
      <c r="CK379" s="47"/>
      <c r="CL379" s="131"/>
      <c r="CM379" s="337"/>
      <c r="CN379" s="131"/>
      <c r="CO379" s="131"/>
      <c r="CP37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7.7136899085555363E-2</v>
      </c>
      <c r="CQ379" s="436">
        <f>IFERROR(Table1[[#This Row],[Progres Keg. Umum
(%)]]*Table1[[#This Row],[Nilai RAB Jaringan
(file pa aji)]],0)</f>
        <v>0</v>
      </c>
      <c r="CR379" s="436">
        <f>IFERROR(Table1[[#This Row],[Progres MOS
(%)]]*Table1[[#This Row],[Nilai RAB Jaringan
(file pa aji)]],0)</f>
        <v>0</v>
      </c>
      <c r="CS379" s="436">
        <f>IFERROR(Table1[[#This Row],[Progres Pemasangan
(%)]]*Table1[[#This Row],[Nilai RAB Jaringan
(file pa aji)]],0)</f>
        <v>0</v>
      </c>
      <c r="CT379" s="436">
        <f>IFERROR(Table1[[#This Row],[Progres Perizinan
(%)]]*Table1[[#This Row],[Nilai RAB Jaringan
(file pa aji)]],0)</f>
        <v>0</v>
      </c>
      <c r="CU379" s="329">
        <v>0</v>
      </c>
      <c r="CV379" s="329">
        <v>0</v>
      </c>
      <c r="CW379" s="511">
        <v>0</v>
      </c>
      <c r="CX379" s="329">
        <v>0</v>
      </c>
      <c r="CY379" s="47"/>
      <c r="CZ379" s="331">
        <v>45957</v>
      </c>
      <c r="DA379" s="331">
        <v>45984</v>
      </c>
      <c r="DB379" s="331">
        <v>45973</v>
      </c>
      <c r="DC379" s="515" t="s">
        <v>3005</v>
      </c>
      <c r="DD379" s="508">
        <v>4905244495</v>
      </c>
      <c r="DE37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9" s="331">
        <v>46055</v>
      </c>
      <c r="DG379" s="316" t="s">
        <v>3006</v>
      </c>
      <c r="DH379" s="514">
        <f>4879384495+25860000</f>
        <v>4905244495</v>
      </c>
      <c r="DI37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9" s="331">
        <v>45985</v>
      </c>
      <c r="DK379" s="331">
        <v>46047</v>
      </c>
      <c r="DL379" s="331">
        <v>46062</v>
      </c>
      <c r="DM379" s="316" t="s">
        <v>3007</v>
      </c>
      <c r="DN37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9" s="331">
        <v>46091</v>
      </c>
      <c r="DP379" s="316" t="s">
        <v>3008</v>
      </c>
      <c r="DQ379" s="338" t="s">
        <v>479</v>
      </c>
      <c r="DR37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9" s="331">
        <v>45985</v>
      </c>
      <c r="DT379" s="331">
        <v>46164</v>
      </c>
      <c r="DU379" s="331">
        <v>46026</v>
      </c>
      <c r="DV379" s="331">
        <v>46178</v>
      </c>
      <c r="DW379" s="331">
        <v>46062</v>
      </c>
      <c r="DX379" s="426" t="s">
        <v>3009</v>
      </c>
      <c r="DY379" s="334">
        <v>115</v>
      </c>
      <c r="DZ379" s="334">
        <v>115</v>
      </c>
      <c r="EA37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9" s="331"/>
      <c r="EC379" s="332">
        <v>103</v>
      </c>
      <c r="ED379" s="332">
        <v>103</v>
      </c>
      <c r="EE379" s="118"/>
      <c r="EF379" s="337">
        <v>0.89565217391304353</v>
      </c>
      <c r="EG379" s="337">
        <f>Table1[[#This Row],[Line PO]]/Table1[[#This Row],[Line PR]]</f>
        <v>0.89565217391304353</v>
      </c>
      <c r="EH379" s="316" t="str">
        <f>IF(Table1[[#This Row],[PO Material Aktual 
(%)]]&gt;=100%,"Selesai PO = 100%",IF(Table1[[#This Row],[PO Material Aktual 
(%)]]&gt;=50%,"Proses PO &gt; 100%",IF(Table1[[#This Row],[PO Material Aktual 
(%)]]&gt;0%,"Proses PO &gt; 50%",IF(Table1[[#This Row],[PO Material Aktual 
(%)]]=0,"Belum PO = 0%"))))</f>
        <v>Proses PO &gt; 100%</v>
      </c>
      <c r="EI37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9" s="331">
        <v>46027</v>
      </c>
      <c r="EK379" s="331">
        <v>46178</v>
      </c>
      <c r="EL379" s="331">
        <v>46124</v>
      </c>
      <c r="EM379" s="331">
        <v>46203</v>
      </c>
      <c r="EN379" s="331"/>
      <c r="EO379" s="332">
        <v>63</v>
      </c>
      <c r="EP379" s="332">
        <v>63</v>
      </c>
      <c r="EQ379" s="337">
        <v>0.54782608695652169</v>
      </c>
      <c r="ER379" s="337">
        <f>Table1[[#This Row],[Line MOS (kolom bantu)]]/Table1[[#This Row],[Line PR]]</f>
        <v>0.54782608695652169</v>
      </c>
      <c r="ES379" s="316" t="str">
        <f>IF(Table1[[#This Row],[Progres MOS]]&gt;=100%,"Selesai MOS = 100%",IF(Table1[[#This Row],[Progres MOS]]&gt;=50%,"Proses MOS &gt; 100%",IF(Table1[[#This Row],[Progres MOS]]&gt;0%,"Proses MOS &gt; 50%",IF(Table1[[#This Row],[Progres MOS]]=0,"Belum MOS = 0%"))))</f>
        <v>Proses MOS &gt; 100%</v>
      </c>
      <c r="ET37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9" s="47"/>
      <c r="EV379" s="331">
        <v>45985</v>
      </c>
      <c r="EW379" s="331">
        <v>46164</v>
      </c>
      <c r="EX379" s="331">
        <v>46075</v>
      </c>
      <c r="EY379" s="331">
        <v>46194</v>
      </c>
      <c r="EZ379" s="352" t="s">
        <v>2748</v>
      </c>
      <c r="FA379" s="409" t="s">
        <v>2748</v>
      </c>
      <c r="FB379" s="330"/>
      <c r="FC379" s="330">
        <v>46036</v>
      </c>
      <c r="FD379" s="330" t="s">
        <v>260</v>
      </c>
      <c r="FE379" s="330"/>
      <c r="FF379" s="330"/>
      <c r="FG379" s="330"/>
      <c r="FH379" s="330"/>
      <c r="FI379" s="330"/>
      <c r="FJ379" s="330"/>
      <c r="FK379" s="330"/>
      <c r="FL379" s="336" t="s">
        <v>2806</v>
      </c>
      <c r="FM379" s="352"/>
      <c r="FN379" s="338" t="str">
        <f>IF(Table1[[#This Row],[Tanggal Pengajuan Dokumen]]="","",Table1[[#This Row],[PLAN PERMIT
start]]-Table1[[#This Row],[Tanggal Pengajuan Dokumen]])</f>
        <v/>
      </c>
      <c r="FO379" s="352"/>
      <c r="FP379" s="316"/>
      <c r="FQ379" s="338"/>
      <c r="FR379" s="331"/>
      <c r="FS379" s="338"/>
      <c r="FT37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9" s="344">
        <f ca="1">IF(Table1[[#This Row],[Status Izin]]="Selesai",Table1[[#This Row],[PLAN PERMIT
finish]]-Table1[[#This Row],[Tanggal Terbit/ Target Izin Terbit]],ROUNDUP(Table1[[#This Row],[PLAN PERMIT
finish]]-NOW(),0))</f>
        <v>-116</v>
      </c>
      <c r="FV37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9" s="344"/>
      <c r="FX379" s="47"/>
      <c r="FY379" s="513">
        <v>46034</v>
      </c>
      <c r="FZ379" s="513">
        <v>46049</v>
      </c>
      <c r="GA37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9" s="331">
        <v>46048</v>
      </c>
      <c r="GC379" s="352">
        <f>Table1[[#This Row],[Tanggal Aktual Kick Off]]</f>
        <v>46112</v>
      </c>
      <c r="GD37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9" s="331">
        <v>46055</v>
      </c>
      <c r="GF379" s="352">
        <v>46112</v>
      </c>
      <c r="GG37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9" s="331">
        <v>46062</v>
      </c>
      <c r="GI379" s="331">
        <v>46068</v>
      </c>
      <c r="GJ379" s="352">
        <v>46120</v>
      </c>
      <c r="GK37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9" s="331">
        <v>46076</v>
      </c>
      <c r="GM379" s="331">
        <v>46206</v>
      </c>
      <c r="GN379" s="331">
        <v>46138</v>
      </c>
      <c r="GO379" s="330">
        <v>46273</v>
      </c>
      <c r="GP379" s="316"/>
      <c r="GQ37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9" s="331"/>
      <c r="GS379" s="331"/>
      <c r="GT379" s="354"/>
      <c r="GU379" s="344" t="str">
        <f>IF(Table1[[#This Row],[Hydro Tes Actual
(tanggal)]]&lt;&gt;"","Sudah","Belum")</f>
        <v>Belum</v>
      </c>
      <c r="GV379" s="330"/>
      <c r="GW379" s="330"/>
      <c r="GX379" s="331"/>
      <c r="GY379" s="344" t="str">
        <f>IF(Table1[[#This Row],[Interkoneksi Actual
(tanggal)]]&lt;&gt;"","Sudah","Belum")</f>
        <v>Belum</v>
      </c>
      <c r="GZ379" s="330"/>
      <c r="HA379" s="330"/>
      <c r="HB379" s="331"/>
      <c r="HC379" s="344" t="str">
        <f>IF(Table1[[#This Row],[Flushing Actual
(tanggal)]]&lt;&gt;"","Sudah","Belum")</f>
        <v>Belum</v>
      </c>
      <c r="HD379" s="331">
        <v>46141</v>
      </c>
      <c r="HE379" s="331">
        <v>46274</v>
      </c>
      <c r="HF379" s="331">
        <v>46146</v>
      </c>
      <c r="HG379" s="352"/>
      <c r="HH37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9" s="330"/>
      <c r="HJ379" s="330"/>
      <c r="HK379" s="331"/>
      <c r="HL379" s="331"/>
      <c r="HM379" s="331">
        <v>46163</v>
      </c>
      <c r="HN379" s="331">
        <v>46163</v>
      </c>
      <c r="HO379" s="330">
        <v>46291</v>
      </c>
      <c r="HP379" s="331"/>
      <c r="HQ37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79" s="331">
        <v>46171</v>
      </c>
      <c r="HS379" s="331"/>
      <c r="HT379" s="331">
        <v>46171</v>
      </c>
      <c r="HU379" s="420"/>
      <c r="HV379" s="395"/>
      <c r="HW379"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79" s="47"/>
      <c r="HY379" s="352"/>
      <c r="HZ379" s="352"/>
      <c r="IA379" s="72"/>
      <c r="IB379" s="618">
        <f>IFERROR(ROUND((Table1[[#This Row],[PLAN TC
finish]]-Table1[[#This Row],[PLAN MC-0
start]])/30,2),"")</f>
        <v>2.8</v>
      </c>
      <c r="IC379">
        <f>DATEDIF(Table1[[#This Row],[PLAN MC-0
start]],Table1[[#This Row],[PLAN TC
finish]],"m")</f>
        <v>2</v>
      </c>
      <c r="ID379" s="6"/>
      <c r="IE379" s="6"/>
      <c r="IF379" s="72"/>
      <c r="IH379" s="6"/>
      <c r="II379" s="4"/>
      <c r="IJ379" s="4"/>
      <c r="IK379" s="6"/>
      <c r="IL379" s="6"/>
      <c r="IM379" s="6"/>
      <c r="IN379" s="6"/>
      <c r="IO379" s="6"/>
      <c r="IQ379" s="6"/>
      <c r="IR379" s="6"/>
      <c r="IS379" s="6"/>
      <c r="IT379" s="6"/>
      <c r="IW379" s="6"/>
      <c r="IX379" s="6"/>
      <c r="IZ379" s="6"/>
      <c r="JA379" s="6"/>
    </row>
    <row r="380" spans="2:261" ht="15" hidden="1" customHeight="1" x14ac:dyDescent="0.2">
      <c r="B380" s="311">
        <f>SUBTOTAL(3,$D$5:D380)</f>
        <v>84</v>
      </c>
      <c r="C380" s="316">
        <v>376</v>
      </c>
      <c r="D380" s="315" t="s">
        <v>244</v>
      </c>
      <c r="E380" s="338" t="s">
        <v>3010</v>
      </c>
      <c r="F380" s="338" t="s">
        <v>3011</v>
      </c>
      <c r="G380" s="349">
        <v>46300</v>
      </c>
      <c r="H380" s="338" t="s">
        <v>681</v>
      </c>
      <c r="I380" s="338" t="s">
        <v>278</v>
      </c>
      <c r="J380" s="480"/>
      <c r="K380" s="338"/>
      <c r="L380" s="316"/>
      <c r="M380" s="355" t="s">
        <v>269</v>
      </c>
      <c r="N380" s="507">
        <v>76</v>
      </c>
      <c r="O380" s="507" t="s">
        <v>252</v>
      </c>
      <c r="P38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0" s="35">
        <v>1</v>
      </c>
      <c r="S380" s="327">
        <v>1</v>
      </c>
      <c r="T380" s="152">
        <f>Table1[[#This Row],[Progres Total Aktual
(%)]]</f>
        <v>9.6480548826325369E-2</v>
      </c>
      <c r="U380" s="121">
        <f>Table1[[#This Row],[Progres Aktual
(%)]]-Table1[[#This Row],[Target Progres
(%)]]</f>
        <v>-0.9035194511736746</v>
      </c>
      <c r="V380" s="80">
        <f>Table1[[#This Row],["Volume
BA MC-0"]]</f>
        <v>0</v>
      </c>
      <c r="W380" s="80">
        <f>Table1[[#This Row],[Total Panjang Pipa Aktual
(Sum-&gt;)3]]</f>
        <v>0</v>
      </c>
      <c r="X380" s="117"/>
      <c r="Y380" s="67" t="s">
        <v>3012</v>
      </c>
      <c r="Z380" s="67">
        <v>144117900</v>
      </c>
      <c r="AA380" s="509">
        <f>ROUND((Table1[[#This Row],[Nilai RAB Jaringan
(Exclude Ppn)]]-Table1[[#This Row],[RAB Perizinan]])*1.11+Table1[[#This Row],[RAB Perizinan]],0)</f>
        <v>144117900</v>
      </c>
      <c r="AB380" s="436">
        <f>SUM(Table1[[#This Row],[RAB Kegiatan Umum]:[RAB Perizinan]])</f>
        <v>129911261</v>
      </c>
      <c r="AC380" s="436">
        <v>8575895</v>
      </c>
      <c r="AD380" s="436">
        <v>85758950</v>
      </c>
      <c r="AE380" s="436">
        <v>34816416</v>
      </c>
      <c r="AF380" s="436">
        <v>760000</v>
      </c>
      <c r="AG380" s="436"/>
      <c r="AH380" s="510">
        <f>SUM(Table1[[#This Row],[Bobot Keg Umum]:[Bobot Perizinan]])</f>
        <v>1</v>
      </c>
      <c r="AI380" s="510">
        <f>Table1[[#This Row],[RAB Kegiatan Umum]]/Table1[[#This Row],[Nilai RAB Jaringan
(Exclude Ppn)]]</f>
        <v>6.6013484389163157E-2</v>
      </c>
      <c r="AJ380" s="510">
        <f>Table1[[#This Row],[RAB Pemasangan]]/Table1[[#This Row],[Nilai RAB Jaringan
(Exclude Ppn)]]</f>
        <v>0.66013484389163157</v>
      </c>
      <c r="AK380" s="129">
        <f>Table1[[#This Row],[RAB Pengadaan]]/Table1[[#This Row],[Nilai RAB Jaringan
(Exclude Ppn)]]</f>
        <v>0.26800152451757048</v>
      </c>
      <c r="AL380" s="130">
        <f>Table1[[#This Row],[RAB Perizinan]]/Table1[[#This Row],[Nilai RAB Jaringan
(Exclude Ppn)]]</f>
        <v>5.8501472016348147E-3</v>
      </c>
      <c r="AM380" s="47"/>
      <c r="AN380" s="285"/>
      <c r="AO380" s="285">
        <f>SUM(Table1[[#This Row],[Pipa 63 mm]:[Pipa 1,800 mm]])</f>
        <v>104</v>
      </c>
      <c r="AP380" s="285">
        <v>104</v>
      </c>
      <c r="AQ380" s="285"/>
      <c r="AR380" s="285"/>
      <c r="AS380" s="285"/>
      <c r="AT380" s="285"/>
      <c r="AU380" s="285"/>
      <c r="AV380" s="285"/>
      <c r="AW380" s="285"/>
      <c r="AX380" s="285"/>
      <c r="AY380" s="285"/>
      <c r="AZ380" s="285"/>
      <c r="BA380" s="285"/>
      <c r="BB380" s="285"/>
      <c r="BC380" s="285"/>
      <c r="BD380" s="285"/>
      <c r="BE380" s="285"/>
      <c r="BF380" s="285"/>
      <c r="BG380" s="285"/>
      <c r="BH380" s="285"/>
      <c r="BI380" s="285"/>
      <c r="BJ380" s="36">
        <f>SUM(Table1[[#This Row],[Pipa 63 mm2]:[Pipa 1,800 mm21]])</f>
        <v>0</v>
      </c>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f>IF((Table1[[#This Row],["Volume
BA MC-0"]]-Table1[[#This Row],[Total Panjang Pipa Aktual
(Sum-&gt;)3]]-Table1[[#This Row],[Total Volume
tidak dapat dipasang]])&gt;=0,Table1[[#This Row],["Volume
BA MC-0"]]-Table1[[#This Row],[Total Panjang Pipa Aktual
(Sum-&gt;)3]]-Table1[[#This Row],[Total Volume
tidak dapat dipasang]],0)</f>
        <v>0</v>
      </c>
      <c r="CK380" s="47"/>
      <c r="CL380" s="131"/>
      <c r="CM380" s="337"/>
      <c r="CN380" s="131"/>
      <c r="CO380" s="131"/>
      <c r="CP38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9.6480548826325369E-2</v>
      </c>
      <c r="CQ380" s="436">
        <f>IFERROR(Table1[[#This Row],[Progres Keg. Umum
(%)]]*Table1[[#This Row],[Nilai RAB Jaringan
(file pa aji)]],0)</f>
        <v>0</v>
      </c>
      <c r="CR380" s="436">
        <f>IFERROR(Table1[[#This Row],[Progres MOS
(%)]]*Table1[[#This Row],[Nilai RAB Jaringan
(file pa aji)]],0)</f>
        <v>0</v>
      </c>
      <c r="CS380" s="436">
        <f>IFERROR(Table1[[#This Row],[Progres Pemasangan
(%)]]*Table1[[#This Row],[Nilai RAB Jaringan
(file pa aji)]],0)</f>
        <v>0</v>
      </c>
      <c r="CT380" s="436">
        <f>IFERROR(Table1[[#This Row],[Progres Perizinan
(%)]]*Table1[[#This Row],[Nilai RAB Jaringan
(file pa aji)]],0)</f>
        <v>0</v>
      </c>
      <c r="CU380" s="329">
        <v>0</v>
      </c>
      <c r="CV380" s="329">
        <v>0</v>
      </c>
      <c r="CW380" s="511">
        <v>0</v>
      </c>
      <c r="CX380" s="329">
        <v>0</v>
      </c>
      <c r="CY380" s="47"/>
      <c r="CZ380" s="331">
        <v>45957</v>
      </c>
      <c r="DA380" s="331">
        <v>45984</v>
      </c>
      <c r="DB380" s="331">
        <v>45973</v>
      </c>
      <c r="DC380" s="515" t="s">
        <v>3013</v>
      </c>
      <c r="DD380" s="508">
        <v>144117900</v>
      </c>
      <c r="DE38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0" s="331">
        <v>45989</v>
      </c>
      <c r="DG380" s="516" t="s">
        <v>3014</v>
      </c>
      <c r="DH380" s="508">
        <v>144117900</v>
      </c>
      <c r="DI38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80" s="331">
        <v>45985</v>
      </c>
      <c r="DK380" s="331">
        <v>46047</v>
      </c>
      <c r="DL380" s="331">
        <v>46049</v>
      </c>
      <c r="DM380" s="316" t="s">
        <v>3015</v>
      </c>
      <c r="DN38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80" s="331">
        <v>46087</v>
      </c>
      <c r="DP380" s="316" t="s">
        <v>3016</v>
      </c>
      <c r="DQ380" s="338" t="s">
        <v>560</v>
      </c>
      <c r="DR38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0" s="331">
        <v>45985</v>
      </c>
      <c r="DT380" s="331">
        <v>46164</v>
      </c>
      <c r="DU380" s="331">
        <v>46026</v>
      </c>
      <c r="DV380" s="331">
        <v>46178</v>
      </c>
      <c r="DW380" s="331">
        <v>46049</v>
      </c>
      <c r="DX380" s="331" t="s">
        <v>3017</v>
      </c>
      <c r="DY380" s="334">
        <v>20</v>
      </c>
      <c r="DZ380" s="334">
        <v>20</v>
      </c>
      <c r="EA38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80" s="331"/>
      <c r="EC380" s="332">
        <v>18</v>
      </c>
      <c r="ED380" s="332">
        <v>18</v>
      </c>
      <c r="EE380" s="118"/>
      <c r="EF380" s="337">
        <v>0.9</v>
      </c>
      <c r="EG380" s="337">
        <f>Table1[[#This Row],[Line PO]]/Table1[[#This Row],[Line PR]]</f>
        <v>0.9</v>
      </c>
      <c r="EH380" s="316" t="str">
        <f>IF(Table1[[#This Row],[PO Material Aktual 
(%)]]&gt;=100%,"Selesai PO = 100%",IF(Table1[[#This Row],[PO Material Aktual 
(%)]]&gt;=50%,"Proses PO &gt; 100%",IF(Table1[[#This Row],[PO Material Aktual 
(%)]]&gt;0%,"Proses PO &gt; 50%",IF(Table1[[#This Row],[PO Material Aktual 
(%)]]=0,"Belum PO = 0%"))))</f>
        <v>Proses PO &gt; 100%</v>
      </c>
      <c r="EI38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0" s="331">
        <v>46027</v>
      </c>
      <c r="EK380" s="331">
        <v>46178</v>
      </c>
      <c r="EL380" s="331">
        <v>46103</v>
      </c>
      <c r="EM380" s="331">
        <v>46183</v>
      </c>
      <c r="EN380" s="331"/>
      <c r="EO380" s="332">
        <v>12</v>
      </c>
      <c r="EP380" s="332">
        <v>12</v>
      </c>
      <c r="EQ380" s="337">
        <v>0.6</v>
      </c>
      <c r="ER380" s="337">
        <f>Table1[[#This Row],[Line MOS (kolom bantu)]]/Table1[[#This Row],[Line PR]]</f>
        <v>0.6</v>
      </c>
      <c r="ES380" s="316" t="str">
        <f>IF(Table1[[#This Row],[Progres MOS]]&gt;=100%,"Selesai MOS = 100%",IF(Table1[[#This Row],[Progres MOS]]&gt;=50%,"Proses MOS &gt; 100%",IF(Table1[[#This Row],[Progres MOS]]&gt;0%,"Proses MOS &gt; 50%",IF(Table1[[#This Row],[Progres MOS]]=0,"Belum MOS = 0%"))))</f>
        <v>Proses MOS &gt; 100%</v>
      </c>
      <c r="ET38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0" s="47"/>
      <c r="EV380" s="331">
        <v>45985</v>
      </c>
      <c r="EW380" s="331">
        <v>46156</v>
      </c>
      <c r="EX380" s="331">
        <v>46075</v>
      </c>
      <c r="EY380" s="331">
        <v>46186</v>
      </c>
      <c r="EZ380" s="352" t="s">
        <v>2955</v>
      </c>
      <c r="FA380" s="409" t="s">
        <v>2955</v>
      </c>
      <c r="FB380" s="330"/>
      <c r="FC380" s="330">
        <v>46010</v>
      </c>
      <c r="FD380" s="330" t="s">
        <v>260</v>
      </c>
      <c r="FE380" s="330"/>
      <c r="FF380" s="330"/>
      <c r="FG380" s="330"/>
      <c r="FH380" s="330"/>
      <c r="FI380" s="330"/>
      <c r="FJ380" s="330"/>
      <c r="FK380" s="330"/>
      <c r="FL380" s="336" t="s">
        <v>2806</v>
      </c>
      <c r="FM380" s="352"/>
      <c r="FN380" s="338" t="str">
        <f>IF(Table1[[#This Row],[Tanggal Pengajuan Dokumen]]="","",Table1[[#This Row],[PLAN PERMIT
start]]-Table1[[#This Row],[Tanggal Pengajuan Dokumen]])</f>
        <v/>
      </c>
      <c r="FO380" s="352"/>
      <c r="FP380" s="316"/>
      <c r="FQ380" s="338"/>
      <c r="FR380" s="331"/>
      <c r="FS380" s="338"/>
      <c r="FT38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0" s="344">
        <f ca="1">IF(Table1[[#This Row],[Status Izin]]="Selesai",Table1[[#This Row],[PLAN PERMIT
finish]]-Table1[[#This Row],[Tanggal Terbit/ Target Izin Terbit]],ROUNDUP(Table1[[#This Row],[PLAN PERMIT
finish]]-NOW(),0))</f>
        <v>-116</v>
      </c>
      <c r="FV38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0" s="344"/>
      <c r="FX380" s="47"/>
      <c r="FY380" s="513">
        <v>46034</v>
      </c>
      <c r="FZ380" s="513">
        <v>46049</v>
      </c>
      <c r="GA38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0" s="331">
        <v>46048</v>
      </c>
      <c r="GC380" s="352">
        <v>46141</v>
      </c>
      <c r="GD38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0" s="331">
        <v>46055</v>
      </c>
      <c r="GF380" s="352">
        <v>46141</v>
      </c>
      <c r="GG38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0" s="331">
        <v>46062</v>
      </c>
      <c r="GI380" s="331">
        <v>46068</v>
      </c>
      <c r="GJ380" s="352">
        <v>46148</v>
      </c>
      <c r="GK38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0" s="331">
        <v>46076</v>
      </c>
      <c r="GM380" s="331">
        <v>46193</v>
      </c>
      <c r="GN380" s="331">
        <v>46103</v>
      </c>
      <c r="GO380" s="330">
        <v>46241</v>
      </c>
      <c r="GP380" s="316"/>
      <c r="GQ38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0" s="331"/>
      <c r="GS380" s="331"/>
      <c r="GT380" s="354"/>
      <c r="GU380" s="344" t="str">
        <f>IF(Table1[[#This Row],[Hydro Tes Actual
(tanggal)]]&lt;&gt;"","Sudah","Belum")</f>
        <v>Belum</v>
      </c>
      <c r="GV380" s="330"/>
      <c r="GW380" s="330"/>
      <c r="GX380" s="331"/>
      <c r="GY380" s="344" t="str">
        <f>IF(Table1[[#This Row],[Interkoneksi Actual
(tanggal)]]&lt;&gt;"","Sudah","Belum")</f>
        <v>Belum</v>
      </c>
      <c r="GZ380" s="330"/>
      <c r="HA380" s="330"/>
      <c r="HB380" s="331"/>
      <c r="HC380" s="344" t="str">
        <f>IF(Table1[[#This Row],[Flushing Actual
(tanggal)]]&lt;&gt;"","Sudah","Belum")</f>
        <v>Belum</v>
      </c>
      <c r="HD380" s="331">
        <v>46106</v>
      </c>
      <c r="HE380" s="331">
        <v>46242</v>
      </c>
      <c r="HF380" s="331">
        <v>46111</v>
      </c>
      <c r="HG380" s="352"/>
      <c r="HH38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0" s="330"/>
      <c r="HJ380" s="330"/>
      <c r="HK380" s="331"/>
      <c r="HL380" s="331"/>
      <c r="HM380" s="331">
        <v>46128</v>
      </c>
      <c r="HN380" s="331">
        <v>46128</v>
      </c>
      <c r="HO380" s="330">
        <v>46259</v>
      </c>
      <c r="HP380" s="331"/>
      <c r="HQ38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80" s="331">
        <v>46136</v>
      </c>
      <c r="HS380" s="331"/>
      <c r="HT380" s="331">
        <v>46136</v>
      </c>
      <c r="HU380" s="420"/>
      <c r="HV380" s="395"/>
      <c r="HW380"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80" s="47"/>
      <c r="HY380" s="352"/>
      <c r="HZ380" s="352"/>
      <c r="IA380" s="72"/>
      <c r="IB380" s="618">
        <f>IFERROR(ROUND((Table1[[#This Row],[PLAN TC
finish]]-Table1[[#This Row],[PLAN MC-0
start]])/30,2),"")</f>
        <v>1.63</v>
      </c>
      <c r="IC380">
        <f>DATEDIF(Table1[[#This Row],[PLAN MC-0
start]],Table1[[#This Row],[PLAN TC
finish]],"m")</f>
        <v>1</v>
      </c>
      <c r="ID380" s="6"/>
      <c r="IE380" s="6"/>
      <c r="IF380" s="72"/>
      <c r="IH380" s="6"/>
      <c r="II380" s="4"/>
      <c r="IJ380" s="4"/>
      <c r="IK380" s="6"/>
      <c r="IL380" s="6"/>
      <c r="IM380" s="6"/>
      <c r="IN380" s="6"/>
      <c r="IO380" s="6"/>
      <c r="IQ380" s="6"/>
      <c r="IR380" s="6"/>
      <c r="IS380" s="6"/>
      <c r="IT380" s="6"/>
      <c r="IW380" s="6"/>
      <c r="IX380" s="6"/>
      <c r="IZ380" s="6"/>
      <c r="JA380" s="6"/>
    </row>
    <row r="381" spans="2:261" ht="15" hidden="1" customHeight="1" x14ac:dyDescent="0.2">
      <c r="B381" s="311">
        <f>SUBTOTAL(3,$D$5:D381)</f>
        <v>84</v>
      </c>
      <c r="C381" s="316">
        <v>377</v>
      </c>
      <c r="D381" s="315" t="s">
        <v>244</v>
      </c>
      <c r="E381" s="338" t="s">
        <v>3018</v>
      </c>
      <c r="F381" s="338" t="s">
        <v>3019</v>
      </c>
      <c r="G381" s="349">
        <v>46300</v>
      </c>
      <c r="H381" s="338" t="s">
        <v>681</v>
      </c>
      <c r="I381" s="338" t="s">
        <v>278</v>
      </c>
      <c r="J381" s="480"/>
      <c r="K381" s="338"/>
      <c r="L381" s="316"/>
      <c r="M381" s="355" t="s">
        <v>269</v>
      </c>
      <c r="N381" s="507">
        <v>299</v>
      </c>
      <c r="O381" s="507" t="s">
        <v>252</v>
      </c>
      <c r="P38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1" s="35">
        <v>1</v>
      </c>
      <c r="S381" s="327">
        <v>1</v>
      </c>
      <c r="T381" s="152">
        <f>Table1[[#This Row],[Progres Total Aktual
(%)]]</f>
        <v>7.153502659820235E-2</v>
      </c>
      <c r="U381" s="121">
        <f>Table1[[#This Row],[Progres Aktual
(%)]]-Table1[[#This Row],[Target Progres
(%)]]</f>
        <v>-0.92846497340179768</v>
      </c>
      <c r="V381" s="80">
        <f>Table1[[#This Row],["Volume
BA MC-0"]]</f>
        <v>0</v>
      </c>
      <c r="W381" s="80">
        <f>Table1[[#This Row],[Total Panjang Pipa Aktual
(Sum-&gt;)3]]</f>
        <v>0</v>
      </c>
      <c r="X381" s="117"/>
      <c r="Y381" s="67" t="s">
        <v>3020</v>
      </c>
      <c r="Z381" s="67">
        <v>397410146</v>
      </c>
      <c r="AA381" s="509">
        <f>ROUND((Table1[[#This Row],[Nilai RAB Jaringan
(Exclude Ppn)]]-Table1[[#This Row],[RAB Perizinan]])*1.11+Table1[[#This Row],[RAB Perizinan]],0)</f>
        <v>397410145</v>
      </c>
      <c r="AB381" s="436">
        <f>SUM(Table1[[#This Row],[RAB Kegiatan Umum]:[RAB Perizinan]])</f>
        <v>358323464</v>
      </c>
      <c r="AC381" s="436">
        <v>26234700</v>
      </c>
      <c r="AD381" s="436">
        <v>262346997</v>
      </c>
      <c r="AE381" s="436">
        <v>66751767</v>
      </c>
      <c r="AF381" s="436">
        <v>2990000</v>
      </c>
      <c r="AG381" s="436"/>
      <c r="AH381" s="510">
        <f>SUM(Table1[[#This Row],[Bobot Keg Umum]:[Bobot Perizinan]])</f>
        <v>0.99999999999999989</v>
      </c>
      <c r="AI381" s="510">
        <f>Table1[[#This Row],[RAB Kegiatan Umum]]/Table1[[#This Row],[Nilai RAB Jaringan
(Exclude Ppn)]]</f>
        <v>7.3215132794094667E-2</v>
      </c>
      <c r="AJ381" s="510">
        <f>Table1[[#This Row],[RAB Pemasangan]]/Table1[[#This Row],[Nilai RAB Jaringan
(Exclude Ppn)]]</f>
        <v>0.732151319568623</v>
      </c>
      <c r="AK381" s="129">
        <f>Table1[[#This Row],[RAB Pengadaan]]/Table1[[#This Row],[Nilai RAB Jaringan
(Exclude Ppn)]]</f>
        <v>0.18628913176615194</v>
      </c>
      <c r="AL381" s="130">
        <f>Table1[[#This Row],[RAB Perizinan]]/Table1[[#This Row],[Nilai RAB Jaringan
(Exclude Ppn)]]</f>
        <v>8.3444158711303371E-3</v>
      </c>
      <c r="AM381" s="47"/>
      <c r="AN381" s="285"/>
      <c r="AO381" s="285">
        <f>SUM(Table1[[#This Row],[Pipa 63 mm]:[Pipa 1,800 mm]])</f>
        <v>310</v>
      </c>
      <c r="AP381" s="285"/>
      <c r="AQ381" s="285">
        <v>310</v>
      </c>
      <c r="AR381" s="285"/>
      <c r="AS381" s="285"/>
      <c r="AT381" s="285"/>
      <c r="AU381" s="285"/>
      <c r="AV381" s="285"/>
      <c r="AW381" s="285"/>
      <c r="AX381" s="285"/>
      <c r="AY381" s="285"/>
      <c r="AZ381" s="285"/>
      <c r="BA381" s="285"/>
      <c r="BB381" s="285"/>
      <c r="BC381" s="285"/>
      <c r="BD381" s="285"/>
      <c r="BE381" s="285"/>
      <c r="BF381" s="285"/>
      <c r="BG381" s="285"/>
      <c r="BH381" s="285"/>
      <c r="BI381" s="285"/>
      <c r="BJ381" s="36">
        <f>SUM(Table1[[#This Row],[Pipa 63 mm2]:[Pipa 1,800 mm21]])</f>
        <v>0</v>
      </c>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f>IF((Table1[[#This Row],["Volume
BA MC-0"]]-Table1[[#This Row],[Total Panjang Pipa Aktual
(Sum-&gt;)3]]-Table1[[#This Row],[Total Volume
tidak dapat dipasang]])&gt;=0,Table1[[#This Row],["Volume
BA MC-0"]]-Table1[[#This Row],[Total Panjang Pipa Aktual
(Sum-&gt;)3]]-Table1[[#This Row],[Total Volume
tidak dapat dipasang]],0)</f>
        <v>0</v>
      </c>
      <c r="CK381" s="47"/>
      <c r="CL381" s="131"/>
      <c r="CM381" s="337"/>
      <c r="CN381" s="131"/>
      <c r="CO381" s="131"/>
      <c r="CP38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7.153502659820235E-2</v>
      </c>
      <c r="CQ381" s="436">
        <f>IFERROR(Table1[[#This Row],[Progres Keg. Umum
(%)]]*Table1[[#This Row],[Nilai RAB Jaringan
(file pa aji)]],0)</f>
        <v>0</v>
      </c>
      <c r="CR381" s="436">
        <f>IFERROR(Table1[[#This Row],[Progres MOS
(%)]]*Table1[[#This Row],[Nilai RAB Jaringan
(file pa aji)]],0)</f>
        <v>0</v>
      </c>
      <c r="CS381" s="436">
        <f>IFERROR(Table1[[#This Row],[Progres Pemasangan
(%)]]*Table1[[#This Row],[Nilai RAB Jaringan
(file pa aji)]],0)</f>
        <v>0</v>
      </c>
      <c r="CT381" s="436">
        <f>IFERROR(Table1[[#This Row],[Progres Perizinan
(%)]]*Table1[[#This Row],[Nilai RAB Jaringan
(file pa aji)]],0)</f>
        <v>0</v>
      </c>
      <c r="CU381" s="329">
        <v>0</v>
      </c>
      <c r="CV381" s="329">
        <v>0</v>
      </c>
      <c r="CW381" s="511">
        <v>0</v>
      </c>
      <c r="CX381" s="329">
        <v>0</v>
      </c>
      <c r="CY381" s="47"/>
      <c r="CZ381" s="331">
        <v>45957</v>
      </c>
      <c r="DA381" s="331">
        <v>45984</v>
      </c>
      <c r="DB381" s="331">
        <v>45973</v>
      </c>
      <c r="DC381" s="515" t="s">
        <v>3021</v>
      </c>
      <c r="DD381" s="508">
        <v>397410146</v>
      </c>
      <c r="DE38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1" s="331">
        <v>45999</v>
      </c>
      <c r="DG381" s="516" t="s">
        <v>3022</v>
      </c>
      <c r="DH381" s="508">
        <v>397410146</v>
      </c>
      <c r="DI38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81" s="331">
        <v>45985</v>
      </c>
      <c r="DK381" s="331">
        <v>46047</v>
      </c>
      <c r="DL381" s="331">
        <v>46049</v>
      </c>
      <c r="DM381" s="316" t="s">
        <v>3023</v>
      </c>
      <c r="DN38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81" s="331">
        <v>46087</v>
      </c>
      <c r="DP381" s="316"/>
      <c r="DQ381" s="338" t="s">
        <v>371</v>
      </c>
      <c r="DR38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1" s="331">
        <v>45985</v>
      </c>
      <c r="DT381" s="331">
        <v>46164</v>
      </c>
      <c r="DU381" s="331">
        <v>46026</v>
      </c>
      <c r="DV381" s="331">
        <v>46178</v>
      </c>
      <c r="DW381" s="331">
        <v>46049</v>
      </c>
      <c r="DX381" s="331" t="s">
        <v>3024</v>
      </c>
      <c r="DY381" s="334">
        <v>25</v>
      </c>
      <c r="DZ381" s="334">
        <v>25</v>
      </c>
      <c r="EA38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81" s="331"/>
      <c r="EC381" s="332">
        <v>23</v>
      </c>
      <c r="ED381" s="332">
        <v>23</v>
      </c>
      <c r="EE381" s="118"/>
      <c r="EF381" s="337">
        <v>0.92</v>
      </c>
      <c r="EG381" s="337">
        <f>Table1[[#This Row],[Line PO]]/Table1[[#This Row],[Line PR]]</f>
        <v>0.92</v>
      </c>
      <c r="EH381" s="316" t="str">
        <f>IF(Table1[[#This Row],[PO Material Aktual 
(%)]]&gt;=100%,"Selesai PO = 100%",IF(Table1[[#This Row],[PO Material Aktual 
(%)]]&gt;=50%,"Proses PO &gt; 100%",IF(Table1[[#This Row],[PO Material Aktual 
(%)]]&gt;0%,"Proses PO &gt; 50%",IF(Table1[[#This Row],[PO Material Aktual 
(%)]]=0,"Belum PO = 0%"))))</f>
        <v>Proses PO &gt; 100%</v>
      </c>
      <c r="EI38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1" s="331">
        <v>46027</v>
      </c>
      <c r="EK381" s="331">
        <v>46178</v>
      </c>
      <c r="EL381" s="331">
        <v>46103</v>
      </c>
      <c r="EM381" s="331">
        <v>46183</v>
      </c>
      <c r="EN381" s="331"/>
      <c r="EO381" s="332">
        <v>16</v>
      </c>
      <c r="EP381" s="332">
        <v>16</v>
      </c>
      <c r="EQ381" s="337">
        <v>0.64</v>
      </c>
      <c r="ER381" s="337">
        <f>Table1[[#This Row],[Line MOS (kolom bantu)]]/Table1[[#This Row],[Line PR]]</f>
        <v>0.64</v>
      </c>
      <c r="ES381" s="316" t="str">
        <f>IF(Table1[[#This Row],[Progres MOS]]&gt;=100%,"Selesai MOS = 100%",IF(Table1[[#This Row],[Progres MOS]]&gt;=50%,"Proses MOS &gt; 100%",IF(Table1[[#This Row],[Progres MOS]]&gt;0%,"Proses MOS &gt; 50%",IF(Table1[[#This Row],[Progres MOS]]=0,"Belum MOS = 0%"))))</f>
        <v>Proses MOS &gt; 100%</v>
      </c>
      <c r="ET38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1" s="47"/>
      <c r="EV381" s="331">
        <v>45985</v>
      </c>
      <c r="EW381" s="331">
        <v>46156</v>
      </c>
      <c r="EX381" s="331">
        <v>46075</v>
      </c>
      <c r="EY381" s="331">
        <v>46186</v>
      </c>
      <c r="EZ381" s="352" t="s">
        <v>2955</v>
      </c>
      <c r="FA381" s="409" t="s">
        <v>2955</v>
      </c>
      <c r="FB381" s="330"/>
      <c r="FC381" s="330">
        <v>46010</v>
      </c>
      <c r="FD381" s="330" t="s">
        <v>260</v>
      </c>
      <c r="FE381" s="330"/>
      <c r="FF381" s="330"/>
      <c r="FG381" s="330"/>
      <c r="FH381" s="330"/>
      <c r="FI381" s="330"/>
      <c r="FJ381" s="330"/>
      <c r="FK381" s="330"/>
      <c r="FL381" s="336" t="s">
        <v>2806</v>
      </c>
      <c r="FM381" s="352"/>
      <c r="FN381" s="338" t="str">
        <f>IF(Table1[[#This Row],[Tanggal Pengajuan Dokumen]]="","",Table1[[#This Row],[PLAN PERMIT
start]]-Table1[[#This Row],[Tanggal Pengajuan Dokumen]])</f>
        <v/>
      </c>
      <c r="FO381" s="352"/>
      <c r="FP381" s="316"/>
      <c r="FQ381" s="338"/>
      <c r="FR381" s="331"/>
      <c r="FS381" s="338"/>
      <c r="FT38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1" s="344">
        <f ca="1">IF(Table1[[#This Row],[Status Izin]]="Selesai",Table1[[#This Row],[PLAN PERMIT
finish]]-Table1[[#This Row],[Tanggal Terbit/ Target Izin Terbit]],ROUNDUP(Table1[[#This Row],[PLAN PERMIT
finish]]-NOW(),0))</f>
        <v>-116</v>
      </c>
      <c r="FV38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1" s="344"/>
      <c r="FX381" s="47"/>
      <c r="FY381" s="513">
        <v>46034</v>
      </c>
      <c r="FZ381" s="513">
        <v>46049</v>
      </c>
      <c r="GA38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1" s="331">
        <v>46048</v>
      </c>
      <c r="GC381" s="352">
        <v>46141</v>
      </c>
      <c r="GD38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1" s="331">
        <v>46055</v>
      </c>
      <c r="GF381" s="352">
        <v>46141</v>
      </c>
      <c r="GG38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1" s="331">
        <v>46062</v>
      </c>
      <c r="GI381" s="331">
        <v>46068</v>
      </c>
      <c r="GJ381" s="352">
        <v>46148</v>
      </c>
      <c r="GK38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1" s="331">
        <v>46076</v>
      </c>
      <c r="GM381" s="331">
        <v>46193</v>
      </c>
      <c r="GN381" s="331">
        <v>46103</v>
      </c>
      <c r="GO381" s="330">
        <v>46241</v>
      </c>
      <c r="GP381" s="316"/>
      <c r="GQ38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1" s="331"/>
      <c r="GS381" s="331"/>
      <c r="GT381" s="354"/>
      <c r="GU381" s="344" t="str">
        <f>IF(Table1[[#This Row],[Hydro Tes Actual
(tanggal)]]&lt;&gt;"","Sudah","Belum")</f>
        <v>Belum</v>
      </c>
      <c r="GV381" s="330"/>
      <c r="GW381" s="330"/>
      <c r="GX381" s="331"/>
      <c r="GY381" s="344" t="str">
        <f>IF(Table1[[#This Row],[Interkoneksi Actual
(tanggal)]]&lt;&gt;"","Sudah","Belum")</f>
        <v>Belum</v>
      </c>
      <c r="GZ381" s="330"/>
      <c r="HA381" s="330"/>
      <c r="HB381" s="331"/>
      <c r="HC381" s="344" t="str">
        <f>IF(Table1[[#This Row],[Flushing Actual
(tanggal)]]&lt;&gt;"","Sudah","Belum")</f>
        <v>Belum</v>
      </c>
      <c r="HD381" s="331">
        <v>46106</v>
      </c>
      <c r="HE381" s="331">
        <v>46242</v>
      </c>
      <c r="HF381" s="331">
        <v>46111</v>
      </c>
      <c r="HG381" s="352"/>
      <c r="HH38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1" s="330"/>
      <c r="HJ381" s="330"/>
      <c r="HK381" s="331"/>
      <c r="HL381" s="331"/>
      <c r="HM381" s="331">
        <v>46128</v>
      </c>
      <c r="HN381" s="331">
        <v>46128</v>
      </c>
      <c r="HO381" s="330">
        <v>46259</v>
      </c>
      <c r="HP381" s="331"/>
      <c r="HQ38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81" s="331">
        <v>46136</v>
      </c>
      <c r="HS381" s="331"/>
      <c r="HT381" s="331">
        <v>46136</v>
      </c>
      <c r="HU381" s="420"/>
      <c r="HV381" s="395"/>
      <c r="HW381"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81" s="47"/>
      <c r="HY381" s="352"/>
      <c r="HZ381" s="352"/>
      <c r="IA381" s="72"/>
      <c r="IB381" s="618">
        <f>IFERROR(ROUND((Table1[[#This Row],[PLAN TC
finish]]-Table1[[#This Row],[PLAN MC-0
start]])/30,2),"")</f>
        <v>1.63</v>
      </c>
      <c r="IC381">
        <f>DATEDIF(Table1[[#This Row],[PLAN MC-0
start]],Table1[[#This Row],[PLAN TC
finish]],"m")</f>
        <v>1</v>
      </c>
      <c r="ID381" s="6"/>
      <c r="IE381" s="6"/>
      <c r="IF381" s="72"/>
      <c r="IH381" s="6"/>
      <c r="II381" s="4"/>
      <c r="IJ381" s="4"/>
      <c r="IK381" s="6"/>
      <c r="IL381" s="6"/>
      <c r="IM381" s="6"/>
      <c r="IN381" s="6"/>
      <c r="IO381" s="6"/>
      <c r="IQ381" s="6"/>
      <c r="IR381" s="6"/>
      <c r="IS381" s="6"/>
      <c r="IT381" s="6"/>
      <c r="IW381" s="6"/>
      <c r="IX381" s="6"/>
      <c r="IZ381" s="6"/>
      <c r="JA381" s="6"/>
    </row>
    <row r="382" spans="2:261" ht="15" hidden="1" customHeight="1" x14ac:dyDescent="0.2">
      <c r="B382" s="311">
        <f>SUBTOTAL(3,$D$5:D382)</f>
        <v>84</v>
      </c>
      <c r="C382" s="316">
        <v>378</v>
      </c>
      <c r="D382" s="315" t="s">
        <v>244</v>
      </c>
      <c r="E382" s="338" t="s">
        <v>3025</v>
      </c>
      <c r="F382" s="338" t="s">
        <v>3026</v>
      </c>
      <c r="G382" s="349">
        <v>46300</v>
      </c>
      <c r="H382" s="338" t="s">
        <v>681</v>
      </c>
      <c r="I382" s="338" t="s">
        <v>278</v>
      </c>
      <c r="J382" s="480"/>
      <c r="K382" s="338"/>
      <c r="L382" s="316"/>
      <c r="M382" s="355" t="s">
        <v>269</v>
      </c>
      <c r="N382" s="507">
        <v>308</v>
      </c>
      <c r="O382" s="507" t="s">
        <v>252</v>
      </c>
      <c r="P38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2" s="35">
        <v>1</v>
      </c>
      <c r="S382" s="327">
        <v>1</v>
      </c>
      <c r="T382" s="152">
        <f>Table1[[#This Row],[Progres Total Aktual
(%)]]</f>
        <v>8.4169498952616439E-2</v>
      </c>
      <c r="U382" s="121">
        <f>Table1[[#This Row],[Progres Aktual
(%)]]-Table1[[#This Row],[Target Progres
(%)]]</f>
        <v>-0.91583050104738351</v>
      </c>
      <c r="V382" s="80">
        <f>Table1[[#This Row],["Volume
BA MC-0"]]</f>
        <v>0</v>
      </c>
      <c r="W382" s="80">
        <f>Table1[[#This Row],[Total Panjang Pipa Aktual
(Sum-&gt;)3]]</f>
        <v>0</v>
      </c>
      <c r="X382" s="117"/>
      <c r="Y382" s="67" t="s">
        <v>3027</v>
      </c>
      <c r="Z382" s="67">
        <v>439784117</v>
      </c>
      <c r="AA382" s="509">
        <f>ROUND((Table1[[#This Row],[Nilai RAB Jaringan
(Exclude Ppn)]]-Table1[[#This Row],[RAB Perizinan]])*1.11+Table1[[#This Row],[RAB Perizinan]],0)</f>
        <v>439784117</v>
      </c>
      <c r="AB382" s="436">
        <f>SUM(Table1[[#This Row],[RAB Kegiatan Umum]:[RAB Perizinan]])</f>
        <v>396507132</v>
      </c>
      <c r="AC382" s="436">
        <v>28375633</v>
      </c>
      <c r="AD382" s="436">
        <v>283756329</v>
      </c>
      <c r="AE382" s="436">
        <v>81295170</v>
      </c>
      <c r="AF382" s="436">
        <v>3080000</v>
      </c>
      <c r="AG382" s="436"/>
      <c r="AH382" s="510">
        <f>SUM(Table1[[#This Row],[Bobot Keg Umum]:[Bobot Perizinan]])</f>
        <v>1</v>
      </c>
      <c r="AI382" s="510">
        <f>Table1[[#This Row],[RAB Kegiatan Umum]]/Table1[[#This Row],[Nilai RAB Jaringan
(Exclude Ppn)]]</f>
        <v>7.156399143912498E-2</v>
      </c>
      <c r="AJ382" s="510">
        <f>Table1[[#This Row],[RAB Pemasangan]]/Table1[[#This Row],[Nilai RAB Jaringan
(Exclude Ppn)]]</f>
        <v>0.71563991186922715</v>
      </c>
      <c r="AK382" s="129">
        <f>Table1[[#This Row],[RAB Pengadaan]]/Table1[[#This Row],[Nilai RAB Jaringan
(Exclude Ppn)]]</f>
        <v>0.20502826667945029</v>
      </c>
      <c r="AL382" s="130">
        <f>Table1[[#This Row],[RAB Perizinan]]/Table1[[#This Row],[Nilai RAB Jaringan
(Exclude Ppn)]]</f>
        <v>7.7678300121976117E-3</v>
      </c>
      <c r="AM382" s="47"/>
      <c r="AN382" s="285"/>
      <c r="AO382" s="285">
        <f>SUM(Table1[[#This Row],[Pipa 63 mm]:[Pipa 1,800 mm]])</f>
        <v>0</v>
      </c>
      <c r="AP382" s="285"/>
      <c r="AQ382" s="285"/>
      <c r="AR382" s="285"/>
      <c r="AS382" s="285"/>
      <c r="AT382" s="285"/>
      <c r="AU382" s="285"/>
      <c r="AV382" s="285"/>
      <c r="AW382" s="285"/>
      <c r="AX382" s="285"/>
      <c r="AY382" s="285"/>
      <c r="AZ382" s="285"/>
      <c r="BA382" s="285"/>
      <c r="BB382" s="285"/>
      <c r="BC382" s="285"/>
      <c r="BD382" s="285"/>
      <c r="BE382" s="285"/>
      <c r="BF382" s="285"/>
      <c r="BG382" s="285"/>
      <c r="BH382" s="285"/>
      <c r="BI382" s="285"/>
      <c r="BJ382" s="36">
        <f>SUM(Table1[[#This Row],[Pipa 63 mm2]:[Pipa 1,800 mm21]])</f>
        <v>0</v>
      </c>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f>IF((Table1[[#This Row],["Volume
BA MC-0"]]-Table1[[#This Row],[Total Panjang Pipa Aktual
(Sum-&gt;)3]]-Table1[[#This Row],[Total Volume
tidak dapat dipasang]])&gt;=0,Table1[[#This Row],["Volume
BA MC-0"]]-Table1[[#This Row],[Total Panjang Pipa Aktual
(Sum-&gt;)3]]-Table1[[#This Row],[Total Volume
tidak dapat dipasang]],0)</f>
        <v>0</v>
      </c>
      <c r="CK382" s="47"/>
      <c r="CL382" s="131"/>
      <c r="CM382" s="337"/>
      <c r="CN382" s="131"/>
      <c r="CO382" s="131"/>
      <c r="CP38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8.4169498952616439E-2</v>
      </c>
      <c r="CQ382" s="436">
        <f>IFERROR(Table1[[#This Row],[Progres Keg. Umum
(%)]]*Table1[[#This Row],[Nilai RAB Jaringan
(file pa aji)]],0)</f>
        <v>0</v>
      </c>
      <c r="CR382" s="436">
        <f>IFERROR(Table1[[#This Row],[Progres MOS
(%)]]*Table1[[#This Row],[Nilai RAB Jaringan
(file pa aji)]],0)</f>
        <v>0</v>
      </c>
      <c r="CS382" s="436">
        <f>IFERROR(Table1[[#This Row],[Progres Pemasangan
(%)]]*Table1[[#This Row],[Nilai RAB Jaringan
(file pa aji)]],0)</f>
        <v>0</v>
      </c>
      <c r="CT382" s="436">
        <f>IFERROR(Table1[[#This Row],[Progres Perizinan
(%)]]*Table1[[#This Row],[Nilai RAB Jaringan
(file pa aji)]],0)</f>
        <v>0</v>
      </c>
      <c r="CU382" s="329">
        <v>0</v>
      </c>
      <c r="CV382" s="329">
        <v>0</v>
      </c>
      <c r="CW382" s="511">
        <v>0</v>
      </c>
      <c r="CX382" s="329">
        <v>0</v>
      </c>
      <c r="CY382" s="47"/>
      <c r="CZ382" s="331">
        <v>45957</v>
      </c>
      <c r="DA382" s="331">
        <v>45984</v>
      </c>
      <c r="DB382" s="331">
        <v>45973</v>
      </c>
      <c r="DC382" s="316" t="s">
        <v>3028</v>
      </c>
      <c r="DD382" s="508">
        <v>439784117</v>
      </c>
      <c r="DE38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2" s="331">
        <v>45999</v>
      </c>
      <c r="DG382" s="516" t="s">
        <v>3029</v>
      </c>
      <c r="DH382" s="508">
        <v>439784117</v>
      </c>
      <c r="DI38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82" s="331">
        <v>45985</v>
      </c>
      <c r="DK382" s="331">
        <v>46047</v>
      </c>
      <c r="DL382" s="331">
        <v>46049</v>
      </c>
      <c r="DM382" s="316" t="s">
        <v>3030</v>
      </c>
      <c r="DN38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82" s="331">
        <v>46087</v>
      </c>
      <c r="DP382" s="316" t="s">
        <v>3031</v>
      </c>
      <c r="DQ382" s="338" t="s">
        <v>560</v>
      </c>
      <c r="DR38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2" s="331">
        <v>45985</v>
      </c>
      <c r="DT382" s="331">
        <v>46164</v>
      </c>
      <c r="DU382" s="331">
        <v>46026</v>
      </c>
      <c r="DV382" s="331">
        <v>46178</v>
      </c>
      <c r="DW382" s="331">
        <v>46049</v>
      </c>
      <c r="DX382" s="331" t="s">
        <v>3032</v>
      </c>
      <c r="DY382" s="334">
        <v>19</v>
      </c>
      <c r="DZ382" s="334">
        <v>19</v>
      </c>
      <c r="EA38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82" s="331"/>
      <c r="EC382" s="332">
        <v>18</v>
      </c>
      <c r="ED382" s="332">
        <v>18</v>
      </c>
      <c r="EE382" s="118"/>
      <c r="EF382" s="337">
        <v>0.94736842105263153</v>
      </c>
      <c r="EG382" s="337">
        <f>Table1[[#This Row],[Line PO]]/Table1[[#This Row],[Line PR]]</f>
        <v>0.94736842105263153</v>
      </c>
      <c r="EH382" s="316" t="str">
        <f>IF(Table1[[#This Row],[PO Material Aktual 
(%)]]&gt;=100%,"Selesai PO = 100%",IF(Table1[[#This Row],[PO Material Aktual 
(%)]]&gt;=50%,"Proses PO &gt; 100%",IF(Table1[[#This Row],[PO Material Aktual 
(%)]]&gt;0%,"Proses PO &gt; 50%",IF(Table1[[#This Row],[PO Material Aktual 
(%)]]=0,"Belum PO = 0%"))))</f>
        <v>Proses PO &gt; 100%</v>
      </c>
      <c r="EI38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2" s="331">
        <v>46027</v>
      </c>
      <c r="EK382" s="331">
        <v>46178</v>
      </c>
      <c r="EL382" s="331">
        <v>46103</v>
      </c>
      <c r="EM382" s="331">
        <v>46183</v>
      </c>
      <c r="EN382" s="331"/>
      <c r="EO382" s="332">
        <v>13</v>
      </c>
      <c r="EP382" s="332">
        <v>13</v>
      </c>
      <c r="EQ382" s="337">
        <v>0.68421052631578949</v>
      </c>
      <c r="ER382" s="337">
        <f>Table1[[#This Row],[Line MOS (kolom bantu)]]/Table1[[#This Row],[Line PR]]</f>
        <v>0.68421052631578949</v>
      </c>
      <c r="ES382" s="316" t="str">
        <f>IF(Table1[[#This Row],[Progres MOS]]&gt;=100%,"Selesai MOS = 100%",IF(Table1[[#This Row],[Progres MOS]]&gt;=50%,"Proses MOS &gt; 100%",IF(Table1[[#This Row],[Progres MOS]]&gt;0%,"Proses MOS &gt; 50%",IF(Table1[[#This Row],[Progres MOS]]=0,"Belum MOS = 0%"))))</f>
        <v>Proses MOS &gt; 100%</v>
      </c>
      <c r="ET38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2" s="47"/>
      <c r="EV382" s="331">
        <v>45985</v>
      </c>
      <c r="EW382" s="331">
        <v>46156</v>
      </c>
      <c r="EX382" s="331">
        <v>46075</v>
      </c>
      <c r="EY382" s="331">
        <v>46186</v>
      </c>
      <c r="EZ382" s="352" t="s">
        <v>2955</v>
      </c>
      <c r="FA382" s="409" t="s">
        <v>2955</v>
      </c>
      <c r="FB382" s="330"/>
      <c r="FC382" s="330">
        <v>46010</v>
      </c>
      <c r="FD382" s="330" t="s">
        <v>260</v>
      </c>
      <c r="FE382" s="330"/>
      <c r="FF382" s="330"/>
      <c r="FG382" s="330"/>
      <c r="FH382" s="330"/>
      <c r="FI382" s="330"/>
      <c r="FJ382" s="330"/>
      <c r="FK382" s="330"/>
      <c r="FL382" s="336" t="s">
        <v>2806</v>
      </c>
      <c r="FM382" s="352"/>
      <c r="FN382" s="338" t="str">
        <f>IF(Table1[[#This Row],[Tanggal Pengajuan Dokumen]]="","",Table1[[#This Row],[PLAN PERMIT
start]]-Table1[[#This Row],[Tanggal Pengajuan Dokumen]])</f>
        <v/>
      </c>
      <c r="FO382" s="352"/>
      <c r="FP382" s="316"/>
      <c r="FQ382" s="338"/>
      <c r="FR382" s="331"/>
      <c r="FS382" s="338"/>
      <c r="FT38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2" s="344">
        <f ca="1">IF(Table1[[#This Row],[Status Izin]]="Selesai",Table1[[#This Row],[PLAN PERMIT
finish]]-Table1[[#This Row],[Tanggal Terbit/ Target Izin Terbit]],ROUNDUP(Table1[[#This Row],[PLAN PERMIT
finish]]-NOW(),0))</f>
        <v>-116</v>
      </c>
      <c r="FV38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2" s="344"/>
      <c r="FX382" s="47"/>
      <c r="FY382" s="513">
        <v>46034</v>
      </c>
      <c r="FZ382" s="513">
        <v>46049</v>
      </c>
      <c r="GA38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2" s="331">
        <v>46048</v>
      </c>
      <c r="GC382" s="352">
        <v>46141</v>
      </c>
      <c r="GD38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2" s="331">
        <v>46055</v>
      </c>
      <c r="GF382" s="352">
        <v>46141</v>
      </c>
      <c r="GG38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2" s="331">
        <v>46062</v>
      </c>
      <c r="GI382" s="331">
        <v>46068</v>
      </c>
      <c r="GJ382" s="352">
        <v>46148</v>
      </c>
      <c r="GK38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2" s="331">
        <v>46076</v>
      </c>
      <c r="GM382" s="331">
        <v>46193</v>
      </c>
      <c r="GN382" s="331">
        <v>46103</v>
      </c>
      <c r="GO382" s="330">
        <v>46241</v>
      </c>
      <c r="GP382" s="316"/>
      <c r="GQ38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2" s="331"/>
      <c r="GS382" s="331"/>
      <c r="GT382" s="354"/>
      <c r="GU382" s="344" t="str">
        <f>IF(Table1[[#This Row],[Hydro Tes Actual
(tanggal)]]&lt;&gt;"","Sudah","Belum")</f>
        <v>Belum</v>
      </c>
      <c r="GV382" s="330"/>
      <c r="GW382" s="330"/>
      <c r="GX382" s="331"/>
      <c r="GY382" s="344" t="str">
        <f>IF(Table1[[#This Row],[Interkoneksi Actual
(tanggal)]]&lt;&gt;"","Sudah","Belum")</f>
        <v>Belum</v>
      </c>
      <c r="GZ382" s="330"/>
      <c r="HA382" s="330"/>
      <c r="HB382" s="331"/>
      <c r="HC382" s="344" t="str">
        <f>IF(Table1[[#This Row],[Flushing Actual
(tanggal)]]&lt;&gt;"","Sudah","Belum")</f>
        <v>Belum</v>
      </c>
      <c r="HD382" s="331">
        <v>46106</v>
      </c>
      <c r="HE382" s="331">
        <v>46242</v>
      </c>
      <c r="HF382" s="331">
        <v>46111</v>
      </c>
      <c r="HG382" s="352"/>
      <c r="HH38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2" s="330"/>
      <c r="HJ382" s="330"/>
      <c r="HK382" s="331"/>
      <c r="HL382" s="331"/>
      <c r="HM382" s="331">
        <v>46128</v>
      </c>
      <c r="HN382" s="331">
        <v>46128</v>
      </c>
      <c r="HO382" s="330">
        <v>46259</v>
      </c>
      <c r="HP382" s="331"/>
      <c r="HQ38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82" s="331">
        <v>46136</v>
      </c>
      <c r="HS382" s="331"/>
      <c r="HT382" s="331">
        <v>46136</v>
      </c>
      <c r="HU382" s="420"/>
      <c r="HV382" s="395"/>
      <c r="HW382"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82" s="47"/>
      <c r="HY382" s="352"/>
      <c r="HZ382" s="352"/>
      <c r="IA382" s="72"/>
      <c r="IB382" s="618">
        <f>IFERROR(ROUND((Table1[[#This Row],[PLAN TC
finish]]-Table1[[#This Row],[PLAN MC-0
start]])/30,2),"")</f>
        <v>1.63</v>
      </c>
      <c r="IC382">
        <f>DATEDIF(Table1[[#This Row],[PLAN MC-0
start]],Table1[[#This Row],[PLAN TC
finish]],"m")</f>
        <v>1</v>
      </c>
      <c r="ID382" s="6"/>
      <c r="IE382" s="6"/>
      <c r="IF382" s="72"/>
      <c r="IH382" s="6"/>
      <c r="II382" s="4"/>
      <c r="IJ382" s="4"/>
      <c r="IK382" s="6"/>
      <c r="IL382" s="6"/>
      <c r="IM382" s="6"/>
      <c r="IN382" s="6"/>
      <c r="IO382" s="6"/>
      <c r="IQ382" s="6"/>
      <c r="IR382" s="6"/>
      <c r="IS382" s="6"/>
      <c r="IT382" s="6"/>
      <c r="IW382" s="6"/>
      <c r="IX382" s="6"/>
      <c r="IZ382" s="6"/>
      <c r="JA382" s="6"/>
    </row>
    <row r="383" spans="2:261" ht="15" hidden="1" customHeight="1" x14ac:dyDescent="0.2">
      <c r="B383" s="590">
        <f>SUBTOTAL(3,$D$5:D383)</f>
        <v>84</v>
      </c>
      <c r="C383" s="316">
        <v>379</v>
      </c>
      <c r="D383" s="584" t="s">
        <v>244</v>
      </c>
      <c r="E383" s="585" t="s">
        <v>3033</v>
      </c>
      <c r="F383" s="585" t="s">
        <v>3034</v>
      </c>
      <c r="G383" s="586">
        <v>46300</v>
      </c>
      <c r="H383" s="585" t="s">
        <v>681</v>
      </c>
      <c r="I383" s="338" t="s">
        <v>278</v>
      </c>
      <c r="J383" s="587"/>
      <c r="K383" s="338"/>
      <c r="L383" s="316"/>
      <c r="M383" s="355" t="s">
        <v>269</v>
      </c>
      <c r="N383" s="588">
        <v>50</v>
      </c>
      <c r="O383" s="588" t="s">
        <v>252</v>
      </c>
      <c r="P38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3" s="35">
        <v>0.99999999999999989</v>
      </c>
      <c r="S383" s="327">
        <v>0.99999999999999989</v>
      </c>
      <c r="T383" s="152">
        <f>Table1[[#This Row],[Progres Total Aktual
(%)]]</f>
        <v>0.11716259472088428</v>
      </c>
      <c r="U383" s="121">
        <f>Table1[[#This Row],[Progres Aktual
(%)]]-Table1[[#This Row],[Target Progres
(%)]]</f>
        <v>-0.88283740527911558</v>
      </c>
      <c r="V383" s="80">
        <f>Table1[[#This Row],["Volume
BA MC-0"]]</f>
        <v>0</v>
      </c>
      <c r="W383" s="80">
        <f>Table1[[#This Row],[Total Panjang Pipa Aktual
(Sum-&gt;)3]]</f>
        <v>0</v>
      </c>
      <c r="X383" s="117"/>
      <c r="Y383" s="67" t="s">
        <v>3035</v>
      </c>
      <c r="Z383" s="67">
        <v>92727468</v>
      </c>
      <c r="AA383" s="509">
        <f>ROUND((Table1[[#This Row],[Nilai RAB Jaringan
(Exclude Ppn)]]-Table1[[#This Row],[RAB Perizinan]])*1.11+Table1[[#This Row],[RAB Perizinan]],0)</f>
        <v>92727468</v>
      </c>
      <c r="AB383" s="436">
        <f>SUM(Table1[[#This Row],[RAB Kegiatan Umum]:[RAB Perizinan]])</f>
        <v>83587809</v>
      </c>
      <c r="AC383" s="436">
        <v>5204019</v>
      </c>
      <c r="AD383" s="436">
        <v>52040189</v>
      </c>
      <c r="AE383" s="436">
        <v>25843601</v>
      </c>
      <c r="AF383" s="436">
        <v>500000</v>
      </c>
      <c r="AG383" s="436"/>
      <c r="AH383" s="510">
        <f>SUM(Table1[[#This Row],[Bobot Keg Umum]:[Bobot Perizinan]])</f>
        <v>1</v>
      </c>
      <c r="AI383" s="510">
        <f>Table1[[#This Row],[RAB Kegiatan Umum]]/Table1[[#This Row],[Nilai RAB Jaringan
(Exclude Ppn)]]</f>
        <v>6.2258109911697772E-2</v>
      </c>
      <c r="AJ383" s="510">
        <f>Table1[[#This Row],[RAB Pemasangan]]/Table1[[#This Row],[Nilai RAB Jaringan
(Exclude Ppn)]]</f>
        <v>0.62258108715351068</v>
      </c>
      <c r="AK383" s="129">
        <f>Table1[[#This Row],[RAB Pengadaan]]/Table1[[#This Row],[Nilai RAB Jaringan
(Exclude Ppn)]]</f>
        <v>0.30917906940233353</v>
      </c>
      <c r="AL383" s="130">
        <f>Table1[[#This Row],[RAB Perizinan]]/Table1[[#This Row],[Nilai RAB Jaringan
(Exclude Ppn)]]</f>
        <v>5.981733532458065E-3</v>
      </c>
      <c r="AM383" s="47"/>
      <c r="AN383" s="285"/>
      <c r="AO383" s="285">
        <f>SUM(Table1[[#This Row],[Pipa 63 mm]:[Pipa 1,800 mm]])</f>
        <v>0</v>
      </c>
      <c r="AP383" s="285"/>
      <c r="AQ383" s="285"/>
      <c r="AR383" s="285"/>
      <c r="AS383" s="285"/>
      <c r="AT383" s="285"/>
      <c r="AU383" s="285"/>
      <c r="AV383" s="285"/>
      <c r="AW383" s="285"/>
      <c r="AX383" s="285"/>
      <c r="AY383" s="285"/>
      <c r="AZ383" s="285"/>
      <c r="BA383" s="285"/>
      <c r="BB383" s="285"/>
      <c r="BC383" s="285"/>
      <c r="BD383" s="285"/>
      <c r="BE383" s="285"/>
      <c r="BF383" s="285"/>
      <c r="BG383" s="285"/>
      <c r="BH383" s="285"/>
      <c r="BI383" s="285"/>
      <c r="BJ383" s="36">
        <f>SUM(Table1[[#This Row],[Pipa 63 mm2]:[Pipa 1,800 mm21]])</f>
        <v>0</v>
      </c>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f>IF((Table1[[#This Row],["Volume
BA MC-0"]]-Table1[[#This Row],[Total Panjang Pipa Aktual
(Sum-&gt;)3]]-Table1[[#This Row],[Total Volume
tidak dapat dipasang]])&gt;=0,Table1[[#This Row],["Volume
BA MC-0"]]-Table1[[#This Row],[Total Panjang Pipa Aktual
(Sum-&gt;)3]]-Table1[[#This Row],[Total Volume
tidak dapat dipasang]],0)</f>
        <v>0</v>
      </c>
      <c r="CK383" s="47"/>
      <c r="CL383" s="131"/>
      <c r="CM383" s="337"/>
      <c r="CN383" s="131"/>
      <c r="CO383" s="131"/>
      <c r="CP38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0.11716259472088428</v>
      </c>
      <c r="CQ383" s="436">
        <f>IFERROR(Table1[[#This Row],[Progres Keg. Umum
(%)]]*Table1[[#This Row],[Nilai RAB Jaringan
(file pa aji)]],0)</f>
        <v>0</v>
      </c>
      <c r="CR383" s="436">
        <f>IFERROR(Table1[[#This Row],[Progres MOS
(%)]]*Table1[[#This Row],[Nilai RAB Jaringan
(file pa aji)]],0)</f>
        <v>0</v>
      </c>
      <c r="CS383" s="436">
        <f>IFERROR(Table1[[#This Row],[Progres Pemasangan
(%)]]*Table1[[#This Row],[Nilai RAB Jaringan
(file pa aji)]],0)</f>
        <v>0</v>
      </c>
      <c r="CT383" s="436">
        <f>IFERROR(Table1[[#This Row],[Progres Perizinan
(%)]]*Table1[[#This Row],[Nilai RAB Jaringan
(file pa aji)]],0)</f>
        <v>0</v>
      </c>
      <c r="CU383" s="329">
        <v>0</v>
      </c>
      <c r="CV383" s="329">
        <v>0</v>
      </c>
      <c r="CW383" s="511">
        <v>0</v>
      </c>
      <c r="CX383" s="329">
        <v>0</v>
      </c>
      <c r="CY383" s="47"/>
      <c r="CZ383" s="331">
        <v>45992</v>
      </c>
      <c r="DA383" s="331">
        <v>46019</v>
      </c>
      <c r="DB383" s="331">
        <v>45987</v>
      </c>
      <c r="DC383" s="515" t="s">
        <v>3036</v>
      </c>
      <c r="DD383" s="508">
        <v>92727468</v>
      </c>
      <c r="DE38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3" s="331">
        <v>45999</v>
      </c>
      <c r="DG383" s="516" t="s">
        <v>3037</v>
      </c>
      <c r="DH383" s="514">
        <v>92727468</v>
      </c>
      <c r="DI38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3" s="331">
        <v>46020</v>
      </c>
      <c r="DK383" s="331">
        <v>46082</v>
      </c>
      <c r="DL383" s="331">
        <v>46049</v>
      </c>
      <c r="DM383" s="316" t="s">
        <v>3038</v>
      </c>
      <c r="DN38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3" s="331">
        <v>46114</v>
      </c>
      <c r="DP383" s="316" t="s">
        <v>2746</v>
      </c>
      <c r="DQ383" s="338" t="s">
        <v>365</v>
      </c>
      <c r="DR38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3" s="331">
        <v>46020</v>
      </c>
      <c r="DT383" s="331">
        <v>46164</v>
      </c>
      <c r="DU383" s="331">
        <v>46061</v>
      </c>
      <c r="DV383" s="331">
        <v>46178</v>
      </c>
      <c r="DW383" s="331">
        <v>46049</v>
      </c>
      <c r="DX383" s="331" t="s">
        <v>3039</v>
      </c>
      <c r="DY383" s="334">
        <v>19</v>
      </c>
      <c r="DZ383" s="334">
        <v>19</v>
      </c>
      <c r="EA38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3" s="331"/>
      <c r="EC383" s="332">
        <v>17</v>
      </c>
      <c r="ED383" s="332">
        <v>17</v>
      </c>
      <c r="EE383" s="118"/>
      <c r="EF383" s="337">
        <v>0.89473684210526316</v>
      </c>
      <c r="EG383" s="337">
        <f>Table1[[#This Row],[Line PO]]/Table1[[#This Row],[Line PR]]</f>
        <v>0.89473684210526316</v>
      </c>
      <c r="EH383" s="316" t="str">
        <f>IF(Table1[[#This Row],[PO Material Aktual 
(%)]]&gt;=100%,"Selesai PO = 100%",IF(Table1[[#This Row],[PO Material Aktual 
(%)]]&gt;=50%,"Proses PO &gt; 100%",IF(Table1[[#This Row],[PO Material Aktual 
(%)]]&gt;0%,"Proses PO &gt; 50%",IF(Table1[[#This Row],[PO Material Aktual 
(%)]]=0,"Belum PO = 0%"))))</f>
        <v>Proses PO &gt; 100%</v>
      </c>
      <c r="EI38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3" s="331">
        <v>46062</v>
      </c>
      <c r="EK383" s="331">
        <v>46178</v>
      </c>
      <c r="EL383" s="331">
        <v>46131</v>
      </c>
      <c r="EM383" s="331">
        <v>46183</v>
      </c>
      <c r="EN383" s="331"/>
      <c r="EO383" s="332">
        <v>12</v>
      </c>
      <c r="EP383" s="332">
        <v>12</v>
      </c>
      <c r="EQ383" s="337">
        <v>0.63157894736842102</v>
      </c>
      <c r="ER383" s="337">
        <f>Table1[[#This Row],[Line MOS (kolom bantu)]]/Table1[[#This Row],[Line PR]]</f>
        <v>0.63157894736842102</v>
      </c>
      <c r="ES383" s="316" t="str">
        <f>IF(Table1[[#This Row],[Progres MOS]]&gt;=100%,"Selesai MOS = 100%",IF(Table1[[#This Row],[Progres MOS]]&gt;=50%,"Proses MOS &gt; 100%",IF(Table1[[#This Row],[Progres MOS]]&gt;0%,"Proses MOS &gt; 50%",IF(Table1[[#This Row],[Progres MOS]]=0,"Belum MOS = 0%"))))</f>
        <v>Proses MOS &gt; 100%</v>
      </c>
      <c r="ET38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3" s="47"/>
      <c r="EV383" s="331">
        <v>46020</v>
      </c>
      <c r="EW383" s="331">
        <v>46156</v>
      </c>
      <c r="EX383" s="331">
        <v>46110</v>
      </c>
      <c r="EY383" s="331">
        <v>46186</v>
      </c>
      <c r="EZ383" s="352" t="s">
        <v>2748</v>
      </c>
      <c r="FA383" s="409" t="s">
        <v>2748</v>
      </c>
      <c r="FB383" s="330" t="e">
        <v>#N/A</v>
      </c>
      <c r="FC383" s="330" t="e">
        <v>#N/A</v>
      </c>
      <c r="FD383" s="330" t="e">
        <v>#N/A</v>
      </c>
      <c r="FE383" s="330" t="e">
        <v>#N/A</v>
      </c>
      <c r="FF383" s="330" t="e">
        <v>#N/A</v>
      </c>
      <c r="FG383" s="330" t="e">
        <v>#N/A</v>
      </c>
      <c r="FH383" s="330" t="e">
        <v>#N/A</v>
      </c>
      <c r="FI383" s="330" t="e">
        <v>#N/A</v>
      </c>
      <c r="FJ383" s="330" t="e">
        <v>#N/A</v>
      </c>
      <c r="FK383" s="330" t="e">
        <v>#N/A</v>
      </c>
      <c r="FL383" s="336" t="s">
        <v>2806</v>
      </c>
      <c r="FM383" s="352"/>
      <c r="FN383" s="338" t="str">
        <f>IF(Table1[[#This Row],[Tanggal Pengajuan Dokumen]]="","",Table1[[#This Row],[PLAN PERMIT
start]]-Table1[[#This Row],[Tanggal Pengajuan Dokumen]])</f>
        <v/>
      </c>
      <c r="FO383" s="352"/>
      <c r="FP383" s="316"/>
      <c r="FQ383" s="338"/>
      <c r="FR383" s="331"/>
      <c r="FS383" s="338"/>
      <c r="FT38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3" s="344">
        <f ca="1">IF(Table1[[#This Row],[Status Izin]]="Selesai",Table1[[#This Row],[PLAN PERMIT
finish]]-Table1[[#This Row],[Tanggal Terbit/ Target Izin Terbit]],ROUNDUP(Table1[[#This Row],[PLAN PERMIT
finish]]-NOW(),0))</f>
        <v>-81</v>
      </c>
      <c r="FV38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3" s="344"/>
      <c r="FX383" s="47"/>
      <c r="FY383" s="513">
        <v>46069</v>
      </c>
      <c r="FZ383" s="513">
        <v>46122</v>
      </c>
      <c r="GA38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3" s="331">
        <v>46083</v>
      </c>
      <c r="GC383" s="352">
        <v>46141</v>
      </c>
      <c r="GD38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3" s="331">
        <v>46090</v>
      </c>
      <c r="GF383" s="352">
        <v>46141</v>
      </c>
      <c r="GG38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3" s="331">
        <v>46097</v>
      </c>
      <c r="GI383" s="331">
        <v>46103</v>
      </c>
      <c r="GJ383" s="352">
        <v>46154</v>
      </c>
      <c r="GK38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3" s="331">
        <v>46111</v>
      </c>
      <c r="GM383" s="331">
        <v>46193</v>
      </c>
      <c r="GN383" s="331">
        <v>46138</v>
      </c>
      <c r="GO383" s="330">
        <v>46241</v>
      </c>
      <c r="GP383" s="316"/>
      <c r="GQ38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3" s="331"/>
      <c r="GS383" s="331"/>
      <c r="GT383" s="354"/>
      <c r="GU383" s="344" t="str">
        <f>IF(Table1[[#This Row],[Hydro Tes Actual
(tanggal)]]&lt;&gt;"","Sudah","Belum")</f>
        <v>Belum</v>
      </c>
      <c r="GV383" s="330"/>
      <c r="GW383" s="330"/>
      <c r="GX383" s="331"/>
      <c r="GY383" s="344" t="str">
        <f>IF(Table1[[#This Row],[Interkoneksi Actual
(tanggal)]]&lt;&gt;"","Sudah","Belum")</f>
        <v>Belum</v>
      </c>
      <c r="GZ383" s="330"/>
      <c r="HA383" s="330"/>
      <c r="HB383" s="331"/>
      <c r="HC383" s="344" t="str">
        <f>IF(Table1[[#This Row],[Flushing Actual
(tanggal)]]&lt;&gt;"","Sudah","Belum")</f>
        <v>Belum</v>
      </c>
      <c r="HD383" s="331">
        <v>46141</v>
      </c>
      <c r="HE383" s="331">
        <v>46242</v>
      </c>
      <c r="HF383" s="331">
        <v>46146</v>
      </c>
      <c r="HG383" s="352"/>
      <c r="HH38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3" s="330"/>
      <c r="HJ383" s="330"/>
      <c r="HK383" s="331"/>
      <c r="HL383" s="331"/>
      <c r="HM383" s="331">
        <v>46163</v>
      </c>
      <c r="HN383" s="331">
        <v>46163</v>
      </c>
      <c r="HO383" s="330">
        <v>46259</v>
      </c>
      <c r="HP383" s="331"/>
      <c r="HQ38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83" s="331">
        <v>46171</v>
      </c>
      <c r="HS383" s="331"/>
      <c r="HT383" s="331">
        <v>46171</v>
      </c>
      <c r="HU383" s="420"/>
      <c r="HV383" s="395"/>
      <c r="HW383"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83" s="47"/>
      <c r="HY383" s="352"/>
      <c r="HZ383" s="352"/>
      <c r="IA383" s="72"/>
      <c r="IB383" s="618">
        <f>IFERROR(ROUND((Table1[[#This Row],[PLAN TC
finish]]-Table1[[#This Row],[PLAN MC-0
start]])/30,2),"")</f>
        <v>1.63</v>
      </c>
      <c r="IC383">
        <f>DATEDIF(Table1[[#This Row],[PLAN MC-0
start]],Table1[[#This Row],[PLAN TC
finish]],"m")</f>
        <v>1</v>
      </c>
      <c r="ID383" s="6"/>
      <c r="IE383" s="6"/>
      <c r="IF383" s="72"/>
      <c r="IH383" s="6"/>
      <c r="II383" s="4"/>
      <c r="IJ383" s="4"/>
      <c r="IK383" s="6"/>
      <c r="IL383" s="6"/>
      <c r="IM383" s="6"/>
      <c r="IN383" s="6"/>
      <c r="IO383" s="6"/>
      <c r="IQ383" s="6"/>
      <c r="IR383" s="6"/>
      <c r="IS383" s="6"/>
      <c r="IT383" s="6"/>
      <c r="IW383" s="6"/>
      <c r="IX383" s="6"/>
      <c r="IZ383" s="6"/>
      <c r="JA383" s="6"/>
    </row>
    <row r="384" spans="2:261" ht="15" hidden="1" customHeight="1" x14ac:dyDescent="0.2">
      <c r="B384" s="311">
        <f>SUBTOTAL(3,$D$5:D384)</f>
        <v>84</v>
      </c>
      <c r="C384" s="316">
        <v>380</v>
      </c>
      <c r="D384" s="315" t="s">
        <v>244</v>
      </c>
      <c r="E384" s="338" t="s">
        <v>3040</v>
      </c>
      <c r="F384" s="338" t="s">
        <v>3041</v>
      </c>
      <c r="G384" s="349">
        <v>46300</v>
      </c>
      <c r="H384" s="338" t="s">
        <v>681</v>
      </c>
      <c r="I384" s="338" t="s">
        <v>278</v>
      </c>
      <c r="J384" s="480"/>
      <c r="K384" s="338"/>
      <c r="L384" s="316"/>
      <c r="M384" s="355" t="s">
        <v>269</v>
      </c>
      <c r="N384" s="507">
        <v>2739</v>
      </c>
      <c r="O384" s="507" t="s">
        <v>252</v>
      </c>
      <c r="P38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4" s="35">
        <v>0.69329078764374474</v>
      </c>
      <c r="S384" s="327">
        <v>0.69329078764374474</v>
      </c>
      <c r="T384" s="152">
        <f>Table1[[#This Row],[Progres Total Aktual
(%)]]</f>
        <v>2.7231387721057921E-2</v>
      </c>
      <c r="U384" s="121">
        <f>Table1[[#This Row],[Progres Aktual
(%)]]-Table1[[#This Row],[Target Progres
(%)]]</f>
        <v>-0.66605939992268681</v>
      </c>
      <c r="V384" s="80">
        <f>Table1[[#This Row],["Volume
BA MC-0"]]</f>
        <v>0</v>
      </c>
      <c r="W384" s="80">
        <f>Table1[[#This Row],[Total Panjang Pipa Aktual
(Sum-&gt;)3]]</f>
        <v>0</v>
      </c>
      <c r="X384" s="117"/>
      <c r="Y384" s="67" t="s">
        <v>3042</v>
      </c>
      <c r="Z384" s="67">
        <v>3977952179</v>
      </c>
      <c r="AA384" s="509">
        <f>ROUND((Table1[[#This Row],[Nilai RAB Jaringan
(Exclude Ppn)]]-Table1[[#This Row],[RAB Perizinan]])*1.11+Table1[[#This Row],[RAB Perizinan]],0)</f>
        <v>3977952179</v>
      </c>
      <c r="AB384" s="436">
        <f>SUM(Table1[[#This Row],[RAB Kegiatan Umum]:[RAB Perizinan]])</f>
        <v>3586455026</v>
      </c>
      <c r="AC384" s="436">
        <v>231477423</v>
      </c>
      <c r="AD384" s="436">
        <v>2314774223</v>
      </c>
      <c r="AE384" s="436">
        <v>1012813380</v>
      </c>
      <c r="AF384" s="436">
        <v>27390000</v>
      </c>
      <c r="AG384" s="436"/>
      <c r="AH384" s="510">
        <f>SUM(Table1[[#This Row],[Bobot Keg Umum]:[Bobot Perizinan]])</f>
        <v>1</v>
      </c>
      <c r="AI384" s="510">
        <f>Table1[[#This Row],[RAB Kegiatan Umum]]/Table1[[#This Row],[Nilai RAB Jaringan
(Exclude Ppn)]]</f>
        <v>6.454212343997201E-2</v>
      </c>
      <c r="AJ384" s="510">
        <f>Table1[[#This Row],[RAB Pemasangan]]/Table1[[#This Row],[Nilai RAB Jaringan
(Exclude Ppn)]]</f>
        <v>0.64542123244793204</v>
      </c>
      <c r="AK384" s="129">
        <f>Table1[[#This Row],[RAB Pengadaan]]/Table1[[#This Row],[Nilai RAB Jaringan
(Exclude Ppn)]]</f>
        <v>0.28239957636652657</v>
      </c>
      <c r="AL384" s="130">
        <f>Table1[[#This Row],[RAB Perizinan]]/Table1[[#This Row],[Nilai RAB Jaringan
(Exclude Ppn)]]</f>
        <v>7.6370677455694378E-3</v>
      </c>
      <c r="AM384" s="47"/>
      <c r="AN384" s="285"/>
      <c r="AO384" s="285">
        <f>SUM(Table1[[#This Row],[Pipa 63 mm]:[Pipa 1,800 mm]])</f>
        <v>0</v>
      </c>
      <c r="AP384" s="285"/>
      <c r="AQ384" s="285"/>
      <c r="AR384" s="285"/>
      <c r="AS384" s="285"/>
      <c r="AT384" s="285"/>
      <c r="AU384" s="285"/>
      <c r="AV384" s="285"/>
      <c r="AW384" s="285"/>
      <c r="AX384" s="285"/>
      <c r="AY384" s="285"/>
      <c r="AZ384" s="285"/>
      <c r="BA384" s="285"/>
      <c r="BB384" s="285"/>
      <c r="BC384" s="285"/>
      <c r="BD384" s="285"/>
      <c r="BE384" s="285"/>
      <c r="BF384" s="285"/>
      <c r="BG384" s="285"/>
      <c r="BH384" s="285"/>
      <c r="BI384" s="285"/>
      <c r="BJ384" s="36">
        <f>SUM(Table1[[#This Row],[Pipa 63 mm2]:[Pipa 1,800 mm21]])</f>
        <v>0</v>
      </c>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f>IF((Table1[[#This Row],["Volume
BA MC-0"]]-Table1[[#This Row],[Total Panjang Pipa Aktual
(Sum-&gt;)3]]-Table1[[#This Row],[Total Volume
tidak dapat dipasang]])&gt;=0,Table1[[#This Row],["Volume
BA MC-0"]]-Table1[[#This Row],[Total Panjang Pipa Aktual
(Sum-&gt;)3]]-Table1[[#This Row],[Total Volume
tidak dapat dipasang]],0)</f>
        <v>0</v>
      </c>
      <c r="CK384" s="47"/>
      <c r="CL384" s="131"/>
      <c r="CM384" s="337"/>
      <c r="CN384" s="131"/>
      <c r="CO384" s="131"/>
      <c r="CP38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2.7231387721057921E-2</v>
      </c>
      <c r="CQ384" s="436">
        <f>IFERROR(Table1[[#This Row],[Progres Keg. Umum
(%)]]*Table1[[#This Row],[Nilai RAB Jaringan
(file pa aji)]],0)</f>
        <v>0</v>
      </c>
      <c r="CR384" s="436">
        <f>IFERROR(Table1[[#This Row],[Progres MOS
(%)]]*Table1[[#This Row],[Nilai RAB Jaringan
(file pa aji)]],0)</f>
        <v>0</v>
      </c>
      <c r="CS384" s="436">
        <f>IFERROR(Table1[[#This Row],[Progres Pemasangan
(%)]]*Table1[[#This Row],[Nilai RAB Jaringan
(file pa aji)]],0)</f>
        <v>0</v>
      </c>
      <c r="CT384" s="436">
        <f>IFERROR(Table1[[#This Row],[Progres Perizinan
(%)]]*Table1[[#This Row],[Nilai RAB Jaringan
(file pa aji)]],0)</f>
        <v>0</v>
      </c>
      <c r="CU384" s="329">
        <v>0</v>
      </c>
      <c r="CV384" s="329">
        <v>0</v>
      </c>
      <c r="CW384" s="511">
        <v>0</v>
      </c>
      <c r="CX384" s="329">
        <v>0</v>
      </c>
      <c r="CY384" s="47"/>
      <c r="CZ384" s="331">
        <v>45992</v>
      </c>
      <c r="DA384" s="331">
        <v>46019</v>
      </c>
      <c r="DB384" s="331">
        <v>45986</v>
      </c>
      <c r="DC384" s="316" t="s">
        <v>3043</v>
      </c>
      <c r="DD384" s="508">
        <v>3977952179</v>
      </c>
      <c r="DE38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4" s="331">
        <v>45999</v>
      </c>
      <c r="DG384" s="516" t="s">
        <v>3044</v>
      </c>
      <c r="DH384" s="508">
        <v>3977952179</v>
      </c>
      <c r="DI38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4" s="331">
        <v>46020</v>
      </c>
      <c r="DK384" s="331">
        <v>46082</v>
      </c>
      <c r="DL384" s="331">
        <v>46049</v>
      </c>
      <c r="DM384" s="316" t="s">
        <v>3045</v>
      </c>
      <c r="DN38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4" s="331">
        <v>46085</v>
      </c>
      <c r="DP384" s="316"/>
      <c r="DQ384" s="338" t="s">
        <v>275</v>
      </c>
      <c r="DR38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4" s="331">
        <v>46020</v>
      </c>
      <c r="DT384" s="331">
        <v>46158</v>
      </c>
      <c r="DU384" s="331">
        <v>46061</v>
      </c>
      <c r="DV384" s="331">
        <v>46172</v>
      </c>
      <c r="DW384" s="331">
        <v>46049</v>
      </c>
      <c r="DX384" s="331" t="s">
        <v>3046</v>
      </c>
      <c r="DY384" s="334">
        <v>56</v>
      </c>
      <c r="DZ384" s="334">
        <v>56</v>
      </c>
      <c r="EA38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4" s="331"/>
      <c r="EC384" s="332">
        <v>47</v>
      </c>
      <c r="ED384" s="332">
        <v>47</v>
      </c>
      <c r="EE384" s="118"/>
      <c r="EF384" s="337">
        <v>0.8392857142857143</v>
      </c>
      <c r="EG384" s="337">
        <f>Table1[[#This Row],[Line PO]]/Table1[[#This Row],[Line PR]]</f>
        <v>0.8392857142857143</v>
      </c>
      <c r="EH384" s="316" t="str">
        <f>IF(Table1[[#This Row],[PO Material Aktual 
(%)]]&gt;=100%,"Selesai PO = 100%",IF(Table1[[#This Row],[PO Material Aktual 
(%)]]&gt;=50%,"Proses PO &gt; 100%",IF(Table1[[#This Row],[PO Material Aktual 
(%)]]&gt;0%,"Proses PO &gt; 50%",IF(Table1[[#This Row],[PO Material Aktual 
(%)]]=0,"Belum PO = 0%"))))</f>
        <v>Proses PO &gt; 100%</v>
      </c>
      <c r="EI38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4" s="331">
        <v>46062</v>
      </c>
      <c r="EK384" s="331">
        <v>46172</v>
      </c>
      <c r="EL384" s="331">
        <v>46159</v>
      </c>
      <c r="EM384" s="331">
        <v>46187</v>
      </c>
      <c r="EN384" s="331"/>
      <c r="EO384" s="332">
        <v>9</v>
      </c>
      <c r="EP384" s="332">
        <v>9</v>
      </c>
      <c r="EQ384" s="337">
        <v>0.16071428571428573</v>
      </c>
      <c r="ER384" s="337">
        <f>Table1[[#This Row],[Line MOS (kolom bantu)]]/Table1[[#This Row],[Line PR]]</f>
        <v>0.16071428571428573</v>
      </c>
      <c r="ES384" s="316" t="str">
        <f>IF(Table1[[#This Row],[Progres MOS]]&gt;=100%,"Selesai MOS = 100%",IF(Table1[[#This Row],[Progres MOS]]&gt;=50%,"Proses MOS &gt; 100%",IF(Table1[[#This Row],[Progres MOS]]&gt;0%,"Proses MOS &gt; 50%",IF(Table1[[#This Row],[Progres MOS]]=0,"Belum MOS = 0%"))))</f>
        <v>Proses MOS &gt; 50%</v>
      </c>
      <c r="ET38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4" s="47"/>
      <c r="EV384" s="331">
        <v>46020</v>
      </c>
      <c r="EW384" s="331">
        <v>46153</v>
      </c>
      <c r="EX384" s="331">
        <v>46110</v>
      </c>
      <c r="EY384" s="331">
        <v>46183</v>
      </c>
      <c r="EZ384" s="352" t="s">
        <v>2955</v>
      </c>
      <c r="FA384" s="409" t="s">
        <v>2955</v>
      </c>
      <c r="FB384" s="330" t="e">
        <v>#N/A</v>
      </c>
      <c r="FC384" s="330" t="e">
        <v>#N/A</v>
      </c>
      <c r="FD384" s="330" t="e">
        <v>#N/A</v>
      </c>
      <c r="FE384" s="330" t="e">
        <v>#N/A</v>
      </c>
      <c r="FF384" s="330" t="e">
        <v>#N/A</v>
      </c>
      <c r="FG384" s="330" t="e">
        <v>#N/A</v>
      </c>
      <c r="FH384" s="330" t="e">
        <v>#N/A</v>
      </c>
      <c r="FI384" s="330" t="e">
        <v>#N/A</v>
      </c>
      <c r="FJ384" s="330" t="e">
        <v>#N/A</v>
      </c>
      <c r="FK384" s="330" t="e">
        <v>#N/A</v>
      </c>
      <c r="FL384" s="336" t="s">
        <v>2806</v>
      </c>
      <c r="FM384" s="352"/>
      <c r="FN384" s="338" t="str">
        <f>IF(Table1[[#This Row],[Tanggal Pengajuan Dokumen]]="","",Table1[[#This Row],[PLAN PERMIT
start]]-Table1[[#This Row],[Tanggal Pengajuan Dokumen]])</f>
        <v/>
      </c>
      <c r="FO384" s="352"/>
      <c r="FP384" s="316"/>
      <c r="FQ384" s="338"/>
      <c r="FR384" s="331"/>
      <c r="FS384" s="338"/>
      <c r="FT38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4" s="344">
        <f ca="1">IF(Table1[[#This Row],[Status Izin]]="Selesai",Table1[[#This Row],[PLAN PERMIT
finish]]-Table1[[#This Row],[Tanggal Terbit/ Target Izin Terbit]],ROUNDUP(Table1[[#This Row],[PLAN PERMIT
finish]]-NOW(),0))</f>
        <v>-81</v>
      </c>
      <c r="FV38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4" s="344"/>
      <c r="FX384" s="47"/>
      <c r="FY384" s="513">
        <v>46069</v>
      </c>
      <c r="FZ384" s="513">
        <v>46122</v>
      </c>
      <c r="GA38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4" s="331">
        <v>46083</v>
      </c>
      <c r="GC384" s="352">
        <v>46113</v>
      </c>
      <c r="GD38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4" s="331">
        <v>46090</v>
      </c>
      <c r="GF384" s="352">
        <v>46113</v>
      </c>
      <c r="GG38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4" s="331">
        <v>46097</v>
      </c>
      <c r="GI384" s="331">
        <v>46103</v>
      </c>
      <c r="GJ384" s="352">
        <v>46126</v>
      </c>
      <c r="GK38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4" s="331">
        <v>46111</v>
      </c>
      <c r="GM384" s="331">
        <v>46190</v>
      </c>
      <c r="GN384" s="331">
        <v>46201</v>
      </c>
      <c r="GO384" s="330">
        <v>46255</v>
      </c>
      <c r="GP384" s="316"/>
      <c r="GQ38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84" s="331"/>
      <c r="GS384" s="331"/>
      <c r="GT384" s="354"/>
      <c r="GU384" s="344" t="str">
        <f>IF(Table1[[#This Row],[Hydro Tes Actual
(tanggal)]]&lt;&gt;"","Sudah","Belum")</f>
        <v>Belum</v>
      </c>
      <c r="GV384" s="330"/>
      <c r="GW384" s="330"/>
      <c r="GX384" s="331"/>
      <c r="GY384" s="344" t="str">
        <f>IF(Table1[[#This Row],[Interkoneksi Actual
(tanggal)]]&lt;&gt;"","Sudah","Belum")</f>
        <v>Belum</v>
      </c>
      <c r="GZ384" s="330"/>
      <c r="HA384" s="330"/>
      <c r="HB384" s="331"/>
      <c r="HC384" s="344" t="str">
        <f>IF(Table1[[#This Row],[Flushing Actual
(tanggal)]]&lt;&gt;"","Sudah","Belum")</f>
        <v>Belum</v>
      </c>
      <c r="HD384" s="331">
        <v>46204</v>
      </c>
      <c r="HE384" s="331">
        <v>46256</v>
      </c>
      <c r="HF384" s="331">
        <v>46209</v>
      </c>
      <c r="HG384" s="352"/>
      <c r="HH38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4" s="330"/>
      <c r="HJ384" s="330"/>
      <c r="HK384" s="331"/>
      <c r="HL384" s="331"/>
      <c r="HM384" s="331">
        <v>46226</v>
      </c>
      <c r="HN384" s="331">
        <v>46226</v>
      </c>
      <c r="HO384" s="330">
        <v>46273</v>
      </c>
      <c r="HP384" s="331"/>
      <c r="HQ38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84" s="331">
        <v>46234</v>
      </c>
      <c r="HS384" s="331"/>
      <c r="HT384" s="331">
        <v>46234</v>
      </c>
      <c r="HU384" s="420"/>
      <c r="HV384" s="395"/>
      <c r="HW384"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84" s="47"/>
      <c r="HY384" s="352"/>
      <c r="HZ384" s="352"/>
      <c r="IA384" s="72"/>
      <c r="IB384" s="618">
        <f>IFERROR(ROUND((Table1[[#This Row],[PLAN TC
finish]]-Table1[[#This Row],[PLAN MC-0
start]])/30,2),"")</f>
        <v>3.73</v>
      </c>
      <c r="IC384">
        <f>DATEDIF(Table1[[#This Row],[PLAN MC-0
start]],Table1[[#This Row],[PLAN TC
finish]],"m")</f>
        <v>3</v>
      </c>
      <c r="ID384" s="6"/>
      <c r="IE384" s="6"/>
      <c r="IF384" s="72"/>
      <c r="IH384" s="6"/>
      <c r="II384" s="4"/>
      <c r="IJ384" s="4"/>
      <c r="IK384" s="6"/>
      <c r="IL384" s="6"/>
      <c r="IM384" s="6"/>
      <c r="IN384" s="6"/>
      <c r="IO384" s="6"/>
      <c r="IQ384" s="6"/>
      <c r="IR384" s="6"/>
      <c r="IS384" s="6"/>
      <c r="IT384" s="6"/>
      <c r="IW384" s="6"/>
      <c r="IX384" s="6"/>
      <c r="IZ384" s="6"/>
      <c r="JA384" s="6"/>
    </row>
    <row r="385" spans="2:261" ht="15" hidden="1" customHeight="1" x14ac:dyDescent="0.2">
      <c r="B385" s="311">
        <f>SUBTOTAL(3,$D$5:D385)</f>
        <v>84</v>
      </c>
      <c r="C385" s="316">
        <v>381</v>
      </c>
      <c r="D385" s="315" t="s">
        <v>244</v>
      </c>
      <c r="E385" s="338" t="s">
        <v>3047</v>
      </c>
      <c r="F385" s="338" t="s">
        <v>3048</v>
      </c>
      <c r="G385" s="349">
        <v>46300</v>
      </c>
      <c r="H385" s="338" t="s">
        <v>681</v>
      </c>
      <c r="I385" s="338" t="s">
        <v>278</v>
      </c>
      <c r="J385" s="480"/>
      <c r="K385" s="338"/>
      <c r="L385" s="316"/>
      <c r="M385" s="355" t="s">
        <v>269</v>
      </c>
      <c r="N385" s="507">
        <v>40</v>
      </c>
      <c r="O385" s="507" t="s">
        <v>252</v>
      </c>
      <c r="P38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85" s="35">
        <v>1</v>
      </c>
      <c r="S385" s="327">
        <v>1</v>
      </c>
      <c r="T385" s="152">
        <f>Table1[[#This Row],[Progres Total Aktual
(%)]]</f>
        <v>1</v>
      </c>
      <c r="U385" s="121">
        <f>Table1[[#This Row],[Progres Aktual
(%)]]-Table1[[#This Row],[Target Progres
(%)]]</f>
        <v>0</v>
      </c>
      <c r="V385" s="80">
        <f>Table1[[#This Row],["Volume
BA MC-0"]]</f>
        <v>40</v>
      </c>
      <c r="W385" s="80">
        <f>Table1[[#This Row],[Total Panjang Pipa Aktual
(Sum-&gt;)3]]</f>
        <v>40</v>
      </c>
      <c r="X385" s="117"/>
      <c r="Y385" s="67" t="s">
        <v>3049</v>
      </c>
      <c r="Z385" s="67">
        <v>83966978</v>
      </c>
      <c r="AA385" s="509">
        <f>ROUND((Table1[[#This Row],[Nilai RAB Jaringan
(Exclude Ppn)]]-Table1[[#This Row],[RAB Perizinan]])*1.11+Table1[[#This Row],[RAB Perizinan]],0)</f>
        <v>83966977</v>
      </c>
      <c r="AB385" s="436">
        <f>SUM(Table1[[#This Row],[RAB Kegiatan Umum]:[RAB Perizinan]])</f>
        <v>75685565</v>
      </c>
      <c r="AC385" s="436">
        <v>4511117</v>
      </c>
      <c r="AD385" s="436">
        <v>45111170</v>
      </c>
      <c r="AE385" s="436">
        <v>25663278</v>
      </c>
      <c r="AF385" s="436">
        <v>400000</v>
      </c>
      <c r="AG385" s="436"/>
      <c r="AH385" s="510">
        <f>SUM(Table1[[#This Row],[Bobot Keg Umum]:[Bobot Perizinan]])</f>
        <v>1</v>
      </c>
      <c r="AI385" s="510">
        <f>Table1[[#This Row],[RAB Kegiatan Umum]]/Table1[[#This Row],[Nilai RAB Jaringan
(Exclude Ppn)]]</f>
        <v>5.9603399934980997E-2</v>
      </c>
      <c r="AJ385" s="510">
        <f>Table1[[#This Row],[RAB Pemasangan]]/Table1[[#This Row],[Nilai RAB Jaringan
(Exclude Ppn)]]</f>
        <v>0.59603399934980994</v>
      </c>
      <c r="AK385" s="129">
        <f>Table1[[#This Row],[RAB Pengadaan]]/Table1[[#This Row],[Nilai RAB Jaringan
(Exclude Ppn)]]</f>
        <v>0.33907757707827113</v>
      </c>
      <c r="AL385" s="130">
        <f>Table1[[#This Row],[RAB Perizinan]]/Table1[[#This Row],[Nilai RAB Jaringan
(Exclude Ppn)]]</f>
        <v>5.2850236369379024E-3</v>
      </c>
      <c r="AM385" s="47"/>
      <c r="AN385" s="285">
        <v>40</v>
      </c>
      <c r="AO385" s="285">
        <f>SUM(Table1[[#This Row],[Pipa 63 mm]:[Pipa 1,800 mm]])</f>
        <v>40</v>
      </c>
      <c r="AP385" s="285">
        <v>40</v>
      </c>
      <c r="AQ385" s="285"/>
      <c r="AR385" s="285"/>
      <c r="AS385" s="285"/>
      <c r="AT385" s="285"/>
      <c r="AU385" s="285"/>
      <c r="AV385" s="285"/>
      <c r="AW385" s="285"/>
      <c r="AX385" s="285"/>
      <c r="AY385" s="285"/>
      <c r="AZ385" s="285"/>
      <c r="BA385" s="285"/>
      <c r="BB385" s="285"/>
      <c r="BC385" s="285"/>
      <c r="BD385" s="285"/>
      <c r="BE385" s="285"/>
      <c r="BF385" s="285"/>
      <c r="BG385" s="285"/>
      <c r="BH385" s="285"/>
      <c r="BI385" s="285"/>
      <c r="BJ385" s="36">
        <f>SUM(Table1[[#This Row],[Pipa 63 mm2]:[Pipa 1,800 mm21]])</f>
        <v>40</v>
      </c>
      <c r="BK385" s="32">
        <v>40</v>
      </c>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f>IF((Table1[[#This Row],["Volume
BA MC-0"]]-Table1[[#This Row],[Total Panjang Pipa Aktual
(Sum-&gt;)3]]-Table1[[#This Row],[Total Volume
tidak dapat dipasang]])&gt;=0,Table1[[#This Row],["Volume
BA MC-0"]]-Table1[[#This Row],[Total Panjang Pipa Aktual
(Sum-&gt;)3]]-Table1[[#This Row],[Total Volume
tidak dapat dipasang]],0)</f>
        <v>0</v>
      </c>
      <c r="CK385" s="47"/>
      <c r="CL385" s="131"/>
      <c r="CM385" s="337"/>
      <c r="CN385" s="131"/>
      <c r="CO385" s="131"/>
      <c r="CP38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85" s="436">
        <f>IFERROR(Table1[[#This Row],[Progres Keg. Umum
(%)]]*Table1[[#This Row],[Nilai RAB Jaringan
(file pa aji)]],0)</f>
        <v>0</v>
      </c>
      <c r="CR385" s="436">
        <f>IFERROR(Table1[[#This Row],[Progres MOS
(%)]]*Table1[[#This Row],[Nilai RAB Jaringan
(file pa aji)]],0)</f>
        <v>0</v>
      </c>
      <c r="CS385" s="436">
        <f>IFERROR(Table1[[#This Row],[Progres Pemasangan
(%)]]*Table1[[#This Row],[Nilai RAB Jaringan
(file pa aji)]],0)</f>
        <v>0</v>
      </c>
      <c r="CT385" s="436">
        <f>IFERROR(Table1[[#This Row],[Progres Perizinan
(%)]]*Table1[[#This Row],[Nilai RAB Jaringan
(file pa aji)]],0)</f>
        <v>0</v>
      </c>
      <c r="CU385" s="329">
        <v>85679898</v>
      </c>
      <c r="CV385" s="329">
        <v>85679898</v>
      </c>
      <c r="CW385" s="511">
        <v>85679898</v>
      </c>
      <c r="CX385" s="329">
        <v>85679898</v>
      </c>
      <c r="CY385" s="47"/>
      <c r="CZ385" s="331">
        <v>45992</v>
      </c>
      <c r="DA385" s="331">
        <v>46019</v>
      </c>
      <c r="DB385" s="331">
        <v>45986</v>
      </c>
      <c r="DC385" s="515" t="s">
        <v>3050</v>
      </c>
      <c r="DD385" s="508">
        <v>83966978</v>
      </c>
      <c r="DE38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5" s="331">
        <v>45999</v>
      </c>
      <c r="DG385" s="516" t="s">
        <v>3051</v>
      </c>
      <c r="DH385" s="514">
        <v>83966978</v>
      </c>
      <c r="DI38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5" s="331">
        <v>46020</v>
      </c>
      <c r="DK385" s="331">
        <v>46082</v>
      </c>
      <c r="DL385" s="331">
        <v>46049</v>
      </c>
      <c r="DM385" s="316" t="s">
        <v>3052</v>
      </c>
      <c r="DN38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5" s="331">
        <v>46083</v>
      </c>
      <c r="DP385" s="316"/>
      <c r="DQ385" s="338" t="s">
        <v>365</v>
      </c>
      <c r="DR38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5" s="331">
        <v>46020</v>
      </c>
      <c r="DT385" s="331">
        <v>46164</v>
      </c>
      <c r="DU385" s="331">
        <v>46061</v>
      </c>
      <c r="DV385" s="331">
        <v>46178</v>
      </c>
      <c r="DW385" s="331">
        <v>46049</v>
      </c>
      <c r="DX385" s="331" t="s">
        <v>3053</v>
      </c>
      <c r="DY385" s="334">
        <v>17</v>
      </c>
      <c r="DZ385" s="334">
        <v>17</v>
      </c>
      <c r="EA38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5" s="331"/>
      <c r="EC385" s="332">
        <v>15</v>
      </c>
      <c r="ED385" s="332">
        <v>15</v>
      </c>
      <c r="EE385" s="118"/>
      <c r="EF385" s="337">
        <v>0.88235294117647056</v>
      </c>
      <c r="EG385" s="337">
        <f>Table1[[#This Row],[Line PO]]/Table1[[#This Row],[Line PR]]</f>
        <v>0.88235294117647056</v>
      </c>
      <c r="EH385" s="316" t="str">
        <f>IF(Table1[[#This Row],[PO Material Aktual 
(%)]]&gt;=100%,"Selesai PO = 100%",IF(Table1[[#This Row],[PO Material Aktual 
(%)]]&gt;=50%,"Proses PO &gt; 100%",IF(Table1[[#This Row],[PO Material Aktual 
(%)]]&gt;0%,"Proses PO &gt; 50%",IF(Table1[[#This Row],[PO Material Aktual 
(%)]]=0,"Belum PO = 0%"))))</f>
        <v>Proses PO &gt; 100%</v>
      </c>
      <c r="EI38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5" s="331">
        <v>46062</v>
      </c>
      <c r="EK385" s="331">
        <v>46178</v>
      </c>
      <c r="EL385" s="331">
        <v>46131</v>
      </c>
      <c r="EM385" s="331">
        <v>46203</v>
      </c>
      <c r="EN385" s="331"/>
      <c r="EO385" s="332">
        <v>9</v>
      </c>
      <c r="EP385" s="332">
        <v>9</v>
      </c>
      <c r="EQ385" s="337">
        <v>0.52941176470588236</v>
      </c>
      <c r="ER385" s="337">
        <f>Table1[[#This Row],[Line MOS (kolom bantu)]]/Table1[[#This Row],[Line PR]]</f>
        <v>0.52941176470588236</v>
      </c>
      <c r="ES385" s="316" t="str">
        <f>IF(Table1[[#This Row],[Progres MOS]]&gt;=100%,"Selesai MOS = 100%",IF(Table1[[#This Row],[Progres MOS]]&gt;=50%,"Proses MOS &gt; 100%",IF(Table1[[#This Row],[Progres MOS]]&gt;0%,"Proses MOS &gt; 50%",IF(Table1[[#This Row],[Progres MOS]]=0,"Belum MOS = 0%"))))</f>
        <v>Proses MOS &gt; 100%</v>
      </c>
      <c r="ET38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5" s="47"/>
      <c r="EV385" s="331">
        <v>46020</v>
      </c>
      <c r="EW385" s="331">
        <v>46164</v>
      </c>
      <c r="EX385" s="331">
        <v>46110</v>
      </c>
      <c r="EY385" s="331">
        <v>46194</v>
      </c>
      <c r="EZ385" s="352" t="s">
        <v>2748</v>
      </c>
      <c r="FA385" s="409" t="s">
        <v>2748</v>
      </c>
      <c r="FB385" s="330" t="e">
        <v>#N/A</v>
      </c>
      <c r="FC385" s="330" t="e">
        <v>#N/A</v>
      </c>
      <c r="FD385" s="330" t="e">
        <v>#N/A</v>
      </c>
      <c r="FE385" s="330" t="e">
        <v>#N/A</v>
      </c>
      <c r="FF385" s="330" t="e">
        <v>#N/A</v>
      </c>
      <c r="FG385" s="330" t="e">
        <v>#N/A</v>
      </c>
      <c r="FH385" s="330" t="e">
        <v>#N/A</v>
      </c>
      <c r="FI385" s="330" t="e">
        <v>#N/A</v>
      </c>
      <c r="FJ385" s="330" t="e">
        <v>#N/A</v>
      </c>
      <c r="FK385" s="330" t="e">
        <v>#N/A</v>
      </c>
      <c r="FL385" s="336" t="s">
        <v>2806</v>
      </c>
      <c r="FM385" s="352"/>
      <c r="FN385" s="338" t="str">
        <f>IF(Table1[[#This Row],[Tanggal Pengajuan Dokumen]]="","",Table1[[#This Row],[PLAN PERMIT
start]]-Table1[[#This Row],[Tanggal Pengajuan Dokumen]])</f>
        <v/>
      </c>
      <c r="FO385" s="352"/>
      <c r="FP385" s="316"/>
      <c r="FQ385" s="338"/>
      <c r="FR385" s="331"/>
      <c r="FS385" s="338"/>
      <c r="FT38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5" s="344">
        <f ca="1">IF(Table1[[#This Row],[Status Izin]]="Selesai",Table1[[#This Row],[PLAN PERMIT
finish]]-Table1[[#This Row],[Tanggal Terbit/ Target Izin Terbit]],ROUNDUP(Table1[[#This Row],[PLAN PERMIT
finish]]-NOW(),0))</f>
        <v>-81</v>
      </c>
      <c r="FV38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5" s="344"/>
      <c r="FX385" s="47"/>
      <c r="FY385" s="513">
        <v>46069</v>
      </c>
      <c r="FZ385" s="513">
        <v>46122</v>
      </c>
      <c r="GA38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5" s="331">
        <v>46083</v>
      </c>
      <c r="GC385" s="352">
        <v>46066</v>
      </c>
      <c r="GD38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5" s="331">
        <v>46090</v>
      </c>
      <c r="GF385" s="352">
        <v>46064</v>
      </c>
      <c r="GG38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5" s="331">
        <v>46097</v>
      </c>
      <c r="GI385" s="331">
        <v>46103</v>
      </c>
      <c r="GJ385" s="477">
        <v>46066</v>
      </c>
      <c r="GK38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5" s="331">
        <v>46111</v>
      </c>
      <c r="GM385" s="331">
        <v>46206</v>
      </c>
      <c r="GN385" s="331">
        <v>46138</v>
      </c>
      <c r="GO385" s="330">
        <v>46249</v>
      </c>
      <c r="GP385" s="316"/>
      <c r="GQ38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5" s="331"/>
      <c r="GS385" s="331"/>
      <c r="GT385" s="354">
        <v>45970</v>
      </c>
      <c r="GU385" s="344" t="str">
        <f>IF(Table1[[#This Row],[Hydro Tes Actual
(tanggal)]]&lt;&gt;"","Sudah","Belum")</f>
        <v>Sudah</v>
      </c>
      <c r="GV385" s="330"/>
      <c r="GW385" s="330"/>
      <c r="GX385" s="331">
        <v>45970</v>
      </c>
      <c r="GY385" s="344" t="str">
        <f>IF(Table1[[#This Row],[Interkoneksi Actual
(tanggal)]]&lt;&gt;"","Sudah","Belum")</f>
        <v>Sudah</v>
      </c>
      <c r="GZ385" s="330"/>
      <c r="HA385" s="330"/>
      <c r="HB385" s="331">
        <v>45970</v>
      </c>
      <c r="HC385" s="344" t="str">
        <f>IF(Table1[[#This Row],[Flushing Actual
(tanggal)]]&lt;&gt;"","Sudah","Belum")</f>
        <v>Sudah</v>
      </c>
      <c r="HD385" s="331">
        <v>46141</v>
      </c>
      <c r="HE385" s="331">
        <v>46250</v>
      </c>
      <c r="HF385" s="331">
        <v>46146</v>
      </c>
      <c r="HG385" s="352">
        <v>46094</v>
      </c>
      <c r="HH38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85" s="330"/>
      <c r="HJ385" s="330"/>
      <c r="HK385" s="331"/>
      <c r="HL385" s="331"/>
      <c r="HM385" s="331">
        <v>46163</v>
      </c>
      <c r="HN385" s="331">
        <v>46163</v>
      </c>
      <c r="HO385" s="330">
        <v>46267</v>
      </c>
      <c r="HP385" s="331">
        <v>46108</v>
      </c>
      <c r="HQ38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385" s="331">
        <v>46171</v>
      </c>
      <c r="HS385" s="331"/>
      <c r="HT385" s="331">
        <v>46171</v>
      </c>
      <c r="HU385" s="420"/>
      <c r="HV385" s="395">
        <v>46118</v>
      </c>
      <c r="HW38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385" s="47"/>
      <c r="HY385" s="352"/>
      <c r="HZ385" s="352"/>
      <c r="IA385" s="72"/>
      <c r="IB385" s="618">
        <f>IFERROR(ROUND((Table1[[#This Row],[PLAN TC
finish]]-Table1[[#This Row],[PLAN MC-0
start]])/30,2),"")</f>
        <v>1.63</v>
      </c>
      <c r="IC385">
        <f>DATEDIF(Table1[[#This Row],[PLAN MC-0
start]],Table1[[#This Row],[PLAN TC
finish]],"m")</f>
        <v>1</v>
      </c>
      <c r="ID385" s="6"/>
      <c r="IE385" s="6"/>
      <c r="IF385" s="72"/>
      <c r="IH385" s="6"/>
      <c r="II385" s="4"/>
      <c r="IJ385" s="4"/>
      <c r="IK385" s="6"/>
      <c r="IL385" s="6"/>
      <c r="IM385" s="6"/>
      <c r="IN385" s="6"/>
      <c r="IO385" s="6"/>
      <c r="IQ385" s="6"/>
      <c r="IR385" s="6"/>
      <c r="IS385" s="6"/>
      <c r="IT385" s="6"/>
      <c r="IW385" s="6"/>
      <c r="IX385" s="6"/>
      <c r="IZ385" s="6"/>
      <c r="JA385" s="6"/>
    </row>
    <row r="386" spans="2:261" ht="15" hidden="1" customHeight="1" x14ac:dyDescent="0.2">
      <c r="B386" s="311">
        <f>SUBTOTAL(3,$D$5:D386)</f>
        <v>84</v>
      </c>
      <c r="C386" s="316">
        <v>382</v>
      </c>
      <c r="D386" s="315" t="s">
        <v>244</v>
      </c>
      <c r="E386" s="338" t="s">
        <v>3054</v>
      </c>
      <c r="F386" s="338" t="s">
        <v>3055</v>
      </c>
      <c r="G386" s="349">
        <v>46300</v>
      </c>
      <c r="H386" s="338" t="s">
        <v>681</v>
      </c>
      <c r="I386" s="338" t="s">
        <v>278</v>
      </c>
      <c r="J386" s="480"/>
      <c r="K386" s="338"/>
      <c r="L386" s="316"/>
      <c r="M386" s="355" t="s">
        <v>269</v>
      </c>
      <c r="N386" s="507">
        <v>139</v>
      </c>
      <c r="O386" s="507" t="s">
        <v>252</v>
      </c>
      <c r="P38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6" s="35">
        <v>1</v>
      </c>
      <c r="S386" s="327">
        <v>1</v>
      </c>
      <c r="T386" s="152">
        <f>Table1[[#This Row],[Progres Total Aktual
(%)]]</f>
        <v>6.0628976551524404E-2</v>
      </c>
      <c r="U386" s="121">
        <f>Table1[[#This Row],[Progres Aktual
(%)]]-Table1[[#This Row],[Target Progres
(%)]]</f>
        <v>-0.93937102344847556</v>
      </c>
      <c r="V386" s="80">
        <f>Table1[[#This Row],["Volume
BA MC-0"]]</f>
        <v>0</v>
      </c>
      <c r="W386" s="80">
        <f>Table1[[#This Row],[Total Panjang Pipa Aktual
(Sum-&gt;)3]]</f>
        <v>0</v>
      </c>
      <c r="X386" s="117"/>
      <c r="Y386" s="67" t="s">
        <v>3056</v>
      </c>
      <c r="Z386" s="67">
        <v>175616747</v>
      </c>
      <c r="AA386" s="509">
        <f>ROUND((Table1[[#This Row],[Nilai RAB Jaringan
(Exclude Ppn)]]-Table1[[#This Row],[RAB Perizinan]])*1.11+Table1[[#This Row],[RAB Perizinan]],0)</f>
        <v>175616747</v>
      </c>
      <c r="AB386" s="436">
        <f>SUM(Table1[[#This Row],[RAB Kegiatan Umum]:[RAB Perizinan]])</f>
        <v>158351033</v>
      </c>
      <c r="AC386" s="436">
        <v>10996233</v>
      </c>
      <c r="AD386" s="436">
        <v>109962321</v>
      </c>
      <c r="AE386" s="436">
        <v>36002479</v>
      </c>
      <c r="AF386" s="436">
        <v>1390000</v>
      </c>
      <c r="AG386" s="436"/>
      <c r="AH386" s="510">
        <f>SUM(Table1[[#This Row],[Bobot Keg Umum]:[Bobot Perizinan]])</f>
        <v>1</v>
      </c>
      <c r="AI386" s="510">
        <f>Table1[[#This Row],[RAB Kegiatan Umum]]/Table1[[#This Row],[Nilai RAB Jaringan
(Exclude Ppn)]]</f>
        <v>6.9442129878622263E-2</v>
      </c>
      <c r="AJ386" s="510">
        <f>Table1[[#This Row],[RAB Pemasangan]]/Table1[[#This Row],[Nilai RAB Jaringan
(Exclude Ppn)]]</f>
        <v>0.69442124195047084</v>
      </c>
      <c r="AK386" s="129">
        <f>Table1[[#This Row],[RAB Pengadaan]]/Table1[[#This Row],[Nilai RAB Jaringan
(Exclude Ppn)]]</f>
        <v>0.2273586620682165</v>
      </c>
      <c r="AL386" s="130">
        <f>Table1[[#This Row],[RAB Perizinan]]/Table1[[#This Row],[Nilai RAB Jaringan
(Exclude Ppn)]]</f>
        <v>8.777966102690344E-3</v>
      </c>
      <c r="AM386" s="47"/>
      <c r="AN386" s="285"/>
      <c r="AO386" s="285">
        <f>SUM(Table1[[#This Row],[Pipa 63 mm]:[Pipa 1,800 mm]])</f>
        <v>139</v>
      </c>
      <c r="AP386" s="285">
        <v>139</v>
      </c>
      <c r="AQ386" s="285"/>
      <c r="AR386" s="285"/>
      <c r="AS386" s="285"/>
      <c r="AT386" s="285"/>
      <c r="AU386" s="285"/>
      <c r="AV386" s="285"/>
      <c r="AW386" s="285"/>
      <c r="AX386" s="285"/>
      <c r="AY386" s="285"/>
      <c r="AZ386" s="285"/>
      <c r="BA386" s="285"/>
      <c r="BB386" s="285"/>
      <c r="BC386" s="285"/>
      <c r="BD386" s="285"/>
      <c r="BE386" s="285"/>
      <c r="BF386" s="285"/>
      <c r="BG386" s="285"/>
      <c r="BH386" s="285"/>
      <c r="BI386" s="285"/>
      <c r="BJ386" s="36">
        <f>SUM(Table1[[#This Row],[Pipa 63 mm2]:[Pipa 1,800 mm21]])</f>
        <v>0</v>
      </c>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f>IF((Table1[[#This Row],["Volume
BA MC-0"]]-Table1[[#This Row],[Total Panjang Pipa Aktual
(Sum-&gt;)3]]-Table1[[#This Row],[Total Volume
tidak dapat dipasang]])&gt;=0,Table1[[#This Row],["Volume
BA MC-0"]]-Table1[[#This Row],[Total Panjang Pipa Aktual
(Sum-&gt;)3]]-Table1[[#This Row],[Total Volume
tidak dapat dipasang]],0)</f>
        <v>0</v>
      </c>
      <c r="CK386" s="47"/>
      <c r="CL386" s="131"/>
      <c r="CM386" s="337"/>
      <c r="CN386" s="131"/>
      <c r="CO386" s="131"/>
      <c r="CP38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6.0628976551524404E-2</v>
      </c>
      <c r="CQ386" s="436">
        <f>IFERROR(Table1[[#This Row],[Progres Keg. Umum
(%)]]*Table1[[#This Row],[Nilai RAB Jaringan
(file pa aji)]],0)</f>
        <v>0</v>
      </c>
      <c r="CR386" s="436">
        <f>IFERROR(Table1[[#This Row],[Progres MOS
(%)]]*Table1[[#This Row],[Nilai RAB Jaringan
(file pa aji)]],0)</f>
        <v>0</v>
      </c>
      <c r="CS386" s="436">
        <f>IFERROR(Table1[[#This Row],[Progres Pemasangan
(%)]]*Table1[[#This Row],[Nilai RAB Jaringan
(file pa aji)]],0)</f>
        <v>0</v>
      </c>
      <c r="CT386" s="436">
        <f>IFERROR(Table1[[#This Row],[Progres Perizinan
(%)]]*Table1[[#This Row],[Nilai RAB Jaringan
(file pa aji)]],0)</f>
        <v>0</v>
      </c>
      <c r="CU386" s="329">
        <v>0</v>
      </c>
      <c r="CV386" s="329">
        <v>0</v>
      </c>
      <c r="CW386" s="511">
        <v>0</v>
      </c>
      <c r="CX386" s="329">
        <v>0</v>
      </c>
      <c r="CY386" s="47"/>
      <c r="CZ386" s="331">
        <v>45992</v>
      </c>
      <c r="DA386" s="331">
        <v>46019</v>
      </c>
      <c r="DB386" s="331">
        <v>45989</v>
      </c>
      <c r="DC386" s="515" t="s">
        <v>3057</v>
      </c>
      <c r="DD386" s="508">
        <v>175616747</v>
      </c>
      <c r="DE38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6" s="331">
        <v>46013</v>
      </c>
      <c r="DG386" s="516" t="s">
        <v>3058</v>
      </c>
      <c r="DH386" s="514">
        <v>175616747</v>
      </c>
      <c r="DI38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6" s="331">
        <v>46020</v>
      </c>
      <c r="DK386" s="331">
        <v>46082</v>
      </c>
      <c r="DL386" s="331">
        <v>46049</v>
      </c>
      <c r="DM386" s="316" t="s">
        <v>3059</v>
      </c>
      <c r="DN38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6" s="331">
        <v>46083</v>
      </c>
      <c r="DP386" s="316"/>
      <c r="DQ386" s="338" t="s">
        <v>365</v>
      </c>
      <c r="DR38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6" s="331">
        <v>46020</v>
      </c>
      <c r="DT386" s="331">
        <v>46164</v>
      </c>
      <c r="DU386" s="331">
        <v>46061</v>
      </c>
      <c r="DV386" s="331">
        <v>46178</v>
      </c>
      <c r="DW386" s="331">
        <v>46049</v>
      </c>
      <c r="DX386" s="331" t="s">
        <v>3060</v>
      </c>
      <c r="DY386" s="334">
        <v>18</v>
      </c>
      <c r="DZ386" s="334">
        <v>18</v>
      </c>
      <c r="EA38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6" s="331"/>
      <c r="EC386" s="332">
        <v>16</v>
      </c>
      <c r="ED386" s="332">
        <v>16</v>
      </c>
      <c r="EE386" s="118"/>
      <c r="EF386" s="337">
        <v>0.88888888888888884</v>
      </c>
      <c r="EG386" s="337">
        <f>Table1[[#This Row],[Line PO]]/Table1[[#This Row],[Line PR]]</f>
        <v>0.88888888888888884</v>
      </c>
      <c r="EH386" s="316" t="str">
        <f>IF(Table1[[#This Row],[PO Material Aktual 
(%)]]&gt;=100%,"Selesai PO = 100%",IF(Table1[[#This Row],[PO Material Aktual 
(%)]]&gt;=50%,"Proses PO &gt; 100%",IF(Table1[[#This Row],[PO Material Aktual 
(%)]]&gt;0%,"Proses PO &gt; 50%",IF(Table1[[#This Row],[PO Material Aktual 
(%)]]=0,"Belum PO = 0%"))))</f>
        <v>Proses PO &gt; 100%</v>
      </c>
      <c r="EI38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6" s="331">
        <v>46062</v>
      </c>
      <c r="EK386" s="331">
        <v>46178</v>
      </c>
      <c r="EL386" s="331">
        <v>46131</v>
      </c>
      <c r="EM386" s="331">
        <v>46183</v>
      </c>
      <c r="EN386" s="331"/>
      <c r="EO386" s="332">
        <v>8</v>
      </c>
      <c r="EP386" s="332">
        <v>8</v>
      </c>
      <c r="EQ386" s="337">
        <v>0.44444444444444442</v>
      </c>
      <c r="ER386" s="337">
        <f>Table1[[#This Row],[Line MOS (kolom bantu)]]/Table1[[#This Row],[Line PR]]</f>
        <v>0.44444444444444442</v>
      </c>
      <c r="ES386" s="316" t="str">
        <f>IF(Table1[[#This Row],[Progres MOS]]&gt;=100%,"Selesai MOS = 100%",IF(Table1[[#This Row],[Progres MOS]]&gt;=50%,"Proses MOS &gt; 100%",IF(Table1[[#This Row],[Progres MOS]]&gt;0%,"Proses MOS &gt; 50%",IF(Table1[[#This Row],[Progres MOS]]=0,"Belum MOS = 0%"))))</f>
        <v>Proses MOS &gt; 50%</v>
      </c>
      <c r="ET38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6" s="47"/>
      <c r="EV386" s="331">
        <v>46020</v>
      </c>
      <c r="EW386" s="331">
        <v>46156</v>
      </c>
      <c r="EX386" s="331">
        <v>46110</v>
      </c>
      <c r="EY386" s="331">
        <v>46186</v>
      </c>
      <c r="EZ386" s="352" t="s">
        <v>2748</v>
      </c>
      <c r="FA386" s="409" t="s">
        <v>2748</v>
      </c>
      <c r="FB386" s="330" t="e">
        <v>#N/A</v>
      </c>
      <c r="FC386" s="330" t="e">
        <v>#N/A</v>
      </c>
      <c r="FD386" s="330" t="e">
        <v>#N/A</v>
      </c>
      <c r="FE386" s="330" t="e">
        <v>#N/A</v>
      </c>
      <c r="FF386" s="330" t="e">
        <v>#N/A</v>
      </c>
      <c r="FG386" s="330" t="e">
        <v>#N/A</v>
      </c>
      <c r="FH386" s="330" t="e">
        <v>#N/A</v>
      </c>
      <c r="FI386" s="330" t="e">
        <v>#N/A</v>
      </c>
      <c r="FJ386" s="330" t="e">
        <v>#N/A</v>
      </c>
      <c r="FK386" s="330" t="e">
        <v>#N/A</v>
      </c>
      <c r="FL386" s="336" t="s">
        <v>2806</v>
      </c>
      <c r="FM386" s="352"/>
      <c r="FN386" s="338" t="str">
        <f>IF(Table1[[#This Row],[Tanggal Pengajuan Dokumen]]="","",Table1[[#This Row],[PLAN PERMIT
start]]-Table1[[#This Row],[Tanggal Pengajuan Dokumen]])</f>
        <v/>
      </c>
      <c r="FO386" s="352"/>
      <c r="FP386" s="316"/>
      <c r="FQ386" s="338"/>
      <c r="FR386" s="331"/>
      <c r="FS386" s="338"/>
      <c r="FT38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6" s="344">
        <f ca="1">IF(Table1[[#This Row],[Status Izin]]="Selesai",Table1[[#This Row],[PLAN PERMIT
finish]]-Table1[[#This Row],[Tanggal Terbit/ Target Izin Terbit]],ROUNDUP(Table1[[#This Row],[PLAN PERMIT
finish]]-NOW(),0))</f>
        <v>-81</v>
      </c>
      <c r="FV38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6" s="344"/>
      <c r="FX386" s="47"/>
      <c r="FY386" s="513">
        <v>46069</v>
      </c>
      <c r="FZ386" s="513">
        <v>46122</v>
      </c>
      <c r="GA38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6" s="331">
        <v>46083</v>
      </c>
      <c r="GC386" s="352">
        <v>46141</v>
      </c>
      <c r="GD38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6" s="331">
        <v>46090</v>
      </c>
      <c r="GF386" s="352">
        <v>46141</v>
      </c>
      <c r="GG38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6" s="331">
        <v>46097</v>
      </c>
      <c r="GI386" s="331">
        <v>46103</v>
      </c>
      <c r="GJ386" s="352">
        <v>46146</v>
      </c>
      <c r="GK38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6" s="331">
        <v>46111</v>
      </c>
      <c r="GM386" s="331">
        <v>46193</v>
      </c>
      <c r="GN386" s="331">
        <v>46138</v>
      </c>
      <c r="GO386" s="330">
        <v>46241</v>
      </c>
      <c r="GP386" s="316"/>
      <c r="GQ38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6" s="331"/>
      <c r="GS386" s="331"/>
      <c r="GT386" s="354"/>
      <c r="GU386" s="344" t="str">
        <f>IF(Table1[[#This Row],[Hydro Tes Actual
(tanggal)]]&lt;&gt;"","Sudah","Belum")</f>
        <v>Belum</v>
      </c>
      <c r="GV386" s="330"/>
      <c r="GW386" s="330"/>
      <c r="GX386" s="331"/>
      <c r="GY386" s="344" t="str">
        <f>IF(Table1[[#This Row],[Interkoneksi Actual
(tanggal)]]&lt;&gt;"","Sudah","Belum")</f>
        <v>Belum</v>
      </c>
      <c r="GZ386" s="330"/>
      <c r="HA386" s="330"/>
      <c r="HB386" s="331"/>
      <c r="HC386" s="344" t="str">
        <f>IF(Table1[[#This Row],[Flushing Actual
(tanggal)]]&lt;&gt;"","Sudah","Belum")</f>
        <v>Belum</v>
      </c>
      <c r="HD386" s="331">
        <v>46141</v>
      </c>
      <c r="HE386" s="331">
        <v>46242</v>
      </c>
      <c r="HF386" s="331">
        <v>46146</v>
      </c>
      <c r="HG386" s="352"/>
      <c r="HH38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6" s="330"/>
      <c r="HJ386" s="330"/>
      <c r="HK386" s="331"/>
      <c r="HL386" s="331"/>
      <c r="HM386" s="331">
        <v>46163</v>
      </c>
      <c r="HN386" s="331">
        <v>46163</v>
      </c>
      <c r="HO386" s="330">
        <v>46259</v>
      </c>
      <c r="HP386" s="331"/>
      <c r="HQ38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386" s="331">
        <v>46171</v>
      </c>
      <c r="HS386" s="331"/>
      <c r="HT386" s="331">
        <v>46171</v>
      </c>
      <c r="HU386" s="420"/>
      <c r="HV386" s="395"/>
      <c r="HW38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386" s="47"/>
      <c r="HY386" s="352"/>
      <c r="HZ386" s="352"/>
      <c r="IA386" s="72"/>
      <c r="IB386" s="618">
        <f>IFERROR(ROUND((Table1[[#This Row],[PLAN TC
finish]]-Table1[[#This Row],[PLAN MC-0
start]])/30,2),"")</f>
        <v>1.63</v>
      </c>
      <c r="IC386">
        <f>DATEDIF(Table1[[#This Row],[PLAN MC-0
start]],Table1[[#This Row],[PLAN TC
finish]],"m")</f>
        <v>1</v>
      </c>
      <c r="ID386" s="6"/>
      <c r="IE386" s="6"/>
      <c r="IF386" s="72"/>
      <c r="IH386" s="6"/>
      <c r="II386" s="4"/>
      <c r="IJ386" s="4"/>
      <c r="IK386" s="6"/>
      <c r="IL386" s="6"/>
      <c r="IM386" s="6"/>
      <c r="IN386" s="6"/>
      <c r="IO386" s="6"/>
      <c r="IQ386" s="6"/>
      <c r="IR386" s="6"/>
      <c r="IS386" s="6"/>
      <c r="IT386" s="6"/>
      <c r="IW386" s="6"/>
      <c r="IX386" s="6"/>
      <c r="IZ386" s="6"/>
      <c r="JA386" s="6"/>
    </row>
    <row r="387" spans="2:261" ht="15" hidden="1" customHeight="1" x14ac:dyDescent="0.2">
      <c r="B387" s="311">
        <f>SUBTOTAL(3,$D$5:D387)</f>
        <v>84</v>
      </c>
      <c r="C387" s="316">
        <v>383</v>
      </c>
      <c r="D387" s="315" t="s">
        <v>244</v>
      </c>
      <c r="E387" s="338" t="s">
        <v>3061</v>
      </c>
      <c r="F387" s="338" t="s">
        <v>3062</v>
      </c>
      <c r="G387" s="349">
        <v>46300</v>
      </c>
      <c r="H387" s="338" t="s">
        <v>681</v>
      </c>
      <c r="I387" s="338" t="s">
        <v>278</v>
      </c>
      <c r="J387" s="480"/>
      <c r="K387" s="338"/>
      <c r="L387" s="316"/>
      <c r="M387" s="355" t="s">
        <v>269</v>
      </c>
      <c r="N387" s="507">
        <v>3239</v>
      </c>
      <c r="O387" s="507" t="s">
        <v>252</v>
      </c>
      <c r="P38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7" s="35">
        <v>9.4579611358418858E-2</v>
      </c>
      <c r="S387" s="327">
        <v>9.4579611358418858E-2</v>
      </c>
      <c r="T387" s="152">
        <f>Table1[[#This Row],[Progres Total Aktual
(%)]]</f>
        <v>6.0830533914355708E-2</v>
      </c>
      <c r="U387" s="121">
        <f>Table1[[#This Row],[Progres Aktual
(%)]]-Table1[[#This Row],[Target Progres
(%)]]</f>
        <v>-3.374907744406315E-2</v>
      </c>
      <c r="V387" s="80">
        <f>Table1[[#This Row],["Volume
BA MC-0"]]</f>
        <v>3221</v>
      </c>
      <c r="W387" s="80">
        <f>Table1[[#This Row],[Total Panjang Pipa Aktual
(Sum-&gt;)3]]</f>
        <v>0</v>
      </c>
      <c r="X387" s="117"/>
      <c r="Y387" s="67" t="s">
        <v>3063</v>
      </c>
      <c r="Z387" s="67">
        <v>5348596655</v>
      </c>
      <c r="AA387" s="509">
        <f>ROUND((Table1[[#This Row],[Nilai RAB Jaringan
(Exclude Ppn)]]-Table1[[#This Row],[RAB Perizinan]])*1.11+Table1[[#This Row],[RAB Perizinan]],0)</f>
        <v>5348596654</v>
      </c>
      <c r="AB387" s="436">
        <f>SUM(Table1[[#This Row],[RAB Kegiatan Umum]:[RAB Perizinan]])</f>
        <v>4822459058</v>
      </c>
      <c r="AC387" s="436">
        <v>335893178</v>
      </c>
      <c r="AD387" s="436">
        <v>3358931773</v>
      </c>
      <c r="AE387" s="436">
        <v>1088244107</v>
      </c>
      <c r="AF387" s="436">
        <v>39390000</v>
      </c>
      <c r="AG387" s="436"/>
      <c r="AH387" s="510">
        <f>SUM(Table1[[#This Row],[Bobot Keg Umum]:[Bobot Perizinan]])</f>
        <v>1</v>
      </c>
      <c r="AI387" s="510">
        <f>Table1[[#This Row],[RAB Kegiatan Umum]]/Table1[[#This Row],[Nilai RAB Jaringan
(Exclude Ppn)]]</f>
        <v>6.9651846487485514E-2</v>
      </c>
      <c r="AJ387" s="510">
        <f>Table1[[#This Row],[RAB Pemasangan]]/Table1[[#This Row],[Nilai RAB Jaringan
(Exclude Ppn)]]</f>
        <v>0.69651846342331347</v>
      </c>
      <c r="AK387" s="129">
        <f>Table1[[#This Row],[RAB Pengadaan]]/Table1[[#This Row],[Nilai RAB Jaringan
(Exclude Ppn)]]</f>
        <v>0.22566165806938407</v>
      </c>
      <c r="AL387" s="130">
        <f>Table1[[#This Row],[RAB Perizinan]]/Table1[[#This Row],[Nilai RAB Jaringan
(Exclude Ppn)]]</f>
        <v>8.1680320198168899E-3</v>
      </c>
      <c r="AM387" s="47"/>
      <c r="AN387" s="285">
        <v>3221</v>
      </c>
      <c r="AO387" s="285">
        <f>SUM(Table1[[#This Row],[Pipa 63 mm]:[Pipa 1,800 mm]])</f>
        <v>3221</v>
      </c>
      <c r="AP387" s="285">
        <v>1844.3</v>
      </c>
      <c r="AQ387" s="285">
        <v>3</v>
      </c>
      <c r="AR387" s="285">
        <v>69</v>
      </c>
      <c r="AS387" s="285">
        <v>1304.7</v>
      </c>
      <c r="AT387" s="285"/>
      <c r="AU387" s="285"/>
      <c r="AV387" s="285"/>
      <c r="AW387" s="285"/>
      <c r="AX387" s="285"/>
      <c r="AY387" s="285"/>
      <c r="AZ387" s="285"/>
      <c r="BA387" s="285"/>
      <c r="BB387" s="285"/>
      <c r="BC387" s="285"/>
      <c r="BD387" s="285"/>
      <c r="BE387" s="285"/>
      <c r="BF387" s="285"/>
      <c r="BG387" s="285"/>
      <c r="BH387" s="285"/>
      <c r="BI387" s="285"/>
      <c r="BJ387" s="36">
        <f>SUM(Table1[[#This Row],[Pipa 63 mm2]:[Pipa 1,800 mm21]])</f>
        <v>0</v>
      </c>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f>IF((Table1[[#This Row],["Volume
BA MC-0"]]-Table1[[#This Row],[Total Panjang Pipa Aktual
(Sum-&gt;)3]]-Table1[[#This Row],[Total Volume
tidak dapat dipasang]])&gt;=0,Table1[[#This Row],["Volume
BA MC-0"]]-Table1[[#This Row],[Total Panjang Pipa Aktual
(Sum-&gt;)3]]-Table1[[#This Row],[Total Volume
tidak dapat dipasang]],0)</f>
        <v>3221</v>
      </c>
      <c r="CK387" s="47"/>
      <c r="CL387" s="131"/>
      <c r="CM387" s="337"/>
      <c r="CN387" s="131"/>
      <c r="CO387" s="131"/>
      <c r="CP38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6.0830533914355708E-2</v>
      </c>
      <c r="CQ387" s="436">
        <f>IFERROR(Table1[[#This Row],[Progres Keg. Umum
(%)]]*Table1[[#This Row],[Nilai RAB Jaringan
(file pa aji)]],0)</f>
        <v>0</v>
      </c>
      <c r="CR387" s="436">
        <f>IFERROR(Table1[[#This Row],[Progres MOS
(%)]]*Table1[[#This Row],[Nilai RAB Jaringan
(file pa aji)]],0)</f>
        <v>0</v>
      </c>
      <c r="CS387" s="436">
        <f>IFERROR(Table1[[#This Row],[Progres Pemasangan
(%)]]*Table1[[#This Row],[Nilai RAB Jaringan
(file pa aji)]],0)</f>
        <v>0</v>
      </c>
      <c r="CT387" s="436">
        <f>IFERROR(Table1[[#This Row],[Progres Perizinan
(%)]]*Table1[[#This Row],[Nilai RAB Jaringan
(file pa aji)]],0)</f>
        <v>0</v>
      </c>
      <c r="CU387" s="329">
        <v>0</v>
      </c>
      <c r="CV387" s="329">
        <v>0</v>
      </c>
      <c r="CW387" s="511">
        <v>0</v>
      </c>
      <c r="CX387" s="329">
        <v>0</v>
      </c>
      <c r="CY387" s="47"/>
      <c r="CZ387" s="331">
        <v>46020</v>
      </c>
      <c r="DA387" s="331">
        <v>46047</v>
      </c>
      <c r="DB387" s="331">
        <v>46003</v>
      </c>
      <c r="DC387" s="515" t="s">
        <v>3064</v>
      </c>
      <c r="DD387" s="508">
        <v>5348596655</v>
      </c>
      <c r="DE38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7" s="331">
        <v>46028</v>
      </c>
      <c r="DG387" s="516" t="s">
        <v>3065</v>
      </c>
      <c r="DH387" s="514">
        <v>5309206655</v>
      </c>
      <c r="DI38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7" s="331">
        <v>46048</v>
      </c>
      <c r="DK387" s="331">
        <v>46145</v>
      </c>
      <c r="DL387" s="331">
        <v>46063</v>
      </c>
      <c r="DM387" s="316" t="s">
        <v>3066</v>
      </c>
      <c r="DN38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7" s="331">
        <v>46093</v>
      </c>
      <c r="DP387" s="316" t="s">
        <v>3067</v>
      </c>
      <c r="DQ387" s="338" t="s">
        <v>479</v>
      </c>
      <c r="DR38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87" s="331">
        <v>46048</v>
      </c>
      <c r="DT387" s="331">
        <v>46158</v>
      </c>
      <c r="DU387" s="331">
        <v>46089</v>
      </c>
      <c r="DV387" s="331">
        <v>46172</v>
      </c>
      <c r="DW387" s="331">
        <v>46063</v>
      </c>
      <c r="DX387" s="316" t="s">
        <v>3068</v>
      </c>
      <c r="DY387" s="334">
        <v>69</v>
      </c>
      <c r="DZ387" s="334">
        <v>69</v>
      </c>
      <c r="EA38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7" s="331"/>
      <c r="EC387" s="332">
        <v>64</v>
      </c>
      <c r="ED387" s="332">
        <v>64</v>
      </c>
      <c r="EE387" s="118"/>
      <c r="EF387" s="337">
        <v>0.92753623188405798</v>
      </c>
      <c r="EG387" s="337">
        <f>Table1[[#This Row],[Line PO]]/Table1[[#This Row],[Line PR]]</f>
        <v>0.92753623188405798</v>
      </c>
      <c r="EH387" s="316" t="str">
        <f>IF(Table1[[#This Row],[PO Material Aktual 
(%)]]&gt;=100%,"Selesai PO = 100%",IF(Table1[[#This Row],[PO Material Aktual 
(%)]]&gt;=50%,"Proses PO &gt; 100%",IF(Table1[[#This Row],[PO Material Aktual 
(%)]]&gt;0%,"Proses PO &gt; 50%",IF(Table1[[#This Row],[PO Material Aktual 
(%)]]=0,"Belum PO = 0%"))))</f>
        <v>Proses PO &gt; 100%</v>
      </c>
      <c r="EI38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7" s="331">
        <v>46090</v>
      </c>
      <c r="EK387" s="331">
        <v>46172</v>
      </c>
      <c r="EL387" s="331">
        <v>46222</v>
      </c>
      <c r="EM387" s="331">
        <v>46187</v>
      </c>
      <c r="EN387" s="331"/>
      <c r="EO387" s="332">
        <v>31</v>
      </c>
      <c r="EP387" s="332">
        <v>31</v>
      </c>
      <c r="EQ387" s="337">
        <v>0.44927536231884058</v>
      </c>
      <c r="ER387" s="337">
        <f>Table1[[#This Row],[Line MOS (kolom bantu)]]/Table1[[#This Row],[Line PR]]</f>
        <v>0.44927536231884058</v>
      </c>
      <c r="ES387" s="316" t="str">
        <f>IF(Table1[[#This Row],[Progres MOS]]&gt;=100%,"Selesai MOS = 100%",IF(Table1[[#This Row],[Progres MOS]]&gt;=50%,"Proses MOS &gt; 100%",IF(Table1[[#This Row],[Progres MOS]]&gt;0%,"Proses MOS &gt; 50%",IF(Table1[[#This Row],[Progres MOS]]=0,"Belum MOS = 0%"))))</f>
        <v>Proses MOS &gt; 50%</v>
      </c>
      <c r="ET38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87" s="47"/>
      <c r="EV387" s="331">
        <v>46048</v>
      </c>
      <c r="EW387" s="331">
        <v>46153</v>
      </c>
      <c r="EX387" s="331">
        <v>46173</v>
      </c>
      <c r="EY387" s="331">
        <v>46183</v>
      </c>
      <c r="EZ387" s="352" t="s">
        <v>2955</v>
      </c>
      <c r="FA387" s="409" t="s">
        <v>2955</v>
      </c>
      <c r="FB387" s="330" t="e">
        <v>#N/A</v>
      </c>
      <c r="FC387" s="330" t="e">
        <v>#N/A</v>
      </c>
      <c r="FD387" s="330" t="e">
        <v>#N/A</v>
      </c>
      <c r="FE387" s="330" t="e">
        <v>#N/A</v>
      </c>
      <c r="FF387" s="330" t="e">
        <v>#N/A</v>
      </c>
      <c r="FG387" s="330" t="e">
        <v>#N/A</v>
      </c>
      <c r="FH387" s="330" t="e">
        <v>#N/A</v>
      </c>
      <c r="FI387" s="330" t="e">
        <v>#N/A</v>
      </c>
      <c r="FJ387" s="330" t="e">
        <v>#N/A</v>
      </c>
      <c r="FK387" s="330" t="e">
        <v>#N/A</v>
      </c>
      <c r="FL387" s="336" t="s">
        <v>2806</v>
      </c>
      <c r="FM387" s="352"/>
      <c r="FN387" s="338" t="str">
        <f>IF(Table1[[#This Row],[Tanggal Pengajuan Dokumen]]="","",Table1[[#This Row],[PLAN PERMIT
start]]-Table1[[#This Row],[Tanggal Pengajuan Dokumen]])</f>
        <v/>
      </c>
      <c r="FO387" s="352"/>
      <c r="FP387" s="316"/>
      <c r="FQ387" s="338"/>
      <c r="FR387" s="331"/>
      <c r="FS387" s="338"/>
      <c r="FT38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7" s="344">
        <f ca="1">IF(Table1[[#This Row],[Status Izin]]="Selesai",Table1[[#This Row],[PLAN PERMIT
finish]]-Table1[[#This Row],[Tanggal Terbit/ Target Izin Terbit]],ROUNDUP(Table1[[#This Row],[PLAN PERMIT
finish]]-NOW(),0))</f>
        <v>-18</v>
      </c>
      <c r="FV38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7" s="344"/>
      <c r="FX387" s="47"/>
      <c r="FY387" s="513">
        <v>46132</v>
      </c>
      <c r="FZ387" s="513">
        <v>46051</v>
      </c>
      <c r="GA38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87" s="331">
        <v>46146</v>
      </c>
      <c r="GC387" s="352">
        <f>Table1[[#This Row],[Tanggal Aktual Kick Off]]</f>
        <v>46112</v>
      </c>
      <c r="GD38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7" s="331">
        <v>46153</v>
      </c>
      <c r="GF387" s="352">
        <v>46112</v>
      </c>
      <c r="GG38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7" s="331">
        <v>46160</v>
      </c>
      <c r="GI387" s="331">
        <v>46166</v>
      </c>
      <c r="GJ387" s="352">
        <v>46113</v>
      </c>
      <c r="GK38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7" s="331">
        <v>46174</v>
      </c>
      <c r="GM387" s="331">
        <v>46190</v>
      </c>
      <c r="GN387" s="331">
        <v>46222</v>
      </c>
      <c r="GO387" s="330">
        <v>46255</v>
      </c>
      <c r="GP387" s="316"/>
      <c r="GQ38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87" s="331"/>
      <c r="GS387" s="331"/>
      <c r="GT387" s="354"/>
      <c r="GU387" s="344" t="str">
        <f>IF(Table1[[#This Row],[Hydro Tes Actual
(tanggal)]]&lt;&gt;"","Sudah","Belum")</f>
        <v>Belum</v>
      </c>
      <c r="GV387" s="330"/>
      <c r="GW387" s="330"/>
      <c r="GX387" s="331"/>
      <c r="GY387" s="344" t="str">
        <f>IF(Table1[[#This Row],[Interkoneksi Actual
(tanggal)]]&lt;&gt;"","Sudah","Belum")</f>
        <v>Belum</v>
      </c>
      <c r="GZ387" s="330"/>
      <c r="HA387" s="330"/>
      <c r="HB387" s="331"/>
      <c r="HC387" s="344" t="str">
        <f>IF(Table1[[#This Row],[Flushing Actual
(tanggal)]]&lt;&gt;"","Sudah","Belum")</f>
        <v>Belum</v>
      </c>
      <c r="HD387" s="331">
        <v>46225</v>
      </c>
      <c r="HE387" s="331">
        <v>46256</v>
      </c>
      <c r="HF387" s="331">
        <v>46230</v>
      </c>
      <c r="HG387" s="352"/>
      <c r="HH38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7" s="330"/>
      <c r="HJ387" s="330"/>
      <c r="HK387" s="331"/>
      <c r="HL387" s="331"/>
      <c r="HM387" s="331">
        <v>46247</v>
      </c>
      <c r="HN387" s="331">
        <v>46247</v>
      </c>
      <c r="HO387" s="330">
        <v>46273</v>
      </c>
      <c r="HP387" s="331"/>
      <c r="HQ38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87" s="331">
        <v>46255</v>
      </c>
      <c r="HS387" s="331"/>
      <c r="HT387" s="331">
        <v>46255</v>
      </c>
      <c r="HU387" s="420"/>
      <c r="HV387" s="395"/>
      <c r="HW387"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87" s="47"/>
      <c r="HY387" s="352"/>
      <c r="HZ387" s="352"/>
      <c r="IA387" s="72"/>
      <c r="IB387" s="618">
        <f>IFERROR(ROUND((Table1[[#This Row],[PLAN TC
finish]]-Table1[[#This Row],[PLAN MC-0
start]])/30,2),"")</f>
        <v>2.33</v>
      </c>
      <c r="IC387">
        <f>DATEDIF(Table1[[#This Row],[PLAN MC-0
start]],Table1[[#This Row],[PLAN TC
finish]],"m")</f>
        <v>2</v>
      </c>
      <c r="ID387" s="6"/>
      <c r="IE387" s="6"/>
      <c r="IF387" s="72"/>
      <c r="IH387" s="6"/>
      <c r="II387" s="4"/>
      <c r="IJ387" s="4"/>
      <c r="IK387" s="6"/>
      <c r="IL387" s="6"/>
      <c r="IM387" s="6"/>
      <c r="IN387" s="6"/>
      <c r="IO387" s="6"/>
      <c r="IQ387" s="6"/>
      <c r="IR387" s="6"/>
      <c r="IS387" s="6"/>
      <c r="IT387" s="6"/>
      <c r="IW387" s="6"/>
      <c r="IX387" s="6"/>
      <c r="IZ387" s="6"/>
      <c r="JA387" s="6"/>
    </row>
    <row r="388" spans="2:261" ht="15" hidden="1" customHeight="1" x14ac:dyDescent="0.2">
      <c r="B388" s="311">
        <f>SUBTOTAL(3,$D$5:D388)</f>
        <v>84</v>
      </c>
      <c r="C388" s="316">
        <v>384</v>
      </c>
      <c r="D388" s="315" t="s">
        <v>244</v>
      </c>
      <c r="E388" s="338" t="s">
        <v>3069</v>
      </c>
      <c r="F388" s="338" t="s">
        <v>3070</v>
      </c>
      <c r="G388" s="349">
        <v>46300</v>
      </c>
      <c r="H388" s="338" t="s">
        <v>681</v>
      </c>
      <c r="I388" s="338" t="s">
        <v>278</v>
      </c>
      <c r="J388" s="480"/>
      <c r="K388" s="338"/>
      <c r="L388" s="316"/>
      <c r="M388" s="355" t="s">
        <v>269</v>
      </c>
      <c r="N388" s="507">
        <v>21</v>
      </c>
      <c r="O388" s="507" t="s">
        <v>252</v>
      </c>
      <c r="P38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8" s="35">
        <v>0.32637466882622607</v>
      </c>
      <c r="S388" s="327">
        <v>0.32637466882622607</v>
      </c>
      <c r="T388" s="152">
        <f>Table1[[#This Row],[Progres Total Aktual
(%)]]</f>
        <v>0.12904974827076862</v>
      </c>
      <c r="U388" s="121">
        <f>Table1[[#This Row],[Progres Aktual
(%)]]-Table1[[#This Row],[Target Progres
(%)]]</f>
        <v>-0.19732492055545744</v>
      </c>
      <c r="V388" s="80">
        <f>Table1[[#This Row],["Volume
BA MC-0"]]</f>
        <v>0</v>
      </c>
      <c r="W388" s="80">
        <f>Table1[[#This Row],[Total Panjang Pipa Aktual
(Sum-&gt;)3]]</f>
        <v>0</v>
      </c>
      <c r="X388" s="117"/>
      <c r="Y388" s="67" t="s">
        <v>3071</v>
      </c>
      <c r="Z388" s="67">
        <v>52865951</v>
      </c>
      <c r="AA388" s="509">
        <f>ROUND((Table1[[#This Row],[Nilai RAB Jaringan
(Exclude Ppn)]]-Table1[[#This Row],[RAB Perizinan]])*1.11+Table1[[#This Row],[RAB Perizinan]],0)</f>
        <v>52865950</v>
      </c>
      <c r="AB388" s="436">
        <f>SUM(Table1[[#This Row],[RAB Kegiatan Umum]:[RAB Perizinan]])</f>
        <v>47647793</v>
      </c>
      <c r="AC388" s="436">
        <v>2582307</v>
      </c>
      <c r="AD388" s="436">
        <v>25823066</v>
      </c>
      <c r="AE388" s="436">
        <v>19032420</v>
      </c>
      <c r="AF388" s="436">
        <v>210000</v>
      </c>
      <c r="AG388" s="436"/>
      <c r="AH388" s="510">
        <f>SUM(Table1[[#This Row],[Bobot Keg Umum]:[Bobot Perizinan]])</f>
        <v>1</v>
      </c>
      <c r="AI388" s="510">
        <f>Table1[[#This Row],[RAB Kegiatan Umum]]/Table1[[#This Row],[Nilai RAB Jaringan
(Exclude Ppn)]]</f>
        <v>5.4195731584042096E-2</v>
      </c>
      <c r="AJ388" s="510">
        <f>Table1[[#This Row],[RAB Pemasangan]]/Table1[[#This Row],[Nilai RAB Jaringan
(Exclude Ppn)]]</f>
        <v>0.54195723189109724</v>
      </c>
      <c r="AK388" s="129">
        <f>Table1[[#This Row],[RAB Pengadaan]]/Table1[[#This Row],[Nilai RAB Jaringan
(Exclude Ppn)]]</f>
        <v>0.39943969702856963</v>
      </c>
      <c r="AL388" s="130">
        <f>Table1[[#This Row],[RAB Perizinan]]/Table1[[#This Row],[Nilai RAB Jaringan
(Exclude Ppn)]]</f>
        <v>4.4073394962910453E-3</v>
      </c>
      <c r="AM388" s="47"/>
      <c r="AN388" s="285"/>
      <c r="AO388" s="285">
        <f>SUM(Table1[[#This Row],[Pipa 63 mm]:[Pipa 1,800 mm]])</f>
        <v>0</v>
      </c>
      <c r="AP388" s="285"/>
      <c r="AQ388" s="285"/>
      <c r="AR388" s="285"/>
      <c r="AS388" s="285"/>
      <c r="AT388" s="285"/>
      <c r="AU388" s="285"/>
      <c r="AV388" s="285"/>
      <c r="AW388" s="285"/>
      <c r="AX388" s="285"/>
      <c r="AY388" s="285"/>
      <c r="AZ388" s="285"/>
      <c r="BA388" s="285"/>
      <c r="BB388" s="285"/>
      <c r="BC388" s="285"/>
      <c r="BD388" s="285"/>
      <c r="BE388" s="285"/>
      <c r="BF388" s="285"/>
      <c r="BG388" s="285"/>
      <c r="BH388" s="285"/>
      <c r="BI388" s="285"/>
      <c r="BJ388" s="36">
        <f>SUM(Table1[[#This Row],[Pipa 63 mm2]:[Pipa 1,800 mm21]])</f>
        <v>0</v>
      </c>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f>IF((Table1[[#This Row],["Volume
BA MC-0"]]-Table1[[#This Row],[Total Panjang Pipa Aktual
(Sum-&gt;)3]]-Table1[[#This Row],[Total Volume
tidak dapat dipasang]])&gt;=0,Table1[[#This Row],["Volume
BA MC-0"]]-Table1[[#This Row],[Total Panjang Pipa Aktual
(Sum-&gt;)3]]-Table1[[#This Row],[Total Volume
tidak dapat dipasang]],0)</f>
        <v>0</v>
      </c>
      <c r="CK388" s="47"/>
      <c r="CL388" s="131"/>
      <c r="CM388" s="337"/>
      <c r="CN388" s="131"/>
      <c r="CO388" s="131"/>
      <c r="CP38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0.12904974827076862</v>
      </c>
      <c r="CQ388" s="436">
        <f>IFERROR(Table1[[#This Row],[Progres Keg. Umum
(%)]]*Table1[[#This Row],[Nilai RAB Jaringan
(file pa aji)]],0)</f>
        <v>0</v>
      </c>
      <c r="CR388" s="436">
        <f>IFERROR(Table1[[#This Row],[Progres MOS
(%)]]*Table1[[#This Row],[Nilai RAB Jaringan
(file pa aji)]],0)</f>
        <v>0</v>
      </c>
      <c r="CS388" s="436">
        <f>IFERROR(Table1[[#This Row],[Progres Pemasangan
(%)]]*Table1[[#This Row],[Nilai RAB Jaringan
(file pa aji)]],0)</f>
        <v>0</v>
      </c>
      <c r="CT388" s="436">
        <f>IFERROR(Table1[[#This Row],[Progres Perizinan
(%)]]*Table1[[#This Row],[Nilai RAB Jaringan
(file pa aji)]],0)</f>
        <v>0</v>
      </c>
      <c r="CU388" s="329">
        <v>0</v>
      </c>
      <c r="CV388" s="329">
        <v>0</v>
      </c>
      <c r="CW388" s="511">
        <v>0</v>
      </c>
      <c r="CX388" s="329">
        <v>0</v>
      </c>
      <c r="CY388" s="47"/>
      <c r="CZ388" s="331">
        <v>46020</v>
      </c>
      <c r="DA388" s="331">
        <v>46047</v>
      </c>
      <c r="DB388" s="331">
        <v>46027</v>
      </c>
      <c r="DC388" s="515" t="s">
        <v>3072</v>
      </c>
      <c r="DD388" s="508">
        <v>52865951</v>
      </c>
      <c r="DE38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8" s="331">
        <v>46042</v>
      </c>
      <c r="DG388" s="516" t="s">
        <v>3073</v>
      </c>
      <c r="DH388" s="508">
        <v>52865951</v>
      </c>
      <c r="DI38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8" s="331">
        <v>46048</v>
      </c>
      <c r="DK388" s="331">
        <v>46145</v>
      </c>
      <c r="DL388" s="331">
        <v>46056</v>
      </c>
      <c r="DM388" s="316" t="s">
        <v>3074</v>
      </c>
      <c r="DN38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8" s="331">
        <v>46083</v>
      </c>
      <c r="DP388" s="316"/>
      <c r="DQ388" s="338" t="s">
        <v>365</v>
      </c>
      <c r="DR38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88" s="331">
        <v>46048</v>
      </c>
      <c r="DT388" s="331">
        <v>46164</v>
      </c>
      <c r="DU388" s="331">
        <v>46089</v>
      </c>
      <c r="DV388" s="331">
        <v>46178</v>
      </c>
      <c r="DW388" s="331">
        <v>46056</v>
      </c>
      <c r="DX388" s="316" t="s">
        <v>3075</v>
      </c>
      <c r="DY388" s="334">
        <v>13</v>
      </c>
      <c r="DZ388" s="334">
        <v>13</v>
      </c>
      <c r="EA38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8" s="331"/>
      <c r="EC388" s="332">
        <v>12</v>
      </c>
      <c r="ED388" s="332">
        <v>12</v>
      </c>
      <c r="EE388" s="118"/>
      <c r="EF388" s="337">
        <v>0.92307692307692313</v>
      </c>
      <c r="EG388" s="337">
        <f>Table1[[#This Row],[Line PO]]/Table1[[#This Row],[Line PR]]</f>
        <v>0.92307692307692313</v>
      </c>
      <c r="EH388" s="316" t="str">
        <f>IF(Table1[[#This Row],[PO Material Aktual 
(%)]]&gt;=100%,"Selesai PO = 100%",IF(Table1[[#This Row],[PO Material Aktual 
(%)]]&gt;=50%,"Proses PO &gt; 100%",IF(Table1[[#This Row],[PO Material Aktual 
(%)]]&gt;0%,"Proses PO &gt; 50%",IF(Table1[[#This Row],[PO Material Aktual 
(%)]]=0,"Belum PO = 0%"))))</f>
        <v>Proses PO &gt; 100%</v>
      </c>
      <c r="EI38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8" s="331">
        <v>46090</v>
      </c>
      <c r="EK388" s="331">
        <v>46178</v>
      </c>
      <c r="EL388" s="331">
        <v>46173</v>
      </c>
      <c r="EM388" s="331">
        <v>46183</v>
      </c>
      <c r="EN388" s="331"/>
      <c r="EO388" s="332">
        <v>7</v>
      </c>
      <c r="EP388" s="332">
        <v>7</v>
      </c>
      <c r="EQ388" s="337">
        <v>0.53846153846153844</v>
      </c>
      <c r="ER388" s="337">
        <f>Table1[[#This Row],[Line MOS (kolom bantu)]]/Table1[[#This Row],[Line PR]]</f>
        <v>0.53846153846153844</v>
      </c>
      <c r="ES388" s="316" t="str">
        <f>IF(Table1[[#This Row],[Progres MOS]]&gt;=100%,"Selesai MOS = 100%",IF(Table1[[#This Row],[Progres MOS]]&gt;=50%,"Proses MOS &gt; 100%",IF(Table1[[#This Row],[Progres MOS]]&gt;0%,"Proses MOS &gt; 50%",IF(Table1[[#This Row],[Progres MOS]]=0,"Belum MOS = 0%"))))</f>
        <v>Proses MOS &gt; 100%</v>
      </c>
      <c r="ET38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8" s="47"/>
      <c r="EV388" s="331">
        <v>46048</v>
      </c>
      <c r="EW388" s="331">
        <v>46156</v>
      </c>
      <c r="EX388" s="331">
        <v>46173</v>
      </c>
      <c r="EY388" s="331">
        <v>46186</v>
      </c>
      <c r="EZ388" s="352" t="s">
        <v>1592</v>
      </c>
      <c r="FA388" s="409" t="s">
        <v>1592</v>
      </c>
      <c r="FB388" s="330" t="e">
        <v>#N/A</v>
      </c>
      <c r="FC388" s="330" t="e">
        <v>#N/A</v>
      </c>
      <c r="FD388" s="330" t="e">
        <v>#N/A</v>
      </c>
      <c r="FE388" s="330" t="e">
        <v>#N/A</v>
      </c>
      <c r="FF388" s="330" t="e">
        <v>#N/A</v>
      </c>
      <c r="FG388" s="330" t="e">
        <v>#N/A</v>
      </c>
      <c r="FH388" s="330" t="e">
        <v>#N/A</v>
      </c>
      <c r="FI388" s="330" t="e">
        <v>#N/A</v>
      </c>
      <c r="FJ388" s="330" t="e">
        <v>#N/A</v>
      </c>
      <c r="FK388" s="330" t="e">
        <v>#N/A</v>
      </c>
      <c r="FL388" s="336" t="s">
        <v>2806</v>
      </c>
      <c r="FM388" s="352"/>
      <c r="FN388" s="338" t="str">
        <f>IF(Table1[[#This Row],[Tanggal Pengajuan Dokumen]]="","",Table1[[#This Row],[PLAN PERMIT
start]]-Table1[[#This Row],[Tanggal Pengajuan Dokumen]])</f>
        <v/>
      </c>
      <c r="FO388" s="352"/>
      <c r="FP388" s="316"/>
      <c r="FQ388" s="338"/>
      <c r="FR388" s="331"/>
      <c r="FS388" s="338"/>
      <c r="FT38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8" s="344">
        <f ca="1">IF(Table1[[#This Row],[Status Izin]]="Selesai",Table1[[#This Row],[PLAN PERMIT
finish]]-Table1[[#This Row],[Tanggal Terbit/ Target Izin Terbit]],ROUNDUP(Table1[[#This Row],[PLAN PERMIT
finish]]-NOW(),0))</f>
        <v>-18</v>
      </c>
      <c r="FV38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8" s="344"/>
      <c r="FX388" s="47"/>
      <c r="FY388" s="513">
        <v>46132</v>
      </c>
      <c r="FZ388" s="513">
        <v>46122</v>
      </c>
      <c r="GA38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88" s="331">
        <v>46146</v>
      </c>
      <c r="GC388" s="352">
        <v>46141</v>
      </c>
      <c r="GD38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8" s="331">
        <v>46153</v>
      </c>
      <c r="GF388" s="352">
        <v>46141</v>
      </c>
      <c r="GG38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8" s="331">
        <v>46160</v>
      </c>
      <c r="GI388" s="331">
        <v>46166</v>
      </c>
      <c r="GJ388" s="352">
        <v>46154</v>
      </c>
      <c r="GK38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8" s="331">
        <v>46174</v>
      </c>
      <c r="GM388" s="331">
        <v>46193</v>
      </c>
      <c r="GN388" s="331">
        <v>46201</v>
      </c>
      <c r="GO388" s="330">
        <v>46234</v>
      </c>
      <c r="GP388" s="316"/>
      <c r="GQ38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88" s="331"/>
      <c r="GS388" s="331"/>
      <c r="GT388" s="354"/>
      <c r="GU388" s="344" t="str">
        <f>IF(Table1[[#This Row],[Hydro Tes Actual
(tanggal)]]&lt;&gt;"","Sudah","Belum")</f>
        <v>Belum</v>
      </c>
      <c r="GV388" s="330"/>
      <c r="GW388" s="330"/>
      <c r="GX388" s="331"/>
      <c r="GY388" s="344" t="str">
        <f>IF(Table1[[#This Row],[Interkoneksi Actual
(tanggal)]]&lt;&gt;"","Sudah","Belum")</f>
        <v>Belum</v>
      </c>
      <c r="GZ388" s="330"/>
      <c r="HA388" s="330"/>
      <c r="HB388" s="331"/>
      <c r="HC388" s="344" t="str">
        <f>IF(Table1[[#This Row],[Flushing Actual
(tanggal)]]&lt;&gt;"","Sudah","Belum")</f>
        <v>Belum</v>
      </c>
      <c r="HD388" s="331">
        <v>46204</v>
      </c>
      <c r="HE388" s="331">
        <v>46235</v>
      </c>
      <c r="HF388" s="331">
        <v>46209</v>
      </c>
      <c r="HG388" s="352"/>
      <c r="HH38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8" s="330"/>
      <c r="HJ388" s="330"/>
      <c r="HK388" s="331"/>
      <c r="HL388" s="331"/>
      <c r="HM388" s="331">
        <v>46226</v>
      </c>
      <c r="HN388" s="331">
        <v>46226</v>
      </c>
      <c r="HO388" s="330">
        <v>46252</v>
      </c>
      <c r="HP388" s="331"/>
      <c r="HQ38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88" s="331">
        <v>46234</v>
      </c>
      <c r="HS388" s="331"/>
      <c r="HT388" s="331">
        <v>46234</v>
      </c>
      <c r="HU388" s="420"/>
      <c r="HV388" s="395"/>
      <c r="HW38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88" s="47"/>
      <c r="HY388" s="352"/>
      <c r="HZ388" s="352"/>
      <c r="IA388" s="72"/>
      <c r="IB388" s="618">
        <f>IFERROR(ROUND((Table1[[#This Row],[PLAN TC
finish]]-Table1[[#This Row],[PLAN MC-0
start]])/30,2),"")</f>
        <v>1.63</v>
      </c>
      <c r="IC388">
        <f>DATEDIF(Table1[[#This Row],[PLAN MC-0
start]],Table1[[#This Row],[PLAN TC
finish]],"m")</f>
        <v>1</v>
      </c>
      <c r="ID388" s="6"/>
      <c r="IE388" s="6"/>
      <c r="IF388" s="72"/>
      <c r="IH388" s="6"/>
      <c r="II388" s="4"/>
      <c r="IJ388" s="4"/>
      <c r="IK388" s="6"/>
      <c r="IL388" s="6"/>
      <c r="IM388" s="6"/>
      <c r="IN388" s="6"/>
      <c r="IO388" s="6"/>
      <c r="IQ388" s="6"/>
      <c r="IR388" s="6"/>
      <c r="IS388" s="6"/>
      <c r="IT388" s="6"/>
      <c r="IW388" s="6"/>
      <c r="IX388" s="6"/>
      <c r="IZ388" s="6"/>
      <c r="JA388" s="6"/>
    </row>
    <row r="389" spans="2:261" ht="15" hidden="1" customHeight="1" x14ac:dyDescent="0.2">
      <c r="B389" s="311">
        <f>SUBTOTAL(3,$D$5:D389)</f>
        <v>84</v>
      </c>
      <c r="C389" s="316">
        <v>385</v>
      </c>
      <c r="D389" s="315" t="s">
        <v>244</v>
      </c>
      <c r="E389" s="338" t="s">
        <v>3076</v>
      </c>
      <c r="F389" s="338" t="s">
        <v>3077</v>
      </c>
      <c r="G389" s="349">
        <v>46300</v>
      </c>
      <c r="H389" s="338" t="s">
        <v>681</v>
      </c>
      <c r="I389" s="338" t="s">
        <v>278</v>
      </c>
      <c r="J389" s="480"/>
      <c r="K389" s="338"/>
      <c r="L389" s="316"/>
      <c r="M389" s="355" t="s">
        <v>269</v>
      </c>
      <c r="N389" s="507">
        <v>906</v>
      </c>
      <c r="O389" s="507" t="s">
        <v>252</v>
      </c>
      <c r="P38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89" s="35">
        <v>0.10881717946488725</v>
      </c>
      <c r="S389" s="327">
        <v>0.10881717946488725</v>
      </c>
      <c r="T389" s="152">
        <f>Table1[[#This Row],[Progres Total Aktual
(%)]]</f>
        <v>7.0217485883365294E-2</v>
      </c>
      <c r="U389" s="121">
        <f>Table1[[#This Row],[Progres Aktual
(%)]]-Table1[[#This Row],[Target Progres
(%)]]</f>
        <v>-3.859969358152196E-2</v>
      </c>
      <c r="V389" s="80">
        <f>Table1[[#This Row],["Volume
BA MC-0"]]</f>
        <v>904</v>
      </c>
      <c r="W389" s="80">
        <f>Table1[[#This Row],[Total Panjang Pipa Aktual
(Sum-&gt;)3]]</f>
        <v>600</v>
      </c>
      <c r="X389" s="117"/>
      <c r="Y389" s="67" t="s">
        <v>1430</v>
      </c>
      <c r="Z389" s="67">
        <v>813837557</v>
      </c>
      <c r="AA389" s="509">
        <f>ROUND((Table1[[#This Row],[Nilai RAB Jaringan
(Exclude Ppn)]]-Table1[[#This Row],[RAB Perizinan]])*1.11+Table1[[#This Row],[RAB Perizinan]],0)</f>
        <v>813837557</v>
      </c>
      <c r="AB389" s="436">
        <f>SUM(Table1[[#This Row],[RAB Kegiatan Umum]:[RAB Perizinan]])</f>
        <v>734084826</v>
      </c>
      <c r="AC389" s="436">
        <v>50253675</v>
      </c>
      <c r="AD389" s="436">
        <v>502536750</v>
      </c>
      <c r="AE389" s="436">
        <v>172234401</v>
      </c>
      <c r="AF389" s="436">
        <v>9060000</v>
      </c>
      <c r="AG389" s="436"/>
      <c r="AH389" s="510">
        <f>SUM(Table1[[#This Row],[Bobot Keg Umum]:[Bobot Perizinan]])</f>
        <v>1</v>
      </c>
      <c r="AI389" s="510">
        <f>Table1[[#This Row],[RAB Kegiatan Umum]]/Table1[[#This Row],[Nilai RAB Jaringan
(Exclude Ppn)]]</f>
        <v>6.8457585853981401E-2</v>
      </c>
      <c r="AJ389" s="510">
        <f>Table1[[#This Row],[RAB Pemasangan]]/Table1[[#This Row],[Nilai RAB Jaringan
(Exclude Ppn)]]</f>
        <v>0.68457585853981406</v>
      </c>
      <c r="AK389" s="129">
        <f>Table1[[#This Row],[RAB Pengadaan]]/Table1[[#This Row],[Nilai RAB Jaringan
(Exclude Ppn)]]</f>
        <v>0.23462465766864932</v>
      </c>
      <c r="AL389" s="130">
        <f>Table1[[#This Row],[RAB Perizinan]]/Table1[[#This Row],[Nilai RAB Jaringan
(Exclude Ppn)]]</f>
        <v>1.2341897937555244E-2</v>
      </c>
      <c r="AM389" s="47"/>
      <c r="AN389" s="285">
        <v>904</v>
      </c>
      <c r="AO389" s="285">
        <f>SUM(Table1[[#This Row],[Pipa 63 mm]:[Pipa 1,800 mm]])</f>
        <v>904</v>
      </c>
      <c r="AP389" s="285">
        <v>904</v>
      </c>
      <c r="AQ389" s="285"/>
      <c r="AR389" s="285"/>
      <c r="AS389" s="285"/>
      <c r="AT389" s="285"/>
      <c r="AU389" s="285"/>
      <c r="AV389" s="285"/>
      <c r="AW389" s="285"/>
      <c r="AX389" s="285"/>
      <c r="AY389" s="285"/>
      <c r="AZ389" s="285"/>
      <c r="BA389" s="285"/>
      <c r="BB389" s="285"/>
      <c r="BC389" s="285"/>
      <c r="BD389" s="285"/>
      <c r="BE389" s="285"/>
      <c r="BF389" s="285"/>
      <c r="BG389" s="285"/>
      <c r="BH389" s="285"/>
      <c r="BI389" s="285"/>
      <c r="BJ389" s="36">
        <f>SUM(Table1[[#This Row],[Pipa 63 mm2]:[Pipa 1,800 mm21]])</f>
        <v>600</v>
      </c>
      <c r="BK389" s="32">
        <v>600</v>
      </c>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f>IF((Table1[[#This Row],["Volume
BA MC-0"]]-Table1[[#This Row],[Total Panjang Pipa Aktual
(Sum-&gt;)3]]-Table1[[#This Row],[Total Volume
tidak dapat dipasang]])&gt;=0,Table1[[#This Row],["Volume
BA MC-0"]]-Table1[[#This Row],[Total Panjang Pipa Aktual
(Sum-&gt;)3]]-Table1[[#This Row],[Total Volume
tidak dapat dipasang]],0)</f>
        <v>304</v>
      </c>
      <c r="CK389" s="47"/>
      <c r="CL389" s="131"/>
      <c r="CM389" s="337"/>
      <c r="CN389" s="131"/>
      <c r="CO389" s="131"/>
      <c r="CP38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7.0217485883365294E-2</v>
      </c>
      <c r="CQ389" s="436">
        <f>IFERROR(Table1[[#This Row],[Progres Keg. Umum
(%)]]*Table1[[#This Row],[Nilai RAB Jaringan
(file pa aji)]],0)</f>
        <v>0</v>
      </c>
      <c r="CR389" s="436">
        <f>IFERROR(Table1[[#This Row],[Progres MOS
(%)]]*Table1[[#This Row],[Nilai RAB Jaringan
(file pa aji)]],0)</f>
        <v>0</v>
      </c>
      <c r="CS389" s="436">
        <f>IFERROR(Table1[[#This Row],[Progres Pemasangan
(%)]]*Table1[[#This Row],[Nilai RAB Jaringan
(file pa aji)]],0)</f>
        <v>0</v>
      </c>
      <c r="CT389" s="436">
        <f>IFERROR(Table1[[#This Row],[Progres Perizinan
(%)]]*Table1[[#This Row],[Nilai RAB Jaringan
(file pa aji)]],0)</f>
        <v>0</v>
      </c>
      <c r="CU389" s="329">
        <v>57145627.170000002</v>
      </c>
      <c r="CV389" s="329">
        <v>57145627.170000002</v>
      </c>
      <c r="CW389" s="511">
        <v>0</v>
      </c>
      <c r="CX389" s="329">
        <v>0</v>
      </c>
      <c r="CY389" s="47"/>
      <c r="CZ389" s="331">
        <v>46020</v>
      </c>
      <c r="DA389" s="331">
        <v>46047</v>
      </c>
      <c r="DB389" s="331">
        <v>46028</v>
      </c>
      <c r="DC389" s="515" t="s">
        <v>3078</v>
      </c>
      <c r="DD389" s="508">
        <v>813837557</v>
      </c>
      <c r="DE38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9" s="331">
        <v>46034</v>
      </c>
      <c r="DG389" s="516" t="s">
        <v>3079</v>
      </c>
      <c r="DH389" s="508">
        <v>813837557</v>
      </c>
      <c r="DI38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9" s="331">
        <v>46048</v>
      </c>
      <c r="DK389" s="331">
        <v>46145</v>
      </c>
      <c r="DL389" s="331">
        <v>46056</v>
      </c>
      <c r="DM389" s="316" t="s">
        <v>3080</v>
      </c>
      <c r="DN38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9" s="331">
        <v>46087</v>
      </c>
      <c r="DP389" s="316"/>
      <c r="DQ389" s="338" t="s">
        <v>560</v>
      </c>
      <c r="DR38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89" s="331">
        <v>46048</v>
      </c>
      <c r="DT389" s="331">
        <v>46164</v>
      </c>
      <c r="DU389" s="331">
        <v>46089</v>
      </c>
      <c r="DV389" s="331">
        <v>46178</v>
      </c>
      <c r="DW389" s="331">
        <v>46056</v>
      </c>
      <c r="DX389" s="316" t="s">
        <v>3081</v>
      </c>
      <c r="DY389" s="334">
        <v>16</v>
      </c>
      <c r="DZ389" s="334">
        <v>16</v>
      </c>
      <c r="EA38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9" s="331">
        <v>46164</v>
      </c>
      <c r="EC389" s="332">
        <v>16</v>
      </c>
      <c r="ED389" s="332">
        <v>16</v>
      </c>
      <c r="EE389" s="425" t="s">
        <v>3082</v>
      </c>
      <c r="EF389" s="337">
        <v>1</v>
      </c>
      <c r="EG389" s="337">
        <f>Table1[[#This Row],[Line PO]]/Table1[[#This Row],[Line PR]]</f>
        <v>1</v>
      </c>
      <c r="EH389" s="316" t="str">
        <f>IF(Table1[[#This Row],[PO Material Aktual 
(%)]]&gt;=100%,"Selesai PO = 100%",IF(Table1[[#This Row],[PO Material Aktual 
(%)]]&gt;=50%,"Proses PO &gt; 100%",IF(Table1[[#This Row],[PO Material Aktual 
(%)]]&gt;0%,"Proses PO &gt; 50%",IF(Table1[[#This Row],[PO Material Aktual 
(%)]]=0,"Belum PO = 0%"))))</f>
        <v>Selesai PO = 100%</v>
      </c>
      <c r="EI38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89" s="331">
        <v>46090</v>
      </c>
      <c r="EK389" s="331">
        <v>46178</v>
      </c>
      <c r="EL389" s="331">
        <v>46215</v>
      </c>
      <c r="EM389" s="331">
        <v>46190</v>
      </c>
      <c r="EN389" s="331"/>
      <c r="EO389" s="332">
        <v>8</v>
      </c>
      <c r="EP389" s="332">
        <v>8</v>
      </c>
      <c r="EQ389" s="337">
        <v>0.5</v>
      </c>
      <c r="ER389" s="337">
        <f>Table1[[#This Row],[Line MOS (kolom bantu)]]/Table1[[#This Row],[Line PR]]</f>
        <v>0.5</v>
      </c>
      <c r="ES389" s="316" t="str">
        <f>IF(Table1[[#This Row],[Progres MOS]]&gt;=100%,"Selesai MOS = 100%",IF(Table1[[#This Row],[Progres MOS]]&gt;=50%,"Proses MOS &gt; 100%",IF(Table1[[#This Row],[Progres MOS]]&gt;0%,"Proses MOS &gt; 50%",IF(Table1[[#This Row],[Progres MOS]]=0,"Belum MOS = 0%"))))</f>
        <v>Proses MOS &gt; 100%</v>
      </c>
      <c r="ET38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89" s="47"/>
      <c r="EV389" s="331">
        <v>46048</v>
      </c>
      <c r="EW389" s="331">
        <v>46156</v>
      </c>
      <c r="EX389" s="331">
        <v>46173</v>
      </c>
      <c r="EY389" s="331">
        <v>46186</v>
      </c>
      <c r="EZ389" s="352" t="s">
        <v>2748</v>
      </c>
      <c r="FA389" s="409" t="s">
        <v>2748</v>
      </c>
      <c r="FB389" s="330" t="e">
        <v>#N/A</v>
      </c>
      <c r="FC389" s="330" t="e">
        <v>#N/A</v>
      </c>
      <c r="FD389" s="330" t="e">
        <v>#N/A</v>
      </c>
      <c r="FE389" s="330" t="e">
        <v>#N/A</v>
      </c>
      <c r="FF389" s="330" t="e">
        <v>#N/A</v>
      </c>
      <c r="FG389" s="330" t="e">
        <v>#N/A</v>
      </c>
      <c r="FH389" s="330" t="e">
        <v>#N/A</v>
      </c>
      <c r="FI389" s="330" t="e">
        <v>#N/A</v>
      </c>
      <c r="FJ389" s="330" t="e">
        <v>#N/A</v>
      </c>
      <c r="FK389" s="330" t="e">
        <v>#N/A</v>
      </c>
      <c r="FL389" s="336" t="s">
        <v>2806</v>
      </c>
      <c r="FM389" s="352"/>
      <c r="FN389" s="338" t="str">
        <f>IF(Table1[[#This Row],[Tanggal Pengajuan Dokumen]]="","",Table1[[#This Row],[PLAN PERMIT
start]]-Table1[[#This Row],[Tanggal Pengajuan Dokumen]])</f>
        <v/>
      </c>
      <c r="FO389" s="352"/>
      <c r="FP389" s="316"/>
      <c r="FQ389" s="338"/>
      <c r="FR389" s="331"/>
      <c r="FS389" s="338"/>
      <c r="FT38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9" s="344">
        <f ca="1">IF(Table1[[#This Row],[Status Izin]]="Selesai",Table1[[#This Row],[PLAN PERMIT
finish]]-Table1[[#This Row],[Tanggal Terbit/ Target Izin Terbit]],ROUNDUP(Table1[[#This Row],[PLAN PERMIT
finish]]-NOW(),0))</f>
        <v>-18</v>
      </c>
      <c r="FV38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9" s="344"/>
      <c r="FX389" s="47"/>
      <c r="FY389" s="513">
        <v>46132</v>
      </c>
      <c r="FZ389" s="513">
        <v>46122</v>
      </c>
      <c r="GA38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89" s="331">
        <v>46146</v>
      </c>
      <c r="GC389" s="352">
        <v>46113</v>
      </c>
      <c r="GD38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9" s="331">
        <v>46153</v>
      </c>
      <c r="GF389" s="352">
        <v>46113</v>
      </c>
      <c r="GG38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9" s="331">
        <v>46160</v>
      </c>
      <c r="GI389" s="331">
        <v>46166</v>
      </c>
      <c r="GJ389" s="352">
        <v>46121</v>
      </c>
      <c r="GK38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9" s="331">
        <v>46174</v>
      </c>
      <c r="GM389" s="331">
        <v>46193</v>
      </c>
      <c r="GN389" s="331">
        <v>46222</v>
      </c>
      <c r="GO389" s="330">
        <v>46269</v>
      </c>
      <c r="GP389" s="316"/>
      <c r="GQ38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89" s="331"/>
      <c r="GS389" s="331"/>
      <c r="GT389" s="354"/>
      <c r="GU389" s="344" t="str">
        <f>IF(Table1[[#This Row],[Hydro Tes Actual
(tanggal)]]&lt;&gt;"","Sudah","Belum")</f>
        <v>Belum</v>
      </c>
      <c r="GV389" s="330"/>
      <c r="GW389" s="330"/>
      <c r="GX389" s="331"/>
      <c r="GY389" s="344" t="str">
        <f>IF(Table1[[#This Row],[Interkoneksi Actual
(tanggal)]]&lt;&gt;"","Sudah","Belum")</f>
        <v>Belum</v>
      </c>
      <c r="GZ389" s="330"/>
      <c r="HA389" s="330"/>
      <c r="HB389" s="331"/>
      <c r="HC389" s="344" t="str">
        <f>IF(Table1[[#This Row],[Flushing Actual
(tanggal)]]&lt;&gt;"","Sudah","Belum")</f>
        <v>Belum</v>
      </c>
      <c r="HD389" s="331">
        <v>46225</v>
      </c>
      <c r="HE389" s="331">
        <v>46270</v>
      </c>
      <c r="HF389" s="331">
        <v>46230</v>
      </c>
      <c r="HG389" s="352"/>
      <c r="HH38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9" s="330"/>
      <c r="HJ389" s="330"/>
      <c r="HK389" s="331"/>
      <c r="HL389" s="331"/>
      <c r="HM389" s="331">
        <v>46247</v>
      </c>
      <c r="HN389" s="331">
        <v>46247</v>
      </c>
      <c r="HO389" s="330">
        <v>46287</v>
      </c>
      <c r="HP389" s="331"/>
      <c r="HQ38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89" s="331">
        <v>46255</v>
      </c>
      <c r="HS389" s="331"/>
      <c r="HT389" s="331">
        <v>46255</v>
      </c>
      <c r="HU389" s="420"/>
      <c r="HV389" s="395"/>
      <c r="HW389"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89" s="47"/>
      <c r="HY389" s="352"/>
      <c r="HZ389" s="352"/>
      <c r="IA389" s="72"/>
      <c r="IB389" s="618">
        <f>IFERROR(ROUND((Table1[[#This Row],[PLAN TC
finish]]-Table1[[#This Row],[PLAN MC-0
start]])/30,2),"")</f>
        <v>2.33</v>
      </c>
      <c r="IC389">
        <f>DATEDIF(Table1[[#This Row],[PLAN MC-0
start]],Table1[[#This Row],[PLAN TC
finish]],"m")</f>
        <v>2</v>
      </c>
      <c r="ID389" s="6"/>
      <c r="IE389" s="6"/>
      <c r="IF389" s="72"/>
      <c r="IH389" s="6"/>
      <c r="II389" s="4"/>
      <c r="IJ389" s="4"/>
      <c r="IK389" s="6"/>
      <c r="IL389" s="6"/>
      <c r="IM389" s="6"/>
      <c r="IN389" s="6"/>
      <c r="IO389" s="6"/>
      <c r="IQ389" s="6"/>
      <c r="IR389" s="6"/>
      <c r="IS389" s="6"/>
      <c r="IT389" s="6"/>
      <c r="IW389" s="6"/>
      <c r="IX389" s="6"/>
      <c r="IZ389" s="6"/>
      <c r="JA389" s="6"/>
    </row>
    <row r="390" spans="2:261" ht="15" hidden="1" customHeight="1" x14ac:dyDescent="0.2">
      <c r="B390" s="311">
        <f>SUBTOTAL(3,$D$5:D390)</f>
        <v>84</v>
      </c>
      <c r="C390" s="316">
        <v>386</v>
      </c>
      <c r="D390" s="315" t="s">
        <v>244</v>
      </c>
      <c r="E390" s="338" t="s">
        <v>3083</v>
      </c>
      <c r="F390" s="338" t="s">
        <v>3084</v>
      </c>
      <c r="G390" s="349">
        <v>46300</v>
      </c>
      <c r="H390" s="338" t="s">
        <v>681</v>
      </c>
      <c r="I390" s="338" t="s">
        <v>278</v>
      </c>
      <c r="J390" s="480"/>
      <c r="K390" s="338"/>
      <c r="L390" s="316"/>
      <c r="M390" s="355" t="s">
        <v>269</v>
      </c>
      <c r="N390" s="507">
        <v>131</v>
      </c>
      <c r="O390" s="507" t="s">
        <v>252</v>
      </c>
      <c r="P39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90" s="35">
        <v>0.22723468597189175</v>
      </c>
      <c r="S390" s="327">
        <v>0.22723468597189175</v>
      </c>
      <c r="T390" s="152">
        <f>Table1[[#This Row],[Progres Total Aktual
(%)]]</f>
        <v>1</v>
      </c>
      <c r="U390" s="121">
        <f>Table1[[#This Row],[Progres Aktual
(%)]]-Table1[[#This Row],[Target Progres
(%)]]</f>
        <v>0.77276531402810822</v>
      </c>
      <c r="V390" s="80">
        <f>Table1[[#This Row],["Volume
BA MC-0"]]</f>
        <v>125.7</v>
      </c>
      <c r="W390" s="80">
        <f>Table1[[#This Row],[Total Panjang Pipa Aktual
(Sum-&gt;)3]]</f>
        <v>125.7</v>
      </c>
      <c r="X390" s="117"/>
      <c r="Y390" s="67" t="s">
        <v>3085</v>
      </c>
      <c r="Z390" s="67">
        <v>197913041</v>
      </c>
      <c r="AA390" s="509">
        <f>ROUND((Table1[[#This Row],[Nilai RAB Jaringan
(Exclude Ppn)]]-Table1[[#This Row],[RAB Perizinan]])*1.11+Table1[[#This Row],[RAB Perizinan]],0)</f>
        <v>197913040</v>
      </c>
      <c r="AB390" s="436">
        <f>SUM(Table1[[#This Row],[RAB Kegiatan Umum]:[RAB Perizinan]])</f>
        <v>178429856</v>
      </c>
      <c r="AC390" s="436">
        <v>11698299</v>
      </c>
      <c r="AD390" s="436">
        <v>116982985</v>
      </c>
      <c r="AE390" s="436">
        <v>48438572</v>
      </c>
      <c r="AF390" s="436">
        <v>1310000</v>
      </c>
      <c r="AG390" s="436"/>
      <c r="AH390" s="510">
        <f>SUM(Table1[[#This Row],[Bobot Keg Umum]:[Bobot Perizinan]])</f>
        <v>1</v>
      </c>
      <c r="AI390" s="510">
        <f>Table1[[#This Row],[RAB Kegiatan Umum]]/Table1[[#This Row],[Nilai RAB Jaringan
(Exclude Ppn)]]</f>
        <v>6.5562452732125728E-2</v>
      </c>
      <c r="AJ390" s="510">
        <f>Table1[[#This Row],[RAB Pemasangan]]/Table1[[#This Row],[Nilai RAB Jaringan
(Exclude Ppn)]]</f>
        <v>0.6556244992990411</v>
      </c>
      <c r="AK390" s="129">
        <f>Table1[[#This Row],[RAB Pengadaan]]/Table1[[#This Row],[Nilai RAB Jaringan
(Exclude Ppn)]]</f>
        <v>0.27147122732644025</v>
      </c>
      <c r="AL390" s="130">
        <f>Table1[[#This Row],[RAB Perizinan]]/Table1[[#This Row],[Nilai RAB Jaringan
(Exclude Ppn)]]</f>
        <v>7.3418206423929416E-3</v>
      </c>
      <c r="AM390" s="47"/>
      <c r="AN390" s="285">
        <v>125.7</v>
      </c>
      <c r="AO390" s="285">
        <f>SUM(Table1[[#This Row],[Pipa 63 mm]:[Pipa 1,800 mm]])</f>
        <v>130</v>
      </c>
      <c r="AP390" s="285">
        <v>130</v>
      </c>
      <c r="AQ390" s="285"/>
      <c r="AR390" s="285"/>
      <c r="AS390" s="285"/>
      <c r="AT390" s="285"/>
      <c r="AU390" s="285"/>
      <c r="AV390" s="285"/>
      <c r="AW390" s="285"/>
      <c r="AX390" s="285"/>
      <c r="AY390" s="285"/>
      <c r="AZ390" s="285"/>
      <c r="BA390" s="285"/>
      <c r="BB390" s="285"/>
      <c r="BC390" s="285"/>
      <c r="BD390" s="285"/>
      <c r="BE390" s="285"/>
      <c r="BF390" s="285"/>
      <c r="BG390" s="285"/>
      <c r="BH390" s="285"/>
      <c r="BI390" s="285"/>
      <c r="BJ390" s="36">
        <f>SUM(Table1[[#This Row],[Pipa 63 mm2]:[Pipa 1,800 mm21]])</f>
        <v>125.7</v>
      </c>
      <c r="BK390" s="32">
        <v>125.7</v>
      </c>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f>IF((Table1[[#This Row],["Volume
BA MC-0"]]-Table1[[#This Row],[Total Panjang Pipa Aktual
(Sum-&gt;)3]]-Table1[[#This Row],[Total Volume
tidak dapat dipasang]])&gt;=0,Table1[[#This Row],["Volume
BA MC-0"]]-Table1[[#This Row],[Total Panjang Pipa Aktual
(Sum-&gt;)3]]-Table1[[#This Row],[Total Volume
tidak dapat dipasang]],0)</f>
        <v>0</v>
      </c>
      <c r="CK390" s="47"/>
      <c r="CL390" s="131"/>
      <c r="CM390" s="337"/>
      <c r="CN390" s="131"/>
      <c r="CO390" s="131"/>
      <c r="CP39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90" s="436">
        <f>IFERROR(Table1[[#This Row],[Progres Keg. Umum
(%)]]*Table1[[#This Row],[Nilai RAB Jaringan
(file pa aji)]],0)</f>
        <v>0</v>
      </c>
      <c r="CR390" s="436">
        <f>IFERROR(Table1[[#This Row],[Progres MOS
(%)]]*Table1[[#This Row],[Nilai RAB Jaringan
(file pa aji)]],0)</f>
        <v>0</v>
      </c>
      <c r="CS390" s="436">
        <f>IFERROR(Table1[[#This Row],[Progres Pemasangan
(%)]]*Table1[[#This Row],[Nilai RAB Jaringan
(file pa aji)]],0)</f>
        <v>0</v>
      </c>
      <c r="CT390" s="436">
        <f>IFERROR(Table1[[#This Row],[Progres Perizinan
(%)]]*Table1[[#This Row],[Nilai RAB Jaringan
(file pa aji)]],0)</f>
        <v>0</v>
      </c>
      <c r="CU390" s="329">
        <v>161079816</v>
      </c>
      <c r="CV390" s="329">
        <v>161079816</v>
      </c>
      <c r="CW390" s="511">
        <v>161079816</v>
      </c>
      <c r="CX390" s="329">
        <v>161079816</v>
      </c>
      <c r="CY390" s="47"/>
      <c r="CZ390" s="331">
        <v>46020</v>
      </c>
      <c r="DA390" s="331">
        <v>46047</v>
      </c>
      <c r="DB390" s="331">
        <v>46028</v>
      </c>
      <c r="DC390" s="515" t="s">
        <v>3086</v>
      </c>
      <c r="DD390" s="508">
        <v>197913041</v>
      </c>
      <c r="DE39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0" s="331">
        <v>46042</v>
      </c>
      <c r="DG390" s="516" t="s">
        <v>3087</v>
      </c>
      <c r="DH390" s="508">
        <v>197913041</v>
      </c>
      <c r="DI39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0" s="331">
        <v>46048</v>
      </c>
      <c r="DK390" s="331">
        <v>46145</v>
      </c>
      <c r="DL390" s="331">
        <v>46056</v>
      </c>
      <c r="DM390" s="316" t="s">
        <v>3088</v>
      </c>
      <c r="DN39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0" s="331">
        <v>46062</v>
      </c>
      <c r="DP390" s="316" t="s">
        <v>3089</v>
      </c>
      <c r="DQ390" t="s">
        <v>365</v>
      </c>
      <c r="DR39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0" s="331">
        <v>46048</v>
      </c>
      <c r="DT390" s="331">
        <v>46164</v>
      </c>
      <c r="DU390" s="331">
        <v>46089</v>
      </c>
      <c r="DV390" s="331">
        <v>46178</v>
      </c>
      <c r="DW390" s="331">
        <v>46056</v>
      </c>
      <c r="DX390" s="316" t="s">
        <v>3090</v>
      </c>
      <c r="DY390" s="334">
        <v>20</v>
      </c>
      <c r="DZ390" s="334">
        <v>20</v>
      </c>
      <c r="EA39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0" s="331"/>
      <c r="EC390" s="332">
        <v>19</v>
      </c>
      <c r="ED390" s="332">
        <v>19</v>
      </c>
      <c r="EE390" s="118"/>
      <c r="EF390" s="337">
        <v>0.95</v>
      </c>
      <c r="EG390" s="337">
        <f>Table1[[#This Row],[Line PO]]/Table1[[#This Row],[Line PR]]</f>
        <v>0.95</v>
      </c>
      <c r="EH390" s="316" t="str">
        <f>IF(Table1[[#This Row],[PO Material Aktual 
(%)]]&gt;=100%,"Selesai PO = 100%",IF(Table1[[#This Row],[PO Material Aktual 
(%)]]&gt;=50%,"Proses PO &gt; 100%",IF(Table1[[#This Row],[PO Material Aktual 
(%)]]&gt;0%,"Proses PO &gt; 50%",IF(Table1[[#This Row],[PO Material Aktual 
(%)]]=0,"Belum PO = 0%"))))</f>
        <v>Proses PO &gt; 100%</v>
      </c>
      <c r="EI39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0" s="331">
        <v>46090</v>
      </c>
      <c r="EK390" s="331">
        <v>46178</v>
      </c>
      <c r="EL390" s="331">
        <v>46173</v>
      </c>
      <c r="EM390" s="331">
        <v>46203</v>
      </c>
      <c r="EN390" s="331"/>
      <c r="EO390" s="332">
        <v>13</v>
      </c>
      <c r="EP390" s="332">
        <v>13</v>
      </c>
      <c r="EQ390" s="337">
        <v>0.65</v>
      </c>
      <c r="ER390" s="337">
        <f>Table1[[#This Row],[Line MOS (kolom bantu)]]/Table1[[#This Row],[Line PR]]</f>
        <v>0.65</v>
      </c>
      <c r="ES390" s="316" t="str">
        <f>IF(Table1[[#This Row],[Progres MOS]]&gt;=100%,"Selesai MOS = 100%",IF(Table1[[#This Row],[Progres MOS]]&gt;=50%,"Proses MOS &gt; 100%",IF(Table1[[#This Row],[Progres MOS]]&gt;0%,"Proses MOS &gt; 50%",IF(Table1[[#This Row],[Progres MOS]]=0,"Belum MOS = 0%"))))</f>
        <v>Proses MOS &gt; 100%</v>
      </c>
      <c r="ET39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0" s="47"/>
      <c r="EV390" s="331">
        <v>46048</v>
      </c>
      <c r="EW390" s="331">
        <v>46164</v>
      </c>
      <c r="EX390" s="331">
        <v>46173</v>
      </c>
      <c r="EY390" s="331">
        <v>46194</v>
      </c>
      <c r="EZ390" s="352" t="s">
        <v>2955</v>
      </c>
      <c r="FA390" s="409" t="s">
        <v>2955</v>
      </c>
      <c r="FB390" s="330" t="e">
        <v>#N/A</v>
      </c>
      <c r="FC390" s="330" t="e">
        <v>#N/A</v>
      </c>
      <c r="FD390" s="330" t="e">
        <v>#N/A</v>
      </c>
      <c r="FE390" s="330" t="e">
        <v>#N/A</v>
      </c>
      <c r="FF390" s="330" t="e">
        <v>#N/A</v>
      </c>
      <c r="FG390" s="330" t="e">
        <v>#N/A</v>
      </c>
      <c r="FH390" s="330" t="e">
        <v>#N/A</v>
      </c>
      <c r="FI390" s="330" t="e">
        <v>#N/A</v>
      </c>
      <c r="FJ390" s="330" t="e">
        <v>#N/A</v>
      </c>
      <c r="FK390" s="330" t="e">
        <v>#N/A</v>
      </c>
      <c r="FL390" s="336" t="s">
        <v>2806</v>
      </c>
      <c r="FM390" s="352"/>
      <c r="FN390" s="338" t="str">
        <f>IF(Table1[[#This Row],[Tanggal Pengajuan Dokumen]]="","",Table1[[#This Row],[PLAN PERMIT
start]]-Table1[[#This Row],[Tanggal Pengajuan Dokumen]])</f>
        <v/>
      </c>
      <c r="FO390" s="352"/>
      <c r="FP390" s="316"/>
      <c r="FQ390" s="338"/>
      <c r="FR390" s="331"/>
      <c r="FS390" s="338"/>
      <c r="FT39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0" s="344">
        <f ca="1">IF(Table1[[#This Row],[Status Izin]]="Selesai",Table1[[#This Row],[PLAN PERMIT
finish]]-Table1[[#This Row],[Tanggal Terbit/ Target Izin Terbit]],ROUNDUP(Table1[[#This Row],[PLAN PERMIT
finish]]-NOW(),0))</f>
        <v>-18</v>
      </c>
      <c r="FV39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0" s="344"/>
      <c r="FX390" s="47"/>
      <c r="FY390" s="513">
        <v>46132</v>
      </c>
      <c r="FZ390" s="513">
        <v>46051</v>
      </c>
      <c r="GA39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0" s="331">
        <v>46146</v>
      </c>
      <c r="GC390" s="352">
        <v>46066</v>
      </c>
      <c r="GD39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0" s="331">
        <v>46153</v>
      </c>
      <c r="GF390" s="352">
        <v>46064</v>
      </c>
      <c r="GG39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0" s="331">
        <v>46160</v>
      </c>
      <c r="GI390" s="331">
        <v>46166</v>
      </c>
      <c r="GJ390" s="477">
        <v>46066</v>
      </c>
      <c r="GK39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0" s="331">
        <v>46174</v>
      </c>
      <c r="GM390" s="331">
        <v>46206</v>
      </c>
      <c r="GN390" s="331">
        <v>46201</v>
      </c>
      <c r="GO390" s="330">
        <v>46242</v>
      </c>
      <c r="GP390" s="316"/>
      <c r="GQ39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0" s="331"/>
      <c r="GS390" s="331"/>
      <c r="GT390" s="354">
        <v>46070</v>
      </c>
      <c r="GU390" s="344" t="str">
        <f>IF(Table1[[#This Row],[Hydro Tes Actual
(tanggal)]]&lt;&gt;"","Sudah","Belum")</f>
        <v>Sudah</v>
      </c>
      <c r="GV390" s="330"/>
      <c r="GW390" s="330"/>
      <c r="GX390" s="331">
        <v>46068</v>
      </c>
      <c r="GY390" s="344" t="str">
        <f>IF(Table1[[#This Row],[Interkoneksi Actual
(tanggal)]]&lt;&gt;"","Sudah","Belum")</f>
        <v>Sudah</v>
      </c>
      <c r="GZ390" s="330"/>
      <c r="HA390" s="330"/>
      <c r="HB390" s="331">
        <v>46070</v>
      </c>
      <c r="HC390" s="344" t="str">
        <f>IF(Table1[[#This Row],[Flushing Actual
(tanggal)]]&lt;&gt;"","Sudah","Belum")</f>
        <v>Sudah</v>
      </c>
      <c r="HD390" s="331">
        <v>46204</v>
      </c>
      <c r="HE390" s="331">
        <v>46243</v>
      </c>
      <c r="HF390" s="331">
        <v>46209</v>
      </c>
      <c r="HG390" s="352">
        <v>46094</v>
      </c>
      <c r="HH39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90" s="330"/>
      <c r="HJ390" s="330"/>
      <c r="HK390" s="331"/>
      <c r="HL390" s="331"/>
      <c r="HM390" s="331">
        <v>46226</v>
      </c>
      <c r="HN390" s="331">
        <v>46226</v>
      </c>
      <c r="HO390" s="330">
        <v>46260</v>
      </c>
      <c r="HP390" s="331">
        <v>46106</v>
      </c>
      <c r="HQ39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OnSchedule</v>
      </c>
      <c r="HR390" s="331">
        <v>46234</v>
      </c>
      <c r="HS390" s="331"/>
      <c r="HT390" s="331">
        <v>46234</v>
      </c>
      <c r="HU390" s="420"/>
      <c r="HV390" s="395">
        <v>46120</v>
      </c>
      <c r="HW390"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X390" s="47"/>
      <c r="HY390" s="352"/>
      <c r="HZ390" s="352"/>
      <c r="IA390" s="72"/>
      <c r="IB390" s="618">
        <f>IFERROR(ROUND((Table1[[#This Row],[PLAN TC
finish]]-Table1[[#This Row],[PLAN MC-0
start]])/30,2),"")</f>
        <v>1.63</v>
      </c>
      <c r="IC390">
        <f>DATEDIF(Table1[[#This Row],[PLAN MC-0
start]],Table1[[#This Row],[PLAN TC
finish]],"m")</f>
        <v>1</v>
      </c>
      <c r="ID390" s="6"/>
      <c r="IE390" s="6"/>
      <c r="IF390" s="72"/>
      <c r="IH390" s="6"/>
      <c r="II390" s="4"/>
      <c r="IJ390" s="4"/>
      <c r="IK390" s="6"/>
      <c r="IL390" s="6"/>
      <c r="IM390" s="6"/>
      <c r="IN390" s="6"/>
      <c r="IO390" s="6"/>
      <c r="IQ390" s="6"/>
      <c r="IR390" s="6"/>
      <c r="IS390" s="6"/>
      <c r="IT390" s="6"/>
      <c r="IW390" s="6"/>
      <c r="IX390" s="6"/>
      <c r="IZ390" s="6"/>
      <c r="JA390" s="6"/>
    </row>
    <row r="391" spans="2:261" ht="15" hidden="1" customHeight="1" x14ac:dyDescent="0.2">
      <c r="B391" s="311">
        <f>SUBTOTAL(3,$D$5:D391)</f>
        <v>84</v>
      </c>
      <c r="C391" s="316">
        <v>387</v>
      </c>
      <c r="D391" s="315" t="s">
        <v>244</v>
      </c>
      <c r="E391" s="461" t="s">
        <v>3091</v>
      </c>
      <c r="F391" s="338" t="s">
        <v>3092</v>
      </c>
      <c r="G391" s="349">
        <v>46300</v>
      </c>
      <c r="H391" s="338" t="s">
        <v>681</v>
      </c>
      <c r="I391" s="338" t="s">
        <v>278</v>
      </c>
      <c r="J391" s="518"/>
      <c r="K391" s="461"/>
      <c r="L391" s="334"/>
      <c r="M391" s="355" t="s">
        <v>269</v>
      </c>
      <c r="N391" s="507">
        <v>726</v>
      </c>
      <c r="O391" s="507" t="s">
        <v>252</v>
      </c>
      <c r="P391"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91" s="35">
        <v>0.20078602218742031</v>
      </c>
      <c r="S391" s="327">
        <v>0.20078602218742031</v>
      </c>
      <c r="T391" s="153">
        <f>Table1[[#This Row],[Progres Total Aktual
(%)]]</f>
        <v>0.80543103783815784</v>
      </c>
      <c r="U391" s="122">
        <f>Table1[[#This Row],[Progres Aktual
(%)]]-Table1[[#This Row],[Target Progres
(%)]]</f>
        <v>0.60464501565073747</v>
      </c>
      <c r="V391" s="119">
        <f>Table1[[#This Row],["Volume
BA MC-0"]]</f>
        <v>561</v>
      </c>
      <c r="W391" s="119">
        <f>Table1[[#This Row],[Total Panjang Pipa Aktual
(Sum-&gt;)3]]</f>
        <v>424</v>
      </c>
      <c r="X391" s="120"/>
      <c r="Y391" s="67" t="s">
        <v>3093</v>
      </c>
      <c r="Z391" s="67">
        <v>1008199980</v>
      </c>
      <c r="AA391" s="519">
        <f>ROUND((Table1[[#This Row],[Nilai RAB Jaringan
(Exclude Ppn)]]-Table1[[#This Row],[RAB Perizinan]])*1.11+Table1[[#This Row],[RAB Perizinan]],0)</f>
        <v>1008199979</v>
      </c>
      <c r="AB391" s="465">
        <f>SUM(Table1[[#This Row],[RAB Kegiatan Umum]:[RAB Perizinan]])</f>
        <v>909007729</v>
      </c>
      <c r="AC391" s="465">
        <v>62350530</v>
      </c>
      <c r="AD391" s="465">
        <v>623505297</v>
      </c>
      <c r="AE391" s="465">
        <v>215891902</v>
      </c>
      <c r="AF391" s="465">
        <v>7260000</v>
      </c>
      <c r="AG391" s="465"/>
      <c r="AH391" s="520">
        <f>SUM(Table1[[#This Row],[Bobot Keg Umum]:[Bobot Perizinan]])</f>
        <v>1</v>
      </c>
      <c r="AI391" s="520">
        <f>Table1[[#This Row],[RAB Kegiatan Umum]]/Table1[[#This Row],[Nilai RAB Jaringan
(Exclude Ppn)]]</f>
        <v>6.8591859024776242E-2</v>
      </c>
      <c r="AJ391" s="520">
        <f>Table1[[#This Row],[RAB Pemasangan]]/Table1[[#This Row],[Nilai RAB Jaringan
(Exclude Ppn)]]</f>
        <v>0.68591858694746033</v>
      </c>
      <c r="AK391" s="521">
        <f>Table1[[#This Row],[RAB Pengadaan]]/Table1[[#This Row],[Nilai RAB Jaringan
(Exclude Ppn)]]</f>
        <v>0.23750282325707267</v>
      </c>
      <c r="AL391" s="522">
        <f>Table1[[#This Row],[RAB Perizinan]]/Table1[[#This Row],[Nilai RAB Jaringan
(Exclude Ppn)]]</f>
        <v>7.9867307706907292E-3</v>
      </c>
      <c r="AM391" s="47"/>
      <c r="AN391" s="470">
        <v>561</v>
      </c>
      <c r="AO391" s="470">
        <f>SUM(Table1[[#This Row],[Pipa 63 mm]:[Pipa 1,800 mm]])</f>
        <v>561</v>
      </c>
      <c r="AP391" s="470">
        <v>561</v>
      </c>
      <c r="AQ391" s="470"/>
      <c r="AR391" s="470"/>
      <c r="AS391" s="470"/>
      <c r="AT391" s="470"/>
      <c r="AU391" s="470"/>
      <c r="AV391" s="470"/>
      <c r="AW391" s="470"/>
      <c r="AX391" s="470"/>
      <c r="AY391" s="470"/>
      <c r="AZ391" s="470"/>
      <c r="BA391" s="470"/>
      <c r="BB391" s="470"/>
      <c r="BC391" s="470"/>
      <c r="BD391" s="470"/>
      <c r="BE391" s="470"/>
      <c r="BF391" s="470"/>
      <c r="BG391" s="470"/>
      <c r="BH391" s="470"/>
      <c r="BI391" s="470"/>
      <c r="BJ391" s="523">
        <f>SUM(Table1[[#This Row],[Pipa 63 mm2]:[Pipa 1,800 mm21]])</f>
        <v>424</v>
      </c>
      <c r="BK391" s="471">
        <v>424</v>
      </c>
      <c r="BL391" s="471"/>
      <c r="BM391" s="471"/>
      <c r="BN391" s="471"/>
      <c r="BO391" s="471"/>
      <c r="BP391" s="471"/>
      <c r="BQ391" s="471"/>
      <c r="BR391" s="471"/>
      <c r="BS391" s="471"/>
      <c r="BT391" s="471"/>
      <c r="BU391" s="471"/>
      <c r="BV391" s="471"/>
      <c r="BW391" s="471"/>
      <c r="BX391" s="471"/>
      <c r="BY391" s="471"/>
      <c r="BZ391" s="471"/>
      <c r="CA391" s="471"/>
      <c r="CB391" s="471"/>
      <c r="CC391" s="471"/>
      <c r="CD391" s="471"/>
      <c r="CE391" s="471"/>
      <c r="CF391" s="471"/>
      <c r="CG391" s="471"/>
      <c r="CH391" s="471"/>
      <c r="CI391" s="471"/>
      <c r="CJ391" s="471">
        <f>IF((Table1[[#This Row],["Volume
BA MC-0"]]-Table1[[#This Row],[Total Panjang Pipa Aktual
(Sum-&gt;)3]]-Table1[[#This Row],[Total Volume
tidak dapat dipasang]])&gt;=0,Table1[[#This Row],["Volume
BA MC-0"]]-Table1[[#This Row],[Total Panjang Pipa Aktual
(Sum-&gt;)3]]-Table1[[#This Row],[Total Volume
tidak dapat dipasang]],0)</f>
        <v>137</v>
      </c>
      <c r="CK391" s="47"/>
      <c r="CL391" s="472"/>
      <c r="CM391" s="475"/>
      <c r="CN391" s="472"/>
      <c r="CO391" s="472"/>
      <c r="CP39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0.80543103783815784</v>
      </c>
      <c r="CQ391" s="465">
        <f>IFERROR(Table1[[#This Row],[Progres Keg. Umum
(%)]]*Table1[[#This Row],[Nilai RAB Jaringan
(file pa aji)]],0)</f>
        <v>0</v>
      </c>
      <c r="CR391" s="465">
        <f>IFERROR(Table1[[#This Row],[Progres MOS
(%)]]*Table1[[#This Row],[Nilai RAB Jaringan
(file pa aji)]],0)</f>
        <v>0</v>
      </c>
      <c r="CS391" s="465">
        <f>IFERROR(Table1[[#This Row],[Progres Pemasangan
(%)]]*Table1[[#This Row],[Nilai RAB Jaringan
(file pa aji)]],0)</f>
        <v>0</v>
      </c>
      <c r="CT391" s="465">
        <f>IFERROR(Table1[[#This Row],[Progres Perizinan
(%)]]*Table1[[#This Row],[Nilai RAB Jaringan
(file pa aji)]],0)</f>
        <v>0</v>
      </c>
      <c r="CU391" s="329">
        <v>812035555.43437898</v>
      </c>
      <c r="CV391" s="329">
        <v>812035555.43437898</v>
      </c>
      <c r="CW391" s="524">
        <v>0</v>
      </c>
      <c r="CX391" s="329">
        <v>0</v>
      </c>
      <c r="CY391" s="47"/>
      <c r="CZ391" s="331">
        <v>46020</v>
      </c>
      <c r="DA391" s="331">
        <v>46047</v>
      </c>
      <c r="DB391" s="331">
        <v>46035</v>
      </c>
      <c r="DC391" s="515" t="s">
        <v>3094</v>
      </c>
      <c r="DD391" s="525">
        <v>1008199980</v>
      </c>
      <c r="DE39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1" s="331">
        <v>46050</v>
      </c>
      <c r="DG391" s="516" t="s">
        <v>3095</v>
      </c>
      <c r="DH391" s="514" t="s">
        <v>3096</v>
      </c>
      <c r="DI391"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1" s="331">
        <v>46048</v>
      </c>
      <c r="DK391" s="331">
        <v>46145</v>
      </c>
      <c r="DL391" s="331">
        <v>46059</v>
      </c>
      <c r="DM391" s="334" t="s">
        <v>3097</v>
      </c>
      <c r="DN39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1" s="331">
        <v>46083</v>
      </c>
      <c r="DP391" s="334"/>
      <c r="DQ391" s="338" t="s">
        <v>365</v>
      </c>
      <c r="DR39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1" s="331">
        <v>46048</v>
      </c>
      <c r="DT391" s="331">
        <v>46164</v>
      </c>
      <c r="DU391" s="331">
        <v>46089</v>
      </c>
      <c r="DV391" s="331">
        <v>46178</v>
      </c>
      <c r="DW391" s="331">
        <v>46059</v>
      </c>
      <c r="DX391" s="426" t="s">
        <v>3098</v>
      </c>
      <c r="DY391" s="334">
        <v>27</v>
      </c>
      <c r="DZ391" s="334">
        <v>27</v>
      </c>
      <c r="EA39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1" s="420"/>
      <c r="EC391" s="335">
        <v>25</v>
      </c>
      <c r="ED391" s="335">
        <v>25</v>
      </c>
      <c r="EE391" s="526"/>
      <c r="EF391" s="475">
        <v>0.92592592592592593</v>
      </c>
      <c r="EG391" s="337">
        <f>Table1[[#This Row],[Line PO]]/Table1[[#This Row],[Line PR]]</f>
        <v>0.92592592592592593</v>
      </c>
      <c r="EH391" s="316" t="str">
        <f>IF(Table1[[#This Row],[PO Material Aktual 
(%)]]&gt;=100%,"Selesai PO = 100%",IF(Table1[[#This Row],[PO Material Aktual 
(%)]]&gt;=50%,"Proses PO &gt; 100%",IF(Table1[[#This Row],[PO Material Aktual 
(%)]]&gt;0%,"Proses PO &gt; 50%",IF(Table1[[#This Row],[PO Material Aktual 
(%)]]=0,"Belum PO = 0%"))))</f>
        <v>Proses PO &gt; 100%</v>
      </c>
      <c r="EI39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1" s="331">
        <v>46090</v>
      </c>
      <c r="EK391" s="331">
        <v>46178</v>
      </c>
      <c r="EL391" s="331">
        <v>46173</v>
      </c>
      <c r="EM391" s="420">
        <v>46183</v>
      </c>
      <c r="EN391" s="420"/>
      <c r="EO391" s="332">
        <v>16</v>
      </c>
      <c r="EP391" s="332">
        <v>16</v>
      </c>
      <c r="EQ391" s="337">
        <v>0.59259259259259256</v>
      </c>
      <c r="ER391" s="337">
        <f>Table1[[#This Row],[Line MOS (kolom bantu)]]/Table1[[#This Row],[Line PR]]</f>
        <v>0.59259259259259256</v>
      </c>
      <c r="ES391" s="316" t="str">
        <f>IF(Table1[[#This Row],[Progres MOS]]&gt;=100%,"Selesai MOS = 100%",IF(Table1[[#This Row],[Progres MOS]]&gt;=50%,"Proses MOS &gt; 100%",IF(Table1[[#This Row],[Progres MOS]]&gt;0%,"Proses MOS &gt; 50%",IF(Table1[[#This Row],[Progres MOS]]=0,"Belum MOS = 0%"))))</f>
        <v>Proses MOS &gt; 100%</v>
      </c>
      <c r="ET39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1" s="47"/>
      <c r="EV391" s="331">
        <v>46048</v>
      </c>
      <c r="EW391" s="331">
        <v>46156</v>
      </c>
      <c r="EX391" s="331">
        <v>46173</v>
      </c>
      <c r="EY391" s="420">
        <v>46186</v>
      </c>
      <c r="EZ391" s="477" t="s">
        <v>2955</v>
      </c>
      <c r="FA391" s="409" t="s">
        <v>2955</v>
      </c>
      <c r="FB391" s="527" t="e">
        <v>#N/A</v>
      </c>
      <c r="FC391" s="330" t="e">
        <v>#N/A</v>
      </c>
      <c r="FD391" s="527" t="e">
        <v>#N/A</v>
      </c>
      <c r="FE391" s="527" t="e">
        <v>#N/A</v>
      </c>
      <c r="FF391" s="527" t="e">
        <v>#N/A</v>
      </c>
      <c r="FG391" s="527" t="e">
        <v>#N/A</v>
      </c>
      <c r="FH391" s="527" t="e">
        <v>#N/A</v>
      </c>
      <c r="FI391" s="527" t="e">
        <v>#N/A</v>
      </c>
      <c r="FJ391" s="527" t="e">
        <v>#N/A</v>
      </c>
      <c r="FK391" s="527" t="e">
        <v>#N/A</v>
      </c>
      <c r="FL391" s="336" t="s">
        <v>2806</v>
      </c>
      <c r="FM391" s="477"/>
      <c r="FN391" s="461" t="str">
        <f>IF(Table1[[#This Row],[Tanggal Pengajuan Dokumen]]="","",Table1[[#This Row],[PLAN PERMIT
start]]-Table1[[#This Row],[Tanggal Pengajuan Dokumen]])</f>
        <v/>
      </c>
      <c r="FO391" s="477"/>
      <c r="FP391" s="334"/>
      <c r="FQ391" s="461"/>
      <c r="FR391" s="420"/>
      <c r="FS391" s="461"/>
      <c r="FT391"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1" s="476">
        <f ca="1">IF(Table1[[#This Row],[Status Izin]]="Selesai",Table1[[#This Row],[PLAN PERMIT
finish]]-Table1[[#This Row],[Tanggal Terbit/ Target Izin Terbit]],ROUNDUP(Table1[[#This Row],[PLAN PERMIT
finish]]-NOW(),0))</f>
        <v>-18</v>
      </c>
      <c r="FV391"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1" s="476"/>
      <c r="FX391" s="47"/>
      <c r="FY391" s="513">
        <v>46132</v>
      </c>
      <c r="FZ391" s="513">
        <v>46122</v>
      </c>
      <c r="GA39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1" s="331">
        <v>46146</v>
      </c>
      <c r="GC391" s="352">
        <f>Table1[[#This Row],[Tanggal Aktual Kick Off]]</f>
        <v>46112</v>
      </c>
      <c r="GD391"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1" s="331">
        <v>46153</v>
      </c>
      <c r="GF391" s="477">
        <v>46112</v>
      </c>
      <c r="GG391"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1" s="331">
        <v>46160</v>
      </c>
      <c r="GI391" s="331">
        <v>46166</v>
      </c>
      <c r="GJ391" s="477">
        <v>46113</v>
      </c>
      <c r="GK391"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1" s="331">
        <v>46174</v>
      </c>
      <c r="GM391" s="331">
        <v>46193</v>
      </c>
      <c r="GN391" s="331">
        <v>46201</v>
      </c>
      <c r="GO391" s="330">
        <v>46234</v>
      </c>
      <c r="GP391" s="334"/>
      <c r="GQ391"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1" s="420"/>
      <c r="GS391" s="420"/>
      <c r="GT391" s="419">
        <v>46118</v>
      </c>
      <c r="GU391" s="476" t="str">
        <f>IF(Table1[[#This Row],[Hydro Tes Actual
(tanggal)]]&lt;&gt;"","Sudah","Belum")</f>
        <v>Sudah</v>
      </c>
      <c r="GV391" s="527"/>
      <c r="GW391" s="527"/>
      <c r="GX391" s="420"/>
      <c r="GY391" s="476" t="str">
        <f>IF(Table1[[#This Row],[Interkoneksi Actual
(tanggal)]]&lt;&gt;"","Sudah","Belum")</f>
        <v>Belum</v>
      </c>
      <c r="GZ391" s="527"/>
      <c r="HA391" s="527"/>
      <c r="HB391" s="420"/>
      <c r="HC391" s="476" t="str">
        <f>IF(Table1[[#This Row],[Flushing Actual
(tanggal)]]&lt;&gt;"","Sudah","Belum")</f>
        <v>Belum</v>
      </c>
      <c r="HD391" s="331">
        <v>46204</v>
      </c>
      <c r="HE391" s="331">
        <v>46235</v>
      </c>
      <c r="HF391" s="331">
        <v>46209</v>
      </c>
      <c r="HG391" s="477">
        <v>46133</v>
      </c>
      <c r="HH391"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91" s="527"/>
      <c r="HJ391" s="527"/>
      <c r="HK391" s="420"/>
      <c r="HL391" s="420"/>
      <c r="HM391" s="331">
        <v>46226</v>
      </c>
      <c r="HN391" s="331">
        <v>46226</v>
      </c>
      <c r="HO391" s="330">
        <v>46252</v>
      </c>
      <c r="HP391" s="420"/>
      <c r="HQ391"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91" s="331">
        <v>46234</v>
      </c>
      <c r="HS391" s="331"/>
      <c r="HT391" s="331">
        <v>46234</v>
      </c>
      <c r="HU391" s="420"/>
      <c r="HV391" s="347"/>
      <c r="HW391"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91" s="47"/>
      <c r="HY391" s="477"/>
      <c r="HZ391" s="477"/>
      <c r="IA391" s="72"/>
      <c r="IB391" s="618">
        <f>IFERROR(ROUND((Table1[[#This Row],[PLAN TC
finish]]-Table1[[#This Row],[PLAN MC-0
start]])/30,2),"")</f>
        <v>1.63</v>
      </c>
      <c r="IC391">
        <f>DATEDIF(Table1[[#This Row],[PLAN MC-0
start]],Table1[[#This Row],[PLAN TC
finish]],"m")</f>
        <v>1</v>
      </c>
      <c r="ID391" s="6"/>
      <c r="IE391" s="6"/>
      <c r="IF391" s="72"/>
      <c r="IH391" s="6"/>
      <c r="II391" s="4"/>
      <c r="IJ391" s="4"/>
      <c r="IK391" s="6"/>
      <c r="IL391" s="6"/>
      <c r="IM391" s="6"/>
      <c r="IN391" s="6"/>
      <c r="IO391" s="6"/>
      <c r="IQ391" s="6"/>
      <c r="IR391" s="6"/>
      <c r="IS391" s="6"/>
      <c r="IT391" s="6"/>
      <c r="IW391" s="6"/>
      <c r="IX391" s="6"/>
      <c r="IZ391" s="6"/>
      <c r="JA391" s="6"/>
    </row>
    <row r="392" spans="2:261" ht="15" hidden="1" customHeight="1" x14ac:dyDescent="0.2">
      <c r="B392" s="311">
        <f>SUBTOTAL(3,$D$5:D392)</f>
        <v>84</v>
      </c>
      <c r="C392" s="316">
        <v>388</v>
      </c>
      <c r="D392" s="315" t="s">
        <v>244</v>
      </c>
      <c r="E392" s="461" t="s">
        <v>3099</v>
      </c>
      <c r="F392" s="338" t="s">
        <v>3100</v>
      </c>
      <c r="G392" s="349">
        <v>46300</v>
      </c>
      <c r="H392" s="338" t="s">
        <v>681</v>
      </c>
      <c r="I392" s="338" t="s">
        <v>278</v>
      </c>
      <c r="J392" s="518"/>
      <c r="K392" s="461"/>
      <c r="L392" s="334"/>
      <c r="M392" s="355" t="s">
        <v>269</v>
      </c>
      <c r="N392" s="507">
        <v>692</v>
      </c>
      <c r="O392" s="507" t="s">
        <v>252</v>
      </c>
      <c r="P392"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39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Flushing</v>
      </c>
      <c r="R392" s="35">
        <v>0.1465019780499352</v>
      </c>
      <c r="S392" s="327">
        <v>0.1465019780499352</v>
      </c>
      <c r="T392" s="153">
        <f>Table1[[#This Row],[Progres Total Aktual
(%)]]</f>
        <v>0.64173716829218808</v>
      </c>
      <c r="U392" s="122">
        <f>Table1[[#This Row],[Progres Aktual
(%)]]-Table1[[#This Row],[Target Progres
(%)]]</f>
        <v>0.49523519024225288</v>
      </c>
      <c r="V392" s="119">
        <f>Table1[[#This Row],["Volume
BA MC-0"]]</f>
        <v>687.8</v>
      </c>
      <c r="W392" s="119">
        <f>Table1[[#This Row],[Total Panjang Pipa Aktual
(Sum-&gt;)3]]</f>
        <v>400</v>
      </c>
      <c r="X392" s="120"/>
      <c r="Y392" s="528" t="s">
        <v>3101</v>
      </c>
      <c r="Z392" s="529" t="s">
        <v>3102</v>
      </c>
      <c r="AA392" s="519">
        <f>ROUND((Table1[[#This Row],[Nilai RAB Jaringan
(Exclude Ppn)]]-Table1[[#This Row],[RAB Perizinan]])*1.11+Table1[[#This Row],[RAB Perizinan]],0)</f>
        <v>1011338356</v>
      </c>
      <c r="AB392" s="465">
        <f>SUM(Table1[[#This Row],[RAB Kegiatan Umum]:[RAB Perizinan]])</f>
        <v>911801402</v>
      </c>
      <c r="AC392" s="465">
        <v>61200306</v>
      </c>
      <c r="AD392" s="465">
        <v>612003056</v>
      </c>
      <c r="AE392" s="465">
        <v>231678040</v>
      </c>
      <c r="AF392" s="465">
        <v>6920000</v>
      </c>
      <c r="AG392" s="465"/>
      <c r="AH392" s="520">
        <f>SUM(Table1[[#This Row],[Bobot Keg Umum]:[Bobot Perizinan]])</f>
        <v>1</v>
      </c>
      <c r="AI392" s="520">
        <f>Table1[[#This Row],[RAB Kegiatan Umum]]/Table1[[#This Row],[Nilai RAB Jaringan
(Exclude Ppn)]]</f>
        <v>6.7120214846960721E-2</v>
      </c>
      <c r="AJ392" s="520">
        <f>Table1[[#This Row],[RAB Pemasangan]]/Table1[[#This Row],[Nilai RAB Jaringan
(Exclude Ppn)]]</f>
        <v>0.67120214408268697</v>
      </c>
      <c r="AK392" s="521">
        <f>Table1[[#This Row],[RAB Pengadaan]]/Table1[[#This Row],[Nilai RAB Jaringan
(Exclude Ppn)]]</f>
        <v>0.25408826910314403</v>
      </c>
      <c r="AL392" s="522">
        <f>Table1[[#This Row],[RAB Perizinan]]/Table1[[#This Row],[Nilai RAB Jaringan
(Exclude Ppn)]]</f>
        <v>7.5893719672082719E-3</v>
      </c>
      <c r="AM392" s="47"/>
      <c r="AN392" s="470">
        <v>687.8</v>
      </c>
      <c r="AO392" s="470">
        <f>SUM(Table1[[#This Row],[Pipa 63 mm]:[Pipa 1,800 mm]])</f>
        <v>687.8</v>
      </c>
      <c r="AP392" s="470">
        <v>675.8</v>
      </c>
      <c r="AQ392" s="470">
        <v>12</v>
      </c>
      <c r="AR392" s="470"/>
      <c r="AS392" s="470"/>
      <c r="AT392" s="470"/>
      <c r="AU392" s="470"/>
      <c r="AV392" s="470"/>
      <c r="AW392" s="470"/>
      <c r="AX392" s="470"/>
      <c r="AY392" s="470"/>
      <c r="AZ392" s="470"/>
      <c r="BA392" s="470"/>
      <c r="BB392" s="470"/>
      <c r="BC392" s="470"/>
      <c r="BD392" s="470"/>
      <c r="BE392" s="470"/>
      <c r="BF392" s="470"/>
      <c r="BG392" s="470"/>
      <c r="BH392" s="470"/>
      <c r="BI392" s="470"/>
      <c r="BJ392" s="523">
        <f>SUM(Table1[[#This Row],[Pipa 63 mm2]:[Pipa 1,800 mm21]])</f>
        <v>400</v>
      </c>
      <c r="BK392" s="471">
        <v>400</v>
      </c>
      <c r="BL392" s="471"/>
      <c r="BM392" s="471"/>
      <c r="BN392" s="471"/>
      <c r="BO392" s="471"/>
      <c r="BP392" s="471"/>
      <c r="BQ392" s="471"/>
      <c r="BR392" s="471"/>
      <c r="BS392" s="471"/>
      <c r="BT392" s="471"/>
      <c r="BU392" s="471"/>
      <c r="BV392" s="471"/>
      <c r="BW392" s="471"/>
      <c r="BX392" s="471"/>
      <c r="BY392" s="471"/>
      <c r="BZ392" s="471"/>
      <c r="CA392" s="471"/>
      <c r="CB392" s="471"/>
      <c r="CC392" s="471"/>
      <c r="CD392" s="471"/>
      <c r="CE392" s="471"/>
      <c r="CF392" s="471"/>
      <c r="CG392" s="471"/>
      <c r="CH392" s="471"/>
      <c r="CI392" s="471"/>
      <c r="CJ392" s="471">
        <f>IF((Table1[[#This Row],["Volume
BA MC-0"]]-Table1[[#This Row],[Total Panjang Pipa Aktual
(Sum-&gt;)3]]-Table1[[#This Row],[Total Volume
tidak dapat dipasang]])&gt;=0,Table1[[#This Row],["Volume
BA MC-0"]]-Table1[[#This Row],[Total Panjang Pipa Aktual
(Sum-&gt;)3]]-Table1[[#This Row],[Total Volume
tidak dapat dipasang]],0)</f>
        <v>287.79999999999995</v>
      </c>
      <c r="CK392" s="47"/>
      <c r="CL392" s="472"/>
      <c r="CM392" s="475"/>
      <c r="CN392" s="472"/>
      <c r="CO392" s="472"/>
      <c r="CP39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0.64173716829218808</v>
      </c>
      <c r="CQ392" s="465">
        <f>IFERROR(Table1[[#This Row],[Progres Keg. Umum
(%)]]*Table1[[#This Row],[Nilai RAB Jaringan
(file pa aji)]],0)</f>
        <v>0</v>
      </c>
      <c r="CR392" s="465">
        <f>IFERROR(Table1[[#This Row],[Progres MOS
(%)]]*Table1[[#This Row],[Nilai RAB Jaringan
(file pa aji)]],0)</f>
        <v>0</v>
      </c>
      <c r="CS392" s="465">
        <f>IFERROR(Table1[[#This Row],[Progres Pemasangan
(%)]]*Table1[[#This Row],[Nilai RAB Jaringan
(file pa aji)]],0)</f>
        <v>0</v>
      </c>
      <c r="CT392" s="465">
        <f>IFERROR(Table1[[#This Row],[Progres Perizinan
(%)]]*Table1[[#This Row],[Nilai RAB Jaringan
(file pa aji)]],0)</f>
        <v>0</v>
      </c>
      <c r="CU392" s="329">
        <v>649013412.76471686</v>
      </c>
      <c r="CV392" s="329">
        <v>649013412.76471686</v>
      </c>
      <c r="CW392" s="524">
        <v>0</v>
      </c>
      <c r="CX392" s="329">
        <v>0</v>
      </c>
      <c r="CY392" s="47"/>
      <c r="CZ392" s="331">
        <v>46048</v>
      </c>
      <c r="DA392" s="331">
        <v>46075</v>
      </c>
      <c r="DB392" s="331">
        <v>46049</v>
      </c>
      <c r="DC392" s="530" t="s">
        <v>3103</v>
      </c>
      <c r="DD392" s="525">
        <f>1004418357+6920000</f>
        <v>1011338357</v>
      </c>
      <c r="DE39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2" s="331">
        <v>46063</v>
      </c>
      <c r="DG392" s="530" t="s">
        <v>3104</v>
      </c>
      <c r="DH392" s="525">
        <f>1004418357+6920000</f>
        <v>1011338357</v>
      </c>
      <c r="DI392"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2" s="331">
        <v>46076</v>
      </c>
      <c r="DK392" s="331">
        <v>46173</v>
      </c>
      <c r="DL392" s="331">
        <v>46066</v>
      </c>
      <c r="DM392" s="334" t="s">
        <v>3105</v>
      </c>
      <c r="DN39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2" s="331">
        <v>46087</v>
      </c>
      <c r="DP392" s="316"/>
      <c r="DQ392" s="338" t="s">
        <v>560</v>
      </c>
      <c r="DR39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2" s="331">
        <v>46076</v>
      </c>
      <c r="DT392" s="331">
        <v>46164</v>
      </c>
      <c r="DU392" s="331">
        <v>46117</v>
      </c>
      <c r="DV392" s="331">
        <v>46178</v>
      </c>
      <c r="DW392" s="331">
        <v>46066</v>
      </c>
      <c r="DX392" s="334" t="s">
        <v>3106</v>
      </c>
      <c r="DY392" s="334">
        <v>45</v>
      </c>
      <c r="DZ392" s="334">
        <v>45</v>
      </c>
      <c r="EA39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2" s="420"/>
      <c r="EC392" s="334">
        <v>36</v>
      </c>
      <c r="ED392" s="334">
        <v>36</v>
      </c>
      <c r="EE392" s="526"/>
      <c r="EF392" s="475">
        <v>0.8</v>
      </c>
      <c r="EG392" s="337">
        <f>Table1[[#This Row],[Line PO]]/Table1[[#This Row],[Line PR]]</f>
        <v>0.8</v>
      </c>
      <c r="EH392" s="316" t="str">
        <f>IF(Table1[[#This Row],[PO Material Aktual 
(%)]]&gt;=100%,"Selesai PO = 100%",IF(Table1[[#This Row],[PO Material Aktual 
(%)]]&gt;=50%,"Proses PO &gt; 100%",IF(Table1[[#This Row],[PO Material Aktual 
(%)]]&gt;0%,"Proses PO &gt; 50%",IF(Table1[[#This Row],[PO Material Aktual 
(%)]]=0,"Belum PO = 0%"))))</f>
        <v>Proses PO &gt; 100%</v>
      </c>
      <c r="EI39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2" s="331">
        <v>46118</v>
      </c>
      <c r="EK392" s="331">
        <v>46178</v>
      </c>
      <c r="EL392" s="331">
        <v>46201</v>
      </c>
      <c r="EM392" s="420">
        <v>46183</v>
      </c>
      <c r="EN392" s="420"/>
      <c r="EO392" s="332">
        <v>10</v>
      </c>
      <c r="EP392" s="332">
        <v>10</v>
      </c>
      <c r="EQ392" s="337">
        <v>0.22222222222222221</v>
      </c>
      <c r="ER392" s="337">
        <f>Table1[[#This Row],[Line MOS (kolom bantu)]]/Table1[[#This Row],[Line PR]]</f>
        <v>0.22222222222222221</v>
      </c>
      <c r="ES392" s="316" t="str">
        <f>IF(Table1[[#This Row],[Progres MOS]]&gt;=100%,"Selesai MOS = 100%",IF(Table1[[#This Row],[Progres MOS]]&gt;=50%,"Proses MOS &gt; 100%",IF(Table1[[#This Row],[Progres MOS]]&gt;0%,"Proses MOS &gt; 50%",IF(Table1[[#This Row],[Progres MOS]]=0,"Belum MOS = 0%"))))</f>
        <v>Proses MOS &gt; 50%</v>
      </c>
      <c r="ET39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2" s="47"/>
      <c r="EV392" s="331"/>
      <c r="EW392" s="331">
        <v>46156</v>
      </c>
      <c r="EX392" s="331"/>
      <c r="EY392" s="420">
        <v>46186</v>
      </c>
      <c r="EZ392" s="477" t="s">
        <v>2748</v>
      </c>
      <c r="FA392" s="409" t="s">
        <v>2748</v>
      </c>
      <c r="FB392" s="420" t="e">
        <v>#N/A</v>
      </c>
      <c r="FC392" s="330" t="e">
        <v>#N/A</v>
      </c>
      <c r="FD392" s="420" t="e">
        <v>#N/A</v>
      </c>
      <c r="FE392" s="420" t="e">
        <v>#N/A</v>
      </c>
      <c r="FF392" s="420" t="e">
        <v>#N/A</v>
      </c>
      <c r="FG392" s="420" t="e">
        <v>#N/A</v>
      </c>
      <c r="FH392" s="420" t="e">
        <v>#N/A</v>
      </c>
      <c r="FI392" s="420" t="e">
        <v>#N/A</v>
      </c>
      <c r="FJ392" s="420" t="e">
        <v>#N/A</v>
      </c>
      <c r="FK392" s="420" t="e">
        <v>#N/A</v>
      </c>
      <c r="FL392" s="352"/>
      <c r="FM392" s="477"/>
      <c r="FN392" s="461" t="str">
        <f>IF(Table1[[#This Row],[Tanggal Pengajuan Dokumen]]="","",Table1[[#This Row],[PLAN PERMIT
start]]-Table1[[#This Row],[Tanggal Pengajuan Dokumen]])</f>
        <v/>
      </c>
      <c r="FO392" s="477"/>
      <c r="FP392" s="334"/>
      <c r="FQ392" s="461"/>
      <c r="FR392" s="420"/>
      <c r="FS392" s="461"/>
      <c r="FT392"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2" s="476">
        <f ca="1">IF(Table1[[#This Row],[Status Izin]]="Selesai",Table1[[#This Row],[PLAN PERMIT
finish]]-Table1[[#This Row],[Tanggal Terbit/ Target Izin Terbit]],ROUNDUP(Table1[[#This Row],[PLAN PERMIT
finish]]-NOW(),0))</f>
        <v>-46191</v>
      </c>
      <c r="FV392"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2" s="476"/>
      <c r="FX392" s="47"/>
      <c r="FY392" s="513">
        <v>46160</v>
      </c>
      <c r="FZ392" s="513">
        <v>46122</v>
      </c>
      <c r="GA39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2" s="331">
        <v>46174</v>
      </c>
      <c r="GC392" s="477">
        <v>46113</v>
      </c>
      <c r="GD392"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2" s="331">
        <v>46181</v>
      </c>
      <c r="GF392" s="477">
        <v>46113</v>
      </c>
      <c r="GG392"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2" s="331">
        <v>46188</v>
      </c>
      <c r="GI392" s="331">
        <v>46194</v>
      </c>
      <c r="GJ392" s="477">
        <v>46127</v>
      </c>
      <c r="GK392"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2" s="331">
        <v>46202</v>
      </c>
      <c r="GM392" s="331">
        <v>46193</v>
      </c>
      <c r="GN392" s="331">
        <v>46222</v>
      </c>
      <c r="GO392" s="330">
        <v>46241</v>
      </c>
      <c r="GP392" s="334"/>
      <c r="GQ392"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2" s="420"/>
      <c r="GS392" s="420"/>
      <c r="GT392" s="419">
        <v>46171</v>
      </c>
      <c r="GU392" s="476" t="str">
        <f>IF(Table1[[#This Row],[Hydro Tes Actual
(tanggal)]]&lt;&gt;"","Sudah","Belum")</f>
        <v>Sudah</v>
      </c>
      <c r="GV392" s="527"/>
      <c r="GW392" s="527"/>
      <c r="GX392" s="420">
        <v>46164</v>
      </c>
      <c r="GY392" s="476" t="str">
        <f>IF(Table1[[#This Row],[Interkoneksi Actual
(tanggal)]]&lt;&gt;"","Sudah","Belum")</f>
        <v>Sudah</v>
      </c>
      <c r="GZ392" s="527"/>
      <c r="HA392" s="527"/>
      <c r="HB392" s="420">
        <v>46178</v>
      </c>
      <c r="HC392" s="476" t="str">
        <f>IF(Table1[[#This Row],[Flushing Actual
(tanggal)]]&lt;&gt;"","Sudah","Belum")</f>
        <v>Sudah</v>
      </c>
      <c r="HD392" s="331">
        <v>46225</v>
      </c>
      <c r="HE392" s="331">
        <v>46242</v>
      </c>
      <c r="HF392" s="331">
        <v>46230</v>
      </c>
      <c r="HG392" s="477"/>
      <c r="HH392"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2" s="527"/>
      <c r="HJ392" s="527"/>
      <c r="HK392" s="420"/>
      <c r="HL392" s="420"/>
      <c r="HM392" s="331">
        <v>46247</v>
      </c>
      <c r="HN392" s="331">
        <v>46247</v>
      </c>
      <c r="HO392" s="330">
        <v>46259</v>
      </c>
      <c r="HP392" s="420"/>
      <c r="HQ392"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92" s="331">
        <v>46255</v>
      </c>
      <c r="HS392" s="331"/>
      <c r="HT392" s="331">
        <v>46255</v>
      </c>
      <c r="HU392" s="420"/>
      <c r="HV392" s="347"/>
      <c r="HW392"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92" s="47"/>
      <c r="HY392" s="477"/>
      <c r="HZ392" s="477"/>
      <c r="IA392" s="72"/>
      <c r="IB392" s="618">
        <f>IFERROR(ROUND((Table1[[#This Row],[PLAN TC
finish]]-Table1[[#This Row],[PLAN MC-0
start]])/30,2),"")</f>
        <v>1.4</v>
      </c>
      <c r="IC392">
        <f>DATEDIF(Table1[[#This Row],[PLAN MC-0
start]],Table1[[#This Row],[PLAN TC
finish]],"m")</f>
        <v>1</v>
      </c>
      <c r="ID392" s="6"/>
      <c r="IE392" s="6"/>
      <c r="IF392" s="72"/>
      <c r="IH392" s="6"/>
      <c r="II392" s="4"/>
      <c r="IJ392" s="4"/>
      <c r="IK392" s="6"/>
      <c r="IL392" s="6"/>
      <c r="IM392" s="6"/>
      <c r="IN392" s="6"/>
      <c r="IO392" s="6"/>
      <c r="IQ392" s="6"/>
      <c r="IR392" s="6"/>
      <c r="IS392" s="6"/>
      <c r="IT392" s="6"/>
      <c r="IW392" s="6"/>
      <c r="IX392" s="6"/>
      <c r="IZ392" s="6"/>
      <c r="JA392" s="6"/>
    </row>
    <row r="393" spans="2:261" ht="15" hidden="1" customHeight="1" x14ac:dyDescent="0.2">
      <c r="B393" s="311">
        <f>SUBTOTAL(3,$D$5:D393)</f>
        <v>84</v>
      </c>
      <c r="C393" s="316">
        <v>389</v>
      </c>
      <c r="D393" s="315" t="s">
        <v>244</v>
      </c>
      <c r="E393" s="461" t="s">
        <v>3107</v>
      </c>
      <c r="F393" s="338" t="s">
        <v>3108</v>
      </c>
      <c r="G393" s="349">
        <v>46300</v>
      </c>
      <c r="H393" s="338" t="s">
        <v>681</v>
      </c>
      <c r="I393" s="338" t="s">
        <v>278</v>
      </c>
      <c r="J393" s="518"/>
      <c r="K393" s="461"/>
      <c r="L393" s="334"/>
      <c r="M393" s="355" t="s">
        <v>269</v>
      </c>
      <c r="N393" s="507">
        <v>144</v>
      </c>
      <c r="O393" s="507" t="s">
        <v>252</v>
      </c>
      <c r="P393"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39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3" s="35">
        <v>8.4092443927610616E-2</v>
      </c>
      <c r="S393" s="327">
        <v>8.4092443927610616E-2</v>
      </c>
      <c r="T393" s="153">
        <f>Table1[[#This Row],[Progres Total Aktual
(%)]]</f>
        <v>4.1778354660031783E-2</v>
      </c>
      <c r="U393" s="122">
        <f>Table1[[#This Row],[Progres Aktual
(%)]]-Table1[[#This Row],[Target Progres
(%)]]</f>
        <v>-4.2314089267578833E-2</v>
      </c>
      <c r="V393" s="119">
        <f>Table1[[#This Row],["Volume
BA MC-0"]]</f>
        <v>0</v>
      </c>
      <c r="W393" s="119">
        <f>Table1[[#This Row],[Total Panjang Pipa Aktual
(Sum-&gt;)3]]</f>
        <v>0</v>
      </c>
      <c r="X393" s="120"/>
      <c r="Y393" s="531" t="s">
        <v>3109</v>
      </c>
      <c r="Z393" s="529" t="s">
        <v>3110</v>
      </c>
      <c r="AA393" s="519">
        <f>ROUND((Table1[[#This Row],[Nilai RAB Jaringan
(Exclude Ppn)]]-Table1[[#This Row],[RAB Perizinan]])*1.11+Table1[[#This Row],[RAB Perizinan]],0)</f>
        <v>143518984</v>
      </c>
      <c r="AB393" s="465">
        <f>SUM(Table1[[#This Row],[RAB Kegiatan Umum]:[RAB Perizinan]])</f>
        <v>129439085</v>
      </c>
      <c r="AC393" s="465">
        <v>9997568</v>
      </c>
      <c r="AD393" s="465">
        <v>99975677</v>
      </c>
      <c r="AE393" s="465">
        <v>18025840</v>
      </c>
      <c r="AF393" s="465">
        <v>1440000</v>
      </c>
      <c r="AG393" s="465"/>
      <c r="AH393" s="520">
        <f>SUM(Table1[[#This Row],[Bobot Keg Umum]:[Bobot Perizinan]])</f>
        <v>1</v>
      </c>
      <c r="AI393" s="520">
        <f>Table1[[#This Row],[RAB Kegiatan Umum]]/Table1[[#This Row],[Nilai RAB Jaringan
(Exclude Ppn)]]</f>
        <v>7.7237628804313632E-2</v>
      </c>
      <c r="AJ393" s="520">
        <f>Table1[[#This Row],[RAB Pemasangan]]/Table1[[#This Row],[Nilai RAB Jaringan
(Exclude Ppn)]]</f>
        <v>0.77237626486621103</v>
      </c>
      <c r="AK393" s="521">
        <f>Table1[[#This Row],[RAB Pengadaan]]/Table1[[#This Row],[Nilai RAB Jaringan
(Exclude Ppn)]]</f>
        <v>0.13926118220010594</v>
      </c>
      <c r="AL393" s="522">
        <f>Table1[[#This Row],[RAB Perizinan]]/Table1[[#This Row],[Nilai RAB Jaringan
(Exclude Ppn)]]</f>
        <v>1.1124924129369424E-2</v>
      </c>
      <c r="AM393" s="47"/>
      <c r="AN393" s="470"/>
      <c r="AO393" s="470">
        <f>SUM(Table1[[#This Row],[Pipa 63 mm]:[Pipa 1,800 mm]])</f>
        <v>0</v>
      </c>
      <c r="AP393" s="470"/>
      <c r="AQ393" s="470"/>
      <c r="AR393" s="470"/>
      <c r="AS393" s="470"/>
      <c r="AT393" s="470"/>
      <c r="AU393" s="470"/>
      <c r="AV393" s="470"/>
      <c r="AW393" s="470"/>
      <c r="AX393" s="470"/>
      <c r="AY393" s="470"/>
      <c r="AZ393" s="470"/>
      <c r="BA393" s="470"/>
      <c r="BB393" s="470"/>
      <c r="BC393" s="470"/>
      <c r="BD393" s="470"/>
      <c r="BE393" s="470"/>
      <c r="BF393" s="470"/>
      <c r="BG393" s="470"/>
      <c r="BH393" s="470"/>
      <c r="BI393" s="470"/>
      <c r="BJ393" s="523">
        <f>SUM(Table1[[#This Row],[Pipa 63 mm2]:[Pipa 1,800 mm21]])</f>
        <v>0</v>
      </c>
      <c r="BK393" s="471"/>
      <c r="BL393" s="471"/>
      <c r="BM393" s="471"/>
      <c r="BN393" s="471"/>
      <c r="BO393" s="471"/>
      <c r="BP393" s="471"/>
      <c r="BQ393" s="471"/>
      <c r="BR393" s="471"/>
      <c r="BS393" s="471"/>
      <c r="BT393" s="471"/>
      <c r="BU393" s="471"/>
      <c r="BV393" s="471"/>
      <c r="BW393" s="471"/>
      <c r="BX393" s="471"/>
      <c r="BY393" s="471"/>
      <c r="BZ393" s="471"/>
      <c r="CA393" s="471"/>
      <c r="CB393" s="471"/>
      <c r="CC393" s="471"/>
      <c r="CD393" s="471"/>
      <c r="CE393" s="471"/>
      <c r="CF393" s="471"/>
      <c r="CG393" s="471"/>
      <c r="CH393" s="471"/>
      <c r="CI393" s="471"/>
      <c r="CJ393" s="471">
        <f>IF((Table1[[#This Row],["Volume
BA MC-0"]]-Table1[[#This Row],[Total Panjang Pipa Aktual
(Sum-&gt;)3]]-Table1[[#This Row],[Total Volume
tidak dapat dipasang]])&gt;=0,Table1[[#This Row],["Volume
BA MC-0"]]-Table1[[#This Row],[Total Panjang Pipa Aktual
(Sum-&gt;)3]]-Table1[[#This Row],[Total Volume
tidak dapat dipasang]],0)</f>
        <v>0</v>
      </c>
      <c r="CK393" s="47"/>
      <c r="CL393" s="472"/>
      <c r="CM393" s="475"/>
      <c r="CN393" s="472"/>
      <c r="CO393" s="472"/>
      <c r="CP39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4.1778354660031783E-2</v>
      </c>
      <c r="CQ393" s="465">
        <f>IFERROR(Table1[[#This Row],[Progres Keg. Umum
(%)]]*Table1[[#This Row],[Nilai RAB Jaringan
(file pa aji)]],0)</f>
        <v>0</v>
      </c>
      <c r="CR393" s="465">
        <f>IFERROR(Table1[[#This Row],[Progres MOS
(%)]]*Table1[[#This Row],[Nilai RAB Jaringan
(file pa aji)]],0)</f>
        <v>0</v>
      </c>
      <c r="CS393" s="465">
        <f>IFERROR(Table1[[#This Row],[Progres Pemasangan
(%)]]*Table1[[#This Row],[Nilai RAB Jaringan
(file pa aji)]],0)</f>
        <v>0</v>
      </c>
      <c r="CT393" s="465">
        <f>IFERROR(Table1[[#This Row],[Progres Perizinan
(%)]]*Table1[[#This Row],[Nilai RAB Jaringan
(file pa aji)]],0)</f>
        <v>0</v>
      </c>
      <c r="CU393" s="329">
        <v>0</v>
      </c>
      <c r="CV393" s="329">
        <v>0</v>
      </c>
      <c r="CW393" s="524">
        <v>0</v>
      </c>
      <c r="CX393" s="329">
        <v>0</v>
      </c>
      <c r="CY393" s="47"/>
      <c r="CZ393" s="331">
        <v>46048</v>
      </c>
      <c r="DA393" s="331">
        <v>46075</v>
      </c>
      <c r="DB393" s="331">
        <v>46049</v>
      </c>
      <c r="DC393" s="530" t="s">
        <v>3111</v>
      </c>
      <c r="DD393" s="525">
        <f>142078985+1440000</f>
        <v>143518985</v>
      </c>
      <c r="DE39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3" s="331">
        <v>46062</v>
      </c>
      <c r="DG393" s="530" t="s">
        <v>3112</v>
      </c>
      <c r="DH393" s="525">
        <f>142078985+1440000</f>
        <v>143518985</v>
      </c>
      <c r="DI393"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3" s="331">
        <v>46076</v>
      </c>
      <c r="DK393" s="331">
        <v>46173</v>
      </c>
      <c r="DL393" s="331">
        <v>46066</v>
      </c>
      <c r="DM393" s="334" t="s">
        <v>3113</v>
      </c>
      <c r="DN39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3" s="331">
        <v>46114</v>
      </c>
      <c r="DP393" s="316" t="s">
        <v>2746</v>
      </c>
      <c r="DQ393" s="338" t="s">
        <v>365</v>
      </c>
      <c r="DR39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3" s="331">
        <v>46076</v>
      </c>
      <c r="DT393" s="331">
        <v>46164</v>
      </c>
      <c r="DU393" s="331">
        <v>46117</v>
      </c>
      <c r="DV393" s="331">
        <v>46178</v>
      </c>
      <c r="DW393" s="331">
        <v>46066</v>
      </c>
      <c r="DX393" s="334" t="s">
        <v>3114</v>
      </c>
      <c r="DY393" s="334">
        <v>12</v>
      </c>
      <c r="DZ393" s="334">
        <v>12</v>
      </c>
      <c r="EA39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3" s="420">
        <v>46161.291666666664</v>
      </c>
      <c r="EC393" s="335">
        <v>12</v>
      </c>
      <c r="ED393" s="335">
        <v>12</v>
      </c>
      <c r="EE393" s="526" t="s">
        <v>3115</v>
      </c>
      <c r="EF393" s="475">
        <v>1</v>
      </c>
      <c r="EG393" s="337">
        <f>Table1[[#This Row],[Line PO]]/Table1[[#This Row],[Line PR]]</f>
        <v>1</v>
      </c>
      <c r="EH393" s="316" t="str">
        <f>IF(Table1[[#This Row],[PO Material Aktual 
(%)]]&gt;=100%,"Selesai PO = 100%",IF(Table1[[#This Row],[PO Material Aktual 
(%)]]&gt;=50%,"Proses PO &gt; 100%",IF(Table1[[#This Row],[PO Material Aktual 
(%)]]&gt;0%,"Proses PO &gt; 50%",IF(Table1[[#This Row],[PO Material Aktual 
(%)]]=0,"Belum PO = 0%"))))</f>
        <v>Selesai PO = 100%</v>
      </c>
      <c r="EI39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93" s="331">
        <v>46118</v>
      </c>
      <c r="EK393" s="331">
        <v>46178</v>
      </c>
      <c r="EL393" s="331">
        <v>46201</v>
      </c>
      <c r="EM393" s="420">
        <v>46183</v>
      </c>
      <c r="EN393" s="420"/>
      <c r="EO393" s="332">
        <v>6</v>
      </c>
      <c r="EP393" s="332">
        <v>6</v>
      </c>
      <c r="EQ393" s="337">
        <v>0.5</v>
      </c>
      <c r="ER393" s="337">
        <f>Table1[[#This Row],[Line MOS (kolom bantu)]]/Table1[[#This Row],[Line PR]]</f>
        <v>0.5</v>
      </c>
      <c r="ES393" s="316" t="str">
        <f>IF(Table1[[#This Row],[Progres MOS]]&gt;=100%,"Selesai MOS = 100%",IF(Table1[[#This Row],[Progres MOS]]&gt;=50%,"Proses MOS &gt; 100%",IF(Table1[[#This Row],[Progres MOS]]&gt;0%,"Proses MOS &gt; 50%",IF(Table1[[#This Row],[Progres MOS]]=0,"Belum MOS = 0%"))))</f>
        <v>Proses MOS &gt; 100%</v>
      </c>
      <c r="ET39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3" s="47"/>
      <c r="EV393" s="331"/>
      <c r="EW393" s="331">
        <v>46156</v>
      </c>
      <c r="EX393" s="331"/>
      <c r="EY393" s="420">
        <v>46186</v>
      </c>
      <c r="EZ393" s="477" t="s">
        <v>2748</v>
      </c>
      <c r="FA393" s="409" t="s">
        <v>2748</v>
      </c>
      <c r="FB393" s="420" t="e">
        <v>#N/A</v>
      </c>
      <c r="FC393" s="330" t="e">
        <v>#N/A</v>
      </c>
      <c r="FD393" s="420" t="e">
        <v>#N/A</v>
      </c>
      <c r="FE393" s="420" t="e">
        <v>#N/A</v>
      </c>
      <c r="FF393" s="420" t="e">
        <v>#N/A</v>
      </c>
      <c r="FG393" s="420" t="e">
        <v>#N/A</v>
      </c>
      <c r="FH393" s="420" t="e">
        <v>#N/A</v>
      </c>
      <c r="FI393" s="420" t="e">
        <v>#N/A</v>
      </c>
      <c r="FJ393" s="420" t="e">
        <v>#N/A</v>
      </c>
      <c r="FK393" s="420" t="e">
        <v>#N/A</v>
      </c>
      <c r="FL393" s="352"/>
      <c r="FM393" s="477"/>
      <c r="FN393" s="461" t="str">
        <f>IF(Table1[[#This Row],[Tanggal Pengajuan Dokumen]]="","",Table1[[#This Row],[PLAN PERMIT
start]]-Table1[[#This Row],[Tanggal Pengajuan Dokumen]])</f>
        <v/>
      </c>
      <c r="FO393" s="477"/>
      <c r="FP393" s="334"/>
      <c r="FQ393" s="461"/>
      <c r="FR393" s="420"/>
      <c r="FS393" s="461"/>
      <c r="FT393"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3" s="476">
        <f ca="1">IF(Table1[[#This Row],[Status Izin]]="Selesai",Table1[[#This Row],[PLAN PERMIT
finish]]-Table1[[#This Row],[Tanggal Terbit/ Target Izin Terbit]],ROUNDUP(Table1[[#This Row],[PLAN PERMIT
finish]]-NOW(),0))</f>
        <v>-46191</v>
      </c>
      <c r="FV393"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3" s="476"/>
      <c r="FX393" s="47"/>
      <c r="FY393" s="513">
        <v>46160</v>
      </c>
      <c r="FZ393" s="513">
        <v>46122</v>
      </c>
      <c r="GA39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3" s="331">
        <v>46174</v>
      </c>
      <c r="GC393" s="352">
        <v>46141</v>
      </c>
      <c r="GD393"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3" s="331">
        <v>46181</v>
      </c>
      <c r="GF393" s="352">
        <v>46141</v>
      </c>
      <c r="GG393"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3" s="331">
        <v>46188</v>
      </c>
      <c r="GI393" s="331">
        <v>46194</v>
      </c>
      <c r="GJ393" s="477">
        <v>46154</v>
      </c>
      <c r="GK393"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3" s="331">
        <v>46202</v>
      </c>
      <c r="GM393" s="331">
        <v>46193</v>
      </c>
      <c r="GN393" s="331">
        <v>46222</v>
      </c>
      <c r="GO393" s="330">
        <v>46241</v>
      </c>
      <c r="GP393" s="334"/>
      <c r="GQ393"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3" s="420"/>
      <c r="GS393" s="420"/>
      <c r="GT393" s="419"/>
      <c r="GU393" s="476" t="str">
        <f>IF(Table1[[#This Row],[Hydro Tes Actual
(tanggal)]]&lt;&gt;"","Sudah","Belum")</f>
        <v>Belum</v>
      </c>
      <c r="GV393" s="527"/>
      <c r="GW393" s="527"/>
      <c r="GX393" s="420"/>
      <c r="GY393" s="476" t="str">
        <f>IF(Table1[[#This Row],[Interkoneksi Actual
(tanggal)]]&lt;&gt;"","Sudah","Belum")</f>
        <v>Belum</v>
      </c>
      <c r="GZ393" s="527"/>
      <c r="HA393" s="527"/>
      <c r="HB393" s="420"/>
      <c r="HC393" s="476" t="str">
        <f>IF(Table1[[#This Row],[Flushing Actual
(tanggal)]]&lt;&gt;"","Sudah","Belum")</f>
        <v>Belum</v>
      </c>
      <c r="HD393" s="331">
        <v>46225</v>
      </c>
      <c r="HE393" s="331">
        <v>46242</v>
      </c>
      <c r="HF393" s="331">
        <v>46230</v>
      </c>
      <c r="HG393" s="477"/>
      <c r="HH393"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3" s="527"/>
      <c r="HJ393" s="527"/>
      <c r="HK393" s="420"/>
      <c r="HL393" s="420"/>
      <c r="HM393" s="331">
        <v>46247</v>
      </c>
      <c r="HN393" s="331">
        <v>46247</v>
      </c>
      <c r="HO393" s="330">
        <v>46259</v>
      </c>
      <c r="HP393" s="420"/>
      <c r="HQ393"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93" s="331">
        <v>46255</v>
      </c>
      <c r="HS393" s="331"/>
      <c r="HT393" s="331">
        <v>46255</v>
      </c>
      <c r="HU393" s="420"/>
      <c r="HV393" s="347"/>
      <c r="HW393"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93" s="47"/>
      <c r="HY393" s="477"/>
      <c r="HZ393" s="477"/>
      <c r="IA393" s="72"/>
      <c r="IB393" s="618">
        <f>IFERROR(ROUND((Table1[[#This Row],[PLAN TC
finish]]-Table1[[#This Row],[PLAN MC-0
start]])/30,2),"")</f>
        <v>1.4</v>
      </c>
      <c r="IC393">
        <f>DATEDIF(Table1[[#This Row],[PLAN MC-0
start]],Table1[[#This Row],[PLAN TC
finish]],"m")</f>
        <v>1</v>
      </c>
      <c r="ID393" s="6"/>
      <c r="IE393" s="6"/>
      <c r="IF393" s="72"/>
      <c r="IH393" s="6"/>
      <c r="II393" s="4"/>
      <c r="IJ393" s="4"/>
      <c r="IK393" s="6"/>
      <c r="IL393" s="6"/>
      <c r="IM393" s="6"/>
      <c r="IN393" s="6"/>
      <c r="IO393" s="6"/>
      <c r="IQ393" s="6"/>
      <c r="IR393" s="6"/>
      <c r="IS393" s="6"/>
      <c r="IT393" s="6"/>
      <c r="IW393" s="6"/>
      <c r="IX393" s="6"/>
      <c r="IZ393" s="6"/>
      <c r="JA393" s="6"/>
    </row>
    <row r="394" spans="2:261" ht="15" hidden="1" customHeight="1" x14ac:dyDescent="0.2">
      <c r="B394" s="311">
        <f>SUBTOTAL(3,$D$5:D394)</f>
        <v>84</v>
      </c>
      <c r="C394" s="316">
        <v>390</v>
      </c>
      <c r="D394" s="315" t="s">
        <v>244</v>
      </c>
      <c r="E394" s="461" t="s">
        <v>3116</v>
      </c>
      <c r="F394" s="338" t="s">
        <v>3117</v>
      </c>
      <c r="G394" s="349">
        <v>46300</v>
      </c>
      <c r="H394" s="338" t="s">
        <v>681</v>
      </c>
      <c r="I394" s="338" t="s">
        <v>278</v>
      </c>
      <c r="J394" s="518"/>
      <c r="K394" s="461"/>
      <c r="L394" s="334"/>
      <c r="M394" s="355" t="s">
        <v>269</v>
      </c>
      <c r="N394" s="507">
        <v>738</v>
      </c>
      <c r="O394" s="507" t="s">
        <v>252</v>
      </c>
      <c r="P394"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39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94" s="35">
        <v>3.1063812437797416E-2</v>
      </c>
      <c r="S394" s="327">
        <v>3.1063812437797416E-2</v>
      </c>
      <c r="T394" s="153">
        <f>Table1[[#This Row],[Progres Total Aktual
(%)]]</f>
        <v>3.1673950572868724E-2</v>
      </c>
      <c r="U394" s="122">
        <f>Table1[[#This Row],[Progres Aktual
(%)]]-Table1[[#This Row],[Target Progres
(%)]]</f>
        <v>6.1013813507130796E-4</v>
      </c>
      <c r="V394" s="119">
        <f>Table1[[#This Row],["Volume
BA MC-0"]]</f>
        <v>561</v>
      </c>
      <c r="W394" s="119">
        <f>Table1[[#This Row],[Total Panjang Pipa Aktual
(Sum-&gt;)3]]</f>
        <v>575</v>
      </c>
      <c r="X394" s="120"/>
      <c r="Y394" s="531" t="s">
        <v>3118</v>
      </c>
      <c r="Z394" s="529" t="s">
        <v>3119</v>
      </c>
      <c r="AA394" s="519">
        <f>ROUND((Table1[[#This Row],[Nilai RAB Jaringan
(Exclude Ppn)]]-Table1[[#This Row],[RAB Perizinan]])*1.11+Table1[[#This Row],[RAB Perizinan]],0)</f>
        <v>7892230055</v>
      </c>
      <c r="AB394" s="465">
        <f>SUM(Table1[[#This Row],[RAB Kegiatan Umum]:[RAB Perizinan]])</f>
        <v>7111661131</v>
      </c>
      <c r="AC394" s="465">
        <v>582228236</v>
      </c>
      <c r="AD394" s="465">
        <v>5822282359</v>
      </c>
      <c r="AE394" s="532">
        <v>691570536</v>
      </c>
      <c r="AF394" s="465">
        <v>15580000</v>
      </c>
      <c r="AG394" s="465"/>
      <c r="AH394" s="520">
        <f>SUM(Table1[[#This Row],[Bobot Keg Umum]:[Bobot Perizinan]])</f>
        <v>1</v>
      </c>
      <c r="AI394" s="520">
        <f>Table1[[#This Row],[RAB Kegiatan Umum]]/Table1[[#This Row],[Nilai RAB Jaringan
(Exclude Ppn)]]</f>
        <v>8.186951336334701E-2</v>
      </c>
      <c r="AJ394" s="520">
        <f>Table1[[#This Row],[RAB Pemasangan]]/Table1[[#This Row],[Nilai RAB Jaringan
(Exclude Ppn)]]</f>
        <v>0.81869513349285594</v>
      </c>
      <c r="AK394" s="521">
        <f>Table1[[#This Row],[RAB Pengadaan]]/Table1[[#This Row],[Nilai RAB Jaringan
(Exclude Ppn)]]</f>
        <v>9.7244585092140831E-2</v>
      </c>
      <c r="AL394" s="522">
        <f>Table1[[#This Row],[RAB Perizinan]]/Table1[[#This Row],[Nilai RAB Jaringan
(Exclude Ppn)]]</f>
        <v>2.1907680516562002E-3</v>
      </c>
      <c r="AM394" s="47"/>
      <c r="AN394" s="470">
        <v>561</v>
      </c>
      <c r="AO394" s="470">
        <f>SUM(Table1[[#This Row],[Pipa 63 mm]:[Pipa 1,800 mm]])</f>
        <v>22</v>
      </c>
      <c r="AP394" s="470">
        <v>22</v>
      </c>
      <c r="AQ394" s="470"/>
      <c r="AR394" s="470"/>
      <c r="AS394" s="470"/>
      <c r="AT394" s="470"/>
      <c r="AU394" s="470"/>
      <c r="AV394" s="470"/>
      <c r="AW394" s="470"/>
      <c r="AX394" s="470"/>
      <c r="AY394" s="470"/>
      <c r="AZ394" s="470"/>
      <c r="BA394" s="470"/>
      <c r="BB394" s="470"/>
      <c r="BC394" s="470"/>
      <c r="BD394" s="470"/>
      <c r="BE394" s="470"/>
      <c r="BF394" s="470"/>
      <c r="BG394" s="470"/>
      <c r="BH394" s="470"/>
      <c r="BI394" s="470"/>
      <c r="BJ394" s="523">
        <f>SUM(Table1[[#This Row],[Pipa 63 mm2]:[Pipa 1,800 mm21]])</f>
        <v>575</v>
      </c>
      <c r="BK394" s="471">
        <v>575</v>
      </c>
      <c r="BL394" s="471"/>
      <c r="BM394" s="471"/>
      <c r="BN394" s="471"/>
      <c r="BO394" s="471"/>
      <c r="BP394" s="471"/>
      <c r="BQ394" s="471"/>
      <c r="BR394" s="471"/>
      <c r="BS394" s="471"/>
      <c r="BT394" s="471"/>
      <c r="BU394" s="471"/>
      <c r="BV394" s="471"/>
      <c r="BW394" s="471"/>
      <c r="BX394" s="471"/>
      <c r="BY394" s="471"/>
      <c r="BZ394" s="471"/>
      <c r="CA394" s="471"/>
      <c r="CB394" s="471"/>
      <c r="CC394" s="471"/>
      <c r="CD394" s="471"/>
      <c r="CE394" s="471"/>
      <c r="CF394" s="471"/>
      <c r="CG394" s="471"/>
      <c r="CH394" s="471"/>
      <c r="CI394" s="471"/>
      <c r="CJ394" s="471">
        <f>IF((Table1[[#This Row],["Volume
BA MC-0"]]-Table1[[#This Row],[Total Panjang Pipa Aktual
(Sum-&gt;)3]]-Table1[[#This Row],[Total Volume
tidak dapat dipasang]])&gt;=0,Table1[[#This Row],["Volume
BA MC-0"]]-Table1[[#This Row],[Total Panjang Pipa Aktual
(Sum-&gt;)3]]-Table1[[#This Row],[Total Volume
tidak dapat dipasang]],0)</f>
        <v>0</v>
      </c>
      <c r="CK394" s="47"/>
      <c r="CL394" s="472"/>
      <c r="CM394" s="475"/>
      <c r="CN394" s="472"/>
      <c r="CO394" s="472"/>
      <c r="CP39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3.1673950572868724E-2</v>
      </c>
      <c r="CQ394" s="465">
        <f>IFERROR(Table1[[#This Row],[Progres Keg. Umum
(%)]]*Table1[[#This Row],[Nilai RAB Jaringan
(file pa aji)]],0)</f>
        <v>0</v>
      </c>
      <c r="CR394" s="465">
        <f>IFERROR(Table1[[#This Row],[Progres MOS
(%)]]*Table1[[#This Row],[Nilai RAB Jaringan
(file pa aji)]],0)</f>
        <v>0</v>
      </c>
      <c r="CS394" s="465">
        <f>IFERROR(Table1[[#This Row],[Progres Pemasangan
(%)]]*Table1[[#This Row],[Nilai RAB Jaringan
(file pa aji)]],0)</f>
        <v>0</v>
      </c>
      <c r="CT394" s="465">
        <f>IFERROR(Table1[[#This Row],[Progres Perizinan
(%)]]*Table1[[#This Row],[Nilai RAB Jaringan
(file pa aji)]],0)</f>
        <v>0</v>
      </c>
      <c r="CU394" s="329">
        <v>0</v>
      </c>
      <c r="CV394" s="329">
        <v>0</v>
      </c>
      <c r="CW394" s="524">
        <v>0</v>
      </c>
      <c r="CX394" s="329">
        <v>0</v>
      </c>
      <c r="CY394" s="47"/>
      <c r="CZ394" s="331">
        <v>46048</v>
      </c>
      <c r="DA394" s="331">
        <v>46075</v>
      </c>
      <c r="DB394" s="331">
        <v>45996</v>
      </c>
      <c r="DC394" s="530" t="s">
        <v>3120</v>
      </c>
      <c r="DD394" s="525">
        <f>7380000+3774427025</f>
        <v>3781807025</v>
      </c>
      <c r="DE39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4" s="331">
        <v>46010</v>
      </c>
      <c r="DG394" s="530" t="s">
        <v>3121</v>
      </c>
      <c r="DH394" s="525">
        <f>7380000+3774427025</f>
        <v>3781807025</v>
      </c>
      <c r="DI394"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4" s="331">
        <v>46076</v>
      </c>
      <c r="DK394" s="331">
        <v>46173</v>
      </c>
      <c r="DL394" s="331">
        <v>46062</v>
      </c>
      <c r="DM394" s="334" t="s">
        <v>3122</v>
      </c>
      <c r="DN39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4" s="331">
        <v>46086.291666666664</v>
      </c>
      <c r="DP394" s="334"/>
      <c r="DQ394" s="338" t="s">
        <v>312</v>
      </c>
      <c r="DR39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4" s="331">
        <v>46076</v>
      </c>
      <c r="DT394" s="331">
        <v>46164</v>
      </c>
      <c r="DU394" s="331">
        <v>46117</v>
      </c>
      <c r="DV394" s="331">
        <v>46178</v>
      </c>
      <c r="DW394" s="331">
        <v>46062</v>
      </c>
      <c r="DX394" s="334" t="s">
        <v>3123</v>
      </c>
      <c r="DY394" s="334">
        <v>35</v>
      </c>
      <c r="DZ394" s="334">
        <v>35</v>
      </c>
      <c r="EA39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4" s="420"/>
      <c r="EC394" s="335">
        <v>32</v>
      </c>
      <c r="ED394" s="335">
        <v>32</v>
      </c>
      <c r="EE394" s="526"/>
      <c r="EF394" s="475">
        <v>0.91428571428571426</v>
      </c>
      <c r="EG394" s="337">
        <f>Table1[[#This Row],[Line PO]]/Table1[[#This Row],[Line PR]]</f>
        <v>0.91428571428571426</v>
      </c>
      <c r="EH394" s="316" t="str">
        <f>IF(Table1[[#This Row],[PO Material Aktual 
(%)]]&gt;=100%,"Selesai PO = 100%",IF(Table1[[#This Row],[PO Material Aktual 
(%)]]&gt;=50%,"Proses PO &gt; 100%",IF(Table1[[#This Row],[PO Material Aktual 
(%)]]&gt;0%,"Proses PO &gt; 50%",IF(Table1[[#This Row],[PO Material Aktual 
(%)]]=0,"Belum PO = 0%"))))</f>
        <v>Proses PO &gt; 100%</v>
      </c>
      <c r="EI39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4" s="331">
        <v>46118</v>
      </c>
      <c r="EK394" s="331">
        <v>46178</v>
      </c>
      <c r="EL394" s="331">
        <v>46236</v>
      </c>
      <c r="EM394" s="420">
        <v>46190</v>
      </c>
      <c r="EN394" s="420"/>
      <c r="EO394" s="332">
        <v>19</v>
      </c>
      <c r="EP394" s="332">
        <v>19</v>
      </c>
      <c r="EQ394" s="337">
        <v>0.54285714285714282</v>
      </c>
      <c r="ER394" s="337">
        <f>Table1[[#This Row],[Line MOS (kolom bantu)]]/Table1[[#This Row],[Line PR]]</f>
        <v>0.54285714285714282</v>
      </c>
      <c r="ES394" s="316" t="str">
        <f>IF(Table1[[#This Row],[Progres MOS]]&gt;=100%,"Selesai MOS = 100%",IF(Table1[[#This Row],[Progres MOS]]&gt;=50%,"Proses MOS &gt; 100%",IF(Table1[[#This Row],[Progres MOS]]&gt;0%,"Proses MOS &gt; 50%",IF(Table1[[#This Row],[Progres MOS]]=0,"Belum MOS = 0%"))))</f>
        <v>Proses MOS &gt; 100%</v>
      </c>
      <c r="ET39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4" s="47"/>
      <c r="EV394" s="331"/>
      <c r="EW394" s="331">
        <v>46156</v>
      </c>
      <c r="EX394" s="331"/>
      <c r="EY394" s="420">
        <v>46186</v>
      </c>
      <c r="EZ394" s="477" t="s">
        <v>2758</v>
      </c>
      <c r="FA394" s="409" t="s">
        <v>2758</v>
      </c>
      <c r="FB394" s="420" t="e">
        <v>#N/A</v>
      </c>
      <c r="FC394" s="330" t="e">
        <v>#N/A</v>
      </c>
      <c r="FD394" s="420" t="e">
        <v>#N/A</v>
      </c>
      <c r="FE394" s="420" t="e">
        <v>#N/A</v>
      </c>
      <c r="FF394" s="420" t="e">
        <v>#N/A</v>
      </c>
      <c r="FG394" s="420" t="e">
        <v>#N/A</v>
      </c>
      <c r="FH394" s="420" t="e">
        <v>#N/A</v>
      </c>
      <c r="FI394" s="420" t="e">
        <v>#N/A</v>
      </c>
      <c r="FJ394" s="420" t="e">
        <v>#N/A</v>
      </c>
      <c r="FK394" s="420" t="e">
        <v>#N/A</v>
      </c>
      <c r="FL394" s="352"/>
      <c r="FM394" s="477"/>
      <c r="FN394" s="461" t="str">
        <f>IF(Table1[[#This Row],[Tanggal Pengajuan Dokumen]]="","",Table1[[#This Row],[PLAN PERMIT
start]]-Table1[[#This Row],[Tanggal Pengajuan Dokumen]])</f>
        <v/>
      </c>
      <c r="FO394" s="477"/>
      <c r="FP394" s="334"/>
      <c r="FQ394" s="461"/>
      <c r="FR394" s="420"/>
      <c r="FS394" s="461"/>
      <c r="FT394"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4" s="476">
        <f ca="1">IF(Table1[[#This Row],[Status Izin]]="Selesai",Table1[[#This Row],[PLAN PERMIT
finish]]-Table1[[#This Row],[Tanggal Terbit/ Target Izin Terbit]],ROUNDUP(Table1[[#This Row],[PLAN PERMIT
finish]]-NOW(),0))</f>
        <v>-46191</v>
      </c>
      <c r="FV394"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4" s="476"/>
      <c r="FX394" s="47"/>
      <c r="FY394" s="513">
        <v>46160</v>
      </c>
      <c r="FZ394" s="513">
        <v>46122</v>
      </c>
      <c r="GA39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4" s="331">
        <v>46174</v>
      </c>
      <c r="GC394" s="477">
        <v>46112</v>
      </c>
      <c r="GD394"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4" s="331">
        <v>46181</v>
      </c>
      <c r="GF394" s="477">
        <v>46064</v>
      </c>
      <c r="GG394"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4" s="331">
        <v>46188</v>
      </c>
      <c r="GI394" s="331">
        <v>46194</v>
      </c>
      <c r="GJ394" s="477">
        <v>46066</v>
      </c>
      <c r="GK394"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4" s="331">
        <v>46202</v>
      </c>
      <c r="GM394" s="331">
        <v>46193</v>
      </c>
      <c r="GN394" s="331">
        <v>46222</v>
      </c>
      <c r="GO394" s="330">
        <v>46269</v>
      </c>
      <c r="GP394" s="334"/>
      <c r="GQ394"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4" s="420"/>
      <c r="GS394" s="420"/>
      <c r="GT394" s="419"/>
      <c r="GU394" s="476" t="str">
        <f>IF(Table1[[#This Row],[Hydro Tes Actual
(tanggal)]]&lt;&gt;"","Sudah","Belum")</f>
        <v>Belum</v>
      </c>
      <c r="GV394" s="527"/>
      <c r="GW394" s="527"/>
      <c r="GX394" s="420"/>
      <c r="GY394" s="476" t="str">
        <f>IF(Table1[[#This Row],[Interkoneksi Actual
(tanggal)]]&lt;&gt;"","Sudah","Belum")</f>
        <v>Belum</v>
      </c>
      <c r="GZ394" s="527"/>
      <c r="HA394" s="527"/>
      <c r="HB394" s="420"/>
      <c r="HC394" s="476" t="str">
        <f>IF(Table1[[#This Row],[Flushing Actual
(tanggal)]]&lt;&gt;"","Sudah","Belum")</f>
        <v>Belum</v>
      </c>
      <c r="HD394" s="331">
        <v>46225</v>
      </c>
      <c r="HE394" s="331">
        <v>46270</v>
      </c>
      <c r="HF394" s="331">
        <v>46230</v>
      </c>
      <c r="HG394" s="477"/>
      <c r="HH394"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4" s="527"/>
      <c r="HJ394" s="527"/>
      <c r="HK394" s="420"/>
      <c r="HL394" s="420"/>
      <c r="HM394" s="331">
        <v>46247</v>
      </c>
      <c r="HN394" s="331">
        <v>46247</v>
      </c>
      <c r="HO394" s="330">
        <v>46287</v>
      </c>
      <c r="HP394" s="420"/>
      <c r="HQ394"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94" s="331">
        <v>46255</v>
      </c>
      <c r="HS394" s="331"/>
      <c r="HT394" s="331">
        <v>46255</v>
      </c>
      <c r="HU394" s="420"/>
      <c r="HV394" s="347"/>
      <c r="HW394"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94" s="47"/>
      <c r="HY394" s="477"/>
      <c r="HZ394" s="477"/>
      <c r="IA394" s="72"/>
      <c r="IB394" s="618">
        <f>IFERROR(ROUND((Table1[[#This Row],[PLAN TC
finish]]-Table1[[#This Row],[PLAN MC-0
start]])/30,2),"")</f>
        <v>1.4</v>
      </c>
      <c r="IC394">
        <f>DATEDIF(Table1[[#This Row],[PLAN MC-0
start]],Table1[[#This Row],[PLAN TC
finish]],"m")</f>
        <v>1</v>
      </c>
      <c r="ID394" s="6"/>
      <c r="IE394" s="6"/>
      <c r="IF394" s="72"/>
      <c r="IH394" s="6"/>
      <c r="II394" s="4"/>
      <c r="IJ394" s="4"/>
      <c r="IK394" s="6"/>
      <c r="IL394" s="6"/>
      <c r="IM394" s="6"/>
      <c r="IN394" s="6"/>
      <c r="IO394" s="6"/>
      <c r="IQ394" s="6"/>
      <c r="IR394" s="6"/>
      <c r="IS394" s="6"/>
      <c r="IT394" s="6"/>
      <c r="IW394" s="6"/>
      <c r="IX394" s="6"/>
      <c r="IZ394" s="6"/>
      <c r="JA394" s="6"/>
    </row>
    <row r="395" spans="2:261" ht="15" hidden="1" customHeight="1" x14ac:dyDescent="0.2">
      <c r="B395" s="311">
        <f>SUBTOTAL(3,$D$5:D395)</f>
        <v>84</v>
      </c>
      <c r="C395" s="316">
        <v>391</v>
      </c>
      <c r="D395" s="315" t="s">
        <v>673</v>
      </c>
      <c r="E395" s="338" t="s">
        <v>3124</v>
      </c>
      <c r="F395" s="338" t="s">
        <v>3125</v>
      </c>
      <c r="G395" s="349">
        <v>46300</v>
      </c>
      <c r="H395" s="338" t="s">
        <v>247</v>
      </c>
      <c r="I395" s="338" t="s">
        <v>248</v>
      </c>
      <c r="J395" s="480"/>
      <c r="K395" s="338"/>
      <c r="L395" s="316"/>
      <c r="M395" s="355" t="s">
        <v>251</v>
      </c>
      <c r="N395" s="507">
        <v>2073</v>
      </c>
      <c r="O395" s="507" t="s">
        <v>252</v>
      </c>
      <c r="P39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5" s="35">
        <v>0.46886593825489786</v>
      </c>
      <c r="S395" s="327">
        <v>0.46886593825489786</v>
      </c>
      <c r="T395" s="152">
        <f>Table1[[#This Row],[Progres Total Aktual
(%)]]</f>
        <v>0.12862186531129272</v>
      </c>
      <c r="U395" s="121">
        <f>Table1[[#This Row],[Progres Aktual
(%)]]-Table1[[#This Row],[Target Progres
(%)]]</f>
        <v>-0.34024407294360515</v>
      </c>
      <c r="V395" s="80">
        <v>2085</v>
      </c>
      <c r="W395" s="80">
        <f>Table1[[#This Row],[Total Panjang Pipa Aktual
(Sum-&gt;)3]]</f>
        <v>0</v>
      </c>
      <c r="X395" s="117"/>
      <c r="Y395" s="508" t="s">
        <v>3126</v>
      </c>
      <c r="Z395" s="533">
        <v>7715694400</v>
      </c>
      <c r="AA395" s="509">
        <f>ROUNDUP((Table1[[#This Row],[Nilai RAB Jaringan
(Exclude Ppn)]]-Table1[[#This Row],[RAB Perizinan]])*1.11+Table1[[#This Row],[RAB Perizinan]],0)</f>
        <v>7715694400</v>
      </c>
      <c r="AB395" s="483">
        <f>SUM(Table1[[#This Row],[RAB Kegiatan Umum]:[RAB Perizinan]])</f>
        <v>6953341401</v>
      </c>
      <c r="AC395" s="436">
        <v>345477337</v>
      </c>
      <c r="AD395" s="436">
        <v>3454773370</v>
      </c>
      <c r="AE395" s="436">
        <v>3130231094</v>
      </c>
      <c r="AF395" s="436">
        <v>22859600</v>
      </c>
      <c r="AG395" s="534"/>
      <c r="AH395" s="510">
        <f>SUM(Table1[[#This Row],[Bobot Keg Umum]:[Bobot Perizinan]])</f>
        <v>1</v>
      </c>
      <c r="AI395" s="510">
        <f>Table1[[#This Row],[RAB Kegiatan Umum]]/Table1[[#This Row],[Nilai RAB Jaringan
(Exclude Ppn)]]</f>
        <v>4.9685081901819882E-2</v>
      </c>
      <c r="AJ395" s="510">
        <f>Table1[[#This Row],[RAB Pemasangan]]/Table1[[#This Row],[Nilai RAB Jaringan
(Exclude Ppn)]]</f>
        <v>0.49685081901819883</v>
      </c>
      <c r="AK395" s="129">
        <f>Table1[[#This Row],[RAB Pengadaan]]/Table1[[#This Row],[Nilai RAB Jaringan
(Exclude Ppn)]]</f>
        <v>0.45017652858952439</v>
      </c>
      <c r="AL395" s="130">
        <f>Table1[[#This Row],[RAB Perizinan]]/Table1[[#This Row],[Nilai RAB Jaringan
(Exclude Ppn)]]</f>
        <v>3.2875704904569234E-3</v>
      </c>
      <c r="AM395" s="47"/>
      <c r="AN395" s="285"/>
      <c r="AO395" s="285">
        <f>SUM(Table1[[#This Row],[Pipa 63 mm]:[Pipa 1,800 mm]])</f>
        <v>2085</v>
      </c>
      <c r="AP395" s="285"/>
      <c r="AQ395" s="285"/>
      <c r="AR395" s="285"/>
      <c r="AS395" s="285"/>
      <c r="AT395" s="285"/>
      <c r="AU395" s="285"/>
      <c r="AV395" s="285">
        <v>2085</v>
      </c>
      <c r="AW395" s="285"/>
      <c r="AX395" s="285"/>
      <c r="AY395" s="285"/>
      <c r="AZ395" s="285"/>
      <c r="BA395" s="285"/>
      <c r="BB395" s="285"/>
      <c r="BC395" s="285"/>
      <c r="BD395" s="285"/>
      <c r="BE395" s="285"/>
      <c r="BF395" s="285"/>
      <c r="BG395" s="285"/>
      <c r="BH395" s="285"/>
      <c r="BI395" s="285"/>
      <c r="BJ395" s="36">
        <f>SUM(Table1[[#This Row],[Pipa 63 mm2]:[Pipa 1,800 mm21]])</f>
        <v>0</v>
      </c>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f>IF((Table1[[#This Row],["Volume
BA MC-0"]]-Table1[[#This Row],[Total Panjang Pipa Aktual
(Sum-&gt;)3]]-Table1[[#This Row],[Total Volume
tidak dapat dipasang]])&gt;=0,Table1[[#This Row],["Volume
BA MC-0"]]-Table1[[#This Row],[Total Panjang Pipa Aktual
(Sum-&gt;)3]]-Table1[[#This Row],[Total Volume
tidak dapat dipasang]],0)</f>
        <v>0</v>
      </c>
      <c r="CK395" s="47"/>
      <c r="CL395" s="131"/>
      <c r="CM395" s="337"/>
      <c r="CN395" s="131"/>
      <c r="CO395" s="131"/>
      <c r="CP395"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0.12862186531129272</v>
      </c>
      <c r="CQ395" s="436">
        <f>IFERROR(Table1[[#This Row],[Progres Keg. Umum
(%)]]*Table1[[#This Row],[Nilai RAB Jaringan
(file pa aji)]],0)</f>
        <v>0</v>
      </c>
      <c r="CR395" s="436">
        <f>IFERROR(Table1[[#This Row],[Progres MOS
(%)]]*Table1[[#This Row],[Nilai RAB Jaringan
(file pa aji)]],0)</f>
        <v>0</v>
      </c>
      <c r="CS395" s="436">
        <f>IFERROR(Table1[[#This Row],[Progres Pemasangan
(%)]]*Table1[[#This Row],[Nilai RAB Jaringan
(file pa aji)]],0)</f>
        <v>0</v>
      </c>
      <c r="CT395" s="436">
        <f>IFERROR(Table1[[#This Row],[Progres Perizinan
(%)]]*Table1[[#This Row],[Nilai RAB Jaringan
(file pa aji)]],0)</f>
        <v>0</v>
      </c>
      <c r="CU395" s="329">
        <v>0</v>
      </c>
      <c r="CV395" s="329">
        <v>0</v>
      </c>
      <c r="CW395" s="511">
        <v>0</v>
      </c>
      <c r="CX395" s="329">
        <v>0</v>
      </c>
      <c r="CY395" s="47"/>
      <c r="CZ395" s="331">
        <v>45929</v>
      </c>
      <c r="DA395" s="331">
        <v>45963</v>
      </c>
      <c r="DB395" s="331">
        <v>45974</v>
      </c>
      <c r="DC395" s="535" t="s">
        <v>3127</v>
      </c>
      <c r="DD395" s="508">
        <f>7692834798+22859600</f>
        <v>7715694398</v>
      </c>
      <c r="DE39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95" s="331">
        <v>46000</v>
      </c>
      <c r="DG395" s="535" t="s">
        <v>3128</v>
      </c>
      <c r="DH395" s="508">
        <f>7692834798+22859600</f>
        <v>7715694398</v>
      </c>
      <c r="DI39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5" s="331">
        <v>45964</v>
      </c>
      <c r="DK395" s="331">
        <v>46082</v>
      </c>
      <c r="DL395" s="331">
        <v>46055</v>
      </c>
      <c r="DM395" s="316" t="s">
        <v>3129</v>
      </c>
      <c r="DN39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5" s="331">
        <v>46091</v>
      </c>
      <c r="DP395" s="316" t="s">
        <v>3130</v>
      </c>
      <c r="DQ395" s="338" t="s">
        <v>1542</v>
      </c>
      <c r="DR39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95" s="331">
        <v>45964</v>
      </c>
      <c r="DT395" s="331">
        <v>46157</v>
      </c>
      <c r="DU395" s="331">
        <v>46012</v>
      </c>
      <c r="DV395" s="331">
        <v>46171</v>
      </c>
      <c r="DW395" s="331">
        <v>46034</v>
      </c>
      <c r="DX395" t="s">
        <v>3131</v>
      </c>
      <c r="DY395" s="512">
        <v>56</v>
      </c>
      <c r="DZ395" s="512">
        <v>56</v>
      </c>
      <c r="EA39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5" s="331"/>
      <c r="EC395" s="334">
        <v>54</v>
      </c>
      <c r="ED395" s="334">
        <v>54</v>
      </c>
      <c r="EE395"/>
      <c r="EF395" s="337">
        <v>0.9642857142857143</v>
      </c>
      <c r="EG395" s="337">
        <f>Table1[[#This Row],[Line PO]]/Table1[[#This Row],[Line PR]]</f>
        <v>0.9642857142857143</v>
      </c>
      <c r="EH395" s="316" t="str">
        <f>IF(Table1[[#This Row],[PO Material Aktual 
(%)]]&gt;=100%,"Selesai PO = 100%",IF(Table1[[#This Row],[PO Material Aktual 
(%)]]&gt;=50%,"Proses PO &gt; 100%",IF(Table1[[#This Row],[PO Material Aktual 
(%)]]&gt;0%,"Proses PO &gt; 50%",IF(Table1[[#This Row],[PO Material Aktual 
(%)]]=0,"Belum PO = 0%"))))</f>
        <v>Proses PO &gt; 100%</v>
      </c>
      <c r="EI39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5" s="331">
        <v>46013</v>
      </c>
      <c r="EK395" s="331">
        <v>46171</v>
      </c>
      <c r="EL395" s="331">
        <v>46201</v>
      </c>
      <c r="EM395" s="331">
        <v>46203</v>
      </c>
      <c r="EN395" s="331"/>
      <c r="EO395" s="512">
        <v>20</v>
      </c>
      <c r="EP395" s="512">
        <v>20</v>
      </c>
      <c r="EQ395" s="337">
        <v>0.35714285714285715</v>
      </c>
      <c r="ER395" s="337">
        <f>Table1[[#This Row],[Line MOS]]/Table1[[#This Row],[Line PR]]</f>
        <v>0.35714285714285715</v>
      </c>
      <c r="ES395" s="316" t="str">
        <f>IF(Table1[[#This Row],[Progres MOS]]&gt;=100%,"Selesai MOS = 100%",IF(Table1[[#This Row],[Progres MOS]]&gt;=50%,"Proses MOS &gt; 100%",IF(Table1[[#This Row],[Progres MOS]]&gt;0%,"Proses MOS &gt; 50%",IF(Table1[[#This Row],[Progres MOS]]=0,"Belum MOS = 0%"))))</f>
        <v>Proses MOS &gt; 50%</v>
      </c>
      <c r="ET39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5" s="47"/>
      <c r="EV395" s="331">
        <v>45964</v>
      </c>
      <c r="EW395" s="331">
        <v>46150</v>
      </c>
      <c r="EX395" s="331">
        <v>46110</v>
      </c>
      <c r="EY395" s="331">
        <v>46180</v>
      </c>
      <c r="EZ395" s="352" t="s">
        <v>1592</v>
      </c>
      <c r="FA395" s="409" t="s">
        <v>1592</v>
      </c>
      <c r="FB395" s="331"/>
      <c r="FC395" s="330">
        <v>45989</v>
      </c>
      <c r="FD395" s="331" t="s">
        <v>260</v>
      </c>
      <c r="FE395" s="331">
        <v>46079</v>
      </c>
      <c r="FF395" s="331"/>
      <c r="FG395" s="331"/>
      <c r="FH395" s="331"/>
      <c r="FI395" s="331"/>
      <c r="FJ395" s="331"/>
      <c r="FK395" s="331"/>
      <c r="FL395" s="352" t="s">
        <v>2806</v>
      </c>
      <c r="FM395" s="352"/>
      <c r="FN395" s="338" t="str">
        <f>IF(Table1[[#This Row],[Tanggal Pengajuan Dokumen]]="","",Table1[[#This Row],[PLAN PERMIT
start]]-Table1[[#This Row],[Tanggal Pengajuan Dokumen]])</f>
        <v/>
      </c>
      <c r="FO395" s="352"/>
      <c r="FP395" s="316"/>
      <c r="FQ395" s="338"/>
      <c r="FR395" s="331"/>
      <c r="FS395" s="338"/>
      <c r="FT39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5" s="344">
        <f ca="1">IF(Table1[[#This Row],[Status Izin]]="Selesai",Table1[[#This Row],[PLAN PERMIT
finish]]-Table1[[#This Row],[Tanggal Terbit/ Target Izin Terbit]],ROUNDUP(Table1[[#This Row],[PLAN PERMIT
finish]]-NOW(),0))</f>
        <v>-81</v>
      </c>
      <c r="FV39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5" s="344"/>
      <c r="FX395" s="47"/>
      <c r="FY395" s="513">
        <v>46069</v>
      </c>
      <c r="FZ395" s="513">
        <v>46066</v>
      </c>
      <c r="GA39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5" s="331">
        <v>46083</v>
      </c>
      <c r="GC395" s="352">
        <v>46083</v>
      </c>
      <c r="GD39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5" s="331">
        <v>46090</v>
      </c>
      <c r="GF395" s="352">
        <v>46087</v>
      </c>
      <c r="GG39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5" s="331">
        <v>46097</v>
      </c>
      <c r="GI395" s="331">
        <v>46103</v>
      </c>
      <c r="GJ395" s="352">
        <v>46093</v>
      </c>
      <c r="GK39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5" s="331">
        <v>46111</v>
      </c>
      <c r="GM395" s="331">
        <v>46206</v>
      </c>
      <c r="GN395" s="331">
        <v>46222</v>
      </c>
      <c r="GO395" s="330">
        <v>46262</v>
      </c>
      <c r="GP395" s="316"/>
      <c r="GQ39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5" s="331"/>
      <c r="GS395" s="331"/>
      <c r="GT395" s="354"/>
      <c r="GU395" s="344" t="str">
        <f>IF(Table1[[#This Row],[Hydro Tes Actual
(tanggal)]]&lt;&gt;"","Sudah","Belum")</f>
        <v>Belum</v>
      </c>
      <c r="GV395" s="330"/>
      <c r="GW395" s="330"/>
      <c r="GX395" s="331"/>
      <c r="GY395" s="344" t="str">
        <f>IF(Table1[[#This Row],[Interkoneksi Actual
(tanggal)]]&lt;&gt;"","Sudah","Belum")</f>
        <v>Belum</v>
      </c>
      <c r="GZ395" s="330"/>
      <c r="HA395" s="330"/>
      <c r="HB395" s="331"/>
      <c r="HC395" s="344" t="str">
        <f>IF(Table1[[#This Row],[Flushing Actual
(tanggal)]]&lt;&gt;"","Sudah","Belum")</f>
        <v>Belum</v>
      </c>
      <c r="HD395" s="331">
        <v>46225</v>
      </c>
      <c r="HE395" s="331">
        <v>46263</v>
      </c>
      <c r="HF395" s="331">
        <v>46230</v>
      </c>
      <c r="HG395" s="352"/>
      <c r="HH39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5" s="330"/>
      <c r="HJ395" s="330"/>
      <c r="HK395" s="331"/>
      <c r="HL395" s="331"/>
      <c r="HM395" s="331">
        <v>46247</v>
      </c>
      <c r="HN395" s="331">
        <v>46247</v>
      </c>
      <c r="HO395" s="330">
        <v>46280</v>
      </c>
      <c r="HP395" s="331"/>
      <c r="HQ39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95" s="331">
        <v>46255</v>
      </c>
      <c r="HS395" s="331"/>
      <c r="HT395" s="331">
        <v>46255</v>
      </c>
      <c r="HU395" s="420"/>
      <c r="HV395" s="395"/>
      <c r="HW39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95" s="47"/>
      <c r="HY395" s="352"/>
      <c r="HZ395" s="352"/>
      <c r="IA395" s="72"/>
      <c r="IB395" s="618">
        <f>IFERROR(ROUND((Table1[[#This Row],[PLAN TC
finish]]-Table1[[#This Row],[PLAN MC-0
start]])/30,2),"")</f>
        <v>4.43</v>
      </c>
      <c r="IC395">
        <f>DATEDIF(Table1[[#This Row],[PLAN MC-0
start]],Table1[[#This Row],[PLAN TC
finish]],"m")</f>
        <v>4</v>
      </c>
      <c r="ID395" s="6"/>
      <c r="IE395" s="6"/>
      <c r="IF395" s="72"/>
      <c r="IH395" s="6"/>
      <c r="II395" s="4"/>
      <c r="IJ395" s="4"/>
      <c r="IK395" s="6"/>
      <c r="IL395" s="6"/>
      <c r="IM395" s="6"/>
      <c r="IN395" s="6"/>
      <c r="IO395" s="6"/>
      <c r="IQ395" s="6"/>
      <c r="IR395" s="6"/>
      <c r="IS395" s="6"/>
      <c r="IT395" s="6"/>
      <c r="IW395" s="6"/>
      <c r="IX395" s="6"/>
      <c r="IZ395" s="6"/>
      <c r="JA395" s="6"/>
    </row>
    <row r="396" spans="2:261" hidden="1" x14ac:dyDescent="0.2">
      <c r="B396" s="311">
        <f>SUBTOTAL(3,$D$5:D396)</f>
        <v>84</v>
      </c>
      <c r="C396" s="316">
        <v>392</v>
      </c>
      <c r="D396" s="315" t="s">
        <v>673</v>
      </c>
      <c r="E396" s="338" t="s">
        <v>3132</v>
      </c>
      <c r="F396" s="338" t="s">
        <v>3133</v>
      </c>
      <c r="G396" s="349">
        <v>46300</v>
      </c>
      <c r="H396" s="338" t="s">
        <v>247</v>
      </c>
      <c r="I396" s="338" t="s">
        <v>248</v>
      </c>
      <c r="J396" s="480"/>
      <c r="K396" s="338"/>
      <c r="L396" s="316"/>
      <c r="M396" s="355" t="s">
        <v>251</v>
      </c>
      <c r="N396" s="507">
        <v>2605</v>
      </c>
      <c r="O396" s="507" t="s">
        <v>252</v>
      </c>
      <c r="P39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6" s="35">
        <v>0.5265408298373444</v>
      </c>
      <c r="S396" s="327">
        <v>0.5265408298373444</v>
      </c>
      <c r="T396" s="152">
        <f>Table1[[#This Row],[Progres Total Aktual
(%)]]</f>
        <v>0.16487993116643279</v>
      </c>
      <c r="U396" s="121">
        <f>Table1[[#This Row],[Progres Aktual
(%)]]-Table1[[#This Row],[Target Progres
(%)]]</f>
        <v>-0.36166089867091161</v>
      </c>
      <c r="V396" s="80">
        <v>2605</v>
      </c>
      <c r="W396" s="80">
        <f>Table1[[#This Row],[Total Panjang Pipa Aktual
(Sum-&gt;)3]]</f>
        <v>0</v>
      </c>
      <c r="X396" s="117"/>
      <c r="Y396" s="508" t="s">
        <v>3134</v>
      </c>
      <c r="Z396" s="529">
        <v>14840782090</v>
      </c>
      <c r="AA396" s="509">
        <f>ROUND((Table1[[#This Row],[Nilai RAB Jaringan
(Exclude Ppn)]]-Table1[[#This Row],[RAB Perizinan]])*1.11+Table1[[#This Row],[RAB Perizinan]],0)</f>
        <v>14840782090</v>
      </c>
      <c r="AB396" s="483">
        <f>SUM(Table1[[#This Row],[RAB Kegiatan Umum]:[RAB Perizinan]])</f>
        <v>13375553580</v>
      </c>
      <c r="AC396" s="436">
        <v>274239223</v>
      </c>
      <c r="AD396" s="436">
        <v>5484784459</v>
      </c>
      <c r="AE396" s="436">
        <v>7561235498</v>
      </c>
      <c r="AF396" s="436">
        <v>55294400</v>
      </c>
      <c r="AG396" s="534"/>
      <c r="AH396" s="510">
        <f>SUM(Table1[[#This Row],[Bobot Keg Umum]:[Bobot Perizinan]])</f>
        <v>1</v>
      </c>
      <c r="AI396" s="510">
        <f>Table1[[#This Row],[RAB Kegiatan Umum]]/Table1[[#This Row],[Nilai RAB Jaringan
(Exclude Ppn)]]</f>
        <v>2.0503018537495178E-2</v>
      </c>
      <c r="AJ396" s="510">
        <f>Table1[[#This Row],[RAB Pemasangan]]/Table1[[#This Row],[Nilai RAB Jaringan
(Exclude Ppn)]]</f>
        <v>0.41006037067514028</v>
      </c>
      <c r="AK396" s="129">
        <f>Table1[[#This Row],[RAB Pengadaan]]/Table1[[#This Row],[Nilai RAB Jaringan
(Exclude Ppn)]]</f>
        <v>0.56530262114205521</v>
      </c>
      <c r="AL396" s="130">
        <f>Table1[[#This Row],[RAB Perizinan]]/Table1[[#This Row],[Nilai RAB Jaringan
(Exclude Ppn)]]</f>
        <v>4.1339896453093192E-3</v>
      </c>
      <c r="AM396" s="47"/>
      <c r="AN396" s="285"/>
      <c r="AO396" s="285">
        <f>SUM(Table1[[#This Row],[Pipa 63 mm]:[Pipa 1,800 mm]])</f>
        <v>2605</v>
      </c>
      <c r="AP396" s="285"/>
      <c r="AQ396" s="285"/>
      <c r="AR396" s="285"/>
      <c r="AS396" s="285"/>
      <c r="AT396" s="285"/>
      <c r="AU396" s="285"/>
      <c r="AV396" s="285"/>
      <c r="AW396" s="285"/>
      <c r="AX396" s="285">
        <v>2605</v>
      </c>
      <c r="AY396" s="285"/>
      <c r="AZ396" s="285"/>
      <c r="BA396" s="285"/>
      <c r="BB396" s="285"/>
      <c r="BC396" s="285"/>
      <c r="BD396" s="285"/>
      <c r="BE396" s="285"/>
      <c r="BF396" s="285"/>
      <c r="BG396" s="285"/>
      <c r="BH396" s="285"/>
      <c r="BI396" s="285"/>
      <c r="BJ396" s="36">
        <f>SUM(Table1[[#This Row],[Pipa 63 mm2]:[Pipa 1,800 mm21]])</f>
        <v>0</v>
      </c>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f>IF((Table1[[#This Row],["Volume
BA MC-0"]]-Table1[[#This Row],[Total Panjang Pipa Aktual
(Sum-&gt;)3]]-Table1[[#This Row],[Total Volume
tidak dapat dipasang]])&gt;=0,Table1[[#This Row],["Volume
BA MC-0"]]-Table1[[#This Row],[Total Panjang Pipa Aktual
(Sum-&gt;)3]]-Table1[[#This Row],[Total Volume
tidak dapat dipasang]],0)</f>
        <v>0</v>
      </c>
      <c r="CK396" s="47"/>
      <c r="CL396" s="131"/>
      <c r="CM396" s="337"/>
      <c r="CN396" s="131"/>
      <c r="CO396" s="131"/>
      <c r="CP396"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0.16487993116643279</v>
      </c>
      <c r="CQ396" s="436">
        <f>IFERROR(Table1[[#This Row],[Progres Keg. Umum
(%)]]*Table1[[#This Row],[Nilai RAB Jaringan
(file pa aji)]],0)</f>
        <v>0</v>
      </c>
      <c r="CR396" s="436">
        <f>IFERROR(Table1[[#This Row],[Progres MOS
(%)]]*Table1[[#This Row],[Nilai RAB Jaringan
(file pa aji)]],0)</f>
        <v>0</v>
      </c>
      <c r="CS396" s="436">
        <f>IFERROR(Table1[[#This Row],[Progres Pemasangan
(%)]]*Table1[[#This Row],[Nilai RAB Jaringan
(file pa aji)]],0)</f>
        <v>0</v>
      </c>
      <c r="CT396" s="436">
        <f>IFERROR(Table1[[#This Row],[Progres Perizinan
(%)]]*Table1[[#This Row],[Nilai RAB Jaringan
(file pa aji)]],0)</f>
        <v>0</v>
      </c>
      <c r="CU396" s="329">
        <v>0</v>
      </c>
      <c r="CV396" s="329">
        <v>0</v>
      </c>
      <c r="CW396" s="511">
        <v>0</v>
      </c>
      <c r="CX396" s="329">
        <v>0</v>
      </c>
      <c r="CY396" s="47"/>
      <c r="CZ396" s="331">
        <v>45929</v>
      </c>
      <c r="DA396" s="331">
        <v>45963</v>
      </c>
      <c r="DB396" s="331">
        <v>45954</v>
      </c>
      <c r="DC396" s="535" t="s">
        <v>3135</v>
      </c>
      <c r="DD396" s="508">
        <f>14785487689+55294400</f>
        <v>14840782089</v>
      </c>
      <c r="DE39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6" s="331">
        <v>46000</v>
      </c>
      <c r="DG396" s="535" t="s">
        <v>3136</v>
      </c>
      <c r="DH396" s="508">
        <f>14785487689+55294400</f>
        <v>14840782089</v>
      </c>
      <c r="DI39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6" s="331">
        <v>45964</v>
      </c>
      <c r="DK396" s="331">
        <v>46082</v>
      </c>
      <c r="DL396" s="331">
        <v>46055</v>
      </c>
      <c r="DM396" s="316" t="s">
        <v>3137</v>
      </c>
      <c r="DN39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6" s="331">
        <v>46084</v>
      </c>
      <c r="DP396" s="316"/>
      <c r="DQ396" s="338" t="s">
        <v>2922</v>
      </c>
      <c r="DR39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96" s="331">
        <v>45964</v>
      </c>
      <c r="DT396" s="331">
        <v>46157</v>
      </c>
      <c r="DU396" s="331">
        <v>46012</v>
      </c>
      <c r="DV396" s="331">
        <v>46171</v>
      </c>
      <c r="DW396" s="331">
        <v>45805</v>
      </c>
      <c r="DX396" s="426" t="s">
        <v>3138</v>
      </c>
      <c r="DY396" s="512">
        <v>96</v>
      </c>
      <c r="DZ396" s="512">
        <v>96</v>
      </c>
      <c r="EA39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6" s="331"/>
      <c r="EC396" s="334">
        <v>88</v>
      </c>
      <c r="ED396" s="334">
        <v>88</v>
      </c>
      <c r="EE396" s="118"/>
      <c r="EF396" s="337">
        <v>0.90625</v>
      </c>
      <c r="EG396" s="337">
        <f>Table1[[#This Row],[Line PO]]/Table1[[#This Row],[Line PR]]</f>
        <v>0.91666666666666663</v>
      </c>
      <c r="EH396" s="316" t="str">
        <f>IF(Table1[[#This Row],[PO Material Aktual 
(%)]]&gt;=100%,"Selesai PO = 100%",IF(Table1[[#This Row],[PO Material Aktual 
(%)]]&gt;=50%,"Proses PO &gt; 100%",IF(Table1[[#This Row],[PO Material Aktual 
(%)]]&gt;0%,"Proses PO &gt; 50%",IF(Table1[[#This Row],[PO Material Aktual 
(%)]]=0,"Belum PO = 0%"))))</f>
        <v>Proses PO &gt; 100%</v>
      </c>
      <c r="EI39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6" s="331">
        <v>46013</v>
      </c>
      <c r="EK396" s="331">
        <v>46171</v>
      </c>
      <c r="EL396" s="331">
        <v>46201</v>
      </c>
      <c r="EM396" s="331">
        <v>46203</v>
      </c>
      <c r="EN396" s="331"/>
      <c r="EO396" s="512">
        <v>35</v>
      </c>
      <c r="EP396" s="512">
        <v>35</v>
      </c>
      <c r="EQ396" s="337">
        <v>0.36458333333333331</v>
      </c>
      <c r="ER396" s="337">
        <f>Table1[[#This Row],[Line MOS]]/Table1[[#This Row],[Line PR]]</f>
        <v>0.36458333333333331</v>
      </c>
      <c r="ES396" s="316" t="str">
        <f>IF(Table1[[#This Row],[Progres MOS]]&gt;=100%,"Selesai MOS = 100%",IF(Table1[[#This Row],[Progres MOS]]&gt;=50%,"Proses MOS &gt; 100%",IF(Table1[[#This Row],[Progres MOS]]&gt;0%,"Proses MOS &gt; 50%",IF(Table1[[#This Row],[Progres MOS]]=0,"Belum MOS = 0%"))))</f>
        <v>Proses MOS &gt; 50%</v>
      </c>
      <c r="ET39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6" s="47"/>
      <c r="EV396" s="331">
        <v>45964</v>
      </c>
      <c r="EW396" s="331">
        <v>46150</v>
      </c>
      <c r="EX396" s="331">
        <v>46110</v>
      </c>
      <c r="EY396" s="331">
        <v>46180</v>
      </c>
      <c r="EZ396" s="352" t="s">
        <v>1592</v>
      </c>
      <c r="FA396" s="409" t="s">
        <v>1592</v>
      </c>
      <c r="FB396" s="331"/>
      <c r="FC396" s="330">
        <v>45989</v>
      </c>
      <c r="FD396" s="331" t="s">
        <v>260</v>
      </c>
      <c r="FE396" s="331">
        <v>46073</v>
      </c>
      <c r="FF396" s="331"/>
      <c r="FG396" s="331"/>
      <c r="FH396" s="331"/>
      <c r="FI396" s="331"/>
      <c r="FJ396" s="331"/>
      <c r="FK396" s="331"/>
      <c r="FL396" s="352" t="s">
        <v>2806</v>
      </c>
      <c r="FM396" s="352"/>
      <c r="FN396" s="338" t="str">
        <f>IF(Table1[[#This Row],[Tanggal Pengajuan Dokumen]]="","",Table1[[#This Row],[PLAN PERMIT
start]]-Table1[[#This Row],[Tanggal Pengajuan Dokumen]])</f>
        <v/>
      </c>
      <c r="FO396" s="352"/>
      <c r="FP396" s="316"/>
      <c r="FQ396" s="338"/>
      <c r="FR396" s="331"/>
      <c r="FS396" s="338"/>
      <c r="FT39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6" s="344">
        <f ca="1">IF(Table1[[#This Row],[Status Izin]]="Selesai",Table1[[#This Row],[PLAN PERMIT
finish]]-Table1[[#This Row],[Tanggal Terbit/ Target Izin Terbit]],ROUNDUP(Table1[[#This Row],[PLAN PERMIT
finish]]-NOW(),0))</f>
        <v>-81</v>
      </c>
      <c r="FV39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6" s="344"/>
      <c r="FX396" s="47"/>
      <c r="FY396" s="513">
        <v>46069</v>
      </c>
      <c r="FZ396" s="513">
        <v>46066</v>
      </c>
      <c r="GA39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6" s="331">
        <v>46083</v>
      </c>
      <c r="GC396" s="352">
        <v>46083</v>
      </c>
      <c r="GD39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6" s="331">
        <v>46090</v>
      </c>
      <c r="GF396" s="352">
        <v>46087</v>
      </c>
      <c r="GG39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6" s="331">
        <v>46097</v>
      </c>
      <c r="GI396" s="331">
        <v>46103</v>
      </c>
      <c r="GJ396" s="352">
        <v>46093</v>
      </c>
      <c r="GK39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6" s="331">
        <v>46111</v>
      </c>
      <c r="GM396" s="331">
        <v>46206</v>
      </c>
      <c r="GN396" s="331">
        <v>46222</v>
      </c>
      <c r="GO396" s="330">
        <v>46262</v>
      </c>
      <c r="GP396" s="316"/>
      <c r="GQ39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6" s="331"/>
      <c r="GS396" s="331"/>
      <c r="GT396" s="354"/>
      <c r="GU396" s="344" t="str">
        <f>IF(Table1[[#This Row],[Hydro Tes Actual
(tanggal)]]&lt;&gt;"","Sudah","Belum")</f>
        <v>Belum</v>
      </c>
      <c r="GV396" s="330"/>
      <c r="GW396" s="330"/>
      <c r="GX396" s="331"/>
      <c r="GY396" s="344" t="str">
        <f>IF(Table1[[#This Row],[Interkoneksi Actual
(tanggal)]]&lt;&gt;"","Sudah","Belum")</f>
        <v>Belum</v>
      </c>
      <c r="GZ396" s="330"/>
      <c r="HA396" s="330"/>
      <c r="HB396" s="331"/>
      <c r="HC396" s="344" t="str">
        <f>IF(Table1[[#This Row],[Flushing Actual
(tanggal)]]&lt;&gt;"","Sudah","Belum")</f>
        <v>Belum</v>
      </c>
      <c r="HD396" s="331">
        <v>46225</v>
      </c>
      <c r="HE396" s="331">
        <v>46263</v>
      </c>
      <c r="HF396" s="331">
        <v>46230</v>
      </c>
      <c r="HG396" s="352"/>
      <c r="HH39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6" s="330"/>
      <c r="HJ396" s="330"/>
      <c r="HK396" s="331"/>
      <c r="HL396" s="331"/>
      <c r="HM396" s="331">
        <v>46247</v>
      </c>
      <c r="HN396" s="331">
        <v>46247</v>
      </c>
      <c r="HO396" s="330">
        <v>46280</v>
      </c>
      <c r="HP396" s="331"/>
      <c r="HQ39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96" s="331">
        <v>46255</v>
      </c>
      <c r="HS396" s="331"/>
      <c r="HT396" s="331">
        <v>46255</v>
      </c>
      <c r="HU396" s="420"/>
      <c r="HV396" s="395"/>
      <c r="HW39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96" s="47"/>
      <c r="HY396" s="352"/>
      <c r="HZ396" s="352"/>
      <c r="IA396" s="72"/>
      <c r="IB396" s="618">
        <f>IFERROR(ROUND((Table1[[#This Row],[PLAN TC
finish]]-Table1[[#This Row],[PLAN MC-0
start]])/30,2),"")</f>
        <v>4.43</v>
      </c>
      <c r="IC396">
        <f>DATEDIF(Table1[[#This Row],[PLAN MC-0
start]],Table1[[#This Row],[PLAN TC
finish]],"m")</f>
        <v>4</v>
      </c>
      <c r="ID396" s="6"/>
      <c r="IE396" s="6"/>
      <c r="IF396" s="72"/>
      <c r="IH396" s="6"/>
      <c r="II396" s="4"/>
      <c r="IJ396" s="4"/>
      <c r="IK396" s="6"/>
      <c r="IL396" s="6"/>
      <c r="IM396" s="6"/>
      <c r="IN396" s="6"/>
      <c r="IO396" s="6"/>
      <c r="IQ396" s="6"/>
      <c r="IR396" s="6"/>
      <c r="IS396" s="6"/>
      <c r="IT396" s="6"/>
      <c r="IW396" s="6"/>
      <c r="IX396" s="6"/>
      <c r="IZ396" s="6"/>
      <c r="JA396" s="6"/>
    </row>
    <row r="397" spans="2:261" hidden="1" x14ac:dyDescent="0.2">
      <c r="B397" s="311">
        <f>SUBTOTAL(3,$D$5:D397)</f>
        <v>84</v>
      </c>
      <c r="C397" s="316">
        <v>393</v>
      </c>
      <c r="D397" s="315" t="s">
        <v>673</v>
      </c>
      <c r="E397" s="338" t="s">
        <v>3139</v>
      </c>
      <c r="F397" s="338" t="s">
        <v>3140</v>
      </c>
      <c r="G397" s="349">
        <v>46300</v>
      </c>
      <c r="H397" s="338" t="s">
        <v>247</v>
      </c>
      <c r="I397" s="338" t="s">
        <v>278</v>
      </c>
      <c r="J397" s="480"/>
      <c r="K397" s="338"/>
      <c r="L397" s="316"/>
      <c r="M397" s="355" t="s">
        <v>251</v>
      </c>
      <c r="N397" s="507">
        <v>9025</v>
      </c>
      <c r="O397" s="507" t="s">
        <v>252</v>
      </c>
      <c r="P39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7" s="35">
        <v>0.33362000456964735</v>
      </c>
      <c r="S397" s="327">
        <v>0.33362000456964735</v>
      </c>
      <c r="T397" s="152">
        <f>Table1[[#This Row],[Progres Total Aktual
(%)]]</f>
        <v>5.3361333072521541E-2</v>
      </c>
      <c r="U397" s="121">
        <f>Table1[[#This Row],[Progres Aktual
(%)]]-Table1[[#This Row],[Target Progres
(%)]]</f>
        <v>-0.2802586714971258</v>
      </c>
      <c r="V397" s="80">
        <v>9769</v>
      </c>
      <c r="W397" s="80">
        <f>Table1[[#This Row],[Total Panjang Pipa Aktual
(Sum-&gt;)3]]</f>
        <v>0</v>
      </c>
      <c r="X397" s="117"/>
      <c r="Y397" s="508" t="s">
        <v>3141</v>
      </c>
      <c r="Z397" s="533">
        <v>12651074528</v>
      </c>
      <c r="AA397" s="509">
        <f>ROUND((Table1[[#This Row],[Nilai RAB Jaringan
(Exclude Ppn)]]-Table1[[#This Row],[RAB Perizinan]])*1.11+Table1[[#This Row],[RAB Perizinan]],0)</f>
        <v>12651074528</v>
      </c>
      <c r="AB397" s="483">
        <f>SUM(Table1[[#This Row],[RAB Kegiatan Umum]:[RAB Perizinan]])</f>
        <v>11406308133</v>
      </c>
      <c r="AC397" s="436">
        <v>855288224</v>
      </c>
      <c r="AD397" s="436">
        <v>8552882235</v>
      </c>
      <c r="AE397" s="436">
        <v>1907887674</v>
      </c>
      <c r="AF397" s="436">
        <v>90250000</v>
      </c>
      <c r="AG397" s="534"/>
      <c r="AH397" s="510">
        <f>SUM(Table1[[#This Row],[Bobot Keg Umum]:[Bobot Perizinan]])</f>
        <v>1</v>
      </c>
      <c r="AI397" s="510">
        <f>Table1[[#This Row],[RAB Kegiatan Umum]]/Table1[[#This Row],[Nilai RAB Jaringan
(Exclude Ppn)]]</f>
        <v>7.4983790901241298E-2</v>
      </c>
      <c r="AJ397" s="510">
        <f>Table1[[#This Row],[RAB Pemasangan]]/Table1[[#This Row],[Nilai RAB Jaringan
(Exclude Ppn)]]</f>
        <v>0.74983790857405908</v>
      </c>
      <c r="AK397" s="129">
        <f>Table1[[#This Row],[RAB Pengadaan]]/Table1[[#This Row],[Nilai RAB Jaringan
(Exclude Ppn)]]</f>
        <v>0.16726601208328062</v>
      </c>
      <c r="AL397" s="130">
        <f>Table1[[#This Row],[RAB Perizinan]]/Table1[[#This Row],[Nilai RAB Jaringan
(Exclude Ppn)]]</f>
        <v>7.9122884414190488E-3</v>
      </c>
      <c r="AM397" s="47"/>
      <c r="AN397" s="285"/>
      <c r="AO397" s="285">
        <f>SUM(Table1[[#This Row],[Pipa 63 mm]:[Pipa 1,800 mm]])</f>
        <v>9769</v>
      </c>
      <c r="AP397" s="285">
        <v>6633</v>
      </c>
      <c r="AQ397" s="285">
        <v>2124</v>
      </c>
      <c r="AR397" s="285">
        <v>496</v>
      </c>
      <c r="AS397" s="285">
        <v>510</v>
      </c>
      <c r="AT397" s="285">
        <v>6</v>
      </c>
      <c r="AU397" s="285"/>
      <c r="AV397" s="285"/>
      <c r="AW397" s="285"/>
      <c r="AX397" s="285"/>
      <c r="AY397" s="285"/>
      <c r="AZ397" s="285"/>
      <c r="BA397" s="285"/>
      <c r="BB397" s="285"/>
      <c r="BC397" s="285"/>
      <c r="BD397" s="285"/>
      <c r="BE397" s="285"/>
      <c r="BF397" s="285"/>
      <c r="BG397" s="285"/>
      <c r="BH397" s="285"/>
      <c r="BI397" s="285"/>
      <c r="BJ397" s="36">
        <f>SUM(Table1[[#This Row],[Pipa 63 mm2]:[Pipa 1,800 mm21]])</f>
        <v>0</v>
      </c>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f>IF((Table1[[#This Row],["Volume
BA MC-0"]]-Table1[[#This Row],[Total Panjang Pipa Aktual
(Sum-&gt;)3]]-Table1[[#This Row],[Total Volume
tidak dapat dipasang]])&gt;=0,Table1[[#This Row],["Volume
BA MC-0"]]-Table1[[#This Row],[Total Panjang Pipa Aktual
(Sum-&gt;)3]]-Table1[[#This Row],[Total Volume
tidak dapat dipasang]],0)</f>
        <v>0</v>
      </c>
      <c r="CK397" s="47"/>
      <c r="CL397" s="131"/>
      <c r="CM397" s="337"/>
      <c r="CN397" s="131"/>
      <c r="CO397" s="131"/>
      <c r="CP397"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5.3361333072521541E-2</v>
      </c>
      <c r="CQ397" s="436">
        <f>IFERROR(Table1[[#This Row],[Progres Keg. Umum
(%)]]*Table1[[#This Row],[Nilai RAB Jaringan
(file pa aji)]],0)</f>
        <v>0</v>
      </c>
      <c r="CR397" s="436">
        <f>IFERROR(Table1[[#This Row],[Progres MOS
(%)]]*Table1[[#This Row],[Nilai RAB Jaringan
(file pa aji)]],0)</f>
        <v>0</v>
      </c>
      <c r="CS397" s="436">
        <f>IFERROR(Table1[[#This Row],[Progres Pemasangan
(%)]]*Table1[[#This Row],[Nilai RAB Jaringan
(file pa aji)]],0)</f>
        <v>0</v>
      </c>
      <c r="CT397" s="436">
        <f>IFERROR(Table1[[#This Row],[Progres Perizinan
(%)]]*Table1[[#This Row],[Nilai RAB Jaringan
(file pa aji)]],0)</f>
        <v>0</v>
      </c>
      <c r="CU397" s="329">
        <v>675078201.61390126</v>
      </c>
      <c r="CV397" s="329">
        <v>675078201.61390126</v>
      </c>
      <c r="CW397" s="511">
        <v>0</v>
      </c>
      <c r="CX397" s="329">
        <v>0</v>
      </c>
      <c r="CY397" s="47"/>
      <c r="CZ397" s="331">
        <v>45929</v>
      </c>
      <c r="DA397" s="331">
        <v>45963</v>
      </c>
      <c r="DB397" s="331">
        <v>45950</v>
      </c>
      <c r="DC397" s="535" t="s">
        <v>3142</v>
      </c>
      <c r="DD397" s="536">
        <f>12560824527+90250000</f>
        <v>12651074527</v>
      </c>
      <c r="DE39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7" s="331">
        <v>45972</v>
      </c>
      <c r="DG397" s="535" t="s">
        <v>3143</v>
      </c>
      <c r="DH397" s="525">
        <v>12651074527</v>
      </c>
      <c r="DI39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7" s="331">
        <v>45964</v>
      </c>
      <c r="DK397" s="331">
        <v>46082</v>
      </c>
      <c r="DL397" s="331">
        <v>46056</v>
      </c>
      <c r="DM397" s="316" t="s">
        <v>3144</v>
      </c>
      <c r="DN39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7" s="331">
        <v>46062</v>
      </c>
      <c r="DP397" s="316" t="s">
        <v>3145</v>
      </c>
      <c r="DQ397" s="338" t="s">
        <v>1542</v>
      </c>
      <c r="DR39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7" s="331">
        <v>45964</v>
      </c>
      <c r="DT397" s="331">
        <v>46164</v>
      </c>
      <c r="DU397" s="331">
        <v>46012</v>
      </c>
      <c r="DV397" s="331">
        <v>46178</v>
      </c>
      <c r="DW397" s="331">
        <v>46056</v>
      </c>
      <c r="DX397" t="s">
        <v>3146</v>
      </c>
      <c r="DY397" s="512">
        <v>135</v>
      </c>
      <c r="DZ397" s="512">
        <v>135</v>
      </c>
      <c r="EA39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7" s="331"/>
      <c r="EC397" s="512">
        <v>133</v>
      </c>
      <c r="ED397" s="512">
        <v>133</v>
      </c>
      <c r="EE397" s="118"/>
      <c r="EF397" s="337">
        <v>0.98518518518518516</v>
      </c>
      <c r="EG397" s="337">
        <f>Table1[[#This Row],[Line PO]]/Table1[[#This Row],[Line PR]]</f>
        <v>0.98518518518518516</v>
      </c>
      <c r="EH397" s="316" t="str">
        <f>IF(Table1[[#This Row],[PO Material Aktual 
(%)]]&gt;=100%,"Selesai PO = 100%",IF(Table1[[#This Row],[PO Material Aktual 
(%)]]&gt;=50%,"Proses PO &gt; 100%",IF(Table1[[#This Row],[PO Material Aktual 
(%)]]&gt;0%,"Proses PO &gt; 50%",IF(Table1[[#This Row],[PO Material Aktual 
(%)]]=0,"Belum PO = 0%"))))</f>
        <v>Proses PO &gt; 100%</v>
      </c>
      <c r="EI39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7" s="331">
        <v>46013</v>
      </c>
      <c r="EK397" s="331">
        <v>46178</v>
      </c>
      <c r="EL397" s="331">
        <v>46201</v>
      </c>
      <c r="EM397" s="331">
        <v>46203</v>
      </c>
      <c r="EN397" s="331"/>
      <c r="EO397" s="512">
        <v>56</v>
      </c>
      <c r="EP397" s="512">
        <v>56</v>
      </c>
      <c r="EQ397" s="337">
        <v>0.4148148148148148</v>
      </c>
      <c r="ER397" s="337">
        <f>Table1[[#This Row],[Line MOS]]/Table1[[#This Row],[Line PR]]</f>
        <v>0.4148148148148148</v>
      </c>
      <c r="ES397" s="316" t="str">
        <f>IF(Table1[[#This Row],[Progres MOS]]&gt;=100%,"Selesai MOS = 100%",IF(Table1[[#This Row],[Progres MOS]]&gt;=50%,"Proses MOS &gt; 100%",IF(Table1[[#This Row],[Progres MOS]]&gt;0%,"Proses MOS &gt; 50%",IF(Table1[[#This Row],[Progres MOS]]=0,"Belum MOS = 0%"))))</f>
        <v>Proses MOS &gt; 50%</v>
      </c>
      <c r="ET39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7" s="47"/>
      <c r="EV397" s="331">
        <v>45964</v>
      </c>
      <c r="EW397" s="331">
        <v>46153</v>
      </c>
      <c r="EX397" s="331">
        <v>46110</v>
      </c>
      <c r="EY397" s="331">
        <v>46183</v>
      </c>
      <c r="EZ397" s="352" t="s">
        <v>2748</v>
      </c>
      <c r="FA397" s="409" t="s">
        <v>2748</v>
      </c>
      <c r="FB397" s="331"/>
      <c r="FC397" s="330">
        <v>45992</v>
      </c>
      <c r="FD397" s="331" t="s">
        <v>260</v>
      </c>
      <c r="FE397" s="331"/>
      <c r="FF397" s="331"/>
      <c r="FG397" s="331"/>
      <c r="FH397" s="331"/>
      <c r="FI397" s="331"/>
      <c r="FJ397" s="331"/>
      <c r="FK397" s="331"/>
      <c r="FL397" s="352" t="s">
        <v>2806</v>
      </c>
      <c r="FM397" s="352"/>
      <c r="FN397" s="338" t="str">
        <f>IF(Table1[[#This Row],[Tanggal Pengajuan Dokumen]]="","",Table1[[#This Row],[PLAN PERMIT
start]]-Table1[[#This Row],[Tanggal Pengajuan Dokumen]])</f>
        <v/>
      </c>
      <c r="FO397" s="352"/>
      <c r="FP397" s="316"/>
      <c r="FQ397" s="338"/>
      <c r="FR397" s="331"/>
      <c r="FS397" s="338"/>
      <c r="FT39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7" s="344">
        <f ca="1">IF(Table1[[#This Row],[Status Izin]]="Selesai",Table1[[#This Row],[PLAN PERMIT
finish]]-Table1[[#This Row],[Tanggal Terbit/ Target Izin Terbit]],ROUNDUP(Table1[[#This Row],[PLAN PERMIT
finish]]-NOW(),0))</f>
        <v>-81</v>
      </c>
      <c r="FV39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7" s="344"/>
      <c r="FX397" s="47"/>
      <c r="FY397" s="513">
        <v>46069</v>
      </c>
      <c r="FZ397" s="513">
        <v>46066</v>
      </c>
      <c r="GA39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7" s="331">
        <v>46083</v>
      </c>
      <c r="GC397" s="352">
        <v>46071</v>
      </c>
      <c r="GD39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7" s="331">
        <v>46090</v>
      </c>
      <c r="GF397" s="352">
        <v>46073</v>
      </c>
      <c r="GG39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7" s="331">
        <v>46097</v>
      </c>
      <c r="GI397" s="331">
        <v>46103</v>
      </c>
      <c r="GJ397" s="352">
        <v>46077</v>
      </c>
      <c r="GK39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7" s="331">
        <v>46111</v>
      </c>
      <c r="GM397" s="331">
        <v>46206</v>
      </c>
      <c r="GN397" s="331">
        <v>46222</v>
      </c>
      <c r="GO397" s="330">
        <v>46275</v>
      </c>
      <c r="GP397" s="316"/>
      <c r="GQ39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7" s="331"/>
      <c r="GS397" s="331"/>
      <c r="GT397" s="354"/>
      <c r="GU397" s="344" t="str">
        <f>IF(Table1[[#This Row],[Hydro Tes Actual
(tanggal)]]&lt;&gt;"","Sudah","Belum")</f>
        <v>Belum</v>
      </c>
      <c r="GV397" s="330"/>
      <c r="GW397" s="330"/>
      <c r="GX397" s="331"/>
      <c r="GY397" s="344" t="str">
        <f>IF(Table1[[#This Row],[Interkoneksi Actual
(tanggal)]]&lt;&gt;"","Sudah","Belum")</f>
        <v>Belum</v>
      </c>
      <c r="GZ397" s="330"/>
      <c r="HA397" s="330"/>
      <c r="HB397" s="331"/>
      <c r="HC397" s="344" t="str">
        <f>IF(Table1[[#This Row],[Flushing Actual
(tanggal)]]&lt;&gt;"","Sudah","Belum")</f>
        <v>Belum</v>
      </c>
      <c r="HD397" s="331">
        <v>46225</v>
      </c>
      <c r="HE397" s="331">
        <v>46276</v>
      </c>
      <c r="HF397" s="331">
        <v>46230</v>
      </c>
      <c r="HG397" s="352"/>
      <c r="HH39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7" s="330"/>
      <c r="HJ397" s="330"/>
      <c r="HK397" s="331"/>
      <c r="HL397" s="331"/>
      <c r="HM397" s="331">
        <v>46247</v>
      </c>
      <c r="HN397" s="331">
        <v>46247</v>
      </c>
      <c r="HO397" s="330">
        <v>46293</v>
      </c>
      <c r="HP397" s="331"/>
      <c r="HQ39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97" s="331">
        <v>46255</v>
      </c>
      <c r="HS397" s="331"/>
      <c r="HT397" s="331">
        <v>46255</v>
      </c>
      <c r="HU397" s="420"/>
      <c r="HV397" s="395"/>
      <c r="HW397"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97" s="47"/>
      <c r="HY397" s="352"/>
      <c r="HZ397" s="352"/>
      <c r="IA397" s="72"/>
      <c r="IB397" s="618">
        <f>IFERROR(ROUND((Table1[[#This Row],[PLAN TC
finish]]-Table1[[#This Row],[PLAN MC-0
start]])/30,2),"")</f>
        <v>4.43</v>
      </c>
      <c r="IC397">
        <f>DATEDIF(Table1[[#This Row],[PLAN MC-0
start]],Table1[[#This Row],[PLAN TC
finish]],"m")</f>
        <v>4</v>
      </c>
      <c r="ID397" s="6"/>
      <c r="IE397" s="6"/>
      <c r="IF397" s="72"/>
      <c r="IH397" s="6"/>
      <c r="II397" s="4"/>
      <c r="IJ397" s="4"/>
      <c r="IK397" s="6"/>
      <c r="IL397" s="6"/>
      <c r="IM397" s="6"/>
      <c r="IN397" s="6"/>
      <c r="IO397" s="6"/>
      <c r="IQ397" s="6"/>
      <c r="IR397" s="6"/>
      <c r="IS397" s="6"/>
      <c r="IT397" s="6"/>
      <c r="IW397" s="6"/>
      <c r="IX397" s="6"/>
      <c r="IZ397" s="6"/>
      <c r="JA397" s="6"/>
    </row>
    <row r="398" spans="2:261" hidden="1" x14ac:dyDescent="0.2">
      <c r="B398" s="311">
        <f>SUBTOTAL(3,$D$5:D398)</f>
        <v>84</v>
      </c>
      <c r="C398" s="316">
        <v>394</v>
      </c>
      <c r="D398" s="315" t="s">
        <v>673</v>
      </c>
      <c r="E398" s="338" t="s">
        <v>3147</v>
      </c>
      <c r="F398" s="338" t="s">
        <v>3148</v>
      </c>
      <c r="G398" s="349">
        <v>46300</v>
      </c>
      <c r="H398" s="338" t="s">
        <v>247</v>
      </c>
      <c r="I398" s="338" t="s">
        <v>278</v>
      </c>
      <c r="J398" s="480"/>
      <c r="K398" s="338"/>
      <c r="L398" s="316"/>
      <c r="M398" s="355" t="s">
        <v>251</v>
      </c>
      <c r="N398" s="507">
        <v>7481</v>
      </c>
      <c r="O398" s="507" t="s">
        <v>252</v>
      </c>
      <c r="P39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8" s="35">
        <v>0.34157022815993948</v>
      </c>
      <c r="S398" s="327">
        <v>0.34157022815993948</v>
      </c>
      <c r="T398" s="152">
        <f>Table1[[#This Row],[Progres Total Aktual
(%)]]</f>
        <v>5.7464528373133802E-2</v>
      </c>
      <c r="U398" s="121">
        <f>Table1[[#This Row],[Progres Aktual
(%)]]-Table1[[#This Row],[Target Progres
(%)]]</f>
        <v>-0.28410569978680567</v>
      </c>
      <c r="V398" s="80">
        <v>7894</v>
      </c>
      <c r="W398" s="80">
        <f>Table1[[#This Row],[Total Panjang Pipa Aktual
(Sum-&gt;)3]]</f>
        <v>0</v>
      </c>
      <c r="X398" s="117"/>
      <c r="Y398" s="508" t="s">
        <v>3141</v>
      </c>
      <c r="Z398" s="67">
        <v>10857149703</v>
      </c>
      <c r="AA398" s="509">
        <f>ROUND((Table1[[#This Row],[Nilai RAB Jaringan
(Exclude Ppn)]]-Table1[[#This Row],[RAB Perizinan]])*1.11+Table1[[#This Row],[RAB Perizinan]],0)</f>
        <v>10857149703</v>
      </c>
      <c r="AB398" s="483">
        <f>SUM(Table1[[#This Row],[RAB Kegiatan Umum]:[RAB Perizinan]])</f>
        <v>9788629552</v>
      </c>
      <c r="AC398" s="436">
        <v>719438438</v>
      </c>
      <c r="AD398" s="436">
        <v>7194384376</v>
      </c>
      <c r="AE398" s="436">
        <v>1799996738</v>
      </c>
      <c r="AF398" s="436">
        <v>74810000</v>
      </c>
      <c r="AG398" s="534"/>
      <c r="AH398" s="510">
        <f>SUM(Table1[[#This Row],[Bobot Keg Umum]:[Bobot Perizinan]])</f>
        <v>1</v>
      </c>
      <c r="AI398" s="510">
        <f>Table1[[#This Row],[RAB Kegiatan Umum]]/Table1[[#This Row],[Nilai RAB Jaringan
(Exclude Ppn)]]</f>
        <v>7.3497360808082196E-2</v>
      </c>
      <c r="AJ398" s="510">
        <f>Table1[[#This Row],[RAB Pemasangan]]/Table1[[#This Row],[Nilai RAB Jaringan
(Exclude Ppn)]]</f>
        <v>0.73497360767218456</v>
      </c>
      <c r="AK398" s="129">
        <f>Table1[[#This Row],[RAB Pengadaan]]/Table1[[#This Row],[Nilai RAB Jaringan
(Exclude Ppn)]]</f>
        <v>0.18388649079402816</v>
      </c>
      <c r="AL398" s="130">
        <f>Table1[[#This Row],[RAB Perizinan]]/Table1[[#This Row],[Nilai RAB Jaringan
(Exclude Ppn)]]</f>
        <v>7.6425407257050522E-3</v>
      </c>
      <c r="AM398" s="47"/>
      <c r="AN398" s="285"/>
      <c r="AO398" s="285">
        <f>SUM(Table1[[#This Row],[Pipa 63 mm]:[Pipa 1,800 mm]])</f>
        <v>7894</v>
      </c>
      <c r="AP398" s="285">
        <v>5471</v>
      </c>
      <c r="AQ398" s="285">
        <v>2103</v>
      </c>
      <c r="AR398" s="285">
        <v>90</v>
      </c>
      <c r="AS398" s="285">
        <v>182</v>
      </c>
      <c r="AT398" s="285">
        <v>48</v>
      </c>
      <c r="AU398" s="285"/>
      <c r="AV398" s="285"/>
      <c r="AW398" s="285"/>
      <c r="AX398" s="285"/>
      <c r="AY398" s="285"/>
      <c r="AZ398" s="285"/>
      <c r="BA398" s="285"/>
      <c r="BB398" s="285"/>
      <c r="BC398" s="285"/>
      <c r="BD398" s="285"/>
      <c r="BE398" s="285"/>
      <c r="BF398" s="285"/>
      <c r="BG398" s="285"/>
      <c r="BH398" s="285"/>
      <c r="BI398" s="285"/>
      <c r="BJ398" s="36">
        <f>SUM(Table1[[#This Row],[Pipa 63 mm2]:[Pipa 1,800 mm21]])</f>
        <v>0</v>
      </c>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f>IF((Table1[[#This Row],["Volume
BA MC-0"]]-Table1[[#This Row],[Total Panjang Pipa Aktual
(Sum-&gt;)3]]-Table1[[#This Row],[Total Volume
tidak dapat dipasang]])&gt;=0,Table1[[#This Row],["Volume
BA MC-0"]]-Table1[[#This Row],[Total Panjang Pipa Aktual
(Sum-&gt;)3]]-Table1[[#This Row],[Total Volume
tidak dapat dipasang]],0)</f>
        <v>0</v>
      </c>
      <c r="CK398" s="47"/>
      <c r="CL398" s="131"/>
      <c r="CM398" s="337"/>
      <c r="CN398" s="131"/>
      <c r="CO398" s="131"/>
      <c r="CP398"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5.7464528373133802E-2</v>
      </c>
      <c r="CQ398" s="436">
        <f>IFERROR(Table1[[#This Row],[Progres Keg. Umum
(%)]]*Table1[[#This Row],[Nilai RAB Jaringan
(file pa aji)]],0)</f>
        <v>0</v>
      </c>
      <c r="CR398" s="436">
        <f>IFERROR(Table1[[#This Row],[Progres MOS
(%)]]*Table1[[#This Row],[Nilai RAB Jaringan
(file pa aji)]],0)</f>
        <v>0</v>
      </c>
      <c r="CS398" s="436">
        <f>IFERROR(Table1[[#This Row],[Progres Pemasangan
(%)]]*Table1[[#This Row],[Nilai RAB Jaringan
(file pa aji)]],0)</f>
        <v>0</v>
      </c>
      <c r="CT398" s="436">
        <f>IFERROR(Table1[[#This Row],[Progres Perizinan
(%)]]*Table1[[#This Row],[Nilai RAB Jaringan
(file pa aji)]],0)</f>
        <v>0</v>
      </c>
      <c r="CU398" s="329">
        <v>0</v>
      </c>
      <c r="CV398" s="329">
        <v>0</v>
      </c>
      <c r="CW398" s="511">
        <v>0</v>
      </c>
      <c r="CX398" s="329">
        <v>0</v>
      </c>
      <c r="CY398" s="47"/>
      <c r="CZ398" s="331">
        <v>45929</v>
      </c>
      <c r="DA398" s="331">
        <v>45963</v>
      </c>
      <c r="DB398" s="331">
        <v>45950</v>
      </c>
      <c r="DC398" s="535" t="s">
        <v>3149</v>
      </c>
      <c r="DD398" s="508">
        <f>10782339702.72+74810000</f>
        <v>10857149702.719999</v>
      </c>
      <c r="DE39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8" s="331">
        <v>45957</v>
      </c>
      <c r="DG398" s="535" t="s">
        <v>3150</v>
      </c>
      <c r="DH398" s="508">
        <f>10782339702.72+74810000</f>
        <v>10857149702.719999</v>
      </c>
      <c r="DI39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8" s="331">
        <v>45964</v>
      </c>
      <c r="DK398" s="331">
        <v>46082</v>
      </c>
      <c r="DL398" s="331">
        <v>46056</v>
      </c>
      <c r="DM398" s="316" t="s">
        <v>3151</v>
      </c>
      <c r="DN39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8" s="331">
        <v>46062</v>
      </c>
      <c r="DP398" s="316" t="s">
        <v>3152</v>
      </c>
      <c r="DQ398" s="338" t="s">
        <v>1542</v>
      </c>
      <c r="DR39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8" s="331">
        <v>45964</v>
      </c>
      <c r="DT398" s="331">
        <v>46164</v>
      </c>
      <c r="DU398" s="331">
        <v>46012</v>
      </c>
      <c r="DV398" s="331">
        <v>46178</v>
      </c>
      <c r="DW398" s="331">
        <v>46058</v>
      </c>
      <c r="DX398" t="s">
        <v>3153</v>
      </c>
      <c r="DY398" s="512">
        <v>128</v>
      </c>
      <c r="DZ398" s="512">
        <v>128</v>
      </c>
      <c r="EA39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8" s="331"/>
      <c r="EC398" s="512">
        <v>125</v>
      </c>
      <c r="ED398" s="512">
        <v>125</v>
      </c>
      <c r="EE398" s="118"/>
      <c r="EF398" s="337">
        <v>0.9765625</v>
      </c>
      <c r="EG398" s="337">
        <f>Table1[[#This Row],[Line PO]]/Table1[[#This Row],[Line PR]]</f>
        <v>0.9765625</v>
      </c>
      <c r="EH398" s="316" t="str">
        <f>IF(Table1[[#This Row],[PO Material Aktual 
(%)]]&gt;=100%,"Selesai PO = 100%",IF(Table1[[#This Row],[PO Material Aktual 
(%)]]&gt;=50%,"Proses PO &gt; 100%",IF(Table1[[#This Row],[PO Material Aktual 
(%)]]&gt;0%,"Proses PO &gt; 50%",IF(Table1[[#This Row],[PO Material Aktual 
(%)]]=0,"Belum PO = 0%"))))</f>
        <v>Proses PO &gt; 100%</v>
      </c>
      <c r="EI39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8" s="331">
        <v>46013</v>
      </c>
      <c r="EK398" s="331">
        <v>46178</v>
      </c>
      <c r="EL398" s="331">
        <v>46201</v>
      </c>
      <c r="EM398" s="331">
        <v>46203</v>
      </c>
      <c r="EN398" s="331"/>
      <c r="EO398" s="512">
        <v>50</v>
      </c>
      <c r="EP398" s="512">
        <v>50</v>
      </c>
      <c r="EQ398" s="337">
        <v>0.390625</v>
      </c>
      <c r="ER398" s="337">
        <f>Table1[[#This Row],[Line MOS]]/Table1[[#This Row],[Line PR]]</f>
        <v>0.390625</v>
      </c>
      <c r="ES398" s="316" t="str">
        <f>IF(Table1[[#This Row],[Progres MOS]]&gt;=100%,"Selesai MOS = 100%",IF(Table1[[#This Row],[Progres MOS]]&gt;=50%,"Proses MOS &gt; 100%",IF(Table1[[#This Row],[Progres MOS]]&gt;0%,"Proses MOS &gt; 50%",IF(Table1[[#This Row],[Progres MOS]]=0,"Belum MOS = 0%"))))</f>
        <v>Proses MOS &gt; 50%</v>
      </c>
      <c r="ET39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8" s="47"/>
      <c r="EV398" s="331">
        <v>45964</v>
      </c>
      <c r="EW398" s="331">
        <v>46153</v>
      </c>
      <c r="EX398" s="331">
        <v>46110</v>
      </c>
      <c r="EY398" s="331">
        <v>46183</v>
      </c>
      <c r="EZ398" s="352" t="s">
        <v>2748</v>
      </c>
      <c r="FA398" s="409" t="s">
        <v>2748</v>
      </c>
      <c r="FB398" s="331"/>
      <c r="FC398" s="330">
        <v>45993</v>
      </c>
      <c r="FD398" s="331" t="s">
        <v>260</v>
      </c>
      <c r="FE398" s="331"/>
      <c r="FF398" s="331"/>
      <c r="FG398" s="331"/>
      <c r="FH398" s="331"/>
      <c r="FI398" s="331"/>
      <c r="FJ398" s="331"/>
      <c r="FK398" s="331"/>
      <c r="FL398" s="352" t="s">
        <v>2759</v>
      </c>
      <c r="FM398" s="352"/>
      <c r="FN398" s="338" t="str">
        <f>IF(Table1[[#This Row],[Tanggal Pengajuan Dokumen]]="","",Table1[[#This Row],[PLAN PERMIT
start]]-Table1[[#This Row],[Tanggal Pengajuan Dokumen]])</f>
        <v/>
      </c>
      <c r="FO398" s="352"/>
      <c r="FP398" s="316"/>
      <c r="FQ398" s="338"/>
      <c r="FR398" s="331"/>
      <c r="FS398" s="338"/>
      <c r="FT39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8" s="344">
        <f ca="1">IF(Table1[[#This Row],[Status Izin]]="Selesai",Table1[[#This Row],[PLAN PERMIT
finish]]-Table1[[#This Row],[Tanggal Terbit/ Target Izin Terbit]],ROUNDUP(Table1[[#This Row],[PLAN PERMIT
finish]]-NOW(),0))</f>
        <v>-81</v>
      </c>
      <c r="FV39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8" s="344"/>
      <c r="FX398" s="47"/>
      <c r="FY398" s="513">
        <v>46069</v>
      </c>
      <c r="FZ398" s="513">
        <v>46066</v>
      </c>
      <c r="GA39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8" s="331">
        <v>46083</v>
      </c>
      <c r="GC398" s="352">
        <v>46071</v>
      </c>
      <c r="GD39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8" s="331">
        <v>46090</v>
      </c>
      <c r="GF398" s="352">
        <v>46073</v>
      </c>
      <c r="GG39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8" s="331">
        <v>46097</v>
      </c>
      <c r="GI398" s="331">
        <v>46103</v>
      </c>
      <c r="GJ398" s="352">
        <v>46078</v>
      </c>
      <c r="GK39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8" s="331">
        <v>46111</v>
      </c>
      <c r="GM398" s="331">
        <v>46206</v>
      </c>
      <c r="GN398" s="331">
        <v>46222</v>
      </c>
      <c r="GO398" s="330">
        <v>46275</v>
      </c>
      <c r="GP398" s="316"/>
      <c r="GQ39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8" s="331"/>
      <c r="GS398" s="331"/>
      <c r="GT398" s="354"/>
      <c r="GU398" s="344" t="str">
        <f>IF(Table1[[#This Row],[Hydro Tes Actual
(tanggal)]]&lt;&gt;"","Sudah","Belum")</f>
        <v>Belum</v>
      </c>
      <c r="GV398" s="330"/>
      <c r="GW398" s="330"/>
      <c r="GX398" s="331"/>
      <c r="GY398" s="344" t="str">
        <f>IF(Table1[[#This Row],[Interkoneksi Actual
(tanggal)]]&lt;&gt;"","Sudah","Belum")</f>
        <v>Belum</v>
      </c>
      <c r="GZ398" s="330"/>
      <c r="HA398" s="330"/>
      <c r="HB398" s="331"/>
      <c r="HC398" s="344" t="str">
        <f>IF(Table1[[#This Row],[Flushing Actual
(tanggal)]]&lt;&gt;"","Sudah","Belum")</f>
        <v>Belum</v>
      </c>
      <c r="HD398" s="331">
        <v>46225</v>
      </c>
      <c r="HE398" s="331">
        <v>46276</v>
      </c>
      <c r="HF398" s="331">
        <v>46230</v>
      </c>
      <c r="HG398" s="352"/>
      <c r="HH39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8" s="330"/>
      <c r="HJ398" s="330"/>
      <c r="HK398" s="331"/>
      <c r="HL398" s="331"/>
      <c r="HM398" s="331">
        <v>46247</v>
      </c>
      <c r="HN398" s="331">
        <v>46247</v>
      </c>
      <c r="HO398" s="330">
        <v>46293</v>
      </c>
      <c r="HP398" s="331"/>
      <c r="HQ39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98" s="331">
        <v>46255</v>
      </c>
      <c r="HS398" s="331"/>
      <c r="HT398" s="331">
        <v>46255</v>
      </c>
      <c r="HU398" s="420"/>
      <c r="HV398" s="395"/>
      <c r="HW39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98" s="47"/>
      <c r="HY398" s="352"/>
      <c r="HZ398" s="352"/>
      <c r="IA398" s="72"/>
      <c r="IB398" s="618">
        <f>IFERROR(ROUND((Table1[[#This Row],[PLAN TC
finish]]-Table1[[#This Row],[PLAN MC-0
start]])/30,2),"")</f>
        <v>4.43</v>
      </c>
      <c r="IC398">
        <f>DATEDIF(Table1[[#This Row],[PLAN MC-0
start]],Table1[[#This Row],[PLAN TC
finish]],"m")</f>
        <v>4</v>
      </c>
      <c r="ID398" s="6"/>
      <c r="IE398" s="6"/>
      <c r="IF398" s="72"/>
      <c r="IH398" s="6"/>
      <c r="II398" s="4"/>
      <c r="IJ398" s="4"/>
      <c r="IK398" s="6"/>
      <c r="IL398" s="6"/>
      <c r="IM398" s="6"/>
      <c r="IN398" s="6"/>
      <c r="IO398" s="6"/>
      <c r="IQ398" s="6"/>
      <c r="IR398" s="6"/>
      <c r="IS398" s="6"/>
      <c r="IT398" s="6"/>
      <c r="IW398" s="6"/>
      <c r="IX398" s="6"/>
      <c r="IZ398" s="6"/>
      <c r="JA398" s="6"/>
    </row>
    <row r="399" spans="2:261" ht="15" hidden="1" customHeight="1" x14ac:dyDescent="0.2">
      <c r="B399" s="311">
        <f>SUBTOTAL(3,$D$5:D399)</f>
        <v>84</v>
      </c>
      <c r="C399" s="316">
        <v>395</v>
      </c>
      <c r="D399" s="315" t="s">
        <v>673</v>
      </c>
      <c r="E399" s="338" t="s">
        <v>3154</v>
      </c>
      <c r="F399" s="338" t="s">
        <v>3155</v>
      </c>
      <c r="G399" s="349">
        <v>46300</v>
      </c>
      <c r="H399" s="338" t="s">
        <v>247</v>
      </c>
      <c r="I399" s="338" t="s">
        <v>278</v>
      </c>
      <c r="J399" s="480"/>
      <c r="K399" s="338"/>
      <c r="L399" s="316"/>
      <c r="M399" s="355" t="s">
        <v>251</v>
      </c>
      <c r="N399" s="507">
        <v>13619</v>
      </c>
      <c r="O399" s="507" t="s">
        <v>252</v>
      </c>
      <c r="P39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9" s="35">
        <v>0.34739587254109383</v>
      </c>
      <c r="S399" s="327">
        <v>0.34739587254109383</v>
      </c>
      <c r="T399" s="152">
        <f>Table1[[#This Row],[Progres Total Aktual
(%)]]</f>
        <v>6.6669854061332731E-2</v>
      </c>
      <c r="U399" s="121">
        <f>Table1[[#This Row],[Progres Aktual
(%)]]-Table1[[#This Row],[Target Progres
(%)]]</f>
        <v>-0.28072601847976109</v>
      </c>
      <c r="V399" s="80">
        <v>13728</v>
      </c>
      <c r="W399" s="80">
        <f>Table1[[#This Row],[Total Panjang Pipa Aktual
(Sum-&gt;)3]]</f>
        <v>0</v>
      </c>
      <c r="X399" s="117"/>
      <c r="Y399" s="508" t="s">
        <v>3141</v>
      </c>
      <c r="Z399" s="67">
        <v>20533334817</v>
      </c>
      <c r="AA399" s="509">
        <f>ROUND((Table1[[#This Row],[Nilai RAB Jaringan
(Exclude Ppn)]]-Table1[[#This Row],[RAB Perizinan]])*1.11+Table1[[#This Row],[RAB Perizinan]],0)</f>
        <v>20533334817</v>
      </c>
      <c r="AB399" s="483">
        <f>SUM(Table1[[#This Row],[RAB Kegiatan Umum]:[RAB Perizinan]])</f>
        <v>18511996141</v>
      </c>
      <c r="AC399" s="436">
        <v>1340358075</v>
      </c>
      <c r="AD399" s="436">
        <v>13403580744</v>
      </c>
      <c r="AE399" s="436">
        <v>3631867322</v>
      </c>
      <c r="AF399" s="436">
        <v>136190000</v>
      </c>
      <c r="AG399" s="534"/>
      <c r="AH399" s="510">
        <f>SUM(Table1[[#This Row],[Bobot Keg Umum]:[Bobot Perizinan]])</f>
        <v>0.99999999999999989</v>
      </c>
      <c r="AI399" s="510">
        <f>Table1[[#This Row],[RAB Kegiatan Umum]]/Table1[[#This Row],[Nilai RAB Jaringan
(Exclude Ppn)]]</f>
        <v>7.2404837641004124E-2</v>
      </c>
      <c r="AJ399" s="510">
        <f>Table1[[#This Row],[RAB Pemasangan]]/Table1[[#This Row],[Nilai RAB Jaringan
(Exclude Ppn)]]</f>
        <v>0.72404837608592709</v>
      </c>
      <c r="AK399" s="129">
        <f>Table1[[#This Row],[RAB Pengadaan]]/Table1[[#This Row],[Nilai RAB Jaringan
(Exclude Ppn)]]</f>
        <v>0.19618993512840102</v>
      </c>
      <c r="AL399" s="130">
        <f>Table1[[#This Row],[RAB Perizinan]]/Table1[[#This Row],[Nilai RAB Jaringan
(Exclude Ppn)]]</f>
        <v>7.356851144667706E-3</v>
      </c>
      <c r="AM399" s="47"/>
      <c r="AN399" s="285"/>
      <c r="AO399" s="285">
        <f>SUM(Table1[[#This Row],[Pipa 63 mm]:[Pipa 1,800 mm]])</f>
        <v>13746</v>
      </c>
      <c r="AP399" s="285">
        <v>11386</v>
      </c>
      <c r="AQ399" s="285">
        <v>1608</v>
      </c>
      <c r="AR399" s="285">
        <v>578</v>
      </c>
      <c r="AS399" s="285">
        <v>168</v>
      </c>
      <c r="AT399" s="285">
        <v>6</v>
      </c>
      <c r="AU399" s="285"/>
      <c r="AV399" s="285"/>
      <c r="AW399" s="285"/>
      <c r="AX399" s="285"/>
      <c r="AY399" s="285"/>
      <c r="AZ399" s="285"/>
      <c r="BA399" s="285"/>
      <c r="BB399" s="285"/>
      <c r="BC399" s="285"/>
      <c r="BD399" s="285"/>
      <c r="BE399" s="285"/>
      <c r="BF399" s="285"/>
      <c r="BG399" s="285"/>
      <c r="BH399" s="285"/>
      <c r="BI399" s="285"/>
      <c r="BJ399" s="36">
        <f>SUM(Table1[[#This Row],[Pipa 63 mm2]:[Pipa 1,800 mm21]])</f>
        <v>0</v>
      </c>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f>IF((Table1[[#This Row],["Volume
BA MC-0"]]-Table1[[#This Row],[Total Panjang Pipa Aktual
(Sum-&gt;)3]]-Table1[[#This Row],[Total Volume
tidak dapat dipasang]])&gt;=0,Table1[[#This Row],["Volume
BA MC-0"]]-Table1[[#This Row],[Total Panjang Pipa Aktual
(Sum-&gt;)3]]-Table1[[#This Row],[Total Volume
tidak dapat dipasang]],0)</f>
        <v>0</v>
      </c>
      <c r="CK399" s="47"/>
      <c r="CL399" s="131"/>
      <c r="CM399" s="337"/>
      <c r="CN399" s="131"/>
      <c r="CO399" s="131"/>
      <c r="CP399"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6.6669854061332731E-2</v>
      </c>
      <c r="CQ399" s="436">
        <f>IFERROR(Table1[[#This Row],[Progres Keg. Umum
(%)]]*Table1[[#This Row],[Nilai RAB Jaringan
(file pa aji)]],0)</f>
        <v>0</v>
      </c>
      <c r="CR399" s="436">
        <f>IFERROR(Table1[[#This Row],[Progres MOS
(%)]]*Table1[[#This Row],[Nilai RAB Jaringan
(file pa aji)]],0)</f>
        <v>0</v>
      </c>
      <c r="CS399" s="436">
        <f>IFERROR(Table1[[#This Row],[Progres Pemasangan
(%)]]*Table1[[#This Row],[Nilai RAB Jaringan
(file pa aji)]],0)</f>
        <v>0</v>
      </c>
      <c r="CT399" s="436">
        <f>IFERROR(Table1[[#This Row],[Progres Perizinan
(%)]]*Table1[[#This Row],[Nilai RAB Jaringan
(file pa aji)]],0)</f>
        <v>0</v>
      </c>
      <c r="CU399" s="329">
        <v>0</v>
      </c>
      <c r="CV399" s="329">
        <v>0</v>
      </c>
      <c r="CW399" s="511">
        <v>0</v>
      </c>
      <c r="CX399" s="329">
        <v>0</v>
      </c>
      <c r="CY399" s="47"/>
      <c r="CZ399" s="331">
        <v>45929</v>
      </c>
      <c r="DA399" s="331">
        <v>45963</v>
      </c>
      <c r="DB399" s="331">
        <v>45950</v>
      </c>
      <c r="DC399" s="535" t="s">
        <v>3156</v>
      </c>
      <c r="DD399" s="508">
        <f>20397144816.51+136190000</f>
        <v>20533334816.509998</v>
      </c>
      <c r="DE39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9" s="331">
        <v>45957</v>
      </c>
      <c r="DG399" s="535" t="s">
        <v>3157</v>
      </c>
      <c r="DH399" s="508">
        <f>20397144816.51+136190000</f>
        <v>20533334816.509998</v>
      </c>
      <c r="DI39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9" s="331">
        <v>45964</v>
      </c>
      <c r="DK399" s="331">
        <v>46082</v>
      </c>
      <c r="DL399" s="331">
        <v>46056</v>
      </c>
      <c r="DM399" s="316" t="s">
        <v>3158</v>
      </c>
      <c r="DN39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9" s="331">
        <v>46062</v>
      </c>
      <c r="DP399" s="316" t="s">
        <v>3159</v>
      </c>
      <c r="DQ399" s="338" t="s">
        <v>1542</v>
      </c>
      <c r="DR39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9" s="331">
        <v>45964</v>
      </c>
      <c r="DT399" s="331">
        <v>46164</v>
      </c>
      <c r="DU399" s="331">
        <v>46012</v>
      </c>
      <c r="DV399" s="331">
        <v>46178</v>
      </c>
      <c r="DW399" s="331">
        <v>46059</v>
      </c>
      <c r="DX399" t="s">
        <v>3160</v>
      </c>
      <c r="DY399" s="512">
        <v>113</v>
      </c>
      <c r="DZ399" s="512">
        <v>113</v>
      </c>
      <c r="EA39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9" s="331"/>
      <c r="EC399" s="512">
        <v>111</v>
      </c>
      <c r="ED399" s="512">
        <v>111</v>
      </c>
      <c r="EE399" s="118"/>
      <c r="EF399" s="337">
        <v>0.98230088495575218</v>
      </c>
      <c r="EG399" s="337">
        <f>Table1[[#This Row],[Line PO]]/Table1[[#This Row],[Line PR]]</f>
        <v>0.98230088495575218</v>
      </c>
      <c r="EH399" s="316" t="str">
        <f>IF(Table1[[#This Row],[PO Material Aktual 
(%)]]&gt;=100%,"Selesai PO = 100%",IF(Table1[[#This Row],[PO Material Aktual 
(%)]]&gt;=50%,"Proses PO &gt; 100%",IF(Table1[[#This Row],[PO Material Aktual 
(%)]]&gt;0%,"Proses PO &gt; 50%",IF(Table1[[#This Row],[PO Material Aktual 
(%)]]=0,"Belum PO = 0%"))))</f>
        <v>Proses PO &gt; 100%</v>
      </c>
      <c r="EI39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9" s="331">
        <v>46013</v>
      </c>
      <c r="EK399" s="331">
        <v>46178</v>
      </c>
      <c r="EL399" s="331">
        <v>46201</v>
      </c>
      <c r="EM399" s="331">
        <v>46203</v>
      </c>
      <c r="EN399" s="331"/>
      <c r="EO399" s="512">
        <v>48</v>
      </c>
      <c r="EP399" s="512">
        <v>48</v>
      </c>
      <c r="EQ399" s="337">
        <v>0.4247787610619469</v>
      </c>
      <c r="ER399" s="337">
        <f>Table1[[#This Row],[Line MOS]]/Table1[[#This Row],[Line PR]]</f>
        <v>0.4247787610619469</v>
      </c>
      <c r="ES399" s="316" t="str">
        <f>IF(Table1[[#This Row],[Progres MOS]]&gt;=100%,"Selesai MOS = 100%",IF(Table1[[#This Row],[Progres MOS]]&gt;=50%,"Proses MOS &gt; 100%",IF(Table1[[#This Row],[Progres MOS]]&gt;0%,"Proses MOS &gt; 50%",IF(Table1[[#This Row],[Progres MOS]]=0,"Belum MOS = 0%"))))</f>
        <v>Proses MOS &gt; 50%</v>
      </c>
      <c r="ET39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9" s="47"/>
      <c r="EV399" s="331">
        <v>45964</v>
      </c>
      <c r="EW399" s="331">
        <v>46153</v>
      </c>
      <c r="EX399" s="331">
        <v>46110</v>
      </c>
      <c r="EY399" s="331">
        <v>46183</v>
      </c>
      <c r="EZ399" s="352" t="s">
        <v>1592</v>
      </c>
      <c r="FA399" s="409" t="s">
        <v>1592</v>
      </c>
      <c r="FB399" s="331"/>
      <c r="FC399" s="330">
        <v>45986</v>
      </c>
      <c r="FD399" s="331" t="s">
        <v>260</v>
      </c>
      <c r="FE399" s="331">
        <v>46045</v>
      </c>
      <c r="FF399" s="331"/>
      <c r="FG399" s="331"/>
      <c r="FH399" s="331"/>
      <c r="FI399" s="331"/>
      <c r="FJ399" s="331"/>
      <c r="FK399" s="331"/>
      <c r="FL399" s="352" t="s">
        <v>2806</v>
      </c>
      <c r="FM399" s="352"/>
      <c r="FN399" s="338" t="str">
        <f>IF(Table1[[#This Row],[Tanggal Pengajuan Dokumen]]="","",Table1[[#This Row],[PLAN PERMIT
start]]-Table1[[#This Row],[Tanggal Pengajuan Dokumen]])</f>
        <v/>
      </c>
      <c r="FO399" s="352"/>
      <c r="FP399" s="316"/>
      <c r="FQ399" s="338"/>
      <c r="FR399" s="331"/>
      <c r="FS399" s="338"/>
      <c r="FT39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9" s="344">
        <f ca="1">IF(Table1[[#This Row],[Status Izin]]="Selesai",Table1[[#This Row],[PLAN PERMIT
finish]]-Table1[[#This Row],[Tanggal Terbit/ Target Izin Terbit]],ROUNDUP(Table1[[#This Row],[PLAN PERMIT
finish]]-NOW(),0))</f>
        <v>-81</v>
      </c>
      <c r="FV39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9" s="344"/>
      <c r="FX399" s="47"/>
      <c r="FY399" s="513">
        <v>46069</v>
      </c>
      <c r="FZ399" s="513">
        <v>46066</v>
      </c>
      <c r="GA39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9" s="331">
        <v>46083</v>
      </c>
      <c r="GC399" s="352">
        <v>46071</v>
      </c>
      <c r="GD39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9" s="331">
        <v>46090</v>
      </c>
      <c r="GF399" s="352">
        <v>46073</v>
      </c>
      <c r="GG39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9" s="331">
        <v>46097</v>
      </c>
      <c r="GI399" s="331">
        <v>46103</v>
      </c>
      <c r="GJ399" s="352">
        <v>46080</v>
      </c>
      <c r="GK39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9" s="331">
        <v>46111</v>
      </c>
      <c r="GM399" s="331">
        <v>46206</v>
      </c>
      <c r="GN399" s="331">
        <v>46222</v>
      </c>
      <c r="GO399" s="330">
        <v>46275</v>
      </c>
      <c r="GP399" s="316"/>
      <c r="GQ39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9" s="331"/>
      <c r="GS399" s="331"/>
      <c r="GT399" s="354"/>
      <c r="GU399" s="344" t="str">
        <f>IF(Table1[[#This Row],[Hydro Tes Actual
(tanggal)]]&lt;&gt;"","Sudah","Belum")</f>
        <v>Belum</v>
      </c>
      <c r="GV399" s="330"/>
      <c r="GW399" s="330"/>
      <c r="GX399" s="331"/>
      <c r="GY399" s="344" t="str">
        <f>IF(Table1[[#This Row],[Interkoneksi Actual
(tanggal)]]&lt;&gt;"","Sudah","Belum")</f>
        <v>Belum</v>
      </c>
      <c r="GZ399" s="330"/>
      <c r="HA399" s="330"/>
      <c r="HB399" s="331"/>
      <c r="HC399" s="344" t="str">
        <f>IF(Table1[[#This Row],[Flushing Actual
(tanggal)]]&lt;&gt;"","Sudah","Belum")</f>
        <v>Belum</v>
      </c>
      <c r="HD399" s="331">
        <v>46225</v>
      </c>
      <c r="HE399" s="331">
        <v>46276</v>
      </c>
      <c r="HF399" s="331">
        <v>46230</v>
      </c>
      <c r="HG399" s="352"/>
      <c r="HH39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9" s="330"/>
      <c r="HJ399" s="330"/>
      <c r="HK399" s="331"/>
      <c r="HL399" s="331"/>
      <c r="HM399" s="331">
        <v>46247</v>
      </c>
      <c r="HN399" s="331">
        <v>46247</v>
      </c>
      <c r="HO399" s="330">
        <v>46293</v>
      </c>
      <c r="HP399" s="331"/>
      <c r="HQ39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399" s="331">
        <v>46255</v>
      </c>
      <c r="HS399" s="331"/>
      <c r="HT399" s="331">
        <v>46255</v>
      </c>
      <c r="HU399" s="420"/>
      <c r="HV399" s="395"/>
      <c r="HW399"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399" s="47"/>
      <c r="HY399" s="352"/>
      <c r="HZ399" s="352"/>
      <c r="IA399" s="72"/>
      <c r="IB399" s="618">
        <f>IFERROR(ROUND((Table1[[#This Row],[PLAN TC
finish]]-Table1[[#This Row],[PLAN MC-0
start]])/30,2),"")</f>
        <v>4.43</v>
      </c>
      <c r="IC399">
        <f>DATEDIF(Table1[[#This Row],[PLAN MC-0
start]],Table1[[#This Row],[PLAN TC
finish]],"m")</f>
        <v>4</v>
      </c>
      <c r="ID399" s="6"/>
      <c r="IE399" s="6"/>
      <c r="IF399" s="72"/>
      <c r="IH399" s="6"/>
      <c r="II399" s="4"/>
      <c r="IJ399" s="4"/>
      <c r="IK399" s="6"/>
      <c r="IL399" s="6"/>
      <c r="IM399" s="6"/>
      <c r="IN399" s="6"/>
      <c r="IO399" s="6"/>
      <c r="IQ399" s="6"/>
      <c r="IR399" s="6"/>
      <c r="IS399" s="6"/>
      <c r="IT399" s="6"/>
      <c r="IW399" s="6"/>
      <c r="IX399" s="6"/>
      <c r="IZ399" s="6"/>
      <c r="JA399" s="6"/>
    </row>
    <row r="400" spans="2:261" ht="15" hidden="1" customHeight="1" x14ac:dyDescent="0.2">
      <c r="B400" s="311">
        <f>SUBTOTAL(3,$D$5:D400)</f>
        <v>84</v>
      </c>
      <c r="C400" s="316">
        <v>396</v>
      </c>
      <c r="D400" s="315" t="s">
        <v>673</v>
      </c>
      <c r="E400" s="338" t="s">
        <v>3161</v>
      </c>
      <c r="F400" s="338" t="s">
        <v>3162</v>
      </c>
      <c r="G400" s="349">
        <v>46300</v>
      </c>
      <c r="H400" s="338" t="s">
        <v>247</v>
      </c>
      <c r="I400" s="338" t="s">
        <v>278</v>
      </c>
      <c r="J400" s="480"/>
      <c r="K400" s="338"/>
      <c r="L400" s="316"/>
      <c r="M400" s="355" t="s">
        <v>251</v>
      </c>
      <c r="N400" s="507">
        <v>13978</v>
      </c>
      <c r="O400" s="507" t="s">
        <v>252</v>
      </c>
      <c r="P40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0" s="35">
        <v>0.32610961255784043</v>
      </c>
      <c r="S400" s="327">
        <v>0.32610961255784043</v>
      </c>
      <c r="T400" s="152">
        <f>Table1[[#This Row],[Progres Total Aktual
(%)]]</f>
        <v>4.0680281090952231E-2</v>
      </c>
      <c r="U400" s="121">
        <f>Table1[[#This Row],[Progres Aktual
(%)]]-Table1[[#This Row],[Target Progres
(%)]]</f>
        <v>-0.2854293314668882</v>
      </c>
      <c r="V400" s="80">
        <v>14406</v>
      </c>
      <c r="W400" s="80">
        <f>Table1[[#This Row],[Total Panjang Pipa Aktual
(Sum-&gt;)3]]</f>
        <v>0</v>
      </c>
      <c r="X400" s="117"/>
      <c r="Y400" s="508" t="s">
        <v>3141</v>
      </c>
      <c r="Z400" s="67">
        <v>18660886051</v>
      </c>
      <c r="AA400" s="509">
        <f>ROUND((Table1[[#This Row],[Nilai RAB Jaringan
(Exclude Ppn)]]-Table1[[#This Row],[RAB Perizinan]])*1.11+Table1[[#This Row],[RAB Perizinan]],0)</f>
        <v>18660886051</v>
      </c>
      <c r="AB400" s="483">
        <f>SUM(Table1[[#This Row],[RAB Kegiatan Umum]:[RAB Perizinan]])</f>
        <v>16825461127</v>
      </c>
      <c r="AC400" s="436">
        <v>1285348775</v>
      </c>
      <c r="AD400" s="436">
        <v>12853487745</v>
      </c>
      <c r="AE400" s="436">
        <v>2546844607</v>
      </c>
      <c r="AF400" s="436">
        <v>139780000</v>
      </c>
      <c r="AG400" s="534"/>
      <c r="AH400" s="510">
        <f>SUM(Table1[[#This Row],[Bobot Keg Umum]:[Bobot Perizinan]])</f>
        <v>1</v>
      </c>
      <c r="AI400" s="510">
        <f>Table1[[#This Row],[RAB Kegiatan Umum]]/Table1[[#This Row],[Nilai RAB Jaringan
(Exclude Ppn)]]</f>
        <v>7.6393078638266082E-2</v>
      </c>
      <c r="AJ400" s="510">
        <f>Table1[[#This Row],[RAB Pemasangan]]/Table1[[#This Row],[Nilai RAB Jaringan
(Exclude Ppn)]]</f>
        <v>0.76393078608549214</v>
      </c>
      <c r="AK400" s="129">
        <f>Table1[[#This Row],[RAB Pengadaan]]/Table1[[#This Row],[Nilai RAB Jaringan
(Exclude Ppn)]]</f>
        <v>0.15136848778028739</v>
      </c>
      <c r="AL400" s="130">
        <f>Table1[[#This Row],[RAB Perizinan]]/Table1[[#This Row],[Nilai RAB Jaringan
(Exclude Ppn)]]</f>
        <v>8.3076474959544212E-3</v>
      </c>
      <c r="AM400" s="47"/>
      <c r="AN400" s="285"/>
      <c r="AO400" s="285">
        <f>SUM(Table1[[#This Row],[Pipa 63 mm]:[Pipa 1,800 mm]])</f>
        <v>13978</v>
      </c>
      <c r="AP400" s="285">
        <v>10731</v>
      </c>
      <c r="AQ400" s="285">
        <v>2054</v>
      </c>
      <c r="AR400" s="285">
        <v>398</v>
      </c>
      <c r="AS400" s="285">
        <v>753</v>
      </c>
      <c r="AT400" s="285">
        <v>37</v>
      </c>
      <c r="AU400" s="285">
        <v>5</v>
      </c>
      <c r="AV400" s="285"/>
      <c r="AW400" s="285"/>
      <c r="AX400" s="285"/>
      <c r="AY400" s="285"/>
      <c r="AZ400" s="285"/>
      <c r="BA400" s="285"/>
      <c r="BB400" s="285"/>
      <c r="BC400" s="285"/>
      <c r="BD400" s="285"/>
      <c r="BE400" s="285"/>
      <c r="BF400" s="285"/>
      <c r="BG400" s="285"/>
      <c r="BH400" s="285"/>
      <c r="BI400" s="285"/>
      <c r="BJ400" s="36">
        <f>SUM(Table1[[#This Row],[Pipa 63 mm2]:[Pipa 1,800 mm21]])</f>
        <v>0</v>
      </c>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f>IF((Table1[[#This Row],["Volume
BA MC-0"]]-Table1[[#This Row],[Total Panjang Pipa Aktual
(Sum-&gt;)3]]-Table1[[#This Row],[Total Volume
tidak dapat dipasang]])&gt;=0,Table1[[#This Row],["Volume
BA MC-0"]]-Table1[[#This Row],[Total Panjang Pipa Aktual
(Sum-&gt;)3]]-Table1[[#This Row],[Total Volume
tidak dapat dipasang]],0)</f>
        <v>0</v>
      </c>
      <c r="CK400" s="47"/>
      <c r="CL400" s="131"/>
      <c r="CM400" s="337"/>
      <c r="CN400" s="131"/>
      <c r="CO400" s="131"/>
      <c r="CP400"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4.0680281090952231E-2</v>
      </c>
      <c r="CQ400" s="436">
        <f>IFERROR(Table1[[#This Row],[Progres Keg. Umum
(%)]]*Table1[[#This Row],[Nilai RAB Jaringan
(file pa aji)]],0)</f>
        <v>0</v>
      </c>
      <c r="CR400" s="436">
        <f>IFERROR(Table1[[#This Row],[Progres MOS
(%)]]*Table1[[#This Row],[Nilai RAB Jaringan
(file pa aji)]],0)</f>
        <v>0</v>
      </c>
      <c r="CS400" s="436">
        <f>IFERROR(Table1[[#This Row],[Progres Pemasangan
(%)]]*Table1[[#This Row],[Nilai RAB Jaringan
(file pa aji)]],0)</f>
        <v>0</v>
      </c>
      <c r="CT400" s="436">
        <f>IFERROR(Table1[[#This Row],[Progres Perizinan
(%)]]*Table1[[#This Row],[Nilai RAB Jaringan
(file pa aji)]],0)</f>
        <v>0</v>
      </c>
      <c r="CU400" s="329">
        <v>0</v>
      </c>
      <c r="CV400" s="329">
        <v>0</v>
      </c>
      <c r="CW400" s="511">
        <v>0</v>
      </c>
      <c r="CX400" s="329">
        <v>0</v>
      </c>
      <c r="CY400" s="47"/>
      <c r="CZ400" s="331">
        <v>45929</v>
      </c>
      <c r="DA400" s="331">
        <v>45963</v>
      </c>
      <c r="DB400" s="331">
        <v>45951</v>
      </c>
      <c r="DC400" s="535" t="s">
        <v>3163</v>
      </c>
      <c r="DD400" s="536">
        <f>18521106050.97+139780000</f>
        <v>18660886050.970001</v>
      </c>
      <c r="DE40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0" s="331">
        <v>45957</v>
      </c>
      <c r="DG400" s="535" t="s">
        <v>3164</v>
      </c>
      <c r="DH400" s="536">
        <f>18521106050.97+139780000</f>
        <v>18660886050.970001</v>
      </c>
      <c r="DI40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0" s="331">
        <v>45964</v>
      </c>
      <c r="DK400" s="331">
        <v>46082</v>
      </c>
      <c r="DL400" s="331">
        <v>46055</v>
      </c>
      <c r="DM400" s="316" t="s">
        <v>3165</v>
      </c>
      <c r="DN40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0" s="331">
        <v>46087</v>
      </c>
      <c r="DP400" s="316" t="s">
        <v>3166</v>
      </c>
      <c r="DQ400" s="338" t="s">
        <v>1954</v>
      </c>
      <c r="DR40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0" s="331">
        <v>45964</v>
      </c>
      <c r="DT400" s="331">
        <v>46164</v>
      </c>
      <c r="DU400" s="331">
        <v>46012</v>
      </c>
      <c r="DV400" s="331">
        <v>46178</v>
      </c>
      <c r="DW400" s="331">
        <v>46058</v>
      </c>
      <c r="DX400" t="s">
        <v>3167</v>
      </c>
      <c r="DY400" s="512">
        <v>128</v>
      </c>
      <c r="DZ400" s="512">
        <v>128</v>
      </c>
      <c r="EA40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0" s="331"/>
      <c r="EC400" s="334">
        <v>126</v>
      </c>
      <c r="ED400" s="334">
        <v>126</v>
      </c>
      <c r="EE400" s="118"/>
      <c r="EF400" s="337">
        <v>0.984375</v>
      </c>
      <c r="EG400" s="337">
        <f>Table1[[#This Row],[Line PO]]/Table1[[#This Row],[Line PR]]</f>
        <v>0.984375</v>
      </c>
      <c r="EH400" s="316" t="str">
        <f>IF(Table1[[#This Row],[PO Material Aktual 
(%)]]&gt;=100%,"Selesai PO = 100%",IF(Table1[[#This Row],[PO Material Aktual 
(%)]]&gt;=50%,"Proses PO &gt; 100%",IF(Table1[[#This Row],[PO Material Aktual 
(%)]]&gt;0%,"Proses PO &gt; 50%",IF(Table1[[#This Row],[PO Material Aktual 
(%)]]=0,"Belum PO = 0%"))))</f>
        <v>Proses PO &gt; 100%</v>
      </c>
      <c r="EI40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0" s="331">
        <v>46013</v>
      </c>
      <c r="EK400" s="331">
        <v>46178</v>
      </c>
      <c r="EL400" s="331">
        <v>46201</v>
      </c>
      <c r="EM400" s="331">
        <v>46203</v>
      </c>
      <c r="EN400" s="331"/>
      <c r="EO400" s="512">
        <v>43</v>
      </c>
      <c r="EP400" s="512">
        <v>43</v>
      </c>
      <c r="EQ400" s="337">
        <v>0.3359375</v>
      </c>
      <c r="ER400" s="337">
        <f>Table1[[#This Row],[Line MOS]]/Table1[[#This Row],[Line PR]]</f>
        <v>0.3359375</v>
      </c>
      <c r="ES400" s="316" t="str">
        <f>IF(Table1[[#This Row],[Progres MOS]]&gt;=100%,"Selesai MOS = 100%",IF(Table1[[#This Row],[Progres MOS]]&gt;=50%,"Proses MOS &gt; 100%",IF(Table1[[#This Row],[Progres MOS]]&gt;0%,"Proses MOS &gt; 50%",IF(Table1[[#This Row],[Progres MOS]]=0,"Belum MOS = 0%"))))</f>
        <v>Proses MOS &gt; 50%</v>
      </c>
      <c r="ET40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0" s="47"/>
      <c r="EV400" s="331">
        <v>45964</v>
      </c>
      <c r="EW400" s="331">
        <v>46153</v>
      </c>
      <c r="EX400" s="331">
        <v>46110</v>
      </c>
      <c r="EY400" s="331">
        <v>46183</v>
      </c>
      <c r="EZ400" s="352" t="s">
        <v>2748</v>
      </c>
      <c r="FA400" s="409" t="s">
        <v>2748</v>
      </c>
      <c r="FB400" s="331"/>
      <c r="FC400" s="330">
        <v>45986</v>
      </c>
      <c r="FD400" s="331" t="s">
        <v>260</v>
      </c>
      <c r="FE400" s="331">
        <v>46045</v>
      </c>
      <c r="FF400" s="331"/>
      <c r="FG400" s="331"/>
      <c r="FH400" s="331"/>
      <c r="FI400" s="331"/>
      <c r="FJ400" s="331"/>
      <c r="FK400" s="331"/>
      <c r="FL400" s="352" t="s">
        <v>2806</v>
      </c>
      <c r="FM400" s="352"/>
      <c r="FN400" s="338" t="str">
        <f>IF(Table1[[#This Row],[Tanggal Pengajuan Dokumen]]="","",Table1[[#This Row],[PLAN PERMIT
start]]-Table1[[#This Row],[Tanggal Pengajuan Dokumen]])</f>
        <v/>
      </c>
      <c r="FO400" s="352"/>
      <c r="FP400" s="316"/>
      <c r="FQ400" s="338"/>
      <c r="FR400" s="331"/>
      <c r="FS400" s="338"/>
      <c r="FT40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0" s="344">
        <f ca="1">IF(Table1[[#This Row],[Status Izin]]="Selesai",Table1[[#This Row],[PLAN PERMIT
finish]]-Table1[[#This Row],[Tanggal Terbit/ Target Izin Terbit]],ROUNDUP(Table1[[#This Row],[PLAN PERMIT
finish]]-NOW(),0))</f>
        <v>-81</v>
      </c>
      <c r="FV40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0" s="344"/>
      <c r="FX400" s="47"/>
      <c r="FY400" s="513">
        <v>46069</v>
      </c>
      <c r="FZ400" s="513">
        <v>46066</v>
      </c>
      <c r="GA40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0" s="331">
        <v>46083</v>
      </c>
      <c r="GC400" s="352">
        <v>46083</v>
      </c>
      <c r="GD40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0" s="331">
        <v>46090</v>
      </c>
      <c r="GF400" s="352">
        <v>46087</v>
      </c>
      <c r="GG40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0" s="331">
        <v>46097</v>
      </c>
      <c r="GI400" s="331">
        <v>46103</v>
      </c>
      <c r="GJ400" s="352">
        <v>46095</v>
      </c>
      <c r="GK40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0" s="331">
        <v>46111</v>
      </c>
      <c r="GM400" s="331">
        <v>46206</v>
      </c>
      <c r="GN400" s="331">
        <v>46222</v>
      </c>
      <c r="GO400" s="330">
        <v>46275</v>
      </c>
      <c r="GP400" s="316"/>
      <c r="GQ40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0" s="331"/>
      <c r="GS400" s="331"/>
      <c r="GT400" s="354"/>
      <c r="GU400" s="344" t="str">
        <f>IF(Table1[[#This Row],[Hydro Tes Actual
(tanggal)]]&lt;&gt;"","Sudah","Belum")</f>
        <v>Belum</v>
      </c>
      <c r="GV400" s="330"/>
      <c r="GW400" s="330"/>
      <c r="GX400" s="331"/>
      <c r="GY400" s="344" t="str">
        <f>IF(Table1[[#This Row],[Interkoneksi Actual
(tanggal)]]&lt;&gt;"","Sudah","Belum")</f>
        <v>Belum</v>
      </c>
      <c r="GZ400" s="330"/>
      <c r="HA400" s="330"/>
      <c r="HB400" s="331"/>
      <c r="HC400" s="344" t="str">
        <f>IF(Table1[[#This Row],[Flushing Actual
(tanggal)]]&lt;&gt;"","Sudah","Belum")</f>
        <v>Belum</v>
      </c>
      <c r="HD400" s="331">
        <v>46225</v>
      </c>
      <c r="HE400" s="331">
        <v>46276</v>
      </c>
      <c r="HF400" s="331">
        <v>46230</v>
      </c>
      <c r="HG400" s="352"/>
      <c r="HH40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0" s="330"/>
      <c r="HJ400" s="330"/>
      <c r="HK400" s="331"/>
      <c r="HL400" s="331"/>
      <c r="HM400" s="331">
        <v>46247</v>
      </c>
      <c r="HN400" s="331">
        <v>46247</v>
      </c>
      <c r="HO400" s="330">
        <v>46293</v>
      </c>
      <c r="HP400" s="331"/>
      <c r="HQ40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00" s="331">
        <v>46255</v>
      </c>
      <c r="HS400" s="331"/>
      <c r="HT400" s="331">
        <v>46255</v>
      </c>
      <c r="HU400" s="420"/>
      <c r="HV400" s="395"/>
      <c r="HW400"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00" s="47"/>
      <c r="HY400" s="352"/>
      <c r="HZ400" s="352"/>
      <c r="IA400" s="72"/>
      <c r="IB400" s="618">
        <f>IFERROR(ROUND((Table1[[#This Row],[PLAN TC
finish]]-Table1[[#This Row],[PLAN MC-0
start]])/30,2),"")</f>
        <v>4.43</v>
      </c>
      <c r="IC400">
        <f>DATEDIF(Table1[[#This Row],[PLAN MC-0
start]],Table1[[#This Row],[PLAN TC
finish]],"m")</f>
        <v>4</v>
      </c>
      <c r="ID400" s="6"/>
      <c r="IE400" s="6"/>
      <c r="IF400" s="72"/>
      <c r="IH400" s="6"/>
      <c r="II400" s="4"/>
      <c r="IJ400" s="4"/>
      <c r="IK400" s="6"/>
      <c r="IL400" s="6"/>
      <c r="IM400" s="6"/>
      <c r="IN400" s="6"/>
      <c r="IO400" s="6"/>
      <c r="IQ400" s="6"/>
      <c r="IR400" s="6"/>
      <c r="IS400" s="6"/>
      <c r="IT400" s="6"/>
      <c r="IW400" s="6"/>
      <c r="IX400" s="6"/>
      <c r="IZ400" s="6"/>
      <c r="JA400" s="6"/>
    </row>
    <row r="401" spans="1:261" ht="15" hidden="1" customHeight="1" x14ac:dyDescent="0.2">
      <c r="B401" s="311">
        <f>SUBTOTAL(3,$D$5:D401)</f>
        <v>84</v>
      </c>
      <c r="C401" s="316">
        <v>397</v>
      </c>
      <c r="D401" s="315" t="s">
        <v>673</v>
      </c>
      <c r="E401" s="338" t="s">
        <v>3168</v>
      </c>
      <c r="F401" s="338" t="s">
        <v>3169</v>
      </c>
      <c r="G401" s="349">
        <v>46300</v>
      </c>
      <c r="H401" s="338" t="s">
        <v>247</v>
      </c>
      <c r="I401" s="338" t="s">
        <v>278</v>
      </c>
      <c r="J401" s="480"/>
      <c r="K401" s="338"/>
      <c r="L401" s="316"/>
      <c r="M401" s="355" t="s">
        <v>251</v>
      </c>
      <c r="N401" s="507">
        <v>19700</v>
      </c>
      <c r="O401" s="507" t="s">
        <v>252</v>
      </c>
      <c r="P40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1" s="35">
        <v>0.33327063404289681</v>
      </c>
      <c r="S401" s="327">
        <v>0.33327063404289681</v>
      </c>
      <c r="T401" s="152">
        <f>Table1[[#This Row],[Progres Total Aktual
(%)]]</f>
        <v>6.0321888780529846E-2</v>
      </c>
      <c r="U401" s="121">
        <f>Table1[[#This Row],[Progres Aktual
(%)]]-Table1[[#This Row],[Target Progres
(%)]]</f>
        <v>-0.27294874526236695</v>
      </c>
      <c r="V401" s="80">
        <v>20086</v>
      </c>
      <c r="W401" s="80">
        <f>Table1[[#This Row],[Total Panjang Pipa Aktual
(Sum-&gt;)3]]</f>
        <v>0</v>
      </c>
      <c r="X401" s="117"/>
      <c r="Y401" s="508" t="s">
        <v>3141</v>
      </c>
      <c r="Z401" s="67">
        <v>28000944515</v>
      </c>
      <c r="AA401" s="509">
        <f>ROUND((Table1[[#This Row],[Nilai RAB Jaringan
(Exclude Ppn)]]-Table1[[#This Row],[RAB Perizinan]])*1.11+Table1[[#This Row],[RAB Perizinan]],0)</f>
        <v>27995972451</v>
      </c>
      <c r="AB401" s="483">
        <f>SUM(Table1[[#This Row],[RAB Kegiatan Umum]:[RAB Perizinan]])</f>
        <v>25241824911</v>
      </c>
      <c r="AC401" s="436">
        <v>1894862563</v>
      </c>
      <c r="AD401" s="436">
        <v>18948625622</v>
      </c>
      <c r="AE401" s="436">
        <v>4194216726</v>
      </c>
      <c r="AF401" s="436">
        <v>204120000</v>
      </c>
      <c r="AG401" s="534"/>
      <c r="AH401" s="510">
        <f>SUM(Table1[[#This Row],[Bobot Keg Umum]:[Bobot Perizinan]])</f>
        <v>1</v>
      </c>
      <c r="AI401" s="510">
        <f>Table1[[#This Row],[RAB Kegiatan Umum]]/Table1[[#This Row],[Nilai RAB Jaringan
(Exclude Ppn)]]</f>
        <v>7.5068366478298801E-2</v>
      </c>
      <c r="AJ401" s="510">
        <f>Table1[[#This Row],[RAB Pemasangan]]/Table1[[#This Row],[Nilai RAB Jaringan
(Exclude Ppn)]]</f>
        <v>0.75068366446605372</v>
      </c>
      <c r="AK401" s="129">
        <f>Table1[[#This Row],[RAB Pengadaan]]/Table1[[#This Row],[Nilai RAB Jaringan
(Exclude Ppn)]]</f>
        <v>0.16616139050121628</v>
      </c>
      <c r="AL401" s="130">
        <f>Table1[[#This Row],[RAB Perizinan]]/Table1[[#This Row],[Nilai RAB Jaringan
(Exclude Ppn)]]</f>
        <v>8.0865785544312063E-3</v>
      </c>
      <c r="AM401" s="47"/>
      <c r="AN401" s="285"/>
      <c r="AO401" s="285">
        <f>SUM(Table1[[#This Row],[Pipa 63 mm]:[Pipa 1,800 mm]])</f>
        <v>20086</v>
      </c>
      <c r="AP401" s="285">
        <f>1600+13540+853</f>
        <v>15993</v>
      </c>
      <c r="AQ401" s="285">
        <v>2173</v>
      </c>
      <c r="AR401" s="285">
        <v>1013</v>
      </c>
      <c r="AS401" s="285">
        <v>903</v>
      </c>
      <c r="AT401" s="285"/>
      <c r="AU401" s="285">
        <f>4</f>
        <v>4</v>
      </c>
      <c r="AV401" s="285"/>
      <c r="AW401" s="285"/>
      <c r="AX401" s="285"/>
      <c r="AY401" s="285"/>
      <c r="AZ401" s="285"/>
      <c r="BA401" s="285"/>
      <c r="BB401" s="285"/>
      <c r="BC401" s="285"/>
      <c r="BD401" s="285"/>
      <c r="BE401" s="285"/>
      <c r="BF401" s="285"/>
      <c r="BG401" s="285"/>
      <c r="BH401" s="285"/>
      <c r="BI401" s="285"/>
      <c r="BJ401" s="36">
        <f>SUM(Table1[[#This Row],[Pipa 63 mm2]:[Pipa 1,800 mm21]])</f>
        <v>0</v>
      </c>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f>IF((Table1[[#This Row],["Volume
BA MC-0"]]-Table1[[#This Row],[Total Panjang Pipa Aktual
(Sum-&gt;)3]]-Table1[[#This Row],[Total Volume
tidak dapat dipasang]])&gt;=0,Table1[[#This Row],["Volume
BA MC-0"]]-Table1[[#This Row],[Total Panjang Pipa Aktual
(Sum-&gt;)3]]-Table1[[#This Row],[Total Volume
tidak dapat dipasang]],0)</f>
        <v>0</v>
      </c>
      <c r="CK401" s="47"/>
      <c r="CL401" s="131"/>
      <c r="CM401" s="337"/>
      <c r="CN401" s="131"/>
      <c r="CO401" s="131"/>
      <c r="CP401"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6.0321888780529846E-2</v>
      </c>
      <c r="CQ401" s="436">
        <f>IFERROR(Table1[[#This Row],[Progres Keg. Umum
(%)]]*Table1[[#This Row],[Nilai RAB Jaringan
(file pa aji)]],0)</f>
        <v>0</v>
      </c>
      <c r="CR401" s="436">
        <f>IFERROR(Table1[[#This Row],[Progres MOS
(%)]]*Table1[[#This Row],[Nilai RAB Jaringan
(file pa aji)]],0)</f>
        <v>0</v>
      </c>
      <c r="CS401" s="436">
        <f>IFERROR(Table1[[#This Row],[Progres Pemasangan
(%)]]*Table1[[#This Row],[Nilai RAB Jaringan
(file pa aji)]],0)</f>
        <v>0</v>
      </c>
      <c r="CT401" s="436">
        <f>IFERROR(Table1[[#This Row],[Progres Perizinan
(%)]]*Table1[[#This Row],[Nilai RAB Jaringan
(file pa aji)]],0)</f>
        <v>0</v>
      </c>
      <c r="CU401" s="329">
        <v>1688769936.4919996</v>
      </c>
      <c r="CV401" s="329">
        <v>1688769936.4919996</v>
      </c>
      <c r="CW401" s="511">
        <v>0</v>
      </c>
      <c r="CX401" s="329">
        <v>0</v>
      </c>
      <c r="CY401" s="47"/>
      <c r="CZ401" s="331">
        <v>45929</v>
      </c>
      <c r="DA401" s="331">
        <v>45963</v>
      </c>
      <c r="DB401" s="331">
        <v>45951</v>
      </c>
      <c r="DC401" s="535" t="s">
        <v>3170</v>
      </c>
      <c r="DD401" s="536">
        <f>27796824514.17+204120000</f>
        <v>28000944514.169998</v>
      </c>
      <c r="DE40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1" s="331">
        <v>45789</v>
      </c>
      <c r="DG401" s="535" t="s">
        <v>3171</v>
      </c>
      <c r="DH401" s="536">
        <f>27796824514.17+204120000</f>
        <v>28000944514.169998</v>
      </c>
      <c r="DI40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1" s="331">
        <v>45964</v>
      </c>
      <c r="DK401" s="331">
        <v>46082</v>
      </c>
      <c r="DL401" s="331">
        <v>46055</v>
      </c>
      <c r="DM401" s="316" t="s">
        <v>3172</v>
      </c>
      <c r="DN40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1" s="331">
        <v>46085</v>
      </c>
      <c r="DP401" s="316"/>
      <c r="DQ401" s="338" t="s">
        <v>371</v>
      </c>
      <c r="DR40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1" s="331">
        <v>45964</v>
      </c>
      <c r="DT401" s="331">
        <v>46164</v>
      </c>
      <c r="DU401" s="331">
        <v>46012</v>
      </c>
      <c r="DV401" s="331">
        <v>46178</v>
      </c>
      <c r="DW401" s="331">
        <v>46059</v>
      </c>
      <c r="DX401" t="s">
        <v>3173</v>
      </c>
      <c r="DY401" s="512">
        <v>137</v>
      </c>
      <c r="DZ401" s="512">
        <v>137</v>
      </c>
      <c r="EA40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1" s="331"/>
      <c r="EC401" s="334">
        <v>133</v>
      </c>
      <c r="ED401" s="334">
        <v>133</v>
      </c>
      <c r="EE401" s="118"/>
      <c r="EF401" s="337">
        <v>0.97080291970802923</v>
      </c>
      <c r="EG401" s="337">
        <f>Table1[[#This Row],[Line PO]]/Table1[[#This Row],[Line PR]]</f>
        <v>0.97080291970802923</v>
      </c>
      <c r="EH401" s="316" t="str">
        <f>IF(Table1[[#This Row],[PO Material Aktual 
(%)]]&gt;=100%,"Selesai PO = 100%",IF(Table1[[#This Row],[PO Material Aktual 
(%)]]&gt;=50%,"Proses PO &gt; 100%",IF(Table1[[#This Row],[PO Material Aktual 
(%)]]&gt;0%,"Proses PO &gt; 50%",IF(Table1[[#This Row],[PO Material Aktual 
(%)]]=0,"Belum PO = 0%"))))</f>
        <v>Proses PO &gt; 100%</v>
      </c>
      <c r="EI40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1" s="331">
        <v>46013</v>
      </c>
      <c r="EK401" s="331">
        <v>46178</v>
      </c>
      <c r="EL401" s="331">
        <v>46201</v>
      </c>
      <c r="EM401" s="331">
        <v>46203</v>
      </c>
      <c r="EN401" s="331"/>
      <c r="EO401" s="512">
        <v>50</v>
      </c>
      <c r="EP401" s="512">
        <v>50</v>
      </c>
      <c r="EQ401" s="337">
        <v>0.36496350364963503</v>
      </c>
      <c r="ER401" s="337">
        <f>Table1[[#This Row],[Line MOS]]/Table1[[#This Row],[Line PR]]</f>
        <v>0.36496350364963503</v>
      </c>
      <c r="ES401" s="316" t="str">
        <f>IF(Table1[[#This Row],[Progres MOS]]&gt;=100%,"Selesai MOS = 100%",IF(Table1[[#This Row],[Progres MOS]]&gt;=50%,"Proses MOS &gt; 100%",IF(Table1[[#This Row],[Progres MOS]]&gt;0%,"Proses MOS &gt; 50%",IF(Table1[[#This Row],[Progres MOS]]=0,"Belum MOS = 0%"))))</f>
        <v>Proses MOS &gt; 50%</v>
      </c>
      <c r="ET40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1" s="47"/>
      <c r="EV401" s="331">
        <v>45964</v>
      </c>
      <c r="EW401" s="331">
        <v>46153</v>
      </c>
      <c r="EX401" s="331">
        <v>46110</v>
      </c>
      <c r="EY401" s="331">
        <v>46183</v>
      </c>
      <c r="EZ401" s="352" t="s">
        <v>2748</v>
      </c>
      <c r="FA401" s="409" t="s">
        <v>2748</v>
      </c>
      <c r="FB401" s="331"/>
      <c r="FC401" s="330">
        <v>45985</v>
      </c>
      <c r="FD401" s="331" t="s">
        <v>260</v>
      </c>
      <c r="FE401" s="331">
        <v>46048</v>
      </c>
      <c r="FF401" s="331"/>
      <c r="FG401" s="331"/>
      <c r="FH401" s="331"/>
      <c r="FI401" s="331"/>
      <c r="FJ401" s="331"/>
      <c r="FK401" s="331"/>
      <c r="FL401" s="352" t="s">
        <v>2806</v>
      </c>
      <c r="FM401" s="352"/>
      <c r="FN401" s="338" t="str">
        <f>IF(Table1[[#This Row],[Tanggal Pengajuan Dokumen]]="","",Table1[[#This Row],[PLAN PERMIT
start]]-Table1[[#This Row],[Tanggal Pengajuan Dokumen]])</f>
        <v/>
      </c>
      <c r="FO401" s="352"/>
      <c r="FP401" s="316"/>
      <c r="FQ401" s="338"/>
      <c r="FR401" s="331"/>
      <c r="FS401" s="338"/>
      <c r="FT40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1" s="344">
        <f ca="1">IF(Table1[[#This Row],[Status Izin]]="Selesai",Table1[[#This Row],[PLAN PERMIT
finish]]-Table1[[#This Row],[Tanggal Terbit/ Target Izin Terbit]],ROUNDUP(Table1[[#This Row],[PLAN PERMIT
finish]]-NOW(),0))</f>
        <v>-81</v>
      </c>
      <c r="FV40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1" s="344"/>
      <c r="FX401" s="47"/>
      <c r="FY401" s="513">
        <v>46069</v>
      </c>
      <c r="FZ401" s="513">
        <v>46066</v>
      </c>
      <c r="GA40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1" s="331">
        <v>46083</v>
      </c>
      <c r="GC401" s="352">
        <v>46083</v>
      </c>
      <c r="GD40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1" s="331">
        <v>46090</v>
      </c>
      <c r="GF401" s="352">
        <v>46087</v>
      </c>
      <c r="GG40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1" s="331">
        <v>46097</v>
      </c>
      <c r="GI401" s="331">
        <v>46103</v>
      </c>
      <c r="GJ401" s="352">
        <v>46108</v>
      </c>
      <c r="GK40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1" s="331">
        <v>46111</v>
      </c>
      <c r="GM401" s="331">
        <v>46206</v>
      </c>
      <c r="GN401" s="331">
        <v>46222</v>
      </c>
      <c r="GO401" s="330">
        <v>46275</v>
      </c>
      <c r="GP401" s="316"/>
      <c r="GQ40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1" s="331"/>
      <c r="GS401" s="331"/>
      <c r="GT401" s="354"/>
      <c r="GU401" s="344" t="str">
        <f>IF(Table1[[#This Row],[Hydro Tes Actual
(tanggal)]]&lt;&gt;"","Sudah","Belum")</f>
        <v>Belum</v>
      </c>
      <c r="GV401" s="330"/>
      <c r="GW401" s="330"/>
      <c r="GX401" s="331"/>
      <c r="GY401" s="344" t="str">
        <f>IF(Table1[[#This Row],[Interkoneksi Actual
(tanggal)]]&lt;&gt;"","Sudah","Belum")</f>
        <v>Belum</v>
      </c>
      <c r="GZ401" s="330"/>
      <c r="HA401" s="330"/>
      <c r="HB401" s="331"/>
      <c r="HC401" s="344" t="str">
        <f>IF(Table1[[#This Row],[Flushing Actual
(tanggal)]]&lt;&gt;"","Sudah","Belum")</f>
        <v>Belum</v>
      </c>
      <c r="HD401" s="331">
        <v>46225</v>
      </c>
      <c r="HE401" s="331">
        <v>46276</v>
      </c>
      <c r="HF401" s="331">
        <v>46230</v>
      </c>
      <c r="HG401" s="352"/>
      <c r="HH40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1" s="330"/>
      <c r="HJ401" s="330"/>
      <c r="HK401" s="331"/>
      <c r="HL401" s="331"/>
      <c r="HM401" s="331">
        <v>46247</v>
      </c>
      <c r="HN401" s="331">
        <v>46247</v>
      </c>
      <c r="HO401" s="330">
        <v>46293</v>
      </c>
      <c r="HP401" s="331"/>
      <c r="HQ40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01" s="331">
        <v>46255</v>
      </c>
      <c r="HS401" s="331"/>
      <c r="HT401" s="331">
        <v>46255</v>
      </c>
      <c r="HU401" s="420"/>
      <c r="HV401" s="395"/>
      <c r="HW401"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01" s="47"/>
      <c r="HY401" s="352"/>
      <c r="HZ401" s="352"/>
      <c r="IA401" s="72"/>
      <c r="IB401" s="618">
        <f>IFERROR(ROUND((Table1[[#This Row],[PLAN TC
finish]]-Table1[[#This Row],[PLAN MC-0
start]])/30,2),"")</f>
        <v>4.43</v>
      </c>
      <c r="IC401">
        <f>DATEDIF(Table1[[#This Row],[PLAN MC-0
start]],Table1[[#This Row],[PLAN TC
finish]],"m")</f>
        <v>4</v>
      </c>
      <c r="ID401" s="6"/>
      <c r="IE401" s="6"/>
      <c r="IF401" s="72"/>
      <c r="IH401" s="6"/>
      <c r="II401" s="4"/>
      <c r="IJ401" s="4"/>
      <c r="IK401" s="6"/>
      <c r="IL401" s="6"/>
      <c r="IM401" s="6"/>
      <c r="IN401" s="6"/>
      <c r="IO401" s="6"/>
      <c r="IQ401" s="6"/>
      <c r="IR401" s="6"/>
      <c r="IS401" s="6"/>
      <c r="IT401" s="6"/>
      <c r="IW401" s="6"/>
      <c r="IX401" s="6"/>
      <c r="IZ401" s="6"/>
      <c r="JA401" s="6"/>
    </row>
    <row r="402" spans="1:261" ht="15" hidden="1" customHeight="1" x14ac:dyDescent="0.2">
      <c r="B402" s="311">
        <f>SUBTOTAL(3,$D$5:D402)</f>
        <v>84</v>
      </c>
      <c r="C402" s="316">
        <v>398</v>
      </c>
      <c r="D402" s="315" t="s">
        <v>673</v>
      </c>
      <c r="E402" s="338" t="s">
        <v>3174</v>
      </c>
      <c r="F402" s="338" t="s">
        <v>3175</v>
      </c>
      <c r="G402" s="349">
        <v>46300</v>
      </c>
      <c r="H402" s="338" t="s">
        <v>247</v>
      </c>
      <c r="I402" s="338" t="s">
        <v>278</v>
      </c>
      <c r="J402" s="480"/>
      <c r="K402" s="338"/>
      <c r="L402" s="316"/>
      <c r="M402" s="355" t="s">
        <v>251</v>
      </c>
      <c r="N402" s="507">
        <v>5217</v>
      </c>
      <c r="O402" s="507" t="s">
        <v>252</v>
      </c>
      <c r="P40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2" s="35">
        <v>0.33700956063199156</v>
      </c>
      <c r="S402" s="327">
        <v>0.33700956063199156</v>
      </c>
      <c r="T402" s="152">
        <f>Table1[[#This Row],[Progres Total Aktual
(%)]]</f>
        <v>4.7365829645743242E-2</v>
      </c>
      <c r="U402" s="121">
        <f>Table1[[#This Row],[Progres Aktual
(%)]]-Table1[[#This Row],[Target Progres
(%)]]</f>
        <v>-0.28964373098624829</v>
      </c>
      <c r="V402" s="80">
        <v>5785</v>
      </c>
      <c r="W402" s="80">
        <f>Table1[[#This Row],[Total Panjang Pipa Aktual
(Sum-&gt;)3]]</f>
        <v>0</v>
      </c>
      <c r="X402" s="117"/>
      <c r="Y402" s="508" t="s">
        <v>3141</v>
      </c>
      <c r="Z402" s="67">
        <v>7278372870</v>
      </c>
      <c r="AA402" s="509">
        <f>ROUND((Table1[[#This Row],[Nilai RAB Jaringan
(Exclude Ppn)]]-Table1[[#This Row],[RAB Perizinan]])*1.11+Table1[[#This Row],[RAB Perizinan]],0)</f>
        <v>7278372869</v>
      </c>
      <c r="AB402" s="483">
        <f>SUM(Table1[[#This Row],[RAB Kegiatan Umum]:[RAB Perizinan]])</f>
        <v>6562262675</v>
      </c>
      <c r="AC402" s="436">
        <v>487941686</v>
      </c>
      <c r="AD402" s="436">
        <v>4879416859</v>
      </c>
      <c r="AE402" s="436">
        <v>1142734130</v>
      </c>
      <c r="AF402" s="436">
        <v>52170000</v>
      </c>
      <c r="AG402" s="534"/>
      <c r="AH402" s="510">
        <f>SUM(Table1[[#This Row],[Bobot Keg Umum]:[Bobot Perizinan]])</f>
        <v>1</v>
      </c>
      <c r="AI402" s="510">
        <f>Table1[[#This Row],[RAB Kegiatan Umum]]/Table1[[#This Row],[Nilai RAB Jaringan
(Exclude Ppn)]]</f>
        <v>7.4355707804701673E-2</v>
      </c>
      <c r="AJ402" s="510">
        <f>Table1[[#This Row],[RAB Pemasangan]]/Table1[[#This Row],[Nilai RAB Jaringan
(Exclude Ppn)]]</f>
        <v>0.74355707789463032</v>
      </c>
      <c r="AK402" s="129">
        <f>Table1[[#This Row],[RAB Pengadaan]]/Table1[[#This Row],[Nilai RAB Jaringan
(Exclude Ppn)]]</f>
        <v>0.17413721251260336</v>
      </c>
      <c r="AL402" s="130">
        <f>Table1[[#This Row],[RAB Perizinan]]/Table1[[#This Row],[Nilai RAB Jaringan
(Exclude Ppn)]]</f>
        <v>7.9500017880646638E-3</v>
      </c>
      <c r="AM402" s="47"/>
      <c r="AN402" s="285"/>
      <c r="AO402" s="285">
        <f>SUM(Table1[[#This Row],[Pipa 63 mm]:[Pipa 1,800 mm]])</f>
        <v>5785</v>
      </c>
      <c r="AP402" s="285">
        <v>4727</v>
      </c>
      <c r="AQ402" s="285">
        <v>645</v>
      </c>
      <c r="AR402" s="285">
        <v>186</v>
      </c>
      <c r="AS402" s="285">
        <v>222</v>
      </c>
      <c r="AT402" s="285">
        <v>5</v>
      </c>
      <c r="AU402" s="285"/>
      <c r="AV402" s="285"/>
      <c r="AW402" s="285"/>
      <c r="AX402" s="285"/>
      <c r="AY402" s="285"/>
      <c r="AZ402" s="285"/>
      <c r="BA402" s="285"/>
      <c r="BB402" s="285"/>
      <c r="BC402" s="285"/>
      <c r="BD402" s="285"/>
      <c r="BE402" s="285"/>
      <c r="BF402" s="285"/>
      <c r="BG402" s="285"/>
      <c r="BH402" s="285"/>
      <c r="BI402" s="285"/>
      <c r="BJ402" s="36">
        <f>SUM(Table1[[#This Row],[Pipa 63 mm2]:[Pipa 1,800 mm21]])</f>
        <v>0</v>
      </c>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f>IF((Table1[[#This Row],["Volume
BA MC-0"]]-Table1[[#This Row],[Total Panjang Pipa Aktual
(Sum-&gt;)3]]-Table1[[#This Row],[Total Volume
tidak dapat dipasang]])&gt;=0,Table1[[#This Row],["Volume
BA MC-0"]]-Table1[[#This Row],[Total Panjang Pipa Aktual
(Sum-&gt;)3]]-Table1[[#This Row],[Total Volume
tidak dapat dipasang]],0)</f>
        <v>0</v>
      </c>
      <c r="CK402" s="47"/>
      <c r="CL402" s="131"/>
      <c r="CM402" s="337"/>
      <c r="CN402" s="131"/>
      <c r="CO402" s="131"/>
      <c r="CP402"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4.7365829645743242E-2</v>
      </c>
      <c r="CQ402" s="436">
        <f>IFERROR(Table1[[#This Row],[Progres Keg. Umum
(%)]]*Table1[[#This Row],[Nilai RAB Jaringan
(file pa aji)]],0)</f>
        <v>0</v>
      </c>
      <c r="CR402" s="436">
        <f>IFERROR(Table1[[#This Row],[Progres MOS
(%)]]*Table1[[#This Row],[Nilai RAB Jaringan
(file pa aji)]],0)</f>
        <v>0</v>
      </c>
      <c r="CS402" s="436">
        <f>IFERROR(Table1[[#This Row],[Progres Pemasangan
(%)]]*Table1[[#This Row],[Nilai RAB Jaringan
(file pa aji)]],0)</f>
        <v>0</v>
      </c>
      <c r="CT402" s="436">
        <f>IFERROR(Table1[[#This Row],[Progres Perizinan
(%)]]*Table1[[#This Row],[Nilai RAB Jaringan
(file pa aji)]],0)</f>
        <v>0</v>
      </c>
      <c r="CU402" s="329">
        <v>344746169.41125351</v>
      </c>
      <c r="CV402" s="329">
        <v>344746169.41125351</v>
      </c>
      <c r="CW402" s="511">
        <v>0</v>
      </c>
      <c r="CX402" s="329">
        <v>0</v>
      </c>
      <c r="CY402" s="47"/>
      <c r="CZ402" s="331">
        <v>45929</v>
      </c>
      <c r="DA402" s="331">
        <v>45963</v>
      </c>
      <c r="DB402" s="331">
        <v>45951</v>
      </c>
      <c r="DC402" s="535" t="s">
        <v>3176</v>
      </c>
      <c r="DD402" s="508">
        <f>7226202869.25+52170000</f>
        <v>7278372869.25</v>
      </c>
      <c r="DE40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2" s="420">
        <v>45972</v>
      </c>
      <c r="DG402" s="535" t="s">
        <v>3177</v>
      </c>
      <c r="DH402" s="508">
        <f>7226202869.25+52170000</f>
        <v>7278372869.25</v>
      </c>
      <c r="DI40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2" s="331">
        <v>45964</v>
      </c>
      <c r="DK402" s="331">
        <v>46082</v>
      </c>
      <c r="DL402" s="331">
        <v>46055</v>
      </c>
      <c r="DM402" s="316" t="s">
        <v>3178</v>
      </c>
      <c r="DN40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2" s="331">
        <v>46091</v>
      </c>
      <c r="DP402" s="316" t="s">
        <v>3179</v>
      </c>
      <c r="DQ402" s="338" t="s">
        <v>3180</v>
      </c>
      <c r="DR40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2" s="331">
        <v>45964</v>
      </c>
      <c r="DT402" s="331">
        <v>46164</v>
      </c>
      <c r="DU402" s="331">
        <v>46012</v>
      </c>
      <c r="DV402" s="331">
        <v>46178</v>
      </c>
      <c r="DW402" s="331">
        <v>46056</v>
      </c>
      <c r="DX402" t="s">
        <v>3181</v>
      </c>
      <c r="DY402" s="512">
        <v>104</v>
      </c>
      <c r="DZ402" s="512">
        <v>104</v>
      </c>
      <c r="EA40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2" s="331">
        <v>46160</v>
      </c>
      <c r="EC402" s="512">
        <v>104</v>
      </c>
      <c r="ED402" s="512">
        <v>104</v>
      </c>
      <c r="EE402" t="s">
        <v>3182</v>
      </c>
      <c r="EF402" s="337">
        <v>1</v>
      </c>
      <c r="EG402" s="337">
        <f>Table1[[#This Row],[Line PO]]/Table1[[#This Row],[Line PR]]</f>
        <v>1</v>
      </c>
      <c r="EH402" s="316" t="str">
        <f>IF(Table1[[#This Row],[PO Material Aktual 
(%)]]&gt;=100%,"Selesai PO = 100%",IF(Table1[[#This Row],[PO Material Aktual 
(%)]]&gt;=50%,"Proses PO &gt; 100%",IF(Table1[[#This Row],[PO Material Aktual 
(%)]]&gt;0%,"Proses PO &gt; 50%",IF(Table1[[#This Row],[PO Material Aktual 
(%)]]=0,"Belum PO = 0%"))))</f>
        <v>Selesai PO = 100%</v>
      </c>
      <c r="EI40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02" s="331">
        <v>46013</v>
      </c>
      <c r="EK402" s="331">
        <v>46178</v>
      </c>
      <c r="EL402" s="331">
        <v>46201</v>
      </c>
      <c r="EM402" s="331">
        <v>46203</v>
      </c>
      <c r="EN402" s="331"/>
      <c r="EO402" s="512">
        <v>34</v>
      </c>
      <c r="EP402" s="512">
        <v>34</v>
      </c>
      <c r="EQ402" s="337">
        <v>0.32692307692307693</v>
      </c>
      <c r="ER402" s="337">
        <f>Table1[[#This Row],[Line MOS]]/Table1[[#This Row],[Line PR]]</f>
        <v>0.32692307692307693</v>
      </c>
      <c r="ES402" s="316" t="str">
        <f>IF(Table1[[#This Row],[Progres MOS]]&gt;=100%,"Selesai MOS = 100%",IF(Table1[[#This Row],[Progres MOS]]&gt;=50%,"Proses MOS &gt; 100%",IF(Table1[[#This Row],[Progres MOS]]&gt;0%,"Proses MOS &gt; 50%",IF(Table1[[#This Row],[Progres MOS]]=0,"Belum MOS = 0%"))))</f>
        <v>Proses MOS &gt; 50%</v>
      </c>
      <c r="ET40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2" s="47"/>
      <c r="EV402" s="331">
        <v>45964</v>
      </c>
      <c r="EW402" s="331">
        <v>46153</v>
      </c>
      <c r="EX402" s="331">
        <v>46110</v>
      </c>
      <c r="EY402" s="331">
        <v>46183</v>
      </c>
      <c r="EZ402" s="352" t="s">
        <v>2806</v>
      </c>
      <c r="FA402" s="409" t="s">
        <v>2806</v>
      </c>
      <c r="FB402" s="331"/>
      <c r="FC402" s="330">
        <v>46010</v>
      </c>
      <c r="FD402" s="331" t="s">
        <v>260</v>
      </c>
      <c r="FE402" s="331"/>
      <c r="FF402" s="331"/>
      <c r="FG402" s="331"/>
      <c r="FH402" s="331"/>
      <c r="FI402" s="331"/>
      <c r="FJ402" s="331"/>
      <c r="FK402" s="331"/>
      <c r="FL402" s="352" t="s">
        <v>2759</v>
      </c>
      <c r="FM402" s="352"/>
      <c r="FN402" s="338" t="str">
        <f>IF(Table1[[#This Row],[Tanggal Pengajuan Dokumen]]="","",Table1[[#This Row],[PLAN PERMIT
start]]-Table1[[#This Row],[Tanggal Pengajuan Dokumen]])</f>
        <v/>
      </c>
      <c r="FO402" s="352"/>
      <c r="FP402" s="316"/>
      <c r="FQ402" s="338"/>
      <c r="FR402" s="331"/>
      <c r="FS402" s="338"/>
      <c r="FT40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2" s="344">
        <f ca="1">IF(Table1[[#This Row],[Status Izin]]="Selesai",Table1[[#This Row],[PLAN PERMIT
finish]]-Table1[[#This Row],[Tanggal Terbit/ Target Izin Terbit]],ROUNDUP(Table1[[#This Row],[PLAN PERMIT
finish]]-NOW(),0))</f>
        <v>-81</v>
      </c>
      <c r="FV40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2" s="344"/>
      <c r="FX402" s="47"/>
      <c r="FY402" s="513">
        <v>46069</v>
      </c>
      <c r="FZ402" s="513">
        <v>46066</v>
      </c>
      <c r="GA40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2" s="331">
        <v>46083</v>
      </c>
      <c r="GC402" s="352">
        <v>46090</v>
      </c>
      <c r="GD40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2" s="331">
        <v>46090</v>
      </c>
      <c r="GF402" s="352">
        <v>46090</v>
      </c>
      <c r="GG40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2" s="331">
        <v>46097</v>
      </c>
      <c r="GI402" s="331">
        <v>46103</v>
      </c>
      <c r="GJ402" s="352">
        <v>46092</v>
      </c>
      <c r="GK40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2" s="331">
        <v>46111</v>
      </c>
      <c r="GM402" s="331">
        <v>46206</v>
      </c>
      <c r="GN402" s="331">
        <v>46222</v>
      </c>
      <c r="GO402" s="330">
        <v>46275</v>
      </c>
      <c r="GP402" s="316"/>
      <c r="GQ40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2" s="331"/>
      <c r="GS402" s="331"/>
      <c r="GT402" s="354"/>
      <c r="GU402" s="344" t="str">
        <f>IF(Table1[[#This Row],[Hydro Tes Actual
(tanggal)]]&lt;&gt;"","Sudah","Belum")</f>
        <v>Belum</v>
      </c>
      <c r="GV402" s="330"/>
      <c r="GW402" s="330"/>
      <c r="GX402" s="331"/>
      <c r="GY402" s="344" t="str">
        <f>IF(Table1[[#This Row],[Interkoneksi Actual
(tanggal)]]&lt;&gt;"","Sudah","Belum")</f>
        <v>Belum</v>
      </c>
      <c r="GZ402" s="330"/>
      <c r="HA402" s="330"/>
      <c r="HB402" s="331"/>
      <c r="HC402" s="344" t="str">
        <f>IF(Table1[[#This Row],[Flushing Actual
(tanggal)]]&lt;&gt;"","Sudah","Belum")</f>
        <v>Belum</v>
      </c>
      <c r="HD402" s="331">
        <v>46225</v>
      </c>
      <c r="HE402" s="331">
        <v>46276</v>
      </c>
      <c r="HF402" s="331">
        <v>46230</v>
      </c>
      <c r="HG402" s="352"/>
      <c r="HH40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2" s="330"/>
      <c r="HJ402" s="330"/>
      <c r="HK402" s="331"/>
      <c r="HL402" s="331"/>
      <c r="HM402" s="331">
        <v>46247</v>
      </c>
      <c r="HN402" s="331">
        <v>46247</v>
      </c>
      <c r="HO402" s="330">
        <v>46293</v>
      </c>
      <c r="HP402" s="331"/>
      <c r="HQ40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02" s="331">
        <v>46255</v>
      </c>
      <c r="HS402" s="331"/>
      <c r="HT402" s="331">
        <v>46255</v>
      </c>
      <c r="HU402" s="420"/>
      <c r="HV402" s="395"/>
      <c r="HW402"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02" s="47"/>
      <c r="HY402" s="352"/>
      <c r="HZ402" s="352"/>
      <c r="IA402" s="72"/>
      <c r="IB402" s="618">
        <f>IFERROR(ROUND((Table1[[#This Row],[PLAN TC
finish]]-Table1[[#This Row],[PLAN MC-0
start]])/30,2),"")</f>
        <v>4.43</v>
      </c>
      <c r="IC402">
        <f>DATEDIF(Table1[[#This Row],[PLAN MC-0
start]],Table1[[#This Row],[PLAN TC
finish]],"m")</f>
        <v>4</v>
      </c>
      <c r="ID402" s="6"/>
      <c r="IE402" s="6"/>
      <c r="IF402" s="72"/>
      <c r="IH402" s="6"/>
      <c r="II402" s="4"/>
      <c r="IJ402" s="4"/>
      <c r="IK402" s="6"/>
      <c r="IL402" s="6"/>
      <c r="IM402" s="6"/>
      <c r="IN402" s="6"/>
      <c r="IO402" s="6"/>
      <c r="IQ402" s="6"/>
      <c r="IR402" s="6"/>
      <c r="IS402" s="6"/>
      <c r="IT402" s="6"/>
      <c r="IW402" s="6"/>
      <c r="IX402" s="6"/>
      <c r="IZ402" s="6"/>
      <c r="JA402" s="6"/>
    </row>
    <row r="403" spans="1:261" ht="15" hidden="1" customHeight="1" x14ac:dyDescent="0.2">
      <c r="B403" s="311">
        <f>SUBTOTAL(3,$D$5:D403)</f>
        <v>84</v>
      </c>
      <c r="C403" s="316">
        <v>399</v>
      </c>
      <c r="D403" s="315" t="s">
        <v>673</v>
      </c>
      <c r="E403" s="338" t="s">
        <v>3183</v>
      </c>
      <c r="F403" s="338" t="s">
        <v>3184</v>
      </c>
      <c r="G403" s="349">
        <v>46300</v>
      </c>
      <c r="H403" s="338" t="s">
        <v>247</v>
      </c>
      <c r="I403" s="338" t="s">
        <v>278</v>
      </c>
      <c r="J403" s="480"/>
      <c r="K403" s="338"/>
      <c r="L403" s="316"/>
      <c r="M403" s="355" t="s">
        <v>251</v>
      </c>
      <c r="N403" s="507">
        <v>12279</v>
      </c>
      <c r="O403" s="507" t="s">
        <v>252</v>
      </c>
      <c r="P40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3" s="35">
        <v>0.33991062415344858</v>
      </c>
      <c r="S403" s="327">
        <v>0.33991062415344858</v>
      </c>
      <c r="T403" s="152">
        <f>Table1[[#This Row],[Progres Total Aktual
(%)]]</f>
        <v>4.6381993497782201E-2</v>
      </c>
      <c r="U403" s="121">
        <f>Table1[[#This Row],[Progres Aktual
(%)]]-Table1[[#This Row],[Target Progres
(%)]]</f>
        <v>-0.29352863065566637</v>
      </c>
      <c r="V403" s="80">
        <v>12646</v>
      </c>
      <c r="W403" s="80">
        <f>Table1[[#This Row],[Total Panjang Pipa Aktual
(Sum-&gt;)3]]</f>
        <v>0</v>
      </c>
      <c r="X403" s="117"/>
      <c r="Y403" s="508" t="s">
        <v>3141</v>
      </c>
      <c r="Z403" s="67">
        <v>17581844675</v>
      </c>
      <c r="AA403" s="509">
        <f>ROUNDUP((Table1[[#This Row],[Nilai RAB Jaringan
(Exclude Ppn)]]-Table1[[#This Row],[RAB Perizinan]])*1.11+Table1[[#This Row],[RAB Perizinan]],0)</f>
        <v>17581844675</v>
      </c>
      <c r="AB403" s="483">
        <f>SUM(Table1[[#This Row],[RAB Kegiatan Umum]:[RAB Perizinan]])</f>
        <v>15851668085</v>
      </c>
      <c r="AC403" s="436">
        <v>1170002272</v>
      </c>
      <c r="AD403" s="436">
        <v>11700022714</v>
      </c>
      <c r="AE403" s="436">
        <v>2858853099</v>
      </c>
      <c r="AF403" s="436">
        <v>122790000</v>
      </c>
      <c r="AG403" s="534"/>
      <c r="AH403" s="510">
        <f>SUM(Table1[[#This Row],[Bobot Keg Umum]:[Bobot Perizinan]])</f>
        <v>1</v>
      </c>
      <c r="AI403" s="510">
        <f>Table1[[#This Row],[RAB Kegiatan Umum]]/Table1[[#This Row],[Nilai RAB Jaringan
(Exclude Ppn)]]</f>
        <v>7.380941019747575E-2</v>
      </c>
      <c r="AJ403" s="510">
        <f>Table1[[#This Row],[RAB Pemasangan]]/Table1[[#This Row],[Nilai RAB Jaringan
(Exclude Ppn)]]</f>
        <v>0.73809410159624855</v>
      </c>
      <c r="AK403" s="129">
        <f>Table1[[#This Row],[RAB Pengadaan]]/Table1[[#This Row],[Nilai RAB Jaringan
(Exclude Ppn)]]</f>
        <v>0.1803503002756697</v>
      </c>
      <c r="AL403" s="130">
        <f>Table1[[#This Row],[RAB Perizinan]]/Table1[[#This Row],[Nilai RAB Jaringan
(Exclude Ppn)]]</f>
        <v>7.7461879306060426E-3</v>
      </c>
      <c r="AM403" s="47"/>
      <c r="AN403" s="285"/>
      <c r="AO403" s="285">
        <f>SUM(Table1[[#This Row],[Pipa 63 mm]:[Pipa 1,800 mm]])</f>
        <v>12646</v>
      </c>
      <c r="AP403" s="285">
        <v>9491</v>
      </c>
      <c r="AQ403" s="285">
        <v>2124</v>
      </c>
      <c r="AR403" s="285">
        <v>213</v>
      </c>
      <c r="AS403" s="285">
        <v>661</v>
      </c>
      <c r="AT403" s="285">
        <v>148</v>
      </c>
      <c r="AU403" s="285">
        <v>9</v>
      </c>
      <c r="AV403" s="285"/>
      <c r="AW403" s="285"/>
      <c r="AX403" s="285"/>
      <c r="AY403" s="285"/>
      <c r="AZ403" s="285"/>
      <c r="BA403" s="285"/>
      <c r="BB403" s="285"/>
      <c r="BC403" s="285"/>
      <c r="BD403" s="285"/>
      <c r="BE403" s="285"/>
      <c r="BF403" s="285"/>
      <c r="BG403" s="285"/>
      <c r="BH403" s="285"/>
      <c r="BI403" s="285"/>
      <c r="BJ403" s="36">
        <f>SUM(Table1[[#This Row],[Pipa 63 mm2]:[Pipa 1,800 mm21]])</f>
        <v>0</v>
      </c>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f>IF((Table1[[#This Row],["Volume
BA MC-0"]]-Table1[[#This Row],[Total Panjang Pipa Aktual
(Sum-&gt;)3]]-Table1[[#This Row],[Total Volume
tidak dapat dipasang]])&gt;=0,Table1[[#This Row],["Volume
BA MC-0"]]-Table1[[#This Row],[Total Panjang Pipa Aktual
(Sum-&gt;)3]]-Table1[[#This Row],[Total Volume
tidak dapat dipasang]],0)</f>
        <v>0</v>
      </c>
      <c r="CK403" s="47"/>
      <c r="CL403" s="131"/>
      <c r="CM403" s="337"/>
      <c r="CN403" s="131"/>
      <c r="CO403" s="131"/>
      <c r="CP403"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4.6381993497782201E-2</v>
      </c>
      <c r="CQ403" s="436">
        <f>IFERROR(Table1[[#This Row],[Progres Keg. Umum
(%)]]*Table1[[#This Row],[Nilai RAB Jaringan
(file pa aji)]],0)</f>
        <v>0</v>
      </c>
      <c r="CR403" s="436">
        <f>IFERROR(Table1[[#This Row],[Progres MOS
(%)]]*Table1[[#This Row],[Nilai RAB Jaringan
(file pa aji)]],0)</f>
        <v>0</v>
      </c>
      <c r="CS403" s="436">
        <f>IFERROR(Table1[[#This Row],[Progres Pemasangan
(%)]]*Table1[[#This Row],[Nilai RAB Jaringan
(file pa aji)]],0)</f>
        <v>0</v>
      </c>
      <c r="CT403" s="436">
        <f>IFERROR(Table1[[#This Row],[Progres Perizinan
(%)]]*Table1[[#This Row],[Nilai RAB Jaringan
(file pa aji)]],0)</f>
        <v>0</v>
      </c>
      <c r="CU403" s="329">
        <v>815481005.39486659</v>
      </c>
      <c r="CV403" s="329">
        <v>815481005.39486659</v>
      </c>
      <c r="CW403" s="511">
        <v>0</v>
      </c>
      <c r="CX403" s="329">
        <v>0</v>
      </c>
      <c r="CY403" s="47"/>
      <c r="CZ403" s="331">
        <v>45929</v>
      </c>
      <c r="DA403" s="331">
        <v>45963</v>
      </c>
      <c r="DB403" s="331">
        <v>45951</v>
      </c>
      <c r="DC403" s="535" t="s">
        <v>3185</v>
      </c>
      <c r="DD403" s="536">
        <f>17459054674.35
+122790000</f>
        <v>17581844674.349998</v>
      </c>
      <c r="DE40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3" s="420">
        <v>45972</v>
      </c>
      <c r="DG403" s="535" t="s">
        <v>3186</v>
      </c>
      <c r="DH403" s="536">
        <f>17459054674.35
+122790000</f>
        <v>17581844674.349998</v>
      </c>
      <c r="DI40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3" s="331">
        <v>45964</v>
      </c>
      <c r="DK403" s="331">
        <v>46082</v>
      </c>
      <c r="DL403" s="331">
        <v>46055</v>
      </c>
      <c r="DM403" s="316" t="s">
        <v>3187</v>
      </c>
      <c r="DN40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3" s="331">
        <v>46087</v>
      </c>
      <c r="DP403" s="316"/>
      <c r="DQ403" s="338" t="s">
        <v>1671</v>
      </c>
      <c r="DR40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3" s="331">
        <v>45964</v>
      </c>
      <c r="DT403" s="331">
        <v>46164</v>
      </c>
      <c r="DU403" s="331">
        <v>46012</v>
      </c>
      <c r="DV403" s="331">
        <v>46178</v>
      </c>
      <c r="DW403" s="331">
        <v>46057</v>
      </c>
      <c r="DX403" t="s">
        <v>3188</v>
      </c>
      <c r="DY403" s="512">
        <v>122</v>
      </c>
      <c r="DZ403" s="512">
        <v>122</v>
      </c>
      <c r="EA40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3" s="331"/>
      <c r="EC403" s="512">
        <v>112</v>
      </c>
      <c r="ED403" s="512">
        <v>112</v>
      </c>
      <c r="EE403" s="118"/>
      <c r="EF403" s="337">
        <v>0.91803278688524592</v>
      </c>
      <c r="EG403" s="337">
        <f>Table1[[#This Row],[Line PO]]/Table1[[#This Row],[Line PR]]</f>
        <v>0.91803278688524592</v>
      </c>
      <c r="EH403" s="316" t="str">
        <f>IF(Table1[[#This Row],[PO Material Aktual 
(%)]]&gt;=100%,"Selesai PO = 100%",IF(Table1[[#This Row],[PO Material Aktual 
(%)]]&gt;=50%,"Proses PO &gt; 100%",IF(Table1[[#This Row],[PO Material Aktual 
(%)]]&gt;0%,"Proses PO &gt; 50%",IF(Table1[[#This Row],[PO Material Aktual 
(%)]]=0,"Belum PO = 0%"))))</f>
        <v>Proses PO &gt; 100%</v>
      </c>
      <c r="EI40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3" s="331">
        <v>46013</v>
      </c>
      <c r="EK403" s="331">
        <v>46178</v>
      </c>
      <c r="EL403" s="331">
        <v>46201</v>
      </c>
      <c r="EM403" s="331">
        <v>46203</v>
      </c>
      <c r="EN403" s="331"/>
      <c r="EO403" s="512">
        <v>41</v>
      </c>
      <c r="EP403" s="512">
        <v>41</v>
      </c>
      <c r="EQ403" s="337">
        <v>0.33606557377049179</v>
      </c>
      <c r="ER403" s="337">
        <f>Table1[[#This Row],[Line MOS]]/Table1[[#This Row],[Line PR]]</f>
        <v>0.33606557377049179</v>
      </c>
      <c r="ES403" s="316" t="str">
        <f>IF(Table1[[#This Row],[Progres MOS]]&gt;=100%,"Selesai MOS = 100%",IF(Table1[[#This Row],[Progres MOS]]&gt;=50%,"Proses MOS &gt; 100%",IF(Table1[[#This Row],[Progres MOS]]&gt;0%,"Proses MOS &gt; 50%",IF(Table1[[#This Row],[Progres MOS]]=0,"Belum MOS = 0%"))))</f>
        <v>Proses MOS &gt; 50%</v>
      </c>
      <c r="ET40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3" s="47"/>
      <c r="EV403" s="331">
        <v>45964</v>
      </c>
      <c r="EW403" s="331">
        <v>46153</v>
      </c>
      <c r="EX403" s="331">
        <v>46110</v>
      </c>
      <c r="EY403" s="331">
        <v>46183</v>
      </c>
      <c r="EZ403" s="352" t="s">
        <v>2806</v>
      </c>
      <c r="FA403" s="409" t="s">
        <v>2806</v>
      </c>
      <c r="FB403" s="331"/>
      <c r="FC403" s="330">
        <v>46010</v>
      </c>
      <c r="FD403" s="331" t="s">
        <v>260</v>
      </c>
      <c r="FE403" s="331"/>
      <c r="FF403" s="331"/>
      <c r="FG403" s="331"/>
      <c r="FH403" s="331"/>
      <c r="FI403" s="331"/>
      <c r="FJ403" s="331"/>
      <c r="FK403" s="331"/>
      <c r="FL403" s="352" t="s">
        <v>2759</v>
      </c>
      <c r="FM403" s="352"/>
      <c r="FN403" s="338" t="str">
        <f>IF(Table1[[#This Row],[Tanggal Pengajuan Dokumen]]="","",Table1[[#This Row],[PLAN PERMIT
start]]-Table1[[#This Row],[Tanggal Pengajuan Dokumen]])</f>
        <v/>
      </c>
      <c r="FO403" s="352"/>
      <c r="FP403" s="316"/>
      <c r="FQ403" s="338"/>
      <c r="FR403" s="331"/>
      <c r="FS403" s="338"/>
      <c r="FT40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3" s="344">
        <f ca="1">IF(Table1[[#This Row],[Status Izin]]="Selesai",Table1[[#This Row],[PLAN PERMIT
finish]]-Table1[[#This Row],[Tanggal Terbit/ Target Izin Terbit]],ROUNDUP(Table1[[#This Row],[PLAN PERMIT
finish]]-NOW(),0))</f>
        <v>-81</v>
      </c>
      <c r="FV40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3" s="344"/>
      <c r="FX403" s="47"/>
      <c r="FY403" s="513">
        <v>46069</v>
      </c>
      <c r="FZ403" s="513">
        <v>46066</v>
      </c>
      <c r="GA40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3" s="331">
        <v>46083</v>
      </c>
      <c r="GC403" s="352">
        <v>46083</v>
      </c>
      <c r="GD40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3" s="331">
        <v>46090</v>
      </c>
      <c r="GF403" s="352">
        <v>46087</v>
      </c>
      <c r="GG40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3" s="331">
        <v>46097</v>
      </c>
      <c r="GI403" s="331">
        <v>46103</v>
      </c>
      <c r="GJ403" s="352">
        <v>46091</v>
      </c>
      <c r="GK40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3" s="331">
        <v>46111</v>
      </c>
      <c r="GM403" s="331">
        <v>46206</v>
      </c>
      <c r="GN403" s="331">
        <v>46222</v>
      </c>
      <c r="GO403" s="330">
        <v>46275</v>
      </c>
      <c r="GP403" s="316"/>
      <c r="GQ40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3" s="331"/>
      <c r="GS403" s="331"/>
      <c r="GT403" s="354"/>
      <c r="GU403" s="344" t="str">
        <f>IF(Table1[[#This Row],[Hydro Tes Actual
(tanggal)]]&lt;&gt;"","Sudah","Belum")</f>
        <v>Belum</v>
      </c>
      <c r="GV403" s="330"/>
      <c r="GW403" s="330"/>
      <c r="GX403" s="331"/>
      <c r="GY403" s="344" t="str">
        <f>IF(Table1[[#This Row],[Interkoneksi Actual
(tanggal)]]&lt;&gt;"","Sudah","Belum")</f>
        <v>Belum</v>
      </c>
      <c r="GZ403" s="330"/>
      <c r="HA403" s="330"/>
      <c r="HB403" s="331"/>
      <c r="HC403" s="344" t="str">
        <f>IF(Table1[[#This Row],[Flushing Actual
(tanggal)]]&lt;&gt;"","Sudah","Belum")</f>
        <v>Belum</v>
      </c>
      <c r="HD403" s="331">
        <v>46225</v>
      </c>
      <c r="HE403" s="331">
        <v>46276</v>
      </c>
      <c r="HF403" s="331">
        <v>46230</v>
      </c>
      <c r="HG403" s="352"/>
      <c r="HH40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3" s="330"/>
      <c r="HJ403" s="330"/>
      <c r="HK403" s="331"/>
      <c r="HL403" s="331"/>
      <c r="HM403" s="331">
        <v>46247</v>
      </c>
      <c r="HN403" s="331">
        <v>46247</v>
      </c>
      <c r="HO403" s="330">
        <v>46293</v>
      </c>
      <c r="HP403" s="331"/>
      <c r="HQ40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03" s="331">
        <v>46255</v>
      </c>
      <c r="HS403" s="331"/>
      <c r="HT403" s="331">
        <v>46255</v>
      </c>
      <c r="HU403" s="420"/>
      <c r="HV403" s="395"/>
      <c r="HW403"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03" s="47"/>
      <c r="HY403" s="352"/>
      <c r="HZ403" s="352"/>
      <c r="IA403" s="72"/>
      <c r="IB403" s="618">
        <f>IFERROR(ROUND((Table1[[#This Row],[PLAN TC
finish]]-Table1[[#This Row],[PLAN MC-0
start]])/30,2),"")</f>
        <v>4.43</v>
      </c>
      <c r="IC403">
        <f>DATEDIF(Table1[[#This Row],[PLAN MC-0
start]],Table1[[#This Row],[PLAN TC
finish]],"m")</f>
        <v>4</v>
      </c>
      <c r="ID403" s="6"/>
      <c r="IE403" s="6"/>
      <c r="IF403" s="72"/>
      <c r="IH403" s="6"/>
      <c r="II403" s="4"/>
      <c r="IJ403" s="4"/>
      <c r="IK403" s="6"/>
      <c r="IL403" s="6"/>
      <c r="IM403" s="6"/>
      <c r="IN403" s="6"/>
      <c r="IO403" s="6"/>
      <c r="IQ403" s="6"/>
      <c r="IR403" s="6"/>
      <c r="IS403" s="6"/>
      <c r="IT403" s="6"/>
      <c r="IW403" s="6"/>
      <c r="IX403" s="6"/>
      <c r="IZ403" s="6"/>
      <c r="JA403" s="6"/>
    </row>
    <row r="404" spans="1:261" ht="15" hidden="1" customHeight="1" x14ac:dyDescent="0.2">
      <c r="B404" s="311">
        <f>SUBTOTAL(3,$D$5:D404)</f>
        <v>84</v>
      </c>
      <c r="C404" s="316">
        <v>400</v>
      </c>
      <c r="D404" s="315" t="s">
        <v>673</v>
      </c>
      <c r="E404" s="338" t="s">
        <v>3189</v>
      </c>
      <c r="F404" s="338" t="s">
        <v>3190</v>
      </c>
      <c r="G404" s="349">
        <v>46300</v>
      </c>
      <c r="H404" s="338" t="s">
        <v>247</v>
      </c>
      <c r="I404" s="338" t="s">
        <v>278</v>
      </c>
      <c r="J404" s="480"/>
      <c r="K404" s="338"/>
      <c r="L404" s="316"/>
      <c r="M404" s="355" t="s">
        <v>251</v>
      </c>
      <c r="N404" s="507">
        <v>5751</v>
      </c>
      <c r="O404" s="507" t="s">
        <v>252</v>
      </c>
      <c r="P40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4" s="35">
        <v>0.33324982257486152</v>
      </c>
      <c r="S404" s="327">
        <v>0.33324982257486152</v>
      </c>
      <c r="T404" s="152">
        <f>Table1[[#This Row],[Progres Total Aktual
(%)]]</f>
        <v>3.6729739544493309E-2</v>
      </c>
      <c r="U404" s="121">
        <f>Table1[[#This Row],[Progres Aktual
(%)]]-Table1[[#This Row],[Target Progres
(%)]]</f>
        <v>-0.2965200830303682</v>
      </c>
      <c r="V404" s="80">
        <v>5754</v>
      </c>
      <c r="W404" s="80">
        <f>Table1[[#This Row],[Total Panjang Pipa Aktual
(Sum-&gt;)3]]</f>
        <v>1341</v>
      </c>
      <c r="X404" s="117"/>
      <c r="Y404" s="508" t="s">
        <v>3141</v>
      </c>
      <c r="Z404" s="67">
        <v>8003246356</v>
      </c>
      <c r="AA404" s="509">
        <f>ROUND((Table1[[#This Row],[Nilai RAB Jaringan
(Exclude Ppn)]]-Table1[[#This Row],[RAB Perizinan]])*1.11+Table1[[#This Row],[RAB Perizinan]],0)</f>
        <v>8003246356</v>
      </c>
      <c r="AB404" s="483">
        <f>SUM(Table1[[#This Row],[RAB Kegiatan Umum]:[RAB Perizinan]])</f>
        <v>7215831041</v>
      </c>
      <c r="AC404" s="436">
        <v>541581782</v>
      </c>
      <c r="AD404" s="436">
        <v>5415817816</v>
      </c>
      <c r="AE404" s="436">
        <v>1200921443</v>
      </c>
      <c r="AF404" s="436">
        <v>57510000</v>
      </c>
      <c r="AG404" s="534"/>
      <c r="AH404" s="510">
        <f>SUM(Table1[[#This Row],[Bobot Keg Umum]:[Bobot Perizinan]])</f>
        <v>1</v>
      </c>
      <c r="AI404" s="510">
        <f>Table1[[#This Row],[RAB Kegiatan Umum]]/Table1[[#This Row],[Nilai RAB Jaringan
(Exclude Ppn)]]</f>
        <v>7.5054665072222276E-2</v>
      </c>
      <c r="AJ404" s="510">
        <f>Table1[[#This Row],[RAB Pemasangan]]/Table1[[#This Row],[Nilai RAB Jaringan
(Exclude Ppn)]]</f>
        <v>0.75054665016788602</v>
      </c>
      <c r="AK404" s="129">
        <f>Table1[[#This Row],[RAB Pengadaan]]/Table1[[#This Row],[Nilai RAB Jaringan
(Exclude Ppn)]]</f>
        <v>0.16642870878994021</v>
      </c>
      <c r="AL404" s="130">
        <f>Table1[[#This Row],[RAB Perizinan]]/Table1[[#This Row],[Nilai RAB Jaringan
(Exclude Ppn)]]</f>
        <v>7.9699759699514844E-3</v>
      </c>
      <c r="AM404" s="47"/>
      <c r="AN404" s="285"/>
      <c r="AO404" s="285">
        <f>SUM(Table1[[#This Row],[Pipa 63 mm]:[Pipa 1,800 mm]])</f>
        <v>5750</v>
      </c>
      <c r="AP404" s="285">
        <f>3226+1494</f>
        <v>4720</v>
      </c>
      <c r="AQ404" s="285">
        <v>430</v>
      </c>
      <c r="AR404" s="285">
        <v>117</v>
      </c>
      <c r="AS404" s="285">
        <v>483</v>
      </c>
      <c r="AT404" s="285"/>
      <c r="AU404" s="285"/>
      <c r="AV404" s="285"/>
      <c r="AW404" s="285"/>
      <c r="AX404" s="285"/>
      <c r="AY404" s="285"/>
      <c r="AZ404" s="285"/>
      <c r="BA404" s="285"/>
      <c r="BB404" s="285"/>
      <c r="BC404" s="285"/>
      <c r="BD404" s="285"/>
      <c r="BE404" s="285"/>
      <c r="BF404" s="285"/>
      <c r="BG404" s="285"/>
      <c r="BH404" s="285"/>
      <c r="BI404" s="285"/>
      <c r="BJ404" s="36">
        <f>SUM(Table1[[#This Row],[Pipa 63 mm2]:[Pipa 1,800 mm21]])</f>
        <v>1341</v>
      </c>
      <c r="BK404" s="32">
        <v>1280</v>
      </c>
      <c r="BL404" s="32">
        <v>61</v>
      </c>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f>IF((Table1[[#This Row],["Volume
BA MC-0"]]-Table1[[#This Row],[Total Panjang Pipa Aktual
(Sum-&gt;)3]]-Table1[[#This Row],[Total Volume
tidak dapat dipasang]])&gt;=0,Table1[[#This Row],["Volume
BA MC-0"]]-Table1[[#This Row],[Total Panjang Pipa Aktual
(Sum-&gt;)3]]-Table1[[#This Row],[Total Volume
tidak dapat dipasang]],0)</f>
        <v>0</v>
      </c>
      <c r="CK404" s="47"/>
      <c r="CL404" s="131"/>
      <c r="CM404" s="337"/>
      <c r="CN404" s="131"/>
      <c r="CO404" s="131"/>
      <c r="CP404"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3.6729739544493309E-2</v>
      </c>
      <c r="CQ404" s="436">
        <f>IFERROR(Table1[[#This Row],[Progres Keg. Umum
(%)]]*Table1[[#This Row],[Nilai RAB Jaringan
(file pa aji)]],0)</f>
        <v>0</v>
      </c>
      <c r="CR404" s="436">
        <f>IFERROR(Table1[[#This Row],[Progres MOS
(%)]]*Table1[[#This Row],[Nilai RAB Jaringan
(file pa aji)]],0)</f>
        <v>0</v>
      </c>
      <c r="CS404" s="436">
        <f>IFERROR(Table1[[#This Row],[Progres Pemasangan
(%)]]*Table1[[#This Row],[Nilai RAB Jaringan
(file pa aji)]],0)</f>
        <v>0</v>
      </c>
      <c r="CT404" s="436">
        <f>IFERROR(Table1[[#This Row],[Progres Perizinan
(%)]]*Table1[[#This Row],[Nilai RAB Jaringan
(file pa aji)]],0)</f>
        <v>0</v>
      </c>
      <c r="CU404" s="329">
        <v>293957154.16629517</v>
      </c>
      <c r="CV404" s="329">
        <v>293957154.16629517</v>
      </c>
      <c r="CW404" s="511">
        <v>0</v>
      </c>
      <c r="CX404" s="329">
        <v>0</v>
      </c>
      <c r="CY404" s="47"/>
      <c r="CZ404" s="331">
        <v>45929</v>
      </c>
      <c r="DA404" s="331">
        <v>45963</v>
      </c>
      <c r="DB404" s="331">
        <v>45951</v>
      </c>
      <c r="DC404" s="535" t="s">
        <v>3191</v>
      </c>
      <c r="DD404" s="536">
        <f>7945736355.51+57510000</f>
        <v>8003246355.5100002</v>
      </c>
      <c r="DE40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4" s="330">
        <v>45972</v>
      </c>
      <c r="DG404" s="535" t="s">
        <v>3192</v>
      </c>
      <c r="DH404" s="536">
        <f>7945736355.51+57510000</f>
        <v>8003246355.5100002</v>
      </c>
      <c r="DI40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4" s="331">
        <v>45964</v>
      </c>
      <c r="DK404" s="331">
        <v>46082</v>
      </c>
      <c r="DL404" s="331">
        <v>46056</v>
      </c>
      <c r="DM404" s="316" t="s">
        <v>3193</v>
      </c>
      <c r="DN40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4" s="331">
        <v>46091</v>
      </c>
      <c r="DP404" s="316" t="s">
        <v>3194</v>
      </c>
      <c r="DQ404" s="338" t="s">
        <v>560</v>
      </c>
      <c r="DR40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4" s="331">
        <v>45964</v>
      </c>
      <c r="DT404" s="331">
        <v>46164</v>
      </c>
      <c r="DU404" s="331">
        <v>46012</v>
      </c>
      <c r="DV404" s="331">
        <v>46178</v>
      </c>
      <c r="DW404" s="331">
        <v>46057</v>
      </c>
      <c r="DX404" t="s">
        <v>3195</v>
      </c>
      <c r="DY404" s="512">
        <v>96</v>
      </c>
      <c r="DZ404" s="512">
        <v>96</v>
      </c>
      <c r="EA40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4" s="331"/>
      <c r="EC404" s="512">
        <v>94</v>
      </c>
      <c r="ED404" s="512">
        <v>94</v>
      </c>
      <c r="EE404" s="118"/>
      <c r="EF404" s="337">
        <v>0.97916666666666663</v>
      </c>
      <c r="EG404" s="337">
        <f>Table1[[#This Row],[Line PO]]/Table1[[#This Row],[Line PR]]</f>
        <v>0.97916666666666663</v>
      </c>
      <c r="EH404" s="316" t="str">
        <f>IF(Table1[[#This Row],[PO Material Aktual 
(%)]]&gt;=100%,"Selesai PO = 100%",IF(Table1[[#This Row],[PO Material Aktual 
(%)]]&gt;=50%,"Proses PO &gt; 100%",IF(Table1[[#This Row],[PO Material Aktual 
(%)]]&gt;0%,"Proses PO &gt; 50%",IF(Table1[[#This Row],[PO Material Aktual 
(%)]]=0,"Belum PO = 0%"))))</f>
        <v>Proses PO &gt; 100%</v>
      </c>
      <c r="EI40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4" s="331">
        <v>46013</v>
      </c>
      <c r="EK404" s="331">
        <v>46178</v>
      </c>
      <c r="EL404" s="331">
        <v>46201</v>
      </c>
      <c r="EM404" s="331">
        <v>46203</v>
      </c>
      <c r="EN404" s="331"/>
      <c r="EO404" s="512">
        <v>33</v>
      </c>
      <c r="EP404" s="512">
        <v>33</v>
      </c>
      <c r="EQ404" s="337">
        <v>0.34375</v>
      </c>
      <c r="ER404" s="337">
        <f>Table1[[#This Row],[Line MOS]]/Table1[[#This Row],[Line PR]]</f>
        <v>0.34375</v>
      </c>
      <c r="ES404" s="316" t="str">
        <f>IF(Table1[[#This Row],[Progres MOS]]&gt;=100%,"Selesai MOS = 100%",IF(Table1[[#This Row],[Progres MOS]]&gt;=50%,"Proses MOS &gt; 100%",IF(Table1[[#This Row],[Progres MOS]]&gt;0%,"Proses MOS &gt; 50%",IF(Table1[[#This Row],[Progres MOS]]=0,"Belum MOS = 0%"))))</f>
        <v>Proses MOS &gt; 50%</v>
      </c>
      <c r="ET40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4" s="47"/>
      <c r="EV404" s="331">
        <v>45964</v>
      </c>
      <c r="EW404" s="331">
        <v>46153</v>
      </c>
      <c r="EX404" s="331">
        <v>46110</v>
      </c>
      <c r="EY404" s="331">
        <v>46183</v>
      </c>
      <c r="EZ404" s="352" t="s">
        <v>1592</v>
      </c>
      <c r="FA404" s="409" t="s">
        <v>1592</v>
      </c>
      <c r="FB404" s="331"/>
      <c r="FC404" s="330">
        <v>45986</v>
      </c>
      <c r="FD404" s="331" t="s">
        <v>260</v>
      </c>
      <c r="FE404" s="331">
        <v>46048</v>
      </c>
      <c r="FF404" s="331"/>
      <c r="FG404" s="331"/>
      <c r="FH404" s="331"/>
      <c r="FI404" s="331"/>
      <c r="FJ404" s="331"/>
      <c r="FK404" s="331"/>
      <c r="FL404" s="352" t="s">
        <v>2806</v>
      </c>
      <c r="FM404" s="352"/>
      <c r="FN404" s="338" t="str">
        <f>IF(Table1[[#This Row],[Tanggal Pengajuan Dokumen]]="","",Table1[[#This Row],[PLAN PERMIT
start]]-Table1[[#This Row],[Tanggal Pengajuan Dokumen]])</f>
        <v/>
      </c>
      <c r="FO404" s="352"/>
      <c r="FP404" s="316"/>
      <c r="FQ404" s="338"/>
      <c r="FR404" s="331"/>
      <c r="FS404" s="338"/>
      <c r="FT40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4" s="344">
        <f ca="1">IF(Table1[[#This Row],[Status Izin]]="Selesai",Table1[[#This Row],[PLAN PERMIT
finish]]-Table1[[#This Row],[Tanggal Terbit/ Target Izin Terbit]],ROUNDUP(Table1[[#This Row],[PLAN PERMIT
finish]]-NOW(),0))</f>
        <v>-81</v>
      </c>
      <c r="FV40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4" s="344"/>
      <c r="FX404" s="47"/>
      <c r="FY404" s="513">
        <v>46069</v>
      </c>
      <c r="FZ404" s="513">
        <v>46066</v>
      </c>
      <c r="GA40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4" s="331">
        <v>46083</v>
      </c>
      <c r="GC404" s="352">
        <v>46083</v>
      </c>
      <c r="GD40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4" s="331">
        <v>46090</v>
      </c>
      <c r="GF404" s="352">
        <v>46087</v>
      </c>
      <c r="GG40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4" s="331">
        <v>46097</v>
      </c>
      <c r="GI404" s="331">
        <v>46103</v>
      </c>
      <c r="GJ404" s="352">
        <v>46094</v>
      </c>
      <c r="GK40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4" s="331">
        <v>46111</v>
      </c>
      <c r="GM404" s="331">
        <v>46206</v>
      </c>
      <c r="GN404" s="331">
        <v>46222</v>
      </c>
      <c r="GO404" s="330">
        <v>46275</v>
      </c>
      <c r="GP404" s="316"/>
      <c r="GQ40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4" s="331"/>
      <c r="GS404" s="331"/>
      <c r="GT404" s="354"/>
      <c r="GU404" s="344" t="str">
        <f>IF(Table1[[#This Row],[Hydro Tes Actual
(tanggal)]]&lt;&gt;"","Sudah","Belum")</f>
        <v>Belum</v>
      </c>
      <c r="GV404" s="330"/>
      <c r="GW404" s="330"/>
      <c r="GX404" s="331"/>
      <c r="GY404" s="344" t="str">
        <f>IF(Table1[[#This Row],[Interkoneksi Actual
(tanggal)]]&lt;&gt;"","Sudah","Belum")</f>
        <v>Belum</v>
      </c>
      <c r="GZ404" s="330"/>
      <c r="HA404" s="330"/>
      <c r="HB404" s="331"/>
      <c r="HC404" s="344" t="str">
        <f>IF(Table1[[#This Row],[Flushing Actual
(tanggal)]]&lt;&gt;"","Sudah","Belum")</f>
        <v>Belum</v>
      </c>
      <c r="HD404" s="331">
        <v>46225</v>
      </c>
      <c r="HE404" s="331">
        <v>46276</v>
      </c>
      <c r="HF404" s="331">
        <v>46230</v>
      </c>
      <c r="HG404" s="352"/>
      <c r="HH40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4" s="330"/>
      <c r="HJ404" s="330"/>
      <c r="HK404" s="331"/>
      <c r="HL404" s="331"/>
      <c r="HM404" s="331">
        <v>46247</v>
      </c>
      <c r="HN404" s="331">
        <v>46247</v>
      </c>
      <c r="HO404" s="330">
        <v>46293</v>
      </c>
      <c r="HP404" s="331"/>
      <c r="HQ40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04" s="331">
        <v>46255</v>
      </c>
      <c r="HS404" s="331"/>
      <c r="HT404" s="331">
        <v>46255</v>
      </c>
      <c r="HU404" s="420"/>
      <c r="HV404" s="395"/>
      <c r="HW404"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04" s="47"/>
      <c r="HY404" s="352"/>
      <c r="HZ404" s="352"/>
      <c r="IA404" s="72"/>
      <c r="IB404" s="618">
        <f>IFERROR(ROUND((Table1[[#This Row],[PLAN TC
finish]]-Table1[[#This Row],[PLAN MC-0
start]])/30,2),"")</f>
        <v>4.43</v>
      </c>
      <c r="IC404">
        <f>DATEDIF(Table1[[#This Row],[PLAN MC-0
start]],Table1[[#This Row],[PLAN TC
finish]],"m")</f>
        <v>4</v>
      </c>
      <c r="ID404" s="6"/>
      <c r="IE404" s="6"/>
      <c r="IF404" s="72"/>
      <c r="IH404" s="6"/>
      <c r="II404" s="4"/>
      <c r="IJ404" s="4"/>
      <c r="IK404" s="6"/>
      <c r="IL404" s="6"/>
      <c r="IM404" s="6"/>
      <c r="IN404" s="6"/>
      <c r="IO404" s="6"/>
      <c r="IQ404" s="6"/>
      <c r="IR404" s="6"/>
      <c r="IS404" s="6"/>
      <c r="IT404" s="6"/>
      <c r="IW404" s="6"/>
      <c r="IX404" s="6"/>
      <c r="IZ404" s="6"/>
      <c r="JA404" s="6"/>
    </row>
    <row r="405" spans="1:261" ht="15" hidden="1" customHeight="1" x14ac:dyDescent="0.2">
      <c r="B405" s="311">
        <f>SUBTOTAL(3,$D$5:D405)</f>
        <v>84</v>
      </c>
      <c r="C405" s="316">
        <v>401</v>
      </c>
      <c r="D405" s="315" t="s">
        <v>673</v>
      </c>
      <c r="E405" s="338" t="s">
        <v>3196</v>
      </c>
      <c r="F405" s="338" t="s">
        <v>3197</v>
      </c>
      <c r="G405" s="349">
        <v>46300</v>
      </c>
      <c r="H405" s="338" t="s">
        <v>247</v>
      </c>
      <c r="I405" s="338" t="s">
        <v>278</v>
      </c>
      <c r="J405" s="480"/>
      <c r="K405" s="338"/>
      <c r="L405" s="316"/>
      <c r="M405" s="355" t="s">
        <v>251</v>
      </c>
      <c r="N405" s="507">
        <v>3912</v>
      </c>
      <c r="O405" s="507" t="s">
        <v>252</v>
      </c>
      <c r="P40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5" s="35">
        <v>0.32103377949660505</v>
      </c>
      <c r="S405" s="327">
        <v>0.32103377949660505</v>
      </c>
      <c r="T405" s="152">
        <f>Table1[[#This Row],[Progres Total Aktual
(%)]]</f>
        <v>3.146827828948813E-2</v>
      </c>
      <c r="U405" s="121">
        <f>Table1[[#This Row],[Progres Aktual
(%)]]-Table1[[#This Row],[Target Progres
(%)]]</f>
        <v>-0.28956550120711694</v>
      </c>
      <c r="V405" s="80">
        <v>3945</v>
      </c>
      <c r="W405" s="80">
        <f>Table1[[#This Row],[Total Panjang Pipa Aktual
(Sum-&gt;)3]]</f>
        <v>0</v>
      </c>
      <c r="X405" s="117"/>
      <c r="Y405" s="508" t="s">
        <v>3141</v>
      </c>
      <c r="Z405" s="67">
        <v>5041142676</v>
      </c>
      <c r="AA405" s="509">
        <f>ROUND((Table1[[#This Row],[Nilai RAB Jaringan
(Exclude Ppn)]]-Table1[[#This Row],[RAB Perizinan]])*1.11+Table1[[#This Row],[RAB Perizinan]],0)</f>
        <v>5041142676</v>
      </c>
      <c r="AB405" s="483">
        <f>SUM(Table1[[#This Row],[RAB Kegiatan Umum]:[RAB Perizinan]])</f>
        <v>4545446735</v>
      </c>
      <c r="AC405" s="436">
        <v>351574981</v>
      </c>
      <c r="AD405" s="436">
        <v>3515749803</v>
      </c>
      <c r="AE405" s="436">
        <v>639001951</v>
      </c>
      <c r="AF405" s="436">
        <v>39120000</v>
      </c>
      <c r="AG405" s="534"/>
      <c r="AH405" s="510">
        <f>SUM(Table1[[#This Row],[Bobot Keg Umum]:[Bobot Perizinan]])</f>
        <v>0.99999999999999989</v>
      </c>
      <c r="AI405" s="510">
        <f>Table1[[#This Row],[RAB Kegiatan Umum]]/Table1[[#This Row],[Nilai RAB Jaringan
(Exclude Ppn)]]</f>
        <v>7.7346628724712138E-2</v>
      </c>
      <c r="AJ405" s="510">
        <f>Table1[[#This Row],[RAB Pemasangan]]/Table1[[#This Row],[Nilai RAB Jaringan
(Exclude Ppn)]]</f>
        <v>0.77346628570711873</v>
      </c>
      <c r="AK405" s="129">
        <f>Table1[[#This Row],[RAB Pengadaan]]/Table1[[#This Row],[Nilai RAB Jaringan
(Exclude Ppn)]]</f>
        <v>0.1405806707797666</v>
      </c>
      <c r="AL405" s="130">
        <f>Table1[[#This Row],[RAB Perizinan]]/Table1[[#This Row],[Nilai RAB Jaringan
(Exclude Ppn)]]</f>
        <v>8.6064147884025305E-3</v>
      </c>
      <c r="AM405" s="47"/>
      <c r="AN405" s="285"/>
      <c r="AO405" s="285">
        <f>SUM(Table1[[#This Row],[Pipa 63 mm]:[Pipa 1,800 mm]])</f>
        <v>3945</v>
      </c>
      <c r="AP405" s="285">
        <v>3144</v>
      </c>
      <c r="AQ405" s="285">
        <v>795</v>
      </c>
      <c r="AR405" s="285">
        <v>6</v>
      </c>
      <c r="AS405" s="285"/>
      <c r="AT405" s="285"/>
      <c r="AU405" s="285"/>
      <c r="AV405" s="285"/>
      <c r="AW405" s="285"/>
      <c r="AX405" s="285"/>
      <c r="AY405" s="285"/>
      <c r="AZ405" s="285"/>
      <c r="BA405" s="285"/>
      <c r="BB405" s="285"/>
      <c r="BC405" s="285"/>
      <c r="BD405" s="285"/>
      <c r="BE405" s="285"/>
      <c r="BF405" s="285"/>
      <c r="BG405" s="285"/>
      <c r="BH405" s="285"/>
      <c r="BI405" s="285"/>
      <c r="BJ405" s="36">
        <f>SUM(Table1[[#This Row],[Pipa 63 mm2]:[Pipa 1,800 mm21]])</f>
        <v>0</v>
      </c>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f>IF((Table1[[#This Row],["Volume
BA MC-0"]]-Table1[[#This Row],[Total Panjang Pipa Aktual
(Sum-&gt;)3]]-Table1[[#This Row],[Total Volume
tidak dapat dipasang]])&gt;=0,Table1[[#This Row],["Volume
BA MC-0"]]-Table1[[#This Row],[Total Panjang Pipa Aktual
(Sum-&gt;)3]]-Table1[[#This Row],[Total Volume
tidak dapat dipasang]],0)</f>
        <v>0</v>
      </c>
      <c r="CK405" s="47"/>
      <c r="CL405" s="131"/>
      <c r="CM405" s="337"/>
      <c r="CN405" s="131"/>
      <c r="CO405" s="131"/>
      <c r="CP405"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3.146827828948813E-2</v>
      </c>
      <c r="CQ405" s="436">
        <f>IFERROR(Table1[[#This Row],[Progres Keg. Umum
(%)]]*Table1[[#This Row],[Nilai RAB Jaringan
(file pa aji)]],0)</f>
        <v>0</v>
      </c>
      <c r="CR405" s="436">
        <f>IFERROR(Table1[[#This Row],[Progres MOS
(%)]]*Table1[[#This Row],[Nilai RAB Jaringan
(file pa aji)]],0)</f>
        <v>0</v>
      </c>
      <c r="CS405" s="436">
        <f>IFERROR(Table1[[#This Row],[Progres Pemasangan
(%)]]*Table1[[#This Row],[Nilai RAB Jaringan
(file pa aji)]],0)</f>
        <v>0</v>
      </c>
      <c r="CT405" s="436">
        <f>IFERROR(Table1[[#This Row],[Progres Perizinan
(%)]]*Table1[[#This Row],[Nilai RAB Jaringan
(file pa aji)]],0)</f>
        <v>0</v>
      </c>
      <c r="CU405" s="329">
        <v>158636080.6253829</v>
      </c>
      <c r="CV405" s="329">
        <v>158636080.6253829</v>
      </c>
      <c r="CW405" s="511">
        <v>0</v>
      </c>
      <c r="CX405" s="329">
        <v>0</v>
      </c>
      <c r="CY405" s="47"/>
      <c r="CZ405" s="331">
        <v>45929</v>
      </c>
      <c r="DA405" s="331">
        <v>45963</v>
      </c>
      <c r="DB405" s="331">
        <v>45951</v>
      </c>
      <c r="DC405" s="535" t="s">
        <v>3198</v>
      </c>
      <c r="DD405" s="508">
        <f>5002022675.85+39120000</f>
        <v>5041142675.8500004</v>
      </c>
      <c r="DE40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5" s="331">
        <v>45972</v>
      </c>
      <c r="DG405" s="535" t="s">
        <v>3199</v>
      </c>
      <c r="DH405" s="508">
        <f>5002022675.85+39120000</f>
        <v>5041142675.8500004</v>
      </c>
      <c r="DI40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5" s="331">
        <v>45964</v>
      </c>
      <c r="DK405" s="331">
        <v>46082</v>
      </c>
      <c r="DL405" s="331">
        <v>46056</v>
      </c>
      <c r="DM405" s="316" t="s">
        <v>3200</v>
      </c>
      <c r="DN40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5" s="331">
        <v>46091</v>
      </c>
      <c r="DP405" s="316" t="s">
        <v>3201</v>
      </c>
      <c r="DQ405" s="338" t="s">
        <v>560</v>
      </c>
      <c r="DR40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5" s="331">
        <v>45964</v>
      </c>
      <c r="DT405" s="331">
        <v>46164</v>
      </c>
      <c r="DU405" s="331">
        <v>46012</v>
      </c>
      <c r="DV405" s="331">
        <v>46178</v>
      </c>
      <c r="DW405" s="331">
        <v>46058</v>
      </c>
      <c r="DX405" t="s">
        <v>3202</v>
      </c>
      <c r="DY405" s="512">
        <v>75</v>
      </c>
      <c r="DZ405" s="512">
        <v>75</v>
      </c>
      <c r="EA40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5" s="331"/>
      <c r="EC405" s="512">
        <v>73</v>
      </c>
      <c r="ED405" s="512">
        <v>73</v>
      </c>
      <c r="EE405" s="118"/>
      <c r="EF405" s="337">
        <v>0.97333333333333338</v>
      </c>
      <c r="EG405" s="337">
        <f>Table1[[#This Row],[Line PO]]/Table1[[#This Row],[Line PR]]</f>
        <v>0.97333333333333338</v>
      </c>
      <c r="EH405" s="316" t="str">
        <f>IF(Table1[[#This Row],[PO Material Aktual 
(%)]]&gt;=100%,"Selesai PO = 100%",IF(Table1[[#This Row],[PO Material Aktual 
(%)]]&gt;=50%,"Proses PO &gt; 100%",IF(Table1[[#This Row],[PO Material Aktual 
(%)]]&gt;0%,"Proses PO &gt; 50%",IF(Table1[[#This Row],[PO Material Aktual 
(%)]]=0,"Belum PO = 0%"))))</f>
        <v>Proses PO &gt; 100%</v>
      </c>
      <c r="EI40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5" s="331">
        <v>46013</v>
      </c>
      <c r="EK405" s="331">
        <v>46178</v>
      </c>
      <c r="EL405" s="331">
        <v>46201</v>
      </c>
      <c r="EM405" s="331">
        <v>46203</v>
      </c>
      <c r="EN405" s="331"/>
      <c r="EO405" s="512">
        <v>31</v>
      </c>
      <c r="EP405" s="512">
        <v>31</v>
      </c>
      <c r="EQ405" s="337">
        <v>0.41333333333333333</v>
      </c>
      <c r="ER405" s="337">
        <f>Table1[[#This Row],[Line MOS]]/Table1[[#This Row],[Line PR]]</f>
        <v>0.41333333333333333</v>
      </c>
      <c r="ES405" s="316" t="str">
        <f>IF(Table1[[#This Row],[Progres MOS]]&gt;=100%,"Selesai MOS = 100%",IF(Table1[[#This Row],[Progres MOS]]&gt;=50%,"Proses MOS &gt; 100%",IF(Table1[[#This Row],[Progres MOS]]&gt;0%,"Proses MOS &gt; 50%",IF(Table1[[#This Row],[Progres MOS]]=0,"Belum MOS = 0%"))))</f>
        <v>Proses MOS &gt; 50%</v>
      </c>
      <c r="ET40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5" s="47"/>
      <c r="EV405" s="331">
        <v>45964</v>
      </c>
      <c r="EW405" s="331">
        <v>46153</v>
      </c>
      <c r="EX405" s="331">
        <v>46110</v>
      </c>
      <c r="EY405" s="331">
        <v>46183</v>
      </c>
      <c r="EZ405" s="352" t="s">
        <v>1592</v>
      </c>
      <c r="FA405" s="409" t="s">
        <v>1592</v>
      </c>
      <c r="FB405" s="331"/>
      <c r="FC405" s="330">
        <v>45986</v>
      </c>
      <c r="FD405" s="331" t="s">
        <v>260</v>
      </c>
      <c r="FE405" s="331">
        <v>46048</v>
      </c>
      <c r="FF405" s="331"/>
      <c r="FG405" s="331"/>
      <c r="FH405" s="331"/>
      <c r="FI405" s="331"/>
      <c r="FJ405" s="331"/>
      <c r="FK405" s="331"/>
      <c r="FL405" s="352" t="s">
        <v>2759</v>
      </c>
      <c r="FM405" s="352"/>
      <c r="FN405" s="338" t="str">
        <f>IF(Table1[[#This Row],[Tanggal Pengajuan Dokumen]]="","",Table1[[#This Row],[PLAN PERMIT
start]]-Table1[[#This Row],[Tanggal Pengajuan Dokumen]])</f>
        <v/>
      </c>
      <c r="FO405" s="352"/>
      <c r="FP405" s="316"/>
      <c r="FQ405" s="338"/>
      <c r="FR405" s="331"/>
      <c r="FS405" s="338"/>
      <c r="FT40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5" s="344">
        <f ca="1">IF(Table1[[#This Row],[Status Izin]]="Selesai",Table1[[#This Row],[PLAN PERMIT
finish]]-Table1[[#This Row],[Tanggal Terbit/ Target Izin Terbit]],ROUNDUP(Table1[[#This Row],[PLAN PERMIT
finish]]-NOW(),0))</f>
        <v>-81</v>
      </c>
      <c r="FV40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5" s="344"/>
      <c r="FX405" s="47"/>
      <c r="FY405" s="513">
        <v>46069</v>
      </c>
      <c r="FZ405" s="513">
        <v>46066</v>
      </c>
      <c r="GA40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5" s="331">
        <v>46083</v>
      </c>
      <c r="GC405" s="352">
        <v>46083</v>
      </c>
      <c r="GD40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5" s="331">
        <v>46090</v>
      </c>
      <c r="GF405" s="352">
        <v>46087</v>
      </c>
      <c r="GG40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5" s="331">
        <v>46097</v>
      </c>
      <c r="GI405" s="331">
        <v>46103</v>
      </c>
      <c r="GJ405" s="352">
        <v>46094</v>
      </c>
      <c r="GK40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5" s="331">
        <v>46111</v>
      </c>
      <c r="GM405" s="331">
        <v>46206</v>
      </c>
      <c r="GN405" s="331">
        <v>46222</v>
      </c>
      <c r="GO405" s="330">
        <v>46275</v>
      </c>
      <c r="GP405" s="316"/>
      <c r="GQ40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5" s="331"/>
      <c r="GS405" s="331"/>
      <c r="GT405" s="354"/>
      <c r="GU405" s="344" t="str">
        <f>IF(Table1[[#This Row],[Hydro Tes Actual
(tanggal)]]&lt;&gt;"","Sudah","Belum")</f>
        <v>Belum</v>
      </c>
      <c r="GV405" s="330"/>
      <c r="GW405" s="330"/>
      <c r="GX405" s="331"/>
      <c r="GY405" s="344" t="str">
        <f>IF(Table1[[#This Row],[Interkoneksi Actual
(tanggal)]]&lt;&gt;"","Sudah","Belum")</f>
        <v>Belum</v>
      </c>
      <c r="GZ405" s="330"/>
      <c r="HA405" s="330"/>
      <c r="HB405" s="331"/>
      <c r="HC405" s="344" t="str">
        <f>IF(Table1[[#This Row],[Flushing Actual
(tanggal)]]&lt;&gt;"","Sudah","Belum")</f>
        <v>Belum</v>
      </c>
      <c r="HD405" s="331">
        <v>46225</v>
      </c>
      <c r="HE405" s="331">
        <v>46276</v>
      </c>
      <c r="HF405" s="331">
        <v>46230</v>
      </c>
      <c r="HG405" s="352"/>
      <c r="HH40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5" s="330"/>
      <c r="HJ405" s="330"/>
      <c r="HK405" s="331"/>
      <c r="HL405" s="331"/>
      <c r="HM405" s="331">
        <v>46247</v>
      </c>
      <c r="HN405" s="331">
        <v>46247</v>
      </c>
      <c r="HO405" s="330">
        <v>46293</v>
      </c>
      <c r="HP405" s="331"/>
      <c r="HQ40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05" s="331">
        <v>46255</v>
      </c>
      <c r="HS405" s="331"/>
      <c r="HT405" s="331">
        <v>46255</v>
      </c>
      <c r="HU405" s="420"/>
      <c r="HV405" s="395"/>
      <c r="HW40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05" s="47"/>
      <c r="HY405" s="352"/>
      <c r="HZ405" s="352"/>
      <c r="IA405" s="72"/>
      <c r="IB405" s="618">
        <f>IFERROR(ROUND((Table1[[#This Row],[PLAN TC
finish]]-Table1[[#This Row],[PLAN MC-0
start]])/30,2),"")</f>
        <v>4.43</v>
      </c>
      <c r="IC405">
        <f>DATEDIF(Table1[[#This Row],[PLAN MC-0
start]],Table1[[#This Row],[PLAN TC
finish]],"m")</f>
        <v>4</v>
      </c>
      <c r="ID405" s="6"/>
      <c r="IE405" s="6"/>
      <c r="IF405" s="72"/>
      <c r="IH405" s="6"/>
      <c r="II405" s="4"/>
      <c r="IJ405" s="4"/>
      <c r="IK405" s="6"/>
      <c r="IL405" s="6"/>
      <c r="IM405" s="6"/>
      <c r="IN405" s="6"/>
      <c r="IO405" s="6"/>
      <c r="IQ405" s="6"/>
      <c r="IR405" s="6"/>
      <c r="IS405" s="6"/>
      <c r="IT405" s="6"/>
      <c r="IW405" s="6"/>
      <c r="IX405" s="6"/>
      <c r="IZ405" s="6"/>
      <c r="JA405" s="6"/>
    </row>
    <row r="406" spans="1:261" ht="15" hidden="1" customHeight="1" x14ac:dyDescent="0.2">
      <c r="B406" s="311">
        <f>SUBTOTAL(3,$D$5:D406)</f>
        <v>84</v>
      </c>
      <c r="C406" s="316">
        <v>402</v>
      </c>
      <c r="D406" s="315" t="s">
        <v>673</v>
      </c>
      <c r="E406" s="338" t="s">
        <v>3203</v>
      </c>
      <c r="F406" s="338" t="s">
        <v>3204</v>
      </c>
      <c r="G406" s="349">
        <v>46300</v>
      </c>
      <c r="H406" s="338" t="s">
        <v>247</v>
      </c>
      <c r="I406" s="338" t="s">
        <v>278</v>
      </c>
      <c r="J406" s="480"/>
      <c r="K406" s="338"/>
      <c r="L406" s="316"/>
      <c r="M406" s="355" t="s">
        <v>251</v>
      </c>
      <c r="N406" s="507">
        <v>54519</v>
      </c>
      <c r="O406" s="507" t="s">
        <v>252</v>
      </c>
      <c r="P40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6" s="35">
        <v>0.33568313776418129</v>
      </c>
      <c r="S406" s="327">
        <v>0.33568313776418129</v>
      </c>
      <c r="T406" s="152">
        <f>Table1[[#This Row],[Progres Total Aktual
(%)]]</f>
        <v>4.1984247750694821E-2</v>
      </c>
      <c r="U406" s="121">
        <f>Table1[[#This Row],[Progres Aktual
(%)]]-Table1[[#This Row],[Target Progres
(%)]]</f>
        <v>-0.29369889001348648</v>
      </c>
      <c r="V406" s="80">
        <v>43800</v>
      </c>
      <c r="W406" s="80">
        <f>Table1[[#This Row],[Total Panjang Pipa Aktual
(Sum-&gt;)3]]</f>
        <v>300</v>
      </c>
      <c r="X406" s="117"/>
      <c r="Y406" s="508" t="s">
        <v>3205</v>
      </c>
      <c r="Z406" s="67">
        <v>73432392990</v>
      </c>
      <c r="AA406" s="509">
        <f>ROUND((Table1[[#This Row],[Nilai RAB Jaringan
(Exclude Ppn)]]-Table1[[#This Row],[RAB Perizinan]])*1.11+Table1[[#This Row],[RAB Perizinan]],0)</f>
        <v>73432392989</v>
      </c>
      <c r="AB406" s="483">
        <f>SUM(Table1[[#This Row],[RAB Kegiatan Umum]:[RAB Perizinan]])</f>
        <v>66213555486</v>
      </c>
      <c r="AC406" s="436">
        <v>3085708496</v>
      </c>
      <c r="AD406" s="436">
        <v>51428474921</v>
      </c>
      <c r="AE406" s="436">
        <v>11111612069</v>
      </c>
      <c r="AF406" s="436">
        <v>587760000</v>
      </c>
      <c r="AG406" s="534"/>
      <c r="AH406" s="510">
        <f>SUM(Table1[[#This Row],[Bobot Keg Umum]:[Bobot Perizinan]])</f>
        <v>1</v>
      </c>
      <c r="AI406" s="510">
        <f>Table1[[#This Row],[RAB Kegiatan Umum]]/Table1[[#This Row],[Nilai RAB Jaringan
(Exclude Ppn)]]</f>
        <v>4.6602368251504531E-2</v>
      </c>
      <c r="AJ406" s="510">
        <f>Table1[[#This Row],[RAB Pemasangan]]/Table1[[#This Row],[Nilai RAB Jaringan
(Exclude Ppn)]]</f>
        <v>0.77670613733880955</v>
      </c>
      <c r="AK406" s="129">
        <f>Table1[[#This Row],[RAB Pengadaan]]/Table1[[#This Row],[Nilai RAB Jaringan
(Exclude Ppn)]]</f>
        <v>0.16781476221057795</v>
      </c>
      <c r="AL406" s="130">
        <f>Table1[[#This Row],[RAB Perizinan]]/Table1[[#This Row],[Nilai RAB Jaringan
(Exclude Ppn)]]</f>
        <v>8.876732199107994E-3</v>
      </c>
      <c r="AM406" s="47"/>
      <c r="AN406" s="285"/>
      <c r="AO406" s="285">
        <f>SUM(Table1[[#This Row],[Pipa 63 mm]:[Pipa 1,800 mm]])</f>
        <v>43800</v>
      </c>
      <c r="AP406" s="285">
        <v>35036</v>
      </c>
      <c r="AQ406" s="285">
        <v>4762</v>
      </c>
      <c r="AR406" s="285">
        <v>2731</v>
      </c>
      <c r="AS406" s="285">
        <v>1266</v>
      </c>
      <c r="AT406" s="285"/>
      <c r="AU406" s="285"/>
      <c r="AV406" s="285">
        <v>5</v>
      </c>
      <c r="AW406" s="285"/>
      <c r="AX406" s="285"/>
      <c r="AY406" s="285"/>
      <c r="AZ406" s="285"/>
      <c r="BA406" s="285"/>
      <c r="BB406" s="285"/>
      <c r="BC406" s="285"/>
      <c r="BD406" s="285"/>
      <c r="BE406" s="285"/>
      <c r="BF406" s="285"/>
      <c r="BG406" s="285"/>
      <c r="BH406" s="285"/>
      <c r="BI406" s="285"/>
      <c r="BJ406" s="36">
        <f>SUM(Table1[[#This Row],[Pipa 63 mm2]:[Pipa 1,800 mm21]])</f>
        <v>300</v>
      </c>
      <c r="BK406" s="32">
        <v>300</v>
      </c>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f>IF((Table1[[#This Row],["Volume
BA MC-0"]]-Table1[[#This Row],[Total Panjang Pipa Aktual
(Sum-&gt;)3]]-Table1[[#This Row],[Total Volume
tidak dapat dipasang]])&gt;=0,Table1[[#This Row],["Volume
BA MC-0"]]-Table1[[#This Row],[Total Panjang Pipa Aktual
(Sum-&gt;)3]]-Table1[[#This Row],[Total Volume
tidak dapat dipasang]],0)</f>
        <v>0</v>
      </c>
      <c r="CK406" s="47"/>
      <c r="CL406" s="131"/>
      <c r="CM406" s="337"/>
      <c r="CN406" s="131"/>
      <c r="CO406" s="131"/>
      <c r="CP406"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4.1984247750694821E-2</v>
      </c>
      <c r="CQ406" s="436">
        <f>IFERROR(Table1[[#This Row],[Progres Keg. Umum
(%)]]*Table1[[#This Row],[Nilai RAB Jaringan
(file pa aji)]],0)</f>
        <v>0</v>
      </c>
      <c r="CR406" s="436">
        <f>IFERROR(Table1[[#This Row],[Progres MOS
(%)]]*Table1[[#This Row],[Nilai RAB Jaringan
(file pa aji)]],0)</f>
        <v>0</v>
      </c>
      <c r="CS406" s="436">
        <f>IFERROR(Table1[[#This Row],[Progres Pemasangan
(%)]]*Table1[[#This Row],[Nilai RAB Jaringan
(file pa aji)]],0)</f>
        <v>0</v>
      </c>
      <c r="CT406" s="436">
        <f>IFERROR(Table1[[#This Row],[Progres Perizinan
(%)]]*Table1[[#This Row],[Nilai RAB Jaringan
(file pa aji)]],0)</f>
        <v>0</v>
      </c>
      <c r="CU406" s="329">
        <v>3083003780.1765614</v>
      </c>
      <c r="CV406" s="329">
        <v>3083003780.1765614</v>
      </c>
      <c r="CW406" s="511">
        <v>0</v>
      </c>
      <c r="CX406" s="329">
        <v>0</v>
      </c>
      <c r="CY406" s="47"/>
      <c r="CZ406" s="331">
        <v>45929</v>
      </c>
      <c r="DA406" s="331">
        <v>45963</v>
      </c>
      <c r="DB406" s="331">
        <v>45951</v>
      </c>
      <c r="DC406" s="535" t="s">
        <v>3206</v>
      </c>
      <c r="DD406" s="508">
        <f>72844632989.46+587760000</f>
        <v>73432392989.460007</v>
      </c>
      <c r="DE40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6" s="331">
        <v>45972</v>
      </c>
      <c r="DG406" s="535" t="s">
        <v>3207</v>
      </c>
      <c r="DH406" s="508">
        <f>72844632989.46+587760000</f>
        <v>73432392989.460007</v>
      </c>
      <c r="DI40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6" s="331">
        <v>45964</v>
      </c>
      <c r="DK406" s="331">
        <v>46082</v>
      </c>
      <c r="DL406" s="331">
        <v>46056</v>
      </c>
      <c r="DM406" s="316" t="s">
        <v>3208</v>
      </c>
      <c r="DN40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6" s="331">
        <v>46062</v>
      </c>
      <c r="DP406" s="316" t="s">
        <v>3209</v>
      </c>
      <c r="DQ406" s="338" t="s">
        <v>365</v>
      </c>
      <c r="DR40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06" s="331">
        <v>45964</v>
      </c>
      <c r="DT406" s="331">
        <v>46164</v>
      </c>
      <c r="DU406" s="331">
        <v>46012</v>
      </c>
      <c r="DV406" s="331">
        <v>46178</v>
      </c>
      <c r="DW406" s="331">
        <v>46057</v>
      </c>
      <c r="DX406" t="s">
        <v>3210</v>
      </c>
      <c r="DY406" s="512">
        <v>148</v>
      </c>
      <c r="DZ406" s="512">
        <v>148</v>
      </c>
      <c r="EA40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6" s="331"/>
      <c r="EC406" s="334">
        <v>142</v>
      </c>
      <c r="ED406" s="334">
        <v>142</v>
      </c>
      <c r="EE406" s="118"/>
      <c r="EF406" s="337">
        <v>0.95945945945945943</v>
      </c>
      <c r="EG406" s="337">
        <f>Table1[[#This Row],[Line PO]]/Table1[[#This Row],[Line PR]]</f>
        <v>0.95945945945945943</v>
      </c>
      <c r="EH406" s="316" t="str">
        <f>IF(Table1[[#This Row],[PO Material Aktual 
(%)]]&gt;=100%,"Selesai PO = 100%",IF(Table1[[#This Row],[PO Material Aktual 
(%)]]&gt;=50%,"Proses PO &gt; 100%",IF(Table1[[#This Row],[PO Material Aktual 
(%)]]&gt;0%,"Proses PO &gt; 50%",IF(Table1[[#This Row],[PO Material Aktual 
(%)]]=0,"Belum PO = 0%"))))</f>
        <v>Proses PO &gt; 100%</v>
      </c>
      <c r="EI40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6" s="331">
        <v>46013</v>
      </c>
      <c r="EK406" s="331">
        <v>46178</v>
      </c>
      <c r="EL406" s="331">
        <v>46201</v>
      </c>
      <c r="EM406" s="331">
        <v>46203</v>
      </c>
      <c r="EN406" s="331"/>
      <c r="EO406" s="512">
        <v>33</v>
      </c>
      <c r="EP406" s="512">
        <v>33</v>
      </c>
      <c r="EQ406" s="337">
        <v>0.22297297297297297</v>
      </c>
      <c r="ER406" s="337">
        <f>Table1[[#This Row],[Line MOS]]/Table1[[#This Row],[Line PR]]</f>
        <v>0.22297297297297297</v>
      </c>
      <c r="ES406" s="316" t="str">
        <f>IF(Table1[[#This Row],[Progres MOS]]&gt;=100%,"Selesai MOS = 100%",IF(Table1[[#This Row],[Progres MOS]]&gt;=50%,"Proses MOS &gt; 100%",IF(Table1[[#This Row],[Progres MOS]]&gt;0%,"Proses MOS &gt; 50%",IF(Table1[[#This Row],[Progres MOS]]=0,"Belum MOS = 0%"))))</f>
        <v>Proses MOS &gt; 50%</v>
      </c>
      <c r="ET40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6" s="47"/>
      <c r="EV406" s="331">
        <v>45964</v>
      </c>
      <c r="EW406" s="331">
        <v>46153</v>
      </c>
      <c r="EX406" s="331">
        <v>46110</v>
      </c>
      <c r="EY406" s="331">
        <v>46183</v>
      </c>
      <c r="EZ406" s="352" t="s">
        <v>2748</v>
      </c>
      <c r="FA406" s="409" t="s">
        <v>2748</v>
      </c>
      <c r="FB406" s="331"/>
      <c r="FC406" s="330">
        <v>46020</v>
      </c>
      <c r="FD406" s="331" t="s">
        <v>260</v>
      </c>
      <c r="FE406" s="331">
        <v>46066</v>
      </c>
      <c r="FF406" s="331"/>
      <c r="FG406" s="331"/>
      <c r="FH406" s="331"/>
      <c r="FI406" s="331"/>
      <c r="FJ406" s="331"/>
      <c r="FK406" s="331"/>
      <c r="FL406" s="352" t="s">
        <v>2759</v>
      </c>
      <c r="FM406" s="352"/>
      <c r="FN406" s="338" t="str">
        <f>IF(Table1[[#This Row],[Tanggal Pengajuan Dokumen]]="","",Table1[[#This Row],[PLAN PERMIT
start]]-Table1[[#This Row],[Tanggal Pengajuan Dokumen]])</f>
        <v/>
      </c>
      <c r="FO406" s="352"/>
      <c r="FP406" s="316"/>
      <c r="FQ406" s="338"/>
      <c r="FR406" s="331"/>
      <c r="FS406" s="338"/>
      <c r="FT40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6" s="344">
        <f ca="1">IF(Table1[[#This Row],[Status Izin]]="Selesai",Table1[[#This Row],[PLAN PERMIT
finish]]-Table1[[#This Row],[Tanggal Terbit/ Target Izin Terbit]],ROUNDUP(Table1[[#This Row],[PLAN PERMIT
finish]]-NOW(),0))</f>
        <v>-81</v>
      </c>
      <c r="FV40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6" s="344"/>
      <c r="FX406" s="47"/>
      <c r="FY406" s="513">
        <v>46069</v>
      </c>
      <c r="FZ406" s="513">
        <v>46066</v>
      </c>
      <c r="GA40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6" s="331">
        <v>46083</v>
      </c>
      <c r="GC406" s="352">
        <v>46071</v>
      </c>
      <c r="GD40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6" s="331">
        <v>46090</v>
      </c>
      <c r="GF406" s="352">
        <v>46073</v>
      </c>
      <c r="GG40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6" s="331">
        <v>46097</v>
      </c>
      <c r="GI406" s="331">
        <v>46103</v>
      </c>
      <c r="GJ406" s="352">
        <v>46083</v>
      </c>
      <c r="GK40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6" s="331">
        <v>46111</v>
      </c>
      <c r="GM406" s="331">
        <v>46206</v>
      </c>
      <c r="GN406" s="331">
        <v>46222</v>
      </c>
      <c r="GO406" s="330">
        <v>46275</v>
      </c>
      <c r="GP406" s="316"/>
      <c r="GQ40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6" s="331"/>
      <c r="GS406" s="331"/>
      <c r="GT406" s="354"/>
      <c r="GU406" s="344" t="str">
        <f>IF(Table1[[#This Row],[Hydro Tes Actual
(tanggal)]]&lt;&gt;"","Sudah","Belum")</f>
        <v>Belum</v>
      </c>
      <c r="GV406" s="330"/>
      <c r="GW406" s="330"/>
      <c r="GX406" s="331"/>
      <c r="GY406" s="344" t="str">
        <f>IF(Table1[[#This Row],[Interkoneksi Actual
(tanggal)]]&lt;&gt;"","Sudah","Belum")</f>
        <v>Belum</v>
      </c>
      <c r="GZ406" s="330"/>
      <c r="HA406" s="330"/>
      <c r="HB406" s="331"/>
      <c r="HC406" s="344" t="str">
        <f>IF(Table1[[#This Row],[Flushing Actual
(tanggal)]]&lt;&gt;"","Sudah","Belum")</f>
        <v>Belum</v>
      </c>
      <c r="HD406" s="331">
        <v>46225</v>
      </c>
      <c r="HE406" s="331">
        <v>46276</v>
      </c>
      <c r="HF406" s="331">
        <v>46230</v>
      </c>
      <c r="HG406" s="352"/>
      <c r="HH40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6" s="330"/>
      <c r="HJ406" s="330"/>
      <c r="HK406" s="331"/>
      <c r="HL406" s="331"/>
      <c r="HM406" s="331">
        <v>46247</v>
      </c>
      <c r="HN406" s="331">
        <v>46247</v>
      </c>
      <c r="HO406" s="330">
        <v>46293</v>
      </c>
      <c r="HP406" s="331"/>
      <c r="HQ40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06" s="331">
        <v>46255</v>
      </c>
      <c r="HS406" s="331"/>
      <c r="HT406" s="331">
        <v>46255</v>
      </c>
      <c r="HU406" s="420"/>
      <c r="HV406" s="395"/>
      <c r="HW40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06" s="47"/>
      <c r="HY406" s="352"/>
      <c r="HZ406" s="352"/>
      <c r="IA406" s="72"/>
      <c r="IB406" s="618">
        <f>IFERROR(ROUND((Table1[[#This Row],[PLAN TC
finish]]-Table1[[#This Row],[PLAN MC-0
start]])/30,2),"")</f>
        <v>4.43</v>
      </c>
      <c r="IC406">
        <f>DATEDIF(Table1[[#This Row],[PLAN MC-0
start]],Table1[[#This Row],[PLAN TC
finish]],"m")</f>
        <v>4</v>
      </c>
      <c r="ID406" s="6"/>
      <c r="IE406" s="6"/>
      <c r="IF406" s="72"/>
      <c r="IH406" s="6"/>
      <c r="II406" s="4"/>
      <c r="IJ406" s="4"/>
      <c r="IK406" s="6"/>
      <c r="IL406" s="6"/>
      <c r="IM406" s="6"/>
      <c r="IN406" s="6"/>
      <c r="IO406" s="6"/>
      <c r="IQ406" s="6"/>
      <c r="IR406" s="6"/>
      <c r="IS406" s="6"/>
      <c r="IT406" s="6"/>
      <c r="IW406" s="6"/>
      <c r="IX406" s="6"/>
      <c r="IZ406" s="6"/>
      <c r="JA406" s="6"/>
    </row>
    <row r="407" spans="1:261" ht="15" hidden="1" customHeight="1" x14ac:dyDescent="0.2">
      <c r="A407" s="6" t="s">
        <v>3211</v>
      </c>
      <c r="B407" s="311">
        <f>SUBTOTAL(3,$D$5:D407)</f>
        <v>84</v>
      </c>
      <c r="C407" s="316">
        <v>403</v>
      </c>
      <c r="D407" s="315" t="s">
        <v>673</v>
      </c>
      <c r="E407" s="461" t="s">
        <v>3212</v>
      </c>
      <c r="F407" s="338" t="s">
        <v>3213</v>
      </c>
      <c r="G407" s="349">
        <v>46300</v>
      </c>
      <c r="H407" s="338" t="s">
        <v>247</v>
      </c>
      <c r="I407" s="338" t="s">
        <v>278</v>
      </c>
      <c r="J407" s="518"/>
      <c r="K407" s="461"/>
      <c r="L407" s="334"/>
      <c r="M407" s="479" t="s">
        <v>269</v>
      </c>
      <c r="N407" s="507">
        <v>39122</v>
      </c>
      <c r="O407" s="507" t="s">
        <v>252</v>
      </c>
      <c r="P407"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7" s="35">
        <v>0.34552838577289324</v>
      </c>
      <c r="S407" s="327">
        <v>0.34552838577289324</v>
      </c>
      <c r="T407" s="153">
        <f>Table1[[#This Row],[Progres Total Aktual
(%)]]</f>
        <v>2.952176489507299E-2</v>
      </c>
      <c r="U407" s="122">
        <f>Table1[[#This Row],[Progres Aktual
(%)]]-Table1[[#This Row],[Target Progres
(%)]]</f>
        <v>-0.31600662087782028</v>
      </c>
      <c r="V407" s="119">
        <v>39185</v>
      </c>
      <c r="W407" s="119">
        <f>Table1[[#This Row],[Total Panjang Pipa Aktual
(Sum-&gt;)3]]</f>
        <v>0</v>
      </c>
      <c r="X407" s="120"/>
      <c r="Y407" s="508" t="s">
        <v>3214</v>
      </c>
      <c r="Z407" s="67">
        <v>47316244282</v>
      </c>
      <c r="AA407" s="519">
        <f>ROUND((Table1[[#This Row],[Nilai RAB Jaringan
(Exclude Ppn)]]-Table1[[#This Row],[RAB Perizinan]])*1.11+Table1[[#This Row],[RAB Perizinan]],0)</f>
        <v>47316244281</v>
      </c>
      <c r="AB407" s="505">
        <f>SUM(Table1[[#This Row],[RAB Kegiatan Umum]:[RAB Perizinan]])</f>
        <v>42668097731</v>
      </c>
      <c r="AC407" s="537">
        <v>2535791570</v>
      </c>
      <c r="AD407" s="537">
        <v>31697394624</v>
      </c>
      <c r="AE407" s="537">
        <v>8022691537</v>
      </c>
      <c r="AF407" s="537">
        <v>412220000</v>
      </c>
      <c r="AG407" s="538"/>
      <c r="AH407" s="520">
        <f>SUM(Table1[[#This Row],[Bobot Keg Umum]:[Bobot Perizinan]])</f>
        <v>1</v>
      </c>
      <c r="AI407" s="520">
        <f>Table1[[#This Row],[RAB Kegiatan Umum]]/Table1[[#This Row],[Nilai RAB Jaringan
(Exclude Ppn)]]</f>
        <v>5.9430621584933015E-2</v>
      </c>
      <c r="AJ407" s="520">
        <f>Table1[[#This Row],[RAB Pemasangan]]/Table1[[#This Row],[Nilai RAB Jaringan
(Exclude Ppn)]]</f>
        <v>0.74288276978822598</v>
      </c>
      <c r="AK407" s="521">
        <f>Table1[[#This Row],[RAB Pengadaan]]/Table1[[#This Row],[Nilai RAB Jaringan
(Exclude Ppn)]]</f>
        <v>0.18802552641504824</v>
      </c>
      <c r="AL407" s="522">
        <f>Table1[[#This Row],[RAB Perizinan]]/Table1[[#This Row],[Nilai RAB Jaringan
(Exclude Ppn)]]</f>
        <v>9.6610822117927809E-3</v>
      </c>
      <c r="AM407" s="47"/>
      <c r="AN407" s="470"/>
      <c r="AO407" s="470">
        <f>SUM(Table1[[#This Row],[Pipa 63 mm]:[Pipa 1,800 mm]])</f>
        <v>39185</v>
      </c>
      <c r="AP407" s="470">
        <v>28877</v>
      </c>
      <c r="AQ407" s="470">
        <v>5804</v>
      </c>
      <c r="AR407" s="470">
        <v>1762</v>
      </c>
      <c r="AS407" s="470">
        <v>2557</v>
      </c>
      <c r="AT407" s="470">
        <v>18</v>
      </c>
      <c r="AU407" s="470">
        <v>167</v>
      </c>
      <c r="AV407" s="470"/>
      <c r="AW407" s="470"/>
      <c r="AX407" s="470"/>
      <c r="AY407" s="470"/>
      <c r="AZ407" s="470"/>
      <c r="BA407" s="470"/>
      <c r="BB407" s="470"/>
      <c r="BC407" s="470"/>
      <c r="BD407" s="470"/>
      <c r="BE407" s="470"/>
      <c r="BF407" s="470"/>
      <c r="BG407" s="470"/>
      <c r="BH407" s="470"/>
      <c r="BI407" s="470"/>
      <c r="BJ407" s="523">
        <f>SUM(Table1[[#This Row],[Pipa 63 mm2]:[Pipa 1,800 mm21]])</f>
        <v>0</v>
      </c>
      <c r="BK407" s="471"/>
      <c r="BL407" s="471"/>
      <c r="BM407" s="471"/>
      <c r="BN407" s="471"/>
      <c r="BO407" s="471"/>
      <c r="BP407" s="471"/>
      <c r="BQ407" s="471"/>
      <c r="BR407" s="471"/>
      <c r="BS407" s="471"/>
      <c r="BT407" s="471"/>
      <c r="BU407" s="471"/>
      <c r="BV407" s="471"/>
      <c r="BW407" s="471"/>
      <c r="BX407" s="471"/>
      <c r="BY407" s="471"/>
      <c r="BZ407" s="471"/>
      <c r="CA407" s="471"/>
      <c r="CB407" s="471"/>
      <c r="CC407" s="471"/>
      <c r="CD407" s="471"/>
      <c r="CE407" s="471"/>
      <c r="CF407" s="471"/>
      <c r="CG407" s="471"/>
      <c r="CH407" s="471"/>
      <c r="CI407" s="471"/>
      <c r="CJ407" s="471">
        <f>IF((Table1[[#This Row],["Volume
BA MC-0"]]-Table1[[#This Row],[Total Panjang Pipa Aktual
(Sum-&gt;)3]]-Table1[[#This Row],[Total Volume
tidak dapat dipasang]])&gt;=0,Table1[[#This Row],["Volume
BA MC-0"]]-Table1[[#This Row],[Total Panjang Pipa Aktual
(Sum-&gt;)3]]-Table1[[#This Row],[Total Volume
tidak dapat dipasang]],0)</f>
        <v>0</v>
      </c>
      <c r="CK407" s="47"/>
      <c r="CL407" s="472"/>
      <c r="CM407" s="475"/>
      <c r="CN407" s="472"/>
      <c r="CO407" s="472"/>
      <c r="CP40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2.952176489507299E-2</v>
      </c>
      <c r="CQ407" s="465">
        <f>IFERROR(Table1[[#This Row],[Progres Keg. Umum
(%)]]*Table1[[#This Row],[Nilai RAB Jaringan
(file pa aji)]],0)</f>
        <v>0</v>
      </c>
      <c r="CR407" s="465">
        <f>IFERROR(Table1[[#This Row],[Progres MOS
(%)]]*Table1[[#This Row],[Nilai RAB Jaringan
(file pa aji)]],0)</f>
        <v>0</v>
      </c>
      <c r="CS407" s="465">
        <f>IFERROR(Table1[[#This Row],[Progres Pemasangan
(%)]]*Table1[[#This Row],[Nilai RAB Jaringan
(file pa aji)]],0)</f>
        <v>0</v>
      </c>
      <c r="CT407" s="465">
        <f>IFERROR(Table1[[#This Row],[Progres Perizinan
(%)]]*Table1[[#This Row],[Nilai RAB Jaringan
(file pa aji)]],0)</f>
        <v>0</v>
      </c>
      <c r="CU407" s="329">
        <v>0</v>
      </c>
      <c r="CV407" s="329">
        <v>0</v>
      </c>
      <c r="CW407" s="524">
        <v>0</v>
      </c>
      <c r="CX407" s="329">
        <v>0</v>
      </c>
      <c r="CY407" s="47"/>
      <c r="CZ407" s="331">
        <v>45929</v>
      </c>
      <c r="DA407" s="331">
        <v>45963</v>
      </c>
      <c r="DB407" s="420">
        <v>45881</v>
      </c>
      <c r="DC407" s="535" t="s">
        <v>3215</v>
      </c>
      <c r="DD407" s="525">
        <f>46904024281.41+412220000</f>
        <v>47316244281.410004</v>
      </c>
      <c r="DE40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7" s="420">
        <v>46014</v>
      </c>
      <c r="DG407" s="535" t="s">
        <v>3216</v>
      </c>
      <c r="DH407" s="525">
        <f>46904024281.41+412220000</f>
        <v>47316244281.410004</v>
      </c>
      <c r="DI407"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7" s="331">
        <v>45964</v>
      </c>
      <c r="DK407" s="331">
        <v>46082</v>
      </c>
      <c r="DL407" s="331">
        <v>46049</v>
      </c>
      <c r="DM407" s="334" t="s">
        <v>3217</v>
      </c>
      <c r="DN40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7" s="331">
        <v>46087</v>
      </c>
      <c r="DP407" s="334"/>
      <c r="DQ407" s="461" t="s">
        <v>762</v>
      </c>
      <c r="DR40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7" s="331">
        <v>45964</v>
      </c>
      <c r="DT407" s="331">
        <v>46164</v>
      </c>
      <c r="DU407" s="331">
        <v>46012</v>
      </c>
      <c r="DV407" s="331">
        <v>46178</v>
      </c>
      <c r="DW407" s="331">
        <v>46049</v>
      </c>
      <c r="DX407" s="426" t="s">
        <v>3218</v>
      </c>
      <c r="DY407" s="334">
        <v>107</v>
      </c>
      <c r="DZ407" s="334">
        <v>107</v>
      </c>
      <c r="EA40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7" s="420"/>
      <c r="EC407" s="335">
        <v>99</v>
      </c>
      <c r="ED407" s="335">
        <v>99</v>
      </c>
      <c r="EE407" s="526"/>
      <c r="EF407" s="475">
        <v>0.92523364485981308</v>
      </c>
      <c r="EG407" s="337">
        <f>Table1[[#This Row],[Line PO]]/Table1[[#This Row],[Line PR]]</f>
        <v>0.92523364485981308</v>
      </c>
      <c r="EH407" s="316" t="str">
        <f>IF(Table1[[#This Row],[PO Material Aktual 
(%)]]&gt;=100%,"Selesai PO = 100%",IF(Table1[[#This Row],[PO Material Aktual 
(%)]]&gt;=50%,"Proses PO &gt; 100%",IF(Table1[[#This Row],[PO Material Aktual 
(%)]]&gt;0%,"Proses PO &gt; 50%",IF(Table1[[#This Row],[PO Material Aktual 
(%)]]=0,"Belum PO = 0%"))))</f>
        <v>Proses PO &gt; 100%</v>
      </c>
      <c r="EI40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7" s="331">
        <v>46013</v>
      </c>
      <c r="EK407" s="331">
        <v>46178</v>
      </c>
      <c r="EL407" s="331">
        <v>46201</v>
      </c>
      <c r="EM407" s="420">
        <v>46203</v>
      </c>
      <c r="EN407" s="420"/>
      <c r="EO407" s="332">
        <v>28</v>
      </c>
      <c r="EP407" s="332">
        <v>28</v>
      </c>
      <c r="EQ407" s="337">
        <v>0.26168224299065418</v>
      </c>
      <c r="ER407" s="337">
        <f>Table1[[#This Row],[Line MOS (kolom bantu)]]/Table1[[#This Row],[Line PR]]</f>
        <v>0.26168224299065418</v>
      </c>
      <c r="ES407" s="316" t="str">
        <f>IF(Table1[[#This Row],[Progres MOS]]&gt;=100%,"Selesai MOS = 100%",IF(Table1[[#This Row],[Progres MOS]]&gt;=50%,"Proses MOS &gt; 100%",IF(Table1[[#This Row],[Progres MOS]]&gt;0%,"Proses MOS &gt; 50%",IF(Table1[[#This Row],[Progres MOS]]=0,"Belum MOS = 0%"))))</f>
        <v>Proses MOS &gt; 50%</v>
      </c>
      <c r="ET40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7" s="47"/>
      <c r="EV407" s="331">
        <v>45964</v>
      </c>
      <c r="EW407" s="331">
        <v>46148</v>
      </c>
      <c r="EX407" s="331">
        <v>46110</v>
      </c>
      <c r="EY407" s="420">
        <v>46178</v>
      </c>
      <c r="EZ407" s="477" t="s">
        <v>2748</v>
      </c>
      <c r="FA407" s="409" t="s">
        <v>2748</v>
      </c>
      <c r="FB407" s="420" t="e">
        <v>#N/A</v>
      </c>
      <c r="FC407" s="330" t="e">
        <v>#N/A</v>
      </c>
      <c r="FD407" s="420" t="e">
        <v>#N/A</v>
      </c>
      <c r="FE407" s="420" t="e">
        <v>#N/A</v>
      </c>
      <c r="FF407" s="420" t="e">
        <v>#N/A</v>
      </c>
      <c r="FG407" s="420" t="e">
        <v>#N/A</v>
      </c>
      <c r="FH407" s="420" t="e">
        <v>#N/A</v>
      </c>
      <c r="FI407" s="420" t="e">
        <v>#N/A</v>
      </c>
      <c r="FJ407" s="420" t="e">
        <v>#N/A</v>
      </c>
      <c r="FK407" s="420" t="e">
        <v>#N/A</v>
      </c>
      <c r="FL407" s="352" t="s">
        <v>2759</v>
      </c>
      <c r="FM407" s="477"/>
      <c r="FN407" s="461" t="str">
        <f>IF(Table1[[#This Row],[Tanggal Pengajuan Dokumen]]="","",Table1[[#This Row],[PLAN PERMIT
start]]-Table1[[#This Row],[Tanggal Pengajuan Dokumen]])</f>
        <v/>
      </c>
      <c r="FO407" s="477"/>
      <c r="FP407" s="334"/>
      <c r="FQ407" s="461"/>
      <c r="FR407" s="420"/>
      <c r="FS407" s="461"/>
      <c r="FT407"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7" s="476">
        <f ca="1">IF(Table1[[#This Row],[Status Izin]]="Selesai",Table1[[#This Row],[PLAN PERMIT
finish]]-Table1[[#This Row],[Tanggal Terbit/ Target Izin Terbit]],ROUNDUP(Table1[[#This Row],[PLAN PERMIT
finish]]-NOW(),0))</f>
        <v>-81</v>
      </c>
      <c r="FV407"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7" s="476"/>
      <c r="FX407" s="47"/>
      <c r="FY407" s="513">
        <v>46069</v>
      </c>
      <c r="FZ407" s="513">
        <v>46050</v>
      </c>
      <c r="GA40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7" s="331">
        <v>46083</v>
      </c>
      <c r="GC407" s="477">
        <v>46112</v>
      </c>
      <c r="GD407"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7" s="331">
        <v>46090</v>
      </c>
      <c r="GF407" s="477">
        <v>46112</v>
      </c>
      <c r="GG407"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07" s="331">
        <v>46097</v>
      </c>
      <c r="GI407" s="331">
        <v>46103</v>
      </c>
      <c r="GJ407" s="477">
        <v>46128</v>
      </c>
      <c r="GK407"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7" s="331">
        <v>46111</v>
      </c>
      <c r="GM407" s="331">
        <v>46206</v>
      </c>
      <c r="GN407" s="331">
        <v>46222</v>
      </c>
      <c r="GO407" s="330">
        <v>46275</v>
      </c>
      <c r="GP407" s="334"/>
      <c r="GQ407"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7" s="420"/>
      <c r="GS407" s="420"/>
      <c r="GT407" s="419"/>
      <c r="GU407" s="476" t="str">
        <f>IF(Table1[[#This Row],[Hydro Tes Actual
(tanggal)]]&lt;&gt;"","Sudah","Belum")</f>
        <v>Belum</v>
      </c>
      <c r="GV407" s="527"/>
      <c r="GW407" s="527"/>
      <c r="GX407" s="420"/>
      <c r="GY407" s="476" t="str">
        <f>IF(Table1[[#This Row],[Interkoneksi Actual
(tanggal)]]&lt;&gt;"","Sudah","Belum")</f>
        <v>Belum</v>
      </c>
      <c r="GZ407" s="527"/>
      <c r="HA407" s="527"/>
      <c r="HB407" s="420"/>
      <c r="HC407" s="476" t="str">
        <f>IF(Table1[[#This Row],[Flushing Actual
(tanggal)]]&lt;&gt;"","Sudah","Belum")</f>
        <v>Belum</v>
      </c>
      <c r="HD407" s="331">
        <v>46225</v>
      </c>
      <c r="HE407" s="331">
        <v>46276</v>
      </c>
      <c r="HF407" s="331">
        <v>46230</v>
      </c>
      <c r="HG407" s="477"/>
      <c r="HH407"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7" s="527"/>
      <c r="HJ407" s="527"/>
      <c r="HK407" s="420"/>
      <c r="HL407" s="420"/>
      <c r="HM407" s="331">
        <v>46247</v>
      </c>
      <c r="HN407" s="331">
        <v>46247</v>
      </c>
      <c r="HO407" s="330">
        <v>46293</v>
      </c>
      <c r="HP407" s="420"/>
      <c r="HQ407"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07" s="331">
        <v>46255</v>
      </c>
      <c r="HS407" s="331"/>
      <c r="HT407" s="331">
        <v>46255</v>
      </c>
      <c r="HU407" s="420"/>
      <c r="HV407" s="347"/>
      <c r="HW407"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07" s="47"/>
      <c r="HY407" s="477"/>
      <c r="HZ407" s="477"/>
      <c r="IA407" s="72"/>
      <c r="IB407" s="618">
        <f>IFERROR(ROUND((Table1[[#This Row],[PLAN TC
finish]]-Table1[[#This Row],[PLAN MC-0
start]])/30,2),"")</f>
        <v>4.43</v>
      </c>
      <c r="IC407">
        <f>DATEDIF(Table1[[#This Row],[PLAN MC-0
start]],Table1[[#This Row],[PLAN TC
finish]],"m")</f>
        <v>4</v>
      </c>
      <c r="ID407" s="6"/>
      <c r="IE407" s="6"/>
      <c r="IF407" s="72"/>
      <c r="IH407" s="6"/>
      <c r="II407" s="4"/>
      <c r="IJ407" s="4"/>
      <c r="IK407" s="6"/>
      <c r="IL407" s="6"/>
      <c r="IM407" s="6"/>
      <c r="IN407" s="6"/>
      <c r="IO407" s="6"/>
      <c r="IQ407" s="6"/>
      <c r="IR407" s="6"/>
      <c r="IS407" s="6"/>
      <c r="IT407" s="6"/>
      <c r="IW407" s="6"/>
      <c r="IX407" s="6"/>
      <c r="IZ407" s="6"/>
      <c r="JA407" s="6"/>
    </row>
    <row r="408" spans="1:261" ht="15" hidden="1" customHeight="1" x14ac:dyDescent="0.2">
      <c r="B408" s="311">
        <f>SUBTOTAL(3,$D$5:D408)</f>
        <v>84</v>
      </c>
      <c r="C408" s="316">
        <v>404</v>
      </c>
      <c r="D408" s="315" t="s">
        <v>673</v>
      </c>
      <c r="E408" s="338" t="s">
        <v>3219</v>
      </c>
      <c r="F408" s="338" t="s">
        <v>3220</v>
      </c>
      <c r="G408" s="349">
        <v>46300</v>
      </c>
      <c r="H408" s="338" t="s">
        <v>681</v>
      </c>
      <c r="I408" s="338" t="s">
        <v>278</v>
      </c>
      <c r="J408" s="480"/>
      <c r="K408" s="338"/>
      <c r="L408" s="316"/>
      <c r="M408" s="479" t="s">
        <v>269</v>
      </c>
      <c r="N408" s="507">
        <v>672</v>
      </c>
      <c r="O408" s="31" t="s">
        <v>252</v>
      </c>
      <c r="P40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8" s="35">
        <v>1</v>
      </c>
      <c r="S408" s="327">
        <v>1</v>
      </c>
      <c r="T408" s="152">
        <f>Table1[[#This Row],[Progres Total Aktual
(%)]]</f>
        <v>7.6566628893159544E-2</v>
      </c>
      <c r="U408" s="121">
        <f>Table1[[#This Row],[Progres Aktual
(%)]]-Table1[[#This Row],[Target Progres
(%)]]</f>
        <v>-0.92343337110684043</v>
      </c>
      <c r="V408" s="80">
        <v>700</v>
      </c>
      <c r="W408" s="80">
        <f>Table1[[#This Row],[Total Panjang Pipa Aktual
(Sum-&gt;)3]]</f>
        <v>245</v>
      </c>
      <c r="X408" s="117"/>
      <c r="Y408" s="67" t="s">
        <v>3221</v>
      </c>
      <c r="Z408" s="67">
        <v>1004532495</v>
      </c>
      <c r="AA408" s="509">
        <f>ROUND((Table1[[#This Row],[Nilai RAB Jaringan
(Exclude Ppn)]]-Table1[[#This Row],[RAB Perizinan]])*1.11+Table1[[#This Row],[RAB Perizinan]],0)</f>
        <v>1004532494</v>
      </c>
      <c r="AB408" s="483">
        <f>SUM(Table1[[#This Row],[RAB Kegiatan Umum]:[RAB Perizinan]])</f>
        <v>905650175</v>
      </c>
      <c r="AC408" s="537">
        <v>55858891</v>
      </c>
      <c r="AD408" s="537">
        <v>558588901</v>
      </c>
      <c r="AE408" s="537">
        <v>284482383</v>
      </c>
      <c r="AF408" s="537">
        <v>6720000</v>
      </c>
      <c r="AG408" s="534"/>
      <c r="AH408" s="510">
        <f>SUM(Table1[[#This Row],[Bobot Keg Umum]:[Bobot Perizinan]])</f>
        <v>1</v>
      </c>
      <c r="AI408" s="510">
        <f>Table1[[#This Row],[RAB Kegiatan Umum]]/Table1[[#This Row],[Nilai RAB Jaringan
(Exclude Ppn)]]</f>
        <v>6.1678220290743054E-2</v>
      </c>
      <c r="AJ408" s="510">
        <f>Table1[[#This Row],[RAB Pemasangan]]/Table1[[#This Row],[Nilai RAB Jaringan
(Exclude Ppn)]]</f>
        <v>0.61678219296981862</v>
      </c>
      <c r="AK408" s="129">
        <f>Table1[[#This Row],[RAB Pengadaan]]/Table1[[#This Row],[Nilai RAB Jaringan
(Exclude Ppn)]]</f>
        <v>0.31411950315142378</v>
      </c>
      <c r="AL408" s="130">
        <f>Table1[[#This Row],[RAB Perizinan]]/Table1[[#This Row],[Nilai RAB Jaringan
(Exclude Ppn)]]</f>
        <v>7.4200835880145442E-3</v>
      </c>
      <c r="AM408" s="47"/>
      <c r="AN408" s="285"/>
      <c r="AO408" s="285">
        <f>SUM(Table1[[#This Row],[Pipa 63 mm]:[Pipa 1,800 mm]])</f>
        <v>700</v>
      </c>
      <c r="AP408" s="285">
        <v>500</v>
      </c>
      <c r="AQ408" s="285"/>
      <c r="AR408" s="285">
        <v>200</v>
      </c>
      <c r="AS408" s="285"/>
      <c r="AT408" s="285"/>
      <c r="AU408" s="285"/>
      <c r="AV408" s="285"/>
      <c r="AW408" s="285"/>
      <c r="AX408" s="285"/>
      <c r="AY408" s="285"/>
      <c r="AZ408" s="285"/>
      <c r="BA408" s="285"/>
      <c r="BB408" s="285"/>
      <c r="BC408" s="285"/>
      <c r="BD408" s="285"/>
      <c r="BE408" s="285"/>
      <c r="BF408" s="285"/>
      <c r="BG408" s="285"/>
      <c r="BH408" s="285"/>
      <c r="BI408" s="285"/>
      <c r="BJ408" s="36">
        <f>SUM(Table1[[#This Row],[Pipa 63 mm2]:[Pipa 1,800 mm21]])</f>
        <v>245</v>
      </c>
      <c r="BK408" s="32">
        <v>245</v>
      </c>
      <c r="BL408" s="32"/>
      <c r="BM408" s="32"/>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f>IF((Table1[[#This Row],["Volume
BA MC-0"]]-Table1[[#This Row],[Total Panjang Pipa Aktual
(Sum-&gt;)3]]-Table1[[#This Row],[Total Volume
tidak dapat dipasang]])&gt;=0,Table1[[#This Row],["Volume
BA MC-0"]]-Table1[[#This Row],[Total Panjang Pipa Aktual
(Sum-&gt;)3]]-Table1[[#This Row],[Total Volume
tidak dapat dipasang]],0)</f>
        <v>0</v>
      </c>
      <c r="CK408" s="47"/>
      <c r="CL408" s="131"/>
      <c r="CM408" s="337"/>
      <c r="CN408" s="131"/>
      <c r="CO408" s="131"/>
      <c r="CP40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7.6566628893159544E-2</v>
      </c>
      <c r="CQ408" s="436">
        <f>IFERROR(Table1[[#This Row],[Progres Keg. Umum
(%)]]*Table1[[#This Row],[Nilai RAB Jaringan
(file pa aji)]],0)</f>
        <v>0</v>
      </c>
      <c r="CR408" s="436">
        <f>IFERROR(Table1[[#This Row],[Progres MOS
(%)]]*Table1[[#This Row],[Nilai RAB Jaringan
(file pa aji)]],0)</f>
        <v>0</v>
      </c>
      <c r="CS408" s="436">
        <f>IFERROR(Table1[[#This Row],[Progres Pemasangan
(%)]]*Table1[[#This Row],[Nilai RAB Jaringan
(file pa aji)]],0)</f>
        <v>0</v>
      </c>
      <c r="CT408" s="436">
        <f>IFERROR(Table1[[#This Row],[Progres Perizinan
(%)]]*Table1[[#This Row],[Nilai RAB Jaringan
(file pa aji)]],0)</f>
        <v>0</v>
      </c>
      <c r="CU408" s="329">
        <v>0</v>
      </c>
      <c r="CV408" s="329">
        <v>0</v>
      </c>
      <c r="CW408" s="511">
        <v>0</v>
      </c>
      <c r="CX408" s="329">
        <v>0</v>
      </c>
      <c r="CY408" s="47"/>
      <c r="CZ408" s="331">
        <v>45957</v>
      </c>
      <c r="DA408" s="331">
        <v>45984</v>
      </c>
      <c r="DB408" s="331">
        <v>45951</v>
      </c>
      <c r="DC408" s="535" t="s">
        <v>3222</v>
      </c>
      <c r="DD408" s="508">
        <f>997812494.25+6720000</f>
        <v>1004532494.25</v>
      </c>
      <c r="DE40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8" s="331">
        <v>45972</v>
      </c>
      <c r="DG408" s="535" t="s">
        <v>3223</v>
      </c>
      <c r="DH408" s="508">
        <f>997812494.25+6720000</f>
        <v>1004532494.25</v>
      </c>
      <c r="DI40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8" s="331">
        <v>45985</v>
      </c>
      <c r="DK408" s="331">
        <v>46047</v>
      </c>
      <c r="DL408" s="331">
        <v>46049</v>
      </c>
      <c r="DM408" s="316" t="s">
        <v>3224</v>
      </c>
      <c r="DN40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408" s="331">
        <v>46086</v>
      </c>
      <c r="DP408" s="316"/>
      <c r="DQ408" s="338" t="s">
        <v>365</v>
      </c>
      <c r="DR40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8" s="331">
        <v>45985</v>
      </c>
      <c r="DT408" s="331">
        <v>46164</v>
      </c>
      <c r="DU408" s="331">
        <v>46026</v>
      </c>
      <c r="DV408" s="331">
        <v>46178</v>
      </c>
      <c r="DW408" s="331">
        <v>46049</v>
      </c>
      <c r="DX408" t="s">
        <v>3225</v>
      </c>
      <c r="DY408" s="334">
        <v>32</v>
      </c>
      <c r="DZ408" s="334">
        <v>32</v>
      </c>
      <c r="EA40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8" s="331"/>
      <c r="EC408" s="332">
        <v>30</v>
      </c>
      <c r="ED408" s="332">
        <v>30</v>
      </c>
      <c r="EE408" s="118"/>
      <c r="EF408" s="337">
        <v>0.9375</v>
      </c>
      <c r="EG408" s="337">
        <f>Table1[[#This Row],[Line PO]]/Table1[[#This Row],[Line PR]]</f>
        <v>0.9375</v>
      </c>
      <c r="EH408" s="316" t="str">
        <f>IF(Table1[[#This Row],[PO Material Aktual 
(%)]]&gt;=100%,"Selesai PO = 100%",IF(Table1[[#This Row],[PO Material Aktual 
(%)]]&gt;=50%,"Proses PO &gt; 100%",IF(Table1[[#This Row],[PO Material Aktual 
(%)]]&gt;0%,"Proses PO &gt; 50%",IF(Table1[[#This Row],[PO Material Aktual 
(%)]]=0,"Belum PO = 0%"))))</f>
        <v>Proses PO &gt; 100%</v>
      </c>
      <c r="EI40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8" s="331">
        <v>46027</v>
      </c>
      <c r="EK408" s="331">
        <v>46178</v>
      </c>
      <c r="EL408" s="331">
        <v>46103</v>
      </c>
      <c r="EM408" s="331">
        <v>46183</v>
      </c>
      <c r="EN408" s="331"/>
      <c r="EO408" s="332">
        <v>13</v>
      </c>
      <c r="EP408" s="332">
        <v>13</v>
      </c>
      <c r="EQ408" s="337">
        <v>0.40625</v>
      </c>
      <c r="ER408" s="337">
        <f>Table1[[#This Row],[Line MOS (kolom bantu)]]/Table1[[#This Row],[Line PR]]</f>
        <v>0.40625</v>
      </c>
      <c r="ES408" s="316" t="str">
        <f>IF(Table1[[#This Row],[Progres MOS]]&gt;=100%,"Selesai MOS = 100%",IF(Table1[[#This Row],[Progres MOS]]&gt;=50%,"Proses MOS &gt; 100%",IF(Table1[[#This Row],[Progres MOS]]&gt;0%,"Proses MOS &gt; 50%",IF(Table1[[#This Row],[Progres MOS]]=0,"Belum MOS = 0%"))))</f>
        <v>Proses MOS &gt; 50%</v>
      </c>
      <c r="ET40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8" s="47"/>
      <c r="EV408" s="331">
        <v>45985</v>
      </c>
      <c r="EW408" s="331">
        <v>46156</v>
      </c>
      <c r="EX408" s="331">
        <v>46075</v>
      </c>
      <c r="EY408" s="331">
        <v>46186</v>
      </c>
      <c r="EZ408" s="352" t="s">
        <v>2748</v>
      </c>
      <c r="FA408" s="409" t="s">
        <v>2748</v>
      </c>
      <c r="FB408" s="331"/>
      <c r="FC408" s="330">
        <v>46020</v>
      </c>
      <c r="FD408" s="331" t="s">
        <v>260</v>
      </c>
      <c r="FE408" s="331">
        <v>46066</v>
      </c>
      <c r="FF408" s="331"/>
      <c r="FG408" s="331"/>
      <c r="FH408" s="331"/>
      <c r="FI408" s="331"/>
      <c r="FJ408" s="331"/>
      <c r="FK408" s="331"/>
      <c r="FL408" s="352" t="s">
        <v>2759</v>
      </c>
      <c r="FM408" s="352"/>
      <c r="FN408" s="338" t="str">
        <f>IF(Table1[[#This Row],[Tanggal Pengajuan Dokumen]]="","",Table1[[#This Row],[PLAN PERMIT
start]]-Table1[[#This Row],[Tanggal Pengajuan Dokumen]])</f>
        <v/>
      </c>
      <c r="FO408" s="352"/>
      <c r="FP408" s="316"/>
      <c r="FQ408" s="338"/>
      <c r="FR408" s="331"/>
      <c r="FS408" s="338"/>
      <c r="FT40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8" s="344">
        <f ca="1">IF(Table1[[#This Row],[Status Izin]]="Selesai",Table1[[#This Row],[PLAN PERMIT
finish]]-Table1[[#This Row],[Tanggal Terbit/ Target Izin Terbit]],ROUNDUP(Table1[[#This Row],[PLAN PERMIT
finish]]-NOW(),0))</f>
        <v>-116</v>
      </c>
      <c r="FV40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8" s="344"/>
      <c r="FX408" s="47"/>
      <c r="FY408" s="513">
        <v>46034</v>
      </c>
      <c r="FZ408" s="513">
        <v>46050</v>
      </c>
      <c r="GA40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08" s="331">
        <v>46048</v>
      </c>
      <c r="GC408" s="352">
        <v>46112</v>
      </c>
      <c r="GD40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8" s="331">
        <v>46055</v>
      </c>
      <c r="GF408" s="352">
        <v>46112</v>
      </c>
      <c r="GG40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08" s="331">
        <v>46062</v>
      </c>
      <c r="GI408" s="331">
        <v>46068</v>
      </c>
      <c r="GJ408" s="352">
        <v>46119</v>
      </c>
      <c r="GK40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8" s="331">
        <v>46076</v>
      </c>
      <c r="GM408" s="331">
        <v>46193</v>
      </c>
      <c r="GN408" s="331">
        <v>46103</v>
      </c>
      <c r="GO408" s="330">
        <v>46241</v>
      </c>
      <c r="GP408" s="316"/>
      <c r="GQ40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08" s="331"/>
      <c r="GS408" s="331"/>
      <c r="GT408" s="354"/>
      <c r="GU408" s="344" t="str">
        <f>IF(Table1[[#This Row],[Hydro Tes Actual
(tanggal)]]&lt;&gt;"","Sudah","Belum")</f>
        <v>Belum</v>
      </c>
      <c r="GV408" s="330"/>
      <c r="GW408" s="330"/>
      <c r="GX408" s="331"/>
      <c r="GY408" s="344" t="str">
        <f>IF(Table1[[#This Row],[Interkoneksi Actual
(tanggal)]]&lt;&gt;"","Sudah","Belum")</f>
        <v>Belum</v>
      </c>
      <c r="GZ408" s="330"/>
      <c r="HA408" s="330"/>
      <c r="HB408" s="331"/>
      <c r="HC408" s="344" t="str">
        <f>IF(Table1[[#This Row],[Flushing Actual
(tanggal)]]&lt;&gt;"","Sudah","Belum")</f>
        <v>Belum</v>
      </c>
      <c r="HD408" s="331">
        <v>46106</v>
      </c>
      <c r="HE408" s="331">
        <v>46242</v>
      </c>
      <c r="HF408" s="331">
        <v>46111</v>
      </c>
      <c r="HG408" s="352"/>
      <c r="HH40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08" s="330"/>
      <c r="HJ408" s="330"/>
      <c r="HK408" s="331"/>
      <c r="HL408" s="331"/>
      <c r="HM408" s="331">
        <v>46128</v>
      </c>
      <c r="HN408" s="331">
        <v>46128</v>
      </c>
      <c r="HO408" s="330">
        <v>46259</v>
      </c>
      <c r="HP408" s="331"/>
      <c r="HQ40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08" s="331">
        <v>46136</v>
      </c>
      <c r="HS408" s="331"/>
      <c r="HT408" s="331">
        <v>46136</v>
      </c>
      <c r="HU408" s="420"/>
      <c r="HV408" s="395"/>
      <c r="HW40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08" s="47"/>
      <c r="HY408" s="352"/>
      <c r="HZ408" s="352"/>
      <c r="IA408" s="72"/>
      <c r="IB408" s="618">
        <f>IFERROR(ROUND((Table1[[#This Row],[PLAN TC
finish]]-Table1[[#This Row],[PLAN MC-0
start]])/30,2),"")</f>
        <v>1.63</v>
      </c>
      <c r="IC408">
        <f>DATEDIF(Table1[[#This Row],[PLAN MC-0
start]],Table1[[#This Row],[PLAN TC
finish]],"m")</f>
        <v>1</v>
      </c>
      <c r="ID408" s="6"/>
      <c r="IE408" s="6"/>
      <c r="IF408" s="72"/>
      <c r="IH408" s="6"/>
      <c r="II408" s="4"/>
      <c r="IJ408" s="4"/>
      <c r="IK408" s="6"/>
      <c r="IL408" s="6"/>
      <c r="IM408" s="6"/>
      <c r="IN408" s="6"/>
      <c r="IO408" s="6"/>
      <c r="IQ408" s="6"/>
      <c r="IR408" s="6"/>
      <c r="IS408" s="6"/>
      <c r="IT408" s="6"/>
      <c r="IW408" s="6"/>
      <c r="IX408" s="6"/>
      <c r="IZ408" s="6"/>
      <c r="JA408" s="6"/>
    </row>
    <row r="409" spans="1:261" ht="15" hidden="1" customHeight="1" x14ac:dyDescent="0.2">
      <c r="B409" s="311">
        <f>SUBTOTAL(3,$D$5:D409)</f>
        <v>84</v>
      </c>
      <c r="C409" s="316">
        <v>405</v>
      </c>
      <c r="D409" s="315" t="s">
        <v>673</v>
      </c>
      <c r="E409" s="338" t="s">
        <v>3226</v>
      </c>
      <c r="F409" s="338" t="s">
        <v>3227</v>
      </c>
      <c r="G409" s="349">
        <v>46300</v>
      </c>
      <c r="H409" s="338" t="s">
        <v>681</v>
      </c>
      <c r="I409" s="338" t="s">
        <v>278</v>
      </c>
      <c r="J409" s="480"/>
      <c r="K409" s="338"/>
      <c r="L409" s="316"/>
      <c r="M409" s="479" t="s">
        <v>269</v>
      </c>
      <c r="N409" s="507">
        <v>2372</v>
      </c>
      <c r="O409" s="31" t="s">
        <v>252</v>
      </c>
      <c r="P40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40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9" s="35">
        <v>0.97533688297294308</v>
      </c>
      <c r="S409" s="327">
        <v>0.97533688297294308</v>
      </c>
      <c r="T409" s="152">
        <f>Table1[[#This Row],[Progres Total Aktual
(%)]]</f>
        <v>4.2447185219438258E-2</v>
      </c>
      <c r="U409" s="121">
        <f>Table1[[#This Row],[Progres Aktual
(%)]]-Table1[[#This Row],[Target Progres
(%)]]</f>
        <v>-0.93288969775350483</v>
      </c>
      <c r="V409" s="80">
        <v>2537</v>
      </c>
      <c r="W409" s="80">
        <f>Table1[[#This Row],[Total Panjang Pipa Aktual
(Sum-&gt;)3]]</f>
        <v>0</v>
      </c>
      <c r="X409" s="117"/>
      <c r="Y409" s="67" t="s">
        <v>3228</v>
      </c>
      <c r="Z409" s="67">
        <v>4255561145</v>
      </c>
      <c r="AA409" s="509">
        <f>ROUND((Table1[[#This Row],[Nilai RAB Jaringan
(Exclude Ppn)]]-Table1[[#This Row],[RAB Perizinan]])*1.11+Table1[[#This Row],[RAB Perizinan]],0)</f>
        <v>4255561144</v>
      </c>
      <c r="AB409" s="483">
        <f>SUM(Table1[[#This Row],[RAB Kegiatan Umum]:[RAB Perizinan]])</f>
        <v>3836883193</v>
      </c>
      <c r="AC409" s="537">
        <v>286379964</v>
      </c>
      <c r="AD409" s="537">
        <v>2863799638</v>
      </c>
      <c r="AE409" s="436">
        <v>655983591</v>
      </c>
      <c r="AF409" s="537">
        <v>30720000</v>
      </c>
      <c r="AG409" s="534"/>
      <c r="AH409" s="510">
        <f>SUM(Table1[[#This Row],[Bobot Keg Umum]:[Bobot Perizinan]])</f>
        <v>1</v>
      </c>
      <c r="AI409" s="510">
        <f>Table1[[#This Row],[RAB Kegiatan Umum]]/Table1[[#This Row],[Nilai RAB Jaringan
(Exclude Ppn)]]</f>
        <v>7.4638697503867438E-2</v>
      </c>
      <c r="AJ409" s="510">
        <f>Table1[[#This Row],[RAB Pemasangan]]/Table1[[#This Row],[Nilai RAB Jaringan
(Exclude Ppn)]]</f>
        <v>0.74638697451741787</v>
      </c>
      <c r="AK409" s="129">
        <f>Table1[[#This Row],[RAB Pengadaan]]/Table1[[#This Row],[Nilai RAB Jaringan
(Exclude Ppn)]]</f>
        <v>0.17096782935607077</v>
      </c>
      <c r="AL409" s="130">
        <f>Table1[[#This Row],[RAB Perizinan]]/Table1[[#This Row],[Nilai RAB Jaringan
(Exclude Ppn)]]</f>
        <v>8.0064986226438921E-3</v>
      </c>
      <c r="AM409" s="47"/>
      <c r="AN409" s="285"/>
      <c r="AO409" s="285">
        <f>SUM(Table1[[#This Row],[Pipa 63 mm]:[Pipa 1,800 mm]])</f>
        <v>2537</v>
      </c>
      <c r="AP409" s="285">
        <v>1440</v>
      </c>
      <c r="AQ409" s="285">
        <v>707</v>
      </c>
      <c r="AR409" s="285">
        <v>6</v>
      </c>
      <c r="AS409" s="285">
        <v>384</v>
      </c>
      <c r="AT409" s="285"/>
      <c r="AU409" s="285"/>
      <c r="AV409" s="285"/>
      <c r="AW409" s="285"/>
      <c r="AX409" s="285"/>
      <c r="AY409" s="285"/>
      <c r="AZ409" s="285"/>
      <c r="BA409" s="285"/>
      <c r="BB409" s="285"/>
      <c r="BC409" s="285"/>
      <c r="BD409" s="285"/>
      <c r="BE409" s="285"/>
      <c r="BF409" s="285"/>
      <c r="BG409" s="285"/>
      <c r="BH409" s="285"/>
      <c r="BI409" s="285"/>
      <c r="BJ409" s="36">
        <f>SUM(Table1[[#This Row],[Pipa 63 mm2]:[Pipa 1,800 mm21]])</f>
        <v>0</v>
      </c>
      <c r="BK409" s="32"/>
      <c r="BL409" s="32"/>
      <c r="BM409" s="32"/>
      <c r="BN409" s="32"/>
      <c r="BO409" s="32"/>
      <c r="BP409" s="32"/>
      <c r="BQ409" s="32"/>
      <c r="BR409" s="32"/>
      <c r="BS409" s="32"/>
      <c r="BT409" s="32"/>
      <c r="BU409" s="32"/>
      <c r="BV409" s="32"/>
      <c r="BW409" s="32"/>
      <c r="BX409" s="32"/>
      <c r="BY409" s="32"/>
      <c r="BZ409" s="32"/>
      <c r="CA409" s="32"/>
      <c r="CB409" s="32"/>
      <c r="CC409" s="32"/>
      <c r="CD409" s="32"/>
      <c r="CE409" s="32"/>
      <c r="CF409" s="32"/>
      <c r="CG409" s="32"/>
      <c r="CH409" s="32"/>
      <c r="CI409" s="32"/>
      <c r="CJ409" s="32">
        <f>IF((Table1[[#This Row],["Volume
BA MC-0"]]-Table1[[#This Row],[Total Panjang Pipa Aktual
(Sum-&gt;)3]]-Table1[[#This Row],[Total Volume
tidak dapat dipasang]])&gt;=0,Table1[[#This Row],["Volume
BA MC-0"]]-Table1[[#This Row],[Total Panjang Pipa Aktual
(Sum-&gt;)3]]-Table1[[#This Row],[Total Volume
tidak dapat dipasang]],0)</f>
        <v>0</v>
      </c>
      <c r="CK409" s="47"/>
      <c r="CL409" s="131"/>
      <c r="CM409" s="337"/>
      <c r="CN409" s="131"/>
      <c r="CO409" s="131"/>
      <c r="CP40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4.2447185219438258E-2</v>
      </c>
      <c r="CQ409" s="436">
        <f>IFERROR(Table1[[#This Row],[Progres Keg. Umum
(%)]]*Table1[[#This Row],[Nilai RAB Jaringan
(file pa aji)]],0)</f>
        <v>0</v>
      </c>
      <c r="CR409" s="436">
        <f>IFERROR(Table1[[#This Row],[Progres MOS
(%)]]*Table1[[#This Row],[Nilai RAB Jaringan
(file pa aji)]],0)</f>
        <v>0</v>
      </c>
      <c r="CS409" s="436">
        <f>IFERROR(Table1[[#This Row],[Progres Pemasangan
(%)]]*Table1[[#This Row],[Nilai RAB Jaringan
(file pa aji)]],0)</f>
        <v>0</v>
      </c>
      <c r="CT409" s="436">
        <f>IFERROR(Table1[[#This Row],[Progres Perizinan
(%)]]*Table1[[#This Row],[Nilai RAB Jaringan
(file pa aji)]],0)</f>
        <v>0</v>
      </c>
      <c r="CU409" s="329">
        <v>0</v>
      </c>
      <c r="CV409" s="329">
        <v>0</v>
      </c>
      <c r="CW409" s="511">
        <v>0</v>
      </c>
      <c r="CX409" s="329">
        <v>0</v>
      </c>
      <c r="CY409" s="47"/>
      <c r="CZ409" s="331">
        <v>45957</v>
      </c>
      <c r="DA409" s="331">
        <v>45984</v>
      </c>
      <c r="DB409" s="331">
        <v>45951</v>
      </c>
      <c r="DC409" s="535" t="s">
        <v>2610</v>
      </c>
      <c r="DD409" s="536">
        <f>4224841144.23+30720000</f>
        <v>4255561144.23</v>
      </c>
      <c r="DE40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9" s="331">
        <v>45972</v>
      </c>
      <c r="DG409" s="535" t="s">
        <v>2611</v>
      </c>
      <c r="DH409" s="536">
        <f>4224841144.23+30720000</f>
        <v>4255561144.23</v>
      </c>
      <c r="DI40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9" s="331">
        <v>45985</v>
      </c>
      <c r="DK409" s="331">
        <v>46047</v>
      </c>
      <c r="DL409" s="331">
        <v>46049</v>
      </c>
      <c r="DM409" s="316" t="s">
        <v>3229</v>
      </c>
      <c r="DN40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409" s="331">
        <v>46085</v>
      </c>
      <c r="DP409" s="316"/>
      <c r="DQ409" s="338" t="s">
        <v>275</v>
      </c>
      <c r="DR40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9" s="331">
        <v>45985</v>
      </c>
      <c r="DT409" s="331">
        <v>46158</v>
      </c>
      <c r="DU409" s="331">
        <v>46026</v>
      </c>
      <c r="DV409" s="331">
        <v>46172</v>
      </c>
      <c r="DW409" s="331">
        <v>46049</v>
      </c>
      <c r="DX409" s="426" t="s">
        <v>3230</v>
      </c>
      <c r="DY409" s="334">
        <v>58</v>
      </c>
      <c r="DZ409" s="334">
        <v>58</v>
      </c>
      <c r="EA40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9" s="331"/>
      <c r="EC409" s="332">
        <v>57</v>
      </c>
      <c r="ED409" s="332">
        <v>57</v>
      </c>
      <c r="EE409" s="118"/>
      <c r="EF409" s="337">
        <v>0.98275862068965514</v>
      </c>
      <c r="EG409" s="337">
        <f>Table1[[#This Row],[Line PO]]/Table1[[#This Row],[Line PR]]</f>
        <v>0.98275862068965514</v>
      </c>
      <c r="EH409" s="316" t="str">
        <f>IF(Table1[[#This Row],[PO Material Aktual 
(%)]]&gt;=100%,"Selesai PO = 100%",IF(Table1[[#This Row],[PO Material Aktual 
(%)]]&gt;=50%,"Proses PO &gt; 100%",IF(Table1[[#This Row],[PO Material Aktual 
(%)]]&gt;0%,"Proses PO &gt; 50%",IF(Table1[[#This Row],[PO Material Aktual 
(%)]]=0,"Belum PO = 0%"))))</f>
        <v>Proses PO &gt; 100%</v>
      </c>
      <c r="EI40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9" s="331">
        <v>46027</v>
      </c>
      <c r="EK409" s="331">
        <v>46172</v>
      </c>
      <c r="EL409" s="331">
        <v>46138</v>
      </c>
      <c r="EM409" s="331">
        <v>46187</v>
      </c>
      <c r="EN409" s="331"/>
      <c r="EO409" s="332">
        <v>24</v>
      </c>
      <c r="EP409" s="332">
        <v>24</v>
      </c>
      <c r="EQ409" s="337">
        <v>0.41379310344827586</v>
      </c>
      <c r="ER409" s="337">
        <f>Table1[[#This Row],[Line MOS (kolom bantu)]]/Table1[[#This Row],[Line PR]]</f>
        <v>0.41379310344827586</v>
      </c>
      <c r="ES409" s="316" t="str">
        <f>IF(Table1[[#This Row],[Progres MOS]]&gt;=100%,"Selesai MOS = 100%",IF(Table1[[#This Row],[Progres MOS]]&gt;=50%,"Proses MOS &gt; 100%",IF(Table1[[#This Row],[Progres MOS]]&gt;0%,"Proses MOS &gt; 50%",IF(Table1[[#This Row],[Progres MOS]]=0,"Belum MOS = 0%"))))</f>
        <v>Proses MOS &gt; 50%</v>
      </c>
      <c r="ET40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9" s="47"/>
      <c r="EV409" s="331">
        <v>45985</v>
      </c>
      <c r="EW409" s="331">
        <v>46153</v>
      </c>
      <c r="EX409" s="331">
        <v>46075</v>
      </c>
      <c r="EY409" s="331">
        <v>46183</v>
      </c>
      <c r="EZ409" s="352" t="s">
        <v>2748</v>
      </c>
      <c r="FA409" s="409" t="s">
        <v>2748</v>
      </c>
      <c r="FB409" s="331"/>
      <c r="FC409" s="330">
        <v>46021</v>
      </c>
      <c r="FD409" s="331" t="s">
        <v>260</v>
      </c>
      <c r="FE409" s="331">
        <v>46066</v>
      </c>
      <c r="FF409" s="331"/>
      <c r="FG409" s="331"/>
      <c r="FH409" s="331"/>
      <c r="FI409" s="331"/>
      <c r="FJ409" s="331"/>
      <c r="FK409" s="331"/>
      <c r="FL409" s="352" t="s">
        <v>2759</v>
      </c>
      <c r="FM409" s="352"/>
      <c r="FN409" s="338" t="str">
        <f>IF(Table1[[#This Row],[Tanggal Pengajuan Dokumen]]="","",Table1[[#This Row],[PLAN PERMIT
start]]-Table1[[#This Row],[Tanggal Pengajuan Dokumen]])</f>
        <v/>
      </c>
      <c r="FO409" s="352"/>
      <c r="FP409" s="316"/>
      <c r="FQ409" s="338"/>
      <c r="FR409" s="331"/>
      <c r="FS409" s="338"/>
      <c r="FT40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9" s="344">
        <f ca="1">IF(Table1[[#This Row],[Status Izin]]="Selesai",Table1[[#This Row],[PLAN PERMIT
finish]]-Table1[[#This Row],[Tanggal Terbit/ Target Izin Terbit]],ROUNDUP(Table1[[#This Row],[PLAN PERMIT
finish]]-NOW(),0))</f>
        <v>-116</v>
      </c>
      <c r="FV40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9" s="344"/>
      <c r="FX409" s="47"/>
      <c r="FY409" s="513">
        <v>46034</v>
      </c>
      <c r="FZ409" s="513">
        <v>46050</v>
      </c>
      <c r="GA40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09" s="331">
        <v>46048</v>
      </c>
      <c r="GC409" s="352">
        <v>46113</v>
      </c>
      <c r="GD40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9" s="331">
        <v>46055</v>
      </c>
      <c r="GF409" s="352">
        <v>46113</v>
      </c>
      <c r="GG40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09" s="331">
        <v>46062</v>
      </c>
      <c r="GI409" s="331">
        <v>46068</v>
      </c>
      <c r="GJ409" s="352">
        <v>46129</v>
      </c>
      <c r="GK40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9" s="331">
        <v>46076</v>
      </c>
      <c r="GM409" s="331">
        <v>46190</v>
      </c>
      <c r="GN409" s="331">
        <v>46166</v>
      </c>
      <c r="GO409" s="330">
        <v>46262</v>
      </c>
      <c r="GP409" s="316"/>
      <c r="GQ40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09" s="331"/>
      <c r="GS409" s="331"/>
      <c r="GT409" s="354"/>
      <c r="GU409" s="344" t="str">
        <f>IF(Table1[[#This Row],[Hydro Tes Actual
(tanggal)]]&lt;&gt;"","Sudah","Belum")</f>
        <v>Belum</v>
      </c>
      <c r="GV409" s="330"/>
      <c r="GW409" s="330"/>
      <c r="GX409" s="331"/>
      <c r="GY409" s="344" t="str">
        <f>IF(Table1[[#This Row],[Interkoneksi Actual
(tanggal)]]&lt;&gt;"","Sudah","Belum")</f>
        <v>Belum</v>
      </c>
      <c r="GZ409" s="330"/>
      <c r="HA409" s="330"/>
      <c r="HB409" s="331"/>
      <c r="HC409" s="344" t="str">
        <f>IF(Table1[[#This Row],[Flushing Actual
(tanggal)]]&lt;&gt;"","Sudah","Belum")</f>
        <v>Belum</v>
      </c>
      <c r="HD409" s="331">
        <v>46169</v>
      </c>
      <c r="HE409" s="331">
        <v>46263</v>
      </c>
      <c r="HF409" s="331">
        <v>46174</v>
      </c>
      <c r="HG409" s="352"/>
      <c r="HH40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09" s="330"/>
      <c r="HJ409" s="330"/>
      <c r="HK409" s="331"/>
      <c r="HL409" s="331"/>
      <c r="HM409" s="331">
        <v>46191</v>
      </c>
      <c r="HN409" s="331">
        <v>46191</v>
      </c>
      <c r="HO409" s="330">
        <v>46280</v>
      </c>
      <c r="HP409" s="331"/>
      <c r="HQ40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09" s="331">
        <v>46199</v>
      </c>
      <c r="HS409" s="331"/>
      <c r="HT409" s="331">
        <v>46199</v>
      </c>
      <c r="HU409" s="420"/>
      <c r="HV409" s="395"/>
      <c r="HW409"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09" s="47"/>
      <c r="HY409" s="352"/>
      <c r="HZ409" s="352"/>
      <c r="IA409" s="72"/>
      <c r="IB409" s="618">
        <f>IFERROR(ROUND((Table1[[#This Row],[PLAN TC
finish]]-Table1[[#This Row],[PLAN MC-0
start]])/30,2),"")</f>
        <v>3.73</v>
      </c>
      <c r="IC409">
        <f>DATEDIF(Table1[[#This Row],[PLAN MC-0
start]],Table1[[#This Row],[PLAN TC
finish]],"m")</f>
        <v>3</v>
      </c>
      <c r="ID409" s="6"/>
      <c r="IE409" s="6"/>
      <c r="IF409" s="72"/>
      <c r="IH409" s="6"/>
      <c r="II409" s="4"/>
      <c r="IJ409" s="4"/>
      <c r="IK409" s="6"/>
      <c r="IL409" s="6"/>
      <c r="IM409" s="6"/>
      <c r="IN409" s="6"/>
      <c r="IO409" s="6"/>
      <c r="IQ409" s="6"/>
      <c r="IR409" s="6"/>
      <c r="IS409" s="6"/>
      <c r="IT409" s="6"/>
      <c r="IW409" s="6"/>
      <c r="IX409" s="6"/>
      <c r="IZ409" s="6"/>
      <c r="JA409" s="6"/>
    </row>
    <row r="410" spans="1:261" ht="15" hidden="1" customHeight="1" x14ac:dyDescent="0.2">
      <c r="B410" s="311">
        <f>SUBTOTAL(3,$D$5:D410)</f>
        <v>84</v>
      </c>
      <c r="C410" s="316">
        <v>406</v>
      </c>
      <c r="D410" s="315" t="s">
        <v>673</v>
      </c>
      <c r="E410" s="338" t="s">
        <v>3231</v>
      </c>
      <c r="F410" s="338" t="s">
        <v>3232</v>
      </c>
      <c r="G410" s="349">
        <v>46300</v>
      </c>
      <c r="H410" s="338" t="s">
        <v>681</v>
      </c>
      <c r="I410" s="338" t="s">
        <v>278</v>
      </c>
      <c r="J410" s="480"/>
      <c r="K410" s="338"/>
      <c r="L410" s="316"/>
      <c r="M410" s="479" t="s">
        <v>269</v>
      </c>
      <c r="N410" s="507">
        <v>189</v>
      </c>
      <c r="O410" s="31" t="s">
        <v>252</v>
      </c>
      <c r="P41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0" s="35">
        <v>1</v>
      </c>
      <c r="S410" s="327">
        <v>1</v>
      </c>
      <c r="T410" s="152">
        <f>Table1[[#This Row],[Progres Total Aktual
(%)]]</f>
        <v>4.7137621610179044E-2</v>
      </c>
      <c r="U410" s="121">
        <f>Table1[[#This Row],[Progres Aktual
(%)]]-Table1[[#This Row],[Target Progres
(%)]]</f>
        <v>-0.95286237838982091</v>
      </c>
      <c r="V410" s="80">
        <v>200</v>
      </c>
      <c r="W410" s="80">
        <f>Table1[[#This Row],[Total Panjang Pipa Aktual
(Sum-&gt;)3]]</f>
        <v>0</v>
      </c>
      <c r="X410" s="117"/>
      <c r="Y410" s="67" t="s">
        <v>3233</v>
      </c>
      <c r="Z410" s="67">
        <v>385729318</v>
      </c>
      <c r="AA410" s="509">
        <f>ROUND((Table1[[#This Row],[Nilai RAB Jaringan
(Exclude Ppn)]]-Table1[[#This Row],[RAB Perizinan]])*1.11+Table1[[#This Row],[RAB Perizinan]],0)</f>
        <v>385729318</v>
      </c>
      <c r="AB410" s="483">
        <f>SUM(Table1[[#This Row],[RAB Kegiatan Umum]:[RAB Perizinan]])</f>
        <v>347691187</v>
      </c>
      <c r="AC410" s="537">
        <v>25918177</v>
      </c>
      <c r="AD410" s="537">
        <v>259181767</v>
      </c>
      <c r="AE410" s="537">
        <v>60701243</v>
      </c>
      <c r="AF410" s="537">
        <v>1890000</v>
      </c>
      <c r="AG410" s="534"/>
      <c r="AH410" s="510">
        <f>SUM(Table1[[#This Row],[Bobot Keg Umum]:[Bobot Perizinan]])</f>
        <v>1</v>
      </c>
      <c r="AI410" s="510">
        <f>Table1[[#This Row],[RAB Kegiatan Umum]]/Table1[[#This Row],[Nilai RAB Jaringan
(Exclude Ppn)]]</f>
        <v>7.4543669696177831E-2</v>
      </c>
      <c r="AJ410" s="510">
        <f>Table1[[#This Row],[RAB Pemasangan]]/Table1[[#This Row],[Nilai RAB Jaringan
(Exclude Ppn)]]</f>
        <v>0.74543668833343191</v>
      </c>
      <c r="AK410" s="129">
        <f>Table1[[#This Row],[RAB Pengadaan]]/Table1[[#This Row],[Nilai RAB Jaringan
(Exclude Ppn)]]</f>
        <v>0.17458378374140385</v>
      </c>
      <c r="AL410" s="130">
        <f>Table1[[#This Row],[RAB Perizinan]]/Table1[[#This Row],[Nilai RAB Jaringan
(Exclude Ppn)]]</f>
        <v>5.4358582289864019E-3</v>
      </c>
      <c r="AM410" s="47"/>
      <c r="AN410" s="285"/>
      <c r="AO410" s="285">
        <f>SUM(Table1[[#This Row],[Pipa 63 mm]:[Pipa 1,800 mm]])</f>
        <v>200</v>
      </c>
      <c r="AP410" s="285">
        <v>200</v>
      </c>
      <c r="AQ410" s="285"/>
      <c r="AR410" s="285"/>
      <c r="AS410" s="285"/>
      <c r="AT410" s="285"/>
      <c r="AU410" s="285"/>
      <c r="AV410" s="285"/>
      <c r="AW410" s="285"/>
      <c r="AX410" s="285"/>
      <c r="AY410" s="285"/>
      <c r="AZ410" s="285"/>
      <c r="BA410" s="285"/>
      <c r="BB410" s="285"/>
      <c r="BC410" s="285"/>
      <c r="BD410" s="285"/>
      <c r="BE410" s="285"/>
      <c r="BF410" s="285"/>
      <c r="BG410" s="285"/>
      <c r="BH410" s="285"/>
      <c r="BI410" s="285"/>
      <c r="BJ410" s="36">
        <f>SUM(Table1[[#This Row],[Pipa 63 mm2]:[Pipa 1,800 mm21]])</f>
        <v>0</v>
      </c>
      <c r="BK410" s="32"/>
      <c r="BL410" s="32"/>
      <c r="BM410" s="32"/>
      <c r="BN410" s="32"/>
      <c r="BO410" s="32"/>
      <c r="BP410" s="32"/>
      <c r="BQ410" s="32"/>
      <c r="BR410" s="32"/>
      <c r="BS410" s="32"/>
      <c r="BT410" s="32"/>
      <c r="BU410" s="32"/>
      <c r="BV410" s="32"/>
      <c r="BW410" s="32"/>
      <c r="BX410" s="32"/>
      <c r="BY410" s="32"/>
      <c r="BZ410" s="32"/>
      <c r="CA410" s="32"/>
      <c r="CB410" s="32"/>
      <c r="CC410" s="32"/>
      <c r="CD410" s="32"/>
      <c r="CE410" s="32"/>
      <c r="CF410" s="32"/>
      <c r="CG410" s="32"/>
      <c r="CH410" s="32"/>
      <c r="CI410" s="32"/>
      <c r="CJ410" s="32">
        <f>IF((Table1[[#This Row],["Volume
BA MC-0"]]-Table1[[#This Row],[Total Panjang Pipa Aktual
(Sum-&gt;)3]]-Table1[[#This Row],[Total Volume
tidak dapat dipasang]])&gt;=0,Table1[[#This Row],["Volume
BA MC-0"]]-Table1[[#This Row],[Total Panjang Pipa Aktual
(Sum-&gt;)3]]-Table1[[#This Row],[Total Volume
tidak dapat dipasang]],0)</f>
        <v>0</v>
      </c>
      <c r="CK410" s="47"/>
      <c r="CL410" s="131"/>
      <c r="CM410" s="337"/>
      <c r="CN410" s="131"/>
      <c r="CO410" s="131"/>
      <c r="CP41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4.7137621610179044E-2</v>
      </c>
      <c r="CQ410" s="436">
        <f>IFERROR(Table1[[#This Row],[Progres Keg. Umum
(%)]]*Table1[[#This Row],[Nilai RAB Jaringan
(file pa aji)]],0)</f>
        <v>0</v>
      </c>
      <c r="CR410" s="436">
        <f>IFERROR(Table1[[#This Row],[Progres MOS
(%)]]*Table1[[#This Row],[Nilai RAB Jaringan
(file pa aji)]],0)</f>
        <v>0</v>
      </c>
      <c r="CS410" s="436">
        <f>IFERROR(Table1[[#This Row],[Progres Pemasangan
(%)]]*Table1[[#This Row],[Nilai RAB Jaringan
(file pa aji)]],0)</f>
        <v>0</v>
      </c>
      <c r="CT410" s="436">
        <f>IFERROR(Table1[[#This Row],[Progres Perizinan
(%)]]*Table1[[#This Row],[Nilai RAB Jaringan
(file pa aji)]],0)</f>
        <v>0</v>
      </c>
      <c r="CU410" s="329">
        <v>0</v>
      </c>
      <c r="CV410" s="329">
        <v>0</v>
      </c>
      <c r="CW410" s="511">
        <v>0</v>
      </c>
      <c r="CX410" s="329">
        <v>0</v>
      </c>
      <c r="CY410" s="47"/>
      <c r="CZ410" s="331">
        <v>45957</v>
      </c>
      <c r="DA410" s="331">
        <v>45984</v>
      </c>
      <c r="DB410" s="331">
        <v>45951</v>
      </c>
      <c r="DC410" s="535" t="s">
        <v>3234</v>
      </c>
      <c r="DD410" s="508">
        <f>378879072.36+1890000</f>
        <v>380769072.36000001</v>
      </c>
      <c r="DE41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0" s="331">
        <v>46042</v>
      </c>
      <c r="DG410" s="535" t="s">
        <v>3235</v>
      </c>
      <c r="DH410" s="508">
        <f>378879072.36+1890000</f>
        <v>380769072.36000001</v>
      </c>
      <c r="DI41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10" s="331">
        <v>45985</v>
      </c>
      <c r="DK410" s="331">
        <v>46047</v>
      </c>
      <c r="DL410" s="331">
        <v>46059</v>
      </c>
      <c r="DM410" s="316" t="s">
        <v>3236</v>
      </c>
      <c r="DN41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410" s="331">
        <v>46087</v>
      </c>
      <c r="DP410" s="316"/>
      <c r="DQ410" s="338" t="s">
        <v>762</v>
      </c>
      <c r="DR41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0" s="331">
        <v>45985</v>
      </c>
      <c r="DT410" s="331">
        <v>46164</v>
      </c>
      <c r="DU410" s="331">
        <v>46026</v>
      </c>
      <c r="DV410" s="331">
        <v>46178</v>
      </c>
      <c r="DW410" s="331">
        <v>46059</v>
      </c>
      <c r="DX410" s="426" t="s">
        <v>3237</v>
      </c>
      <c r="DY410" s="334">
        <v>20</v>
      </c>
      <c r="DZ410" s="334">
        <v>20</v>
      </c>
      <c r="EA41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10" s="331"/>
      <c r="EC410" s="332">
        <v>19</v>
      </c>
      <c r="ED410" s="332">
        <v>19</v>
      </c>
      <c r="EE410" s="118"/>
      <c r="EF410" s="337">
        <v>0.95</v>
      </c>
      <c r="EG410" s="337">
        <f>Table1[[#This Row],[Line PO]]/Table1[[#This Row],[Line PR]]</f>
        <v>0.95</v>
      </c>
      <c r="EH410" s="316" t="str">
        <f>IF(Table1[[#This Row],[PO Material Aktual 
(%)]]&gt;=100%,"Selesai PO = 100%",IF(Table1[[#This Row],[PO Material Aktual 
(%)]]&gt;=50%,"Proses PO &gt; 100%",IF(Table1[[#This Row],[PO Material Aktual 
(%)]]&gt;0%,"Proses PO &gt; 50%",IF(Table1[[#This Row],[PO Material Aktual 
(%)]]=0,"Belum PO = 0%"))))</f>
        <v>Proses PO &gt; 100%</v>
      </c>
      <c r="EI41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0" s="331">
        <v>46027</v>
      </c>
      <c r="EK410" s="331">
        <v>46178</v>
      </c>
      <c r="EL410" s="331">
        <v>46103</v>
      </c>
      <c r="EM410" s="331">
        <v>46183</v>
      </c>
      <c r="EN410" s="331"/>
      <c r="EO410" s="332">
        <v>9</v>
      </c>
      <c r="EP410" s="332">
        <v>9</v>
      </c>
      <c r="EQ410" s="337">
        <v>0.45</v>
      </c>
      <c r="ER410" s="337">
        <f>Table1[[#This Row],[Line MOS (kolom bantu)]]/Table1[[#This Row],[Line PR]]</f>
        <v>0.45</v>
      </c>
      <c r="ES410" s="316" t="str">
        <f>IF(Table1[[#This Row],[Progres MOS]]&gt;=100%,"Selesai MOS = 100%",IF(Table1[[#This Row],[Progres MOS]]&gt;=50%,"Proses MOS &gt; 100%",IF(Table1[[#This Row],[Progres MOS]]&gt;0%,"Proses MOS &gt; 50%",IF(Table1[[#This Row],[Progres MOS]]=0,"Belum MOS = 0%"))))</f>
        <v>Proses MOS &gt; 50%</v>
      </c>
      <c r="ET41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0" s="47"/>
      <c r="EV410" s="331">
        <v>45985</v>
      </c>
      <c r="EW410" s="331">
        <v>46156</v>
      </c>
      <c r="EX410" s="331">
        <v>46075</v>
      </c>
      <c r="EY410" s="331">
        <v>46186</v>
      </c>
      <c r="EZ410" s="352" t="s">
        <v>2748</v>
      </c>
      <c r="FA410" s="409" t="s">
        <v>2748</v>
      </c>
      <c r="FB410" s="331"/>
      <c r="FC410" s="330">
        <v>46022</v>
      </c>
      <c r="FD410" s="331" t="s">
        <v>260</v>
      </c>
      <c r="FE410" s="331">
        <v>46066</v>
      </c>
      <c r="FF410" s="331"/>
      <c r="FG410" s="331"/>
      <c r="FH410" s="331"/>
      <c r="FI410" s="331"/>
      <c r="FJ410" s="331"/>
      <c r="FK410" s="331"/>
      <c r="FL410" s="352" t="s">
        <v>2759</v>
      </c>
      <c r="FM410" s="352"/>
      <c r="FN410" s="338" t="str">
        <f>IF(Table1[[#This Row],[Tanggal Pengajuan Dokumen]]="","",Table1[[#This Row],[PLAN PERMIT
start]]-Table1[[#This Row],[Tanggal Pengajuan Dokumen]])</f>
        <v/>
      </c>
      <c r="FO410" s="352"/>
      <c r="FP410" s="316"/>
      <c r="FQ410" s="338"/>
      <c r="FR410" s="331"/>
      <c r="FS410" s="338"/>
      <c r="FT41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0" s="344">
        <f ca="1">IF(Table1[[#This Row],[Status Izin]]="Selesai",Table1[[#This Row],[PLAN PERMIT
finish]]-Table1[[#This Row],[Tanggal Terbit/ Target Izin Terbit]],ROUNDUP(Table1[[#This Row],[PLAN PERMIT
finish]]-NOW(),0))</f>
        <v>-116</v>
      </c>
      <c r="FV41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0" s="344"/>
      <c r="FX410" s="47"/>
      <c r="FY410" s="513">
        <v>46034</v>
      </c>
      <c r="FZ410" s="513">
        <v>46050</v>
      </c>
      <c r="GA41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0" s="331">
        <v>46048</v>
      </c>
      <c r="GC410" s="352">
        <v>46112</v>
      </c>
      <c r="GD41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0" s="331">
        <v>46055</v>
      </c>
      <c r="GF410" s="352">
        <v>46112</v>
      </c>
      <c r="GG41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0" s="331">
        <v>46062</v>
      </c>
      <c r="GI410" s="331">
        <v>46068</v>
      </c>
      <c r="GJ410" s="352">
        <v>46126</v>
      </c>
      <c r="GK41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0" s="331">
        <v>46076</v>
      </c>
      <c r="GM410" s="331">
        <v>46193</v>
      </c>
      <c r="GN410" s="331">
        <v>46103</v>
      </c>
      <c r="GO410" s="330">
        <v>46241</v>
      </c>
      <c r="GP410" s="316"/>
      <c r="GQ41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0" s="331"/>
      <c r="GS410" s="331"/>
      <c r="GT410" s="354"/>
      <c r="GU410" s="344" t="str">
        <f>IF(Table1[[#This Row],[Hydro Tes Actual
(tanggal)]]&lt;&gt;"","Sudah","Belum")</f>
        <v>Belum</v>
      </c>
      <c r="GV410" s="330"/>
      <c r="GW410" s="330"/>
      <c r="GX410" s="331"/>
      <c r="GY410" s="344" t="str">
        <f>IF(Table1[[#This Row],[Interkoneksi Actual
(tanggal)]]&lt;&gt;"","Sudah","Belum")</f>
        <v>Belum</v>
      </c>
      <c r="GZ410" s="330"/>
      <c r="HA410" s="330"/>
      <c r="HB410" s="331"/>
      <c r="HC410" s="344" t="str">
        <f>IF(Table1[[#This Row],[Flushing Actual
(tanggal)]]&lt;&gt;"","Sudah","Belum")</f>
        <v>Belum</v>
      </c>
      <c r="HD410" s="331">
        <v>46106</v>
      </c>
      <c r="HE410" s="331">
        <v>46242</v>
      </c>
      <c r="HF410" s="331">
        <v>46111</v>
      </c>
      <c r="HG410" s="352"/>
      <c r="HH41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0" s="330"/>
      <c r="HJ410" s="330"/>
      <c r="HK410" s="331"/>
      <c r="HL410" s="331"/>
      <c r="HM410" s="331">
        <v>46128</v>
      </c>
      <c r="HN410" s="331">
        <v>46128</v>
      </c>
      <c r="HO410" s="330">
        <v>46259</v>
      </c>
      <c r="HP410" s="331"/>
      <c r="HQ41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10" s="331">
        <v>46136</v>
      </c>
      <c r="HS410" s="331"/>
      <c r="HT410" s="331">
        <v>46136</v>
      </c>
      <c r="HU410" s="420"/>
      <c r="HV410" s="395"/>
      <c r="HW410"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10" s="47"/>
      <c r="HY410" s="352"/>
      <c r="HZ410" s="352"/>
      <c r="IA410" s="72"/>
      <c r="IB410" s="618">
        <f>IFERROR(ROUND((Table1[[#This Row],[PLAN TC
finish]]-Table1[[#This Row],[PLAN MC-0
start]])/30,2),"")</f>
        <v>1.63</v>
      </c>
      <c r="IC410">
        <f>DATEDIF(Table1[[#This Row],[PLAN MC-0
start]],Table1[[#This Row],[PLAN TC
finish]],"m")</f>
        <v>1</v>
      </c>
      <c r="ID410" s="6"/>
      <c r="IE410" s="6"/>
      <c r="IF410" s="72"/>
      <c r="IH410" s="6"/>
      <c r="II410" s="4"/>
      <c r="IJ410" s="4"/>
      <c r="IK410" s="6"/>
      <c r="IL410" s="6"/>
      <c r="IM410" s="6"/>
      <c r="IN410" s="6"/>
      <c r="IO410" s="6"/>
      <c r="IQ410" s="6"/>
      <c r="IR410" s="6"/>
      <c r="IS410" s="6"/>
      <c r="IT410" s="6"/>
      <c r="IW410" s="6"/>
      <c r="IX410" s="6"/>
      <c r="IZ410" s="6"/>
      <c r="JA410" s="6"/>
    </row>
    <row r="411" spans="1:261" ht="15" hidden="1" customHeight="1" x14ac:dyDescent="0.2">
      <c r="B411" s="311">
        <f>SUBTOTAL(3,$D$5:D411)</f>
        <v>84</v>
      </c>
      <c r="C411" s="316">
        <v>407</v>
      </c>
      <c r="D411" s="315" t="s">
        <v>673</v>
      </c>
      <c r="E411" s="338" t="s">
        <v>3238</v>
      </c>
      <c r="F411" s="338" t="s">
        <v>3239</v>
      </c>
      <c r="G411" s="349">
        <v>46300</v>
      </c>
      <c r="H411" s="338" t="s">
        <v>681</v>
      </c>
      <c r="I411" s="338" t="s">
        <v>278</v>
      </c>
      <c r="J411" s="480"/>
      <c r="K411" s="338"/>
      <c r="L411" s="316"/>
      <c r="M411" s="479" t="s">
        <v>269</v>
      </c>
      <c r="N411" s="507">
        <v>45</v>
      </c>
      <c r="O411" s="31" t="s">
        <v>252</v>
      </c>
      <c r="P41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1" s="35">
        <v>1.0000000000000002</v>
      </c>
      <c r="S411" s="327">
        <v>1.0000000000000002</v>
      </c>
      <c r="T411" s="152">
        <f>Table1[[#This Row],[Progres Total Aktual
(%)]]</f>
        <v>7.0040116318261833E-2</v>
      </c>
      <c r="U411" s="121">
        <f>Table1[[#This Row],[Progres Aktual
(%)]]-Table1[[#This Row],[Target Progres
(%)]]</f>
        <v>-0.92995988368173843</v>
      </c>
      <c r="V411" s="80">
        <v>45</v>
      </c>
      <c r="W411" s="80">
        <f>Table1[[#This Row],[Total Panjang Pipa Aktual
(Sum-&gt;)3]]</f>
        <v>0</v>
      </c>
      <c r="X411" s="117"/>
      <c r="Y411" s="67" t="s">
        <v>3240</v>
      </c>
      <c r="Z411" s="67">
        <v>71127431</v>
      </c>
      <c r="AA411" s="509">
        <f>ROUND((Table1[[#This Row],[Nilai RAB Jaringan
(Exclude Ppn)]]-Table1[[#This Row],[RAB Perizinan]])*1.11+Table1[[#This Row],[RAB Perizinan]],0)</f>
        <v>71127431</v>
      </c>
      <c r="AB411" s="483">
        <f>SUM(Table1[[#This Row],[RAB Kegiatan Umum]:[RAB Perizinan]])</f>
        <v>64123361</v>
      </c>
      <c r="AC411" s="537">
        <v>3633615</v>
      </c>
      <c r="AD411" s="537">
        <v>36336150</v>
      </c>
      <c r="AE411" s="537">
        <v>23703596</v>
      </c>
      <c r="AF411" s="537">
        <v>450000</v>
      </c>
      <c r="AG411" s="534"/>
      <c r="AH411" s="510">
        <f>SUM(Table1[[#This Row],[Bobot Keg Umum]:[Bobot Perizinan]])</f>
        <v>1</v>
      </c>
      <c r="AI411" s="510">
        <f>Table1[[#This Row],[RAB Kegiatan Umum]]/Table1[[#This Row],[Nilai RAB Jaringan
(Exclude Ppn)]]</f>
        <v>5.6666009755789316E-2</v>
      </c>
      <c r="AJ411" s="510">
        <f>Table1[[#This Row],[RAB Pemasangan]]/Table1[[#This Row],[Nilai RAB Jaringan
(Exclude Ppn)]]</f>
        <v>0.56666009755789315</v>
      </c>
      <c r="AK411" s="129">
        <f>Table1[[#This Row],[RAB Pengadaan]]/Table1[[#This Row],[Nilai RAB Jaringan
(Exclude Ppn)]]</f>
        <v>0.36965616945749302</v>
      </c>
      <c r="AL411" s="130">
        <f>Table1[[#This Row],[RAB Perizinan]]/Table1[[#This Row],[Nilai RAB Jaringan
(Exclude Ppn)]]</f>
        <v>7.0177232288245149E-3</v>
      </c>
      <c r="AM411" s="47"/>
      <c r="AN411" s="285"/>
      <c r="AO411" s="285">
        <f>SUM(Table1[[#This Row],[Pipa 63 mm]:[Pipa 1,800 mm]])</f>
        <v>45</v>
      </c>
      <c r="AP411" s="285">
        <v>45</v>
      </c>
      <c r="AQ411" s="285"/>
      <c r="AR411" s="285"/>
      <c r="AS411" s="285"/>
      <c r="AT411" s="285"/>
      <c r="AU411" s="285"/>
      <c r="AV411" s="285"/>
      <c r="AW411" s="285"/>
      <c r="AX411" s="285"/>
      <c r="AY411" s="285"/>
      <c r="AZ411" s="285"/>
      <c r="BA411" s="285"/>
      <c r="BB411" s="285"/>
      <c r="BC411" s="285"/>
      <c r="BD411" s="285"/>
      <c r="BE411" s="285"/>
      <c r="BF411" s="285"/>
      <c r="BG411" s="285"/>
      <c r="BH411" s="285"/>
      <c r="BI411" s="285"/>
      <c r="BJ411" s="36">
        <f>SUM(Table1[[#This Row],[Pipa 63 mm2]:[Pipa 1,800 mm21]])</f>
        <v>0</v>
      </c>
      <c r="BK411" s="32"/>
      <c r="BL411" s="32"/>
      <c r="BM411" s="32"/>
      <c r="BN411" s="32"/>
      <c r="BO411" s="32"/>
      <c r="BP411" s="32"/>
      <c r="BQ411" s="32"/>
      <c r="BR411" s="32"/>
      <c r="BS411" s="32"/>
      <c r="BT411" s="32"/>
      <c r="BU411" s="32"/>
      <c r="BV411" s="32"/>
      <c r="BW411" s="32"/>
      <c r="BX411" s="32"/>
      <c r="BY411" s="32"/>
      <c r="BZ411" s="32"/>
      <c r="CA411" s="32"/>
      <c r="CB411" s="32"/>
      <c r="CC411" s="32"/>
      <c r="CD411" s="32"/>
      <c r="CE411" s="32"/>
      <c r="CF411" s="32"/>
      <c r="CG411" s="32"/>
      <c r="CH411" s="32"/>
      <c r="CI411" s="32"/>
      <c r="CJ411" s="32">
        <f>IF((Table1[[#This Row],["Volume
BA MC-0"]]-Table1[[#This Row],[Total Panjang Pipa Aktual
(Sum-&gt;)3]]-Table1[[#This Row],[Total Volume
tidak dapat dipasang]])&gt;=0,Table1[[#This Row],["Volume
BA MC-0"]]-Table1[[#This Row],[Total Panjang Pipa Aktual
(Sum-&gt;)3]]-Table1[[#This Row],[Total Volume
tidak dapat dipasang]],0)</f>
        <v>0</v>
      </c>
      <c r="CK411" s="47"/>
      <c r="CL411" s="131"/>
      <c r="CM411" s="337"/>
      <c r="CN411" s="131"/>
      <c r="CO411" s="131"/>
      <c r="CP41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7.0040116318261833E-2</v>
      </c>
      <c r="CQ411" s="436">
        <f>IFERROR(Table1[[#This Row],[Progres Keg. Umum
(%)]]*Table1[[#This Row],[Nilai RAB Jaringan
(file pa aji)]],0)</f>
        <v>0</v>
      </c>
      <c r="CR411" s="436">
        <f>IFERROR(Table1[[#This Row],[Progres MOS
(%)]]*Table1[[#This Row],[Nilai RAB Jaringan
(file pa aji)]],0)</f>
        <v>0</v>
      </c>
      <c r="CS411" s="436">
        <f>IFERROR(Table1[[#This Row],[Progres Pemasangan
(%)]]*Table1[[#This Row],[Nilai RAB Jaringan
(file pa aji)]],0)</f>
        <v>0</v>
      </c>
      <c r="CT411" s="436">
        <f>IFERROR(Table1[[#This Row],[Progres Perizinan
(%)]]*Table1[[#This Row],[Nilai RAB Jaringan
(file pa aji)]],0)</f>
        <v>0</v>
      </c>
      <c r="CU411" s="329">
        <v>0</v>
      </c>
      <c r="CV411" s="329">
        <v>0</v>
      </c>
      <c r="CW411" s="511">
        <v>0</v>
      </c>
      <c r="CX411" s="329">
        <v>0</v>
      </c>
      <c r="CY411" s="47"/>
      <c r="CZ411" s="331">
        <v>45957</v>
      </c>
      <c r="DA411" s="331">
        <v>45984</v>
      </c>
      <c r="DB411" s="331">
        <v>45951</v>
      </c>
      <c r="DC411" s="535" t="s">
        <v>3241</v>
      </c>
      <c r="DD411" s="508">
        <f>70677430.71+450000</f>
        <v>71127430.709999993</v>
      </c>
      <c r="DE41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1" s="331">
        <v>45972</v>
      </c>
      <c r="DG411" s="535" t="s">
        <v>3242</v>
      </c>
      <c r="DH411" s="508">
        <f>70677430.71+450000</f>
        <v>71127430.709999993</v>
      </c>
      <c r="DI41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1" s="331">
        <v>45985</v>
      </c>
      <c r="DK411" s="331">
        <v>46047</v>
      </c>
      <c r="DL411" s="331">
        <v>45995</v>
      </c>
      <c r="DM411" s="316" t="s">
        <v>3243</v>
      </c>
      <c r="DN41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1" s="331">
        <v>46085</v>
      </c>
      <c r="DP411" s="316"/>
      <c r="DQ411" s="338" t="s">
        <v>275</v>
      </c>
      <c r="DR41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1" s="331">
        <v>45985</v>
      </c>
      <c r="DT411" s="331">
        <v>46164</v>
      </c>
      <c r="DU411" s="331">
        <v>46026</v>
      </c>
      <c r="DV411" s="331">
        <v>46178</v>
      </c>
      <c r="DW411" s="331">
        <v>46009</v>
      </c>
      <c r="DX411" t="s">
        <v>3244</v>
      </c>
      <c r="DY411" s="334">
        <v>19</v>
      </c>
      <c r="DZ411" s="334">
        <v>19</v>
      </c>
      <c r="EA41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1" s="331"/>
      <c r="EC411" s="332">
        <v>17</v>
      </c>
      <c r="ED411" s="332">
        <v>17</v>
      </c>
      <c r="EE411" s="118"/>
      <c r="EF411" s="337">
        <v>0.89473684210526316</v>
      </c>
      <c r="EG411" s="337">
        <f>Table1[[#This Row],[Line PO]]/Table1[[#This Row],[Line PR]]</f>
        <v>0.89473684210526316</v>
      </c>
      <c r="EH411" s="316" t="str">
        <f>IF(Table1[[#This Row],[PO Material Aktual 
(%)]]&gt;=100%,"Selesai PO = 100%",IF(Table1[[#This Row],[PO Material Aktual 
(%)]]&gt;=50%,"Proses PO &gt; 100%",IF(Table1[[#This Row],[PO Material Aktual 
(%)]]&gt;0%,"Proses PO &gt; 50%",IF(Table1[[#This Row],[PO Material Aktual 
(%)]]=0,"Belum PO = 0%"))))</f>
        <v>Proses PO &gt; 100%</v>
      </c>
      <c r="EI41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1" s="331">
        <v>46027</v>
      </c>
      <c r="EK411" s="331">
        <v>46178</v>
      </c>
      <c r="EL411" s="331">
        <v>46103</v>
      </c>
      <c r="EM411" s="331">
        <v>46183</v>
      </c>
      <c r="EN411" s="331"/>
      <c r="EO411" s="332">
        <v>6</v>
      </c>
      <c r="EP411" s="332">
        <v>6</v>
      </c>
      <c r="EQ411" s="337">
        <v>0.31578947368421051</v>
      </c>
      <c r="ER411" s="337">
        <f>Table1[[#This Row],[Line MOS (kolom bantu)]]/Table1[[#This Row],[Line PR]]</f>
        <v>0.31578947368421051</v>
      </c>
      <c r="ES411" s="316" t="str">
        <f>IF(Table1[[#This Row],[Progres MOS]]&gt;=100%,"Selesai MOS = 100%",IF(Table1[[#This Row],[Progres MOS]]&gt;=50%,"Proses MOS &gt; 100%",IF(Table1[[#This Row],[Progres MOS]]&gt;0%,"Proses MOS &gt; 50%",IF(Table1[[#This Row],[Progres MOS]]=0,"Belum MOS = 0%"))))</f>
        <v>Proses MOS &gt; 50%</v>
      </c>
      <c r="ET41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1" s="47"/>
      <c r="EV411" s="331">
        <v>45985</v>
      </c>
      <c r="EW411" s="331">
        <v>46156</v>
      </c>
      <c r="EX411" s="331">
        <v>46075</v>
      </c>
      <c r="EY411" s="331">
        <v>46186</v>
      </c>
      <c r="EZ411" s="352" t="s">
        <v>259</v>
      </c>
      <c r="FA411" s="409" t="s">
        <v>259</v>
      </c>
      <c r="FB411" s="331"/>
      <c r="FC411" s="330">
        <v>45943</v>
      </c>
      <c r="FD411" s="331" t="s">
        <v>260</v>
      </c>
      <c r="FE411" s="331">
        <v>45966</v>
      </c>
      <c r="FF411" s="331">
        <v>45992</v>
      </c>
      <c r="FG411" s="331"/>
      <c r="FH411" s="331"/>
      <c r="FI411" s="331"/>
      <c r="FJ411" s="331"/>
      <c r="FK411" s="331"/>
      <c r="FL411" s="352" t="s">
        <v>2759</v>
      </c>
      <c r="FM411" s="352"/>
      <c r="FN411" s="338" t="str">
        <f>IF(Table1[[#This Row],[Tanggal Pengajuan Dokumen]]="","",Table1[[#This Row],[PLAN PERMIT
start]]-Table1[[#This Row],[Tanggal Pengajuan Dokumen]])</f>
        <v/>
      </c>
      <c r="FO411" s="352"/>
      <c r="FP411" s="316"/>
      <c r="FQ411" s="338"/>
      <c r="FR411" s="331"/>
      <c r="FS411" s="338"/>
      <c r="FT41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1" s="344">
        <f ca="1">IF(Table1[[#This Row],[Status Izin]]="Selesai",Table1[[#This Row],[PLAN PERMIT
finish]]-Table1[[#This Row],[Tanggal Terbit/ Target Izin Terbit]],ROUNDUP(Table1[[#This Row],[PLAN PERMIT
finish]]-NOW(),0))</f>
        <v>-116</v>
      </c>
      <c r="FV41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1" s="344"/>
      <c r="FX411" s="47"/>
      <c r="FY411" s="513">
        <v>46034</v>
      </c>
      <c r="FZ411" s="513">
        <v>46050</v>
      </c>
      <c r="GA41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1" s="331">
        <v>46048</v>
      </c>
      <c r="GC411" s="352">
        <v>46113</v>
      </c>
      <c r="GD41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1" s="331">
        <v>46055</v>
      </c>
      <c r="GF411" s="352">
        <v>46113</v>
      </c>
      <c r="GG41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1" s="331">
        <v>46062</v>
      </c>
      <c r="GI411" s="331">
        <v>46068</v>
      </c>
      <c r="GJ411" s="352">
        <v>46129</v>
      </c>
      <c r="GK41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1" s="331">
        <v>46076</v>
      </c>
      <c r="GM411" s="331">
        <v>46193</v>
      </c>
      <c r="GN411" s="331">
        <v>46103</v>
      </c>
      <c r="GO411" s="330">
        <v>46241</v>
      </c>
      <c r="GP411" s="316"/>
      <c r="GQ41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1" s="331"/>
      <c r="GS411" s="331"/>
      <c r="GT411" s="354"/>
      <c r="GU411" s="344" t="str">
        <f>IF(Table1[[#This Row],[Hydro Tes Actual
(tanggal)]]&lt;&gt;"","Sudah","Belum")</f>
        <v>Belum</v>
      </c>
      <c r="GV411" s="330"/>
      <c r="GW411" s="330"/>
      <c r="GX411" s="331"/>
      <c r="GY411" s="344" t="str">
        <f>IF(Table1[[#This Row],[Interkoneksi Actual
(tanggal)]]&lt;&gt;"","Sudah","Belum")</f>
        <v>Belum</v>
      </c>
      <c r="GZ411" s="330"/>
      <c r="HA411" s="330"/>
      <c r="HB411" s="331"/>
      <c r="HC411" s="344" t="str">
        <f>IF(Table1[[#This Row],[Flushing Actual
(tanggal)]]&lt;&gt;"","Sudah","Belum")</f>
        <v>Belum</v>
      </c>
      <c r="HD411" s="331">
        <v>46106</v>
      </c>
      <c r="HE411" s="331">
        <v>46242</v>
      </c>
      <c r="HF411" s="331">
        <v>46111</v>
      </c>
      <c r="HG411" s="352"/>
      <c r="HH41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1" s="330"/>
      <c r="HJ411" s="330"/>
      <c r="HK411" s="331"/>
      <c r="HL411" s="331"/>
      <c r="HM411" s="331">
        <v>46128</v>
      </c>
      <c r="HN411" s="331">
        <v>46128</v>
      </c>
      <c r="HO411" s="330">
        <v>46259</v>
      </c>
      <c r="HP411" s="331"/>
      <c r="HQ41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11" s="331">
        <v>46136</v>
      </c>
      <c r="HS411" s="331"/>
      <c r="HT411" s="331">
        <v>46136</v>
      </c>
      <c r="HU411" s="420"/>
      <c r="HV411" s="395"/>
      <c r="HW411"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11" s="47"/>
      <c r="HY411" s="352"/>
      <c r="HZ411" s="352"/>
      <c r="IA411" s="72"/>
      <c r="IB411" s="618">
        <f>IFERROR(ROUND((Table1[[#This Row],[PLAN TC
finish]]-Table1[[#This Row],[PLAN MC-0
start]])/30,2),"")</f>
        <v>1.63</v>
      </c>
      <c r="IC411">
        <f>DATEDIF(Table1[[#This Row],[PLAN MC-0
start]],Table1[[#This Row],[PLAN TC
finish]],"m")</f>
        <v>1</v>
      </c>
      <c r="ID411" s="6"/>
      <c r="IE411" s="6"/>
      <c r="IF411" s="72"/>
      <c r="IH411" s="6"/>
      <c r="II411" s="4"/>
      <c r="IJ411" s="4"/>
      <c r="IK411" s="6"/>
      <c r="IL411" s="6"/>
      <c r="IM411" s="6"/>
      <c r="IN411" s="6"/>
      <c r="IO411" s="6"/>
      <c r="IQ411" s="6"/>
      <c r="IR411" s="6"/>
      <c r="IS411" s="6"/>
      <c r="IT411" s="6"/>
      <c r="IW411" s="6"/>
      <c r="IX411" s="6"/>
      <c r="IZ411" s="6"/>
      <c r="JA411" s="6"/>
    </row>
    <row r="412" spans="1:261" ht="15" hidden="1" customHeight="1" x14ac:dyDescent="0.2">
      <c r="B412" s="311">
        <f>SUBTOTAL(3,$D$5:D412)</f>
        <v>84</v>
      </c>
      <c r="C412" s="316">
        <v>408</v>
      </c>
      <c r="D412" s="315" t="s">
        <v>673</v>
      </c>
      <c r="E412" s="338" t="s">
        <v>3245</v>
      </c>
      <c r="F412" s="338" t="s">
        <v>3246</v>
      </c>
      <c r="G412" s="349">
        <v>46300</v>
      </c>
      <c r="H412" s="338" t="s">
        <v>681</v>
      </c>
      <c r="I412" s="338" t="s">
        <v>278</v>
      </c>
      <c r="J412" s="480"/>
      <c r="K412" s="338"/>
      <c r="L412" s="316"/>
      <c r="M412" s="479" t="s">
        <v>269</v>
      </c>
      <c r="N412" s="507">
        <v>38</v>
      </c>
      <c r="O412" s="31" t="s">
        <v>252</v>
      </c>
      <c r="P41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2" s="35">
        <v>0.99999999999999989</v>
      </c>
      <c r="S412" s="327">
        <v>0.99999999999999989</v>
      </c>
      <c r="T412" s="152">
        <f>Table1[[#This Row],[Progres Total Aktual
(%)]]</f>
        <v>6.4726640330908455E-2</v>
      </c>
      <c r="U412" s="121">
        <f>Table1[[#This Row],[Progres Aktual
(%)]]-Table1[[#This Row],[Target Progres
(%)]]</f>
        <v>-0.93527335966909142</v>
      </c>
      <c r="V412" s="80">
        <v>40</v>
      </c>
      <c r="W412" s="80">
        <f>Table1[[#This Row],[Total Panjang Pipa Aktual
(Sum-&gt;)3]]</f>
        <v>0</v>
      </c>
      <c r="X412" s="117"/>
      <c r="Y412" s="67" t="s">
        <v>3247</v>
      </c>
      <c r="Z412" s="67">
        <v>67754692</v>
      </c>
      <c r="AA412" s="509">
        <f>ROUND((Table1[[#This Row],[Nilai RAB Jaringan
(Exclude Ppn)]]-Table1[[#This Row],[RAB Perizinan]])*1.11+Table1[[#This Row],[RAB Perizinan]],0)</f>
        <v>67754691</v>
      </c>
      <c r="AB412" s="483">
        <f>SUM(Table1[[#This Row],[RAB Kegiatan Umum]:[RAB Perizinan]])</f>
        <v>61077920</v>
      </c>
      <c r="AC412" s="537">
        <v>4020505</v>
      </c>
      <c r="AD412" s="537">
        <v>40205046</v>
      </c>
      <c r="AE412" s="537">
        <v>16472369</v>
      </c>
      <c r="AF412" s="537">
        <v>380000</v>
      </c>
      <c r="AG412" s="534"/>
      <c r="AH412" s="510">
        <f>SUM(Table1[[#This Row],[Bobot Keg Umum]:[Bobot Perizinan]])</f>
        <v>1</v>
      </c>
      <c r="AI412" s="510">
        <f>Table1[[#This Row],[RAB Kegiatan Umum]]/Table1[[#This Row],[Nilai RAB Jaringan
(Exclude Ppn)]]</f>
        <v>6.582583362367285E-2</v>
      </c>
      <c r="AJ412" s="510">
        <f>Table1[[#This Row],[RAB Pemasangan]]/Table1[[#This Row],[Nilai RAB Jaringan
(Exclude Ppn)]]</f>
        <v>0.65825827074661347</v>
      </c>
      <c r="AK412" s="129">
        <f>Table1[[#This Row],[RAB Pengadaan]]/Table1[[#This Row],[Nilai RAB Jaringan
(Exclude Ppn)]]</f>
        <v>0.26969433471211857</v>
      </c>
      <c r="AL412" s="130">
        <f>Table1[[#This Row],[RAB Perizinan]]/Table1[[#This Row],[Nilai RAB Jaringan
(Exclude Ppn)]]</f>
        <v>6.2215609175950981E-3</v>
      </c>
      <c r="AM412" s="47"/>
      <c r="AN412" s="285"/>
      <c r="AO412" s="285">
        <f>SUM(Table1[[#This Row],[Pipa 63 mm]:[Pipa 1,800 mm]])</f>
        <v>40</v>
      </c>
      <c r="AP412" s="285">
        <v>40</v>
      </c>
      <c r="AQ412" s="285"/>
      <c r="AR412" s="285"/>
      <c r="AS412" s="285"/>
      <c r="AT412" s="285"/>
      <c r="AU412" s="285"/>
      <c r="AV412" s="285"/>
      <c r="AW412" s="285"/>
      <c r="AX412" s="285"/>
      <c r="AY412" s="285"/>
      <c r="AZ412" s="285"/>
      <c r="BA412" s="285"/>
      <c r="BB412" s="285"/>
      <c r="BC412" s="285"/>
      <c r="BD412" s="285"/>
      <c r="BE412" s="285"/>
      <c r="BF412" s="285"/>
      <c r="BG412" s="285"/>
      <c r="BH412" s="285"/>
      <c r="BI412" s="285"/>
      <c r="BJ412" s="36">
        <f>SUM(Table1[[#This Row],[Pipa 63 mm2]:[Pipa 1,800 mm21]])</f>
        <v>0</v>
      </c>
      <c r="BK412" s="32"/>
      <c r="BL412" s="32"/>
      <c r="BM412" s="32"/>
      <c r="BN412" s="32"/>
      <c r="BO412" s="32"/>
      <c r="BP412" s="32"/>
      <c r="BQ412" s="32"/>
      <c r="BR412" s="32"/>
      <c r="BS412" s="32"/>
      <c r="BT412" s="32"/>
      <c r="BU412" s="32"/>
      <c r="BV412" s="32"/>
      <c r="BW412" s="32"/>
      <c r="BX412" s="32"/>
      <c r="BY412" s="32"/>
      <c r="BZ412" s="32"/>
      <c r="CA412" s="32"/>
      <c r="CB412" s="32"/>
      <c r="CC412" s="32"/>
      <c r="CD412" s="32"/>
      <c r="CE412" s="32"/>
      <c r="CF412" s="32"/>
      <c r="CG412" s="32"/>
      <c r="CH412" s="32"/>
      <c r="CI412" s="32"/>
      <c r="CJ412" s="32">
        <f>IF((Table1[[#This Row],["Volume
BA MC-0"]]-Table1[[#This Row],[Total Panjang Pipa Aktual
(Sum-&gt;)3]]-Table1[[#This Row],[Total Volume
tidak dapat dipasang]])&gt;=0,Table1[[#This Row],["Volume
BA MC-0"]]-Table1[[#This Row],[Total Panjang Pipa Aktual
(Sum-&gt;)3]]-Table1[[#This Row],[Total Volume
tidak dapat dipasang]],0)</f>
        <v>0</v>
      </c>
      <c r="CK412" s="47"/>
      <c r="CL412" s="131"/>
      <c r="CM412" s="337"/>
      <c r="CN412" s="131"/>
      <c r="CO412" s="131"/>
      <c r="CP412"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6.4726640330908455E-2</v>
      </c>
      <c r="CQ412" s="436">
        <f>IFERROR(Table1[[#This Row],[Progres Keg. Umum
(%)]]*Table1[[#This Row],[Nilai RAB Jaringan
(file pa aji)]],0)</f>
        <v>0</v>
      </c>
      <c r="CR412" s="436">
        <f>IFERROR(Table1[[#This Row],[Progres MOS
(%)]]*Table1[[#This Row],[Nilai RAB Jaringan
(file pa aji)]],0)</f>
        <v>0</v>
      </c>
      <c r="CS412" s="436">
        <f>IFERROR(Table1[[#This Row],[Progres Pemasangan
(%)]]*Table1[[#This Row],[Nilai RAB Jaringan
(file pa aji)]],0)</f>
        <v>0</v>
      </c>
      <c r="CT412" s="436">
        <f>IFERROR(Table1[[#This Row],[Progres Perizinan
(%)]]*Table1[[#This Row],[Nilai RAB Jaringan
(file pa aji)]],0)</f>
        <v>0</v>
      </c>
      <c r="CU412" s="329">
        <v>0</v>
      </c>
      <c r="CV412" s="329">
        <v>0</v>
      </c>
      <c r="CW412" s="511">
        <v>0</v>
      </c>
      <c r="CX412" s="329">
        <v>0</v>
      </c>
      <c r="CY412" s="47"/>
      <c r="CZ412" s="331">
        <v>45957</v>
      </c>
      <c r="DA412" s="331">
        <v>45984</v>
      </c>
      <c r="DB412" s="331">
        <v>45951</v>
      </c>
      <c r="DC412" s="535" t="s">
        <v>3248</v>
      </c>
      <c r="DD412" s="508">
        <f>67374691.2+380000</f>
        <v>67754691.200000003</v>
      </c>
      <c r="DE41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2" s="331">
        <v>45972</v>
      </c>
      <c r="DG412" s="535" t="s">
        <v>3249</v>
      </c>
      <c r="DH412" s="508">
        <f>67374691.2+380000</f>
        <v>67754691.200000003</v>
      </c>
      <c r="DI41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2" s="331">
        <v>45985</v>
      </c>
      <c r="DK412" s="331">
        <v>46047</v>
      </c>
      <c r="DL412" s="331">
        <v>45995</v>
      </c>
      <c r="DM412" s="316" t="s">
        <v>3250</v>
      </c>
      <c r="DN41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2" s="331">
        <v>46085</v>
      </c>
      <c r="DP412" s="316"/>
      <c r="DQ412" s="338" t="s">
        <v>275</v>
      </c>
      <c r="DR41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2" s="331">
        <v>45985</v>
      </c>
      <c r="DT412" s="331">
        <v>46164</v>
      </c>
      <c r="DU412" s="331">
        <v>46026</v>
      </c>
      <c r="DV412" s="331">
        <v>46178</v>
      </c>
      <c r="DW412" s="331">
        <v>46009</v>
      </c>
      <c r="DX412" t="s">
        <v>3251</v>
      </c>
      <c r="DY412" s="334">
        <v>10</v>
      </c>
      <c r="DZ412" s="334">
        <v>10</v>
      </c>
      <c r="EA41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2" s="331"/>
      <c r="EC412" s="332">
        <v>9</v>
      </c>
      <c r="ED412" s="332">
        <v>9</v>
      </c>
      <c r="EE412" s="118"/>
      <c r="EF412" s="337">
        <v>0.9</v>
      </c>
      <c r="EG412" s="337">
        <f>Table1[[#This Row],[Line PO]]/Table1[[#This Row],[Line PR]]</f>
        <v>0.9</v>
      </c>
      <c r="EH412" s="316" t="str">
        <f>IF(Table1[[#This Row],[PO Material Aktual 
(%)]]&gt;=100%,"Selesai PO = 100%",IF(Table1[[#This Row],[PO Material Aktual 
(%)]]&gt;=50%,"Proses PO &gt; 100%",IF(Table1[[#This Row],[PO Material Aktual 
(%)]]&gt;0%,"Proses PO &gt; 50%",IF(Table1[[#This Row],[PO Material Aktual 
(%)]]=0,"Belum PO = 0%"))))</f>
        <v>Proses PO &gt; 100%</v>
      </c>
      <c r="EI41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2" s="331">
        <v>46027</v>
      </c>
      <c r="EK412" s="331">
        <v>46178</v>
      </c>
      <c r="EL412" s="331">
        <v>46103</v>
      </c>
      <c r="EM412" s="331">
        <v>46183</v>
      </c>
      <c r="EN412" s="331"/>
      <c r="EO412" s="332">
        <v>4</v>
      </c>
      <c r="EP412" s="332">
        <v>4</v>
      </c>
      <c r="EQ412" s="337">
        <v>0.4</v>
      </c>
      <c r="ER412" s="337">
        <f>Table1[[#This Row],[Line MOS (kolom bantu)]]/Table1[[#This Row],[Line PR]]</f>
        <v>0.4</v>
      </c>
      <c r="ES412" s="316" t="str">
        <f>IF(Table1[[#This Row],[Progres MOS]]&gt;=100%,"Selesai MOS = 100%",IF(Table1[[#This Row],[Progres MOS]]&gt;=50%,"Proses MOS &gt; 100%",IF(Table1[[#This Row],[Progres MOS]]&gt;0%,"Proses MOS &gt; 50%",IF(Table1[[#This Row],[Progres MOS]]=0,"Belum MOS = 0%"))))</f>
        <v>Proses MOS &gt; 50%</v>
      </c>
      <c r="ET41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2" s="47"/>
      <c r="EV412" s="331">
        <v>45985</v>
      </c>
      <c r="EW412" s="331">
        <v>46156</v>
      </c>
      <c r="EX412" s="331">
        <v>46075</v>
      </c>
      <c r="EY412" s="331">
        <v>46186</v>
      </c>
      <c r="EZ412" s="352" t="s">
        <v>259</v>
      </c>
      <c r="FA412" s="409" t="s">
        <v>259</v>
      </c>
      <c r="FB412" s="331"/>
      <c r="FC412" s="330">
        <v>45979</v>
      </c>
      <c r="FD412" s="331" t="s">
        <v>260</v>
      </c>
      <c r="FE412" s="331"/>
      <c r="FF412" s="331"/>
      <c r="FG412" s="331"/>
      <c r="FH412" s="331"/>
      <c r="FI412" s="331"/>
      <c r="FJ412" s="331"/>
      <c r="FK412" s="331"/>
      <c r="FL412" s="352" t="s">
        <v>2806</v>
      </c>
      <c r="FM412" s="352"/>
      <c r="FN412" s="338" t="str">
        <f>IF(Table1[[#This Row],[Tanggal Pengajuan Dokumen]]="","",Table1[[#This Row],[PLAN PERMIT
start]]-Table1[[#This Row],[Tanggal Pengajuan Dokumen]])</f>
        <v/>
      </c>
      <c r="FO412" s="352"/>
      <c r="FP412" s="316"/>
      <c r="FQ412" s="338"/>
      <c r="FR412" s="331"/>
      <c r="FS412" s="338"/>
      <c r="FT41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2" s="344">
        <f ca="1">IF(Table1[[#This Row],[Status Izin]]="Selesai",Table1[[#This Row],[PLAN PERMIT
finish]]-Table1[[#This Row],[Tanggal Terbit/ Target Izin Terbit]],ROUNDUP(Table1[[#This Row],[PLAN PERMIT
finish]]-NOW(),0))</f>
        <v>-116</v>
      </c>
      <c r="FV41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2" s="344"/>
      <c r="FX412" s="47"/>
      <c r="FY412" s="513">
        <v>46034</v>
      </c>
      <c r="FZ412" s="513">
        <v>46050</v>
      </c>
      <c r="GA41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2" s="331">
        <v>46048</v>
      </c>
      <c r="GC412" s="352">
        <v>46113</v>
      </c>
      <c r="GD41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2" s="331">
        <v>46055</v>
      </c>
      <c r="GF412" s="352">
        <v>46113</v>
      </c>
      <c r="GG41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2" s="331">
        <v>46062</v>
      </c>
      <c r="GI412" s="331">
        <v>46068</v>
      </c>
      <c r="GJ412" s="352">
        <v>46129</v>
      </c>
      <c r="GK41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2" s="331">
        <v>46076</v>
      </c>
      <c r="GM412" s="331">
        <v>46193</v>
      </c>
      <c r="GN412" s="331">
        <v>46103</v>
      </c>
      <c r="GO412" s="330">
        <v>46241</v>
      </c>
      <c r="GP412" s="316"/>
      <c r="GQ41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2" s="331"/>
      <c r="GS412" s="331"/>
      <c r="GT412" s="354"/>
      <c r="GU412" s="344" t="str">
        <f>IF(Table1[[#This Row],[Hydro Tes Actual
(tanggal)]]&lt;&gt;"","Sudah","Belum")</f>
        <v>Belum</v>
      </c>
      <c r="GV412" s="330"/>
      <c r="GW412" s="330"/>
      <c r="GX412" s="331"/>
      <c r="GY412" s="344" t="str">
        <f>IF(Table1[[#This Row],[Interkoneksi Actual
(tanggal)]]&lt;&gt;"","Sudah","Belum")</f>
        <v>Belum</v>
      </c>
      <c r="GZ412" s="330"/>
      <c r="HA412" s="330"/>
      <c r="HB412" s="331"/>
      <c r="HC412" s="344" t="str">
        <f>IF(Table1[[#This Row],[Flushing Actual
(tanggal)]]&lt;&gt;"","Sudah","Belum")</f>
        <v>Belum</v>
      </c>
      <c r="HD412" s="331">
        <v>46106</v>
      </c>
      <c r="HE412" s="331">
        <v>46242</v>
      </c>
      <c r="HF412" s="331">
        <v>46111</v>
      </c>
      <c r="HG412" s="352"/>
      <c r="HH41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2" s="330"/>
      <c r="HJ412" s="330"/>
      <c r="HK412" s="331"/>
      <c r="HL412" s="331"/>
      <c r="HM412" s="331">
        <v>46128</v>
      </c>
      <c r="HN412" s="331">
        <v>46128</v>
      </c>
      <c r="HO412" s="330">
        <v>46259</v>
      </c>
      <c r="HP412" s="331"/>
      <c r="HQ41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12" s="331">
        <v>46136</v>
      </c>
      <c r="HS412" s="331"/>
      <c r="HT412" s="331">
        <v>46136</v>
      </c>
      <c r="HU412" s="420"/>
      <c r="HV412" s="395"/>
      <c r="HW412"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12" s="47"/>
      <c r="HY412" s="352"/>
      <c r="HZ412" s="352"/>
      <c r="IA412" s="72"/>
      <c r="IB412" s="618">
        <f>IFERROR(ROUND((Table1[[#This Row],[PLAN TC
finish]]-Table1[[#This Row],[PLAN MC-0
start]])/30,2),"")</f>
        <v>1.63</v>
      </c>
      <c r="IC412">
        <f>DATEDIF(Table1[[#This Row],[PLAN MC-0
start]],Table1[[#This Row],[PLAN TC
finish]],"m")</f>
        <v>1</v>
      </c>
      <c r="ID412" s="6"/>
      <c r="IE412" s="6"/>
      <c r="IF412" s="72"/>
      <c r="IH412" s="6"/>
      <c r="II412" s="4"/>
      <c r="IJ412" s="4"/>
      <c r="IK412" s="6"/>
      <c r="IL412" s="6"/>
      <c r="IM412" s="6"/>
      <c r="IN412" s="6"/>
      <c r="IO412" s="6"/>
      <c r="IQ412" s="6"/>
      <c r="IR412" s="6"/>
      <c r="IS412" s="6"/>
      <c r="IT412" s="6"/>
      <c r="IW412" s="6"/>
      <c r="IX412" s="6"/>
      <c r="IZ412" s="6"/>
      <c r="JA412" s="6"/>
    </row>
    <row r="413" spans="1:261" ht="15" hidden="1" customHeight="1" x14ac:dyDescent="0.2">
      <c r="B413" s="311">
        <f>SUBTOTAL(3,$D$5:D413)</f>
        <v>84</v>
      </c>
      <c r="C413" s="316">
        <v>409</v>
      </c>
      <c r="D413" s="315" t="s">
        <v>673</v>
      </c>
      <c r="E413" s="338" t="s">
        <v>3252</v>
      </c>
      <c r="F413" s="338" t="s">
        <v>3253</v>
      </c>
      <c r="G413" s="349">
        <v>46300</v>
      </c>
      <c r="H413" s="338" t="s">
        <v>681</v>
      </c>
      <c r="I413" s="338" t="s">
        <v>278</v>
      </c>
      <c r="J413" s="480"/>
      <c r="K413" s="338"/>
      <c r="L413" s="316"/>
      <c r="M413" s="479" t="s">
        <v>269</v>
      </c>
      <c r="N413" s="507">
        <v>132</v>
      </c>
      <c r="O413" s="31" t="s">
        <v>252</v>
      </c>
      <c r="P41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3" s="35">
        <v>1</v>
      </c>
      <c r="S413" s="327">
        <v>1</v>
      </c>
      <c r="T413" s="152">
        <f>Table1[[#This Row],[Progres Total Aktual
(%)]]</f>
        <v>4.1940195174131965E-2</v>
      </c>
      <c r="U413" s="121">
        <f>Table1[[#This Row],[Progres Aktual
(%)]]-Table1[[#This Row],[Target Progres
(%)]]</f>
        <v>-0.95805980482586806</v>
      </c>
      <c r="V413" s="80">
        <v>125</v>
      </c>
      <c r="W413" s="80">
        <f>Table1[[#This Row],[Total Panjang Pipa Aktual
(Sum-&gt;)3]]</f>
        <v>0</v>
      </c>
      <c r="X413" s="117"/>
      <c r="Y413" s="67" t="s">
        <v>3254</v>
      </c>
      <c r="Z413" s="67">
        <v>197739742</v>
      </c>
      <c r="AA413" s="509">
        <f>ROUND((Table1[[#This Row],[Nilai RAB Jaringan
(Exclude Ppn)]]-Table1[[#This Row],[RAB Perizinan]])*1.11+Table1[[#This Row],[RAB Perizinan]],0)</f>
        <v>197739741</v>
      </c>
      <c r="AB413" s="483">
        <f>SUM(Table1[[#This Row],[RAB Kegiatan Umum]:[RAB Perizinan]])</f>
        <v>178274722</v>
      </c>
      <c r="AC413" s="537">
        <v>12877023</v>
      </c>
      <c r="AD413" s="537">
        <v>128770226</v>
      </c>
      <c r="AE413" s="537">
        <v>35307473</v>
      </c>
      <c r="AF413" s="537">
        <v>1320000</v>
      </c>
      <c r="AG413" s="534"/>
      <c r="AH413" s="510">
        <f>SUM(Table1[[#This Row],[Bobot Keg Umum]:[Bobot Perizinan]])</f>
        <v>1</v>
      </c>
      <c r="AI413" s="510">
        <f>Table1[[#This Row],[RAB Kegiatan Umum]]/Table1[[#This Row],[Nilai RAB Jaringan
(Exclude Ppn)]]</f>
        <v>7.2231345282928003E-2</v>
      </c>
      <c r="AJ413" s="510">
        <f>Table1[[#This Row],[RAB Pemasangan]]/Table1[[#This Row],[Nilai RAB Jaringan
(Exclude Ppn)]]</f>
        <v>0.72231343039199913</v>
      </c>
      <c r="AK413" s="129">
        <f>Table1[[#This Row],[RAB Pengadaan]]/Table1[[#This Row],[Nilai RAB Jaringan
(Exclude Ppn)]]</f>
        <v>0.19805092165562316</v>
      </c>
      <c r="AL413" s="130">
        <f>Table1[[#This Row],[RAB Perizinan]]/Table1[[#This Row],[Nilai RAB Jaringan
(Exclude Ppn)]]</f>
        <v>7.4043026694496821E-3</v>
      </c>
      <c r="AM413" s="47"/>
      <c r="AN413" s="285"/>
      <c r="AO413" s="285">
        <f>SUM(Table1[[#This Row],[Pipa 63 mm]:[Pipa 1,800 mm]])</f>
        <v>125</v>
      </c>
      <c r="AP413" s="285">
        <v>125</v>
      </c>
      <c r="AQ413" s="285"/>
      <c r="AR413" s="285"/>
      <c r="AS413" s="285"/>
      <c r="AT413" s="285"/>
      <c r="AU413" s="285"/>
      <c r="AV413" s="285"/>
      <c r="AW413" s="285"/>
      <c r="AX413" s="285"/>
      <c r="AY413" s="285"/>
      <c r="AZ413" s="285"/>
      <c r="BA413" s="285"/>
      <c r="BB413" s="285"/>
      <c r="BC413" s="285"/>
      <c r="BD413" s="285"/>
      <c r="BE413" s="285"/>
      <c r="BF413" s="285"/>
      <c r="BG413" s="285"/>
      <c r="BH413" s="285"/>
      <c r="BI413" s="285"/>
      <c r="BJ413" s="36">
        <f>SUM(Table1[[#This Row],[Pipa 63 mm2]:[Pipa 1,800 mm21]])</f>
        <v>0</v>
      </c>
      <c r="BK413" s="32"/>
      <c r="BL413" s="32"/>
      <c r="BM413" s="32"/>
      <c r="BN413" s="32"/>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32">
        <f>IF((Table1[[#This Row],["Volume
BA MC-0"]]-Table1[[#This Row],[Total Panjang Pipa Aktual
(Sum-&gt;)3]]-Table1[[#This Row],[Total Volume
tidak dapat dipasang]])&gt;=0,Table1[[#This Row],["Volume
BA MC-0"]]-Table1[[#This Row],[Total Panjang Pipa Aktual
(Sum-&gt;)3]]-Table1[[#This Row],[Total Volume
tidak dapat dipasang]],0)</f>
        <v>0</v>
      </c>
      <c r="CK413" s="47"/>
      <c r="CL413" s="131"/>
      <c r="CM413" s="337"/>
      <c r="CN413" s="131"/>
      <c r="CO413" s="131"/>
      <c r="CP413"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4.1940195174131965E-2</v>
      </c>
      <c r="CQ413" s="436">
        <f>IFERROR(Table1[[#This Row],[Progres Keg. Umum
(%)]]*Table1[[#This Row],[Nilai RAB Jaringan
(file pa aji)]],0)</f>
        <v>0</v>
      </c>
      <c r="CR413" s="436">
        <f>IFERROR(Table1[[#This Row],[Progres MOS
(%)]]*Table1[[#This Row],[Nilai RAB Jaringan
(file pa aji)]],0)</f>
        <v>0</v>
      </c>
      <c r="CS413" s="436">
        <f>IFERROR(Table1[[#This Row],[Progres Pemasangan
(%)]]*Table1[[#This Row],[Nilai RAB Jaringan
(file pa aji)]],0)</f>
        <v>0</v>
      </c>
      <c r="CT413" s="436">
        <f>IFERROR(Table1[[#This Row],[Progres Perizinan
(%)]]*Table1[[#This Row],[Nilai RAB Jaringan
(file pa aji)]],0)</f>
        <v>0</v>
      </c>
      <c r="CU413" s="329">
        <v>0</v>
      </c>
      <c r="CV413" s="329">
        <v>0</v>
      </c>
      <c r="CW413" s="511">
        <v>0</v>
      </c>
      <c r="CX413" s="329">
        <v>0</v>
      </c>
      <c r="CY413" s="47"/>
      <c r="CZ413" s="331">
        <v>45957</v>
      </c>
      <c r="DA413" s="331">
        <v>45984</v>
      </c>
      <c r="DB413" s="331">
        <v>45951</v>
      </c>
      <c r="DC413" s="535" t="s">
        <v>3255</v>
      </c>
      <c r="DD413" s="508">
        <f>196419741.42+1320000</f>
        <v>197739741.41999999</v>
      </c>
      <c r="DE41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3" s="331">
        <v>45972</v>
      </c>
      <c r="DG413" s="535" t="s">
        <v>3256</v>
      </c>
      <c r="DH413" s="508">
        <f>196419741.42+1320000</f>
        <v>197739741.41999999</v>
      </c>
      <c r="DI41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3" s="331">
        <v>45985</v>
      </c>
      <c r="DK413" s="331">
        <v>46047</v>
      </c>
      <c r="DL413" s="331">
        <v>45995</v>
      </c>
      <c r="DM413" s="316" t="s">
        <v>3257</v>
      </c>
      <c r="DN41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3" s="331">
        <v>46083</v>
      </c>
      <c r="DP413" s="334"/>
      <c r="DQ413" s="338" t="s">
        <v>365</v>
      </c>
      <c r="DR41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3" s="331">
        <v>45985</v>
      </c>
      <c r="DT413" s="331">
        <v>46164</v>
      </c>
      <c r="DU413" s="331">
        <v>46026</v>
      </c>
      <c r="DV413" s="331">
        <v>46178</v>
      </c>
      <c r="DW413" s="331">
        <v>45995</v>
      </c>
      <c r="DX413" t="s">
        <v>3258</v>
      </c>
      <c r="DY413" s="332">
        <v>17</v>
      </c>
      <c r="DZ413" s="334">
        <v>17</v>
      </c>
      <c r="EA41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3" s="331"/>
      <c r="EC413" s="332">
        <v>16</v>
      </c>
      <c r="ED413" s="332">
        <v>16</v>
      </c>
      <c r="EE413" s="118"/>
      <c r="EF413" s="337">
        <v>0.94117647058823528</v>
      </c>
      <c r="EG413" s="337">
        <f>Table1[[#This Row],[Line PO]]/Table1[[#This Row],[Line PR]]</f>
        <v>0.94117647058823528</v>
      </c>
      <c r="EH413" s="316" t="str">
        <f>IF(Table1[[#This Row],[PO Material Aktual 
(%)]]&gt;=100%,"Selesai PO = 100%",IF(Table1[[#This Row],[PO Material Aktual 
(%)]]&gt;=50%,"Proses PO &gt; 100%",IF(Table1[[#This Row],[PO Material Aktual 
(%)]]&gt;0%,"Proses PO &gt; 50%",IF(Table1[[#This Row],[PO Material Aktual 
(%)]]=0,"Belum PO = 0%"))))</f>
        <v>Proses PO &gt; 100%</v>
      </c>
      <c r="EI41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3" s="331">
        <v>46027</v>
      </c>
      <c r="EK413" s="331">
        <v>46178</v>
      </c>
      <c r="EL413" s="331">
        <v>46103</v>
      </c>
      <c r="EM413" s="331">
        <v>46183</v>
      </c>
      <c r="EN413" s="331"/>
      <c r="EO413" s="332">
        <v>6</v>
      </c>
      <c r="EP413" s="332">
        <v>6</v>
      </c>
      <c r="EQ413" s="337">
        <v>0.35294117647058826</v>
      </c>
      <c r="ER413" s="337">
        <f>Table1[[#This Row],[Line MOS (kolom bantu)]]/Table1[[#This Row],[Line PR]]</f>
        <v>0.35294117647058826</v>
      </c>
      <c r="ES413" s="316" t="str">
        <f>IF(Table1[[#This Row],[Progres MOS]]&gt;=100%,"Selesai MOS = 100%",IF(Table1[[#This Row],[Progres MOS]]&gt;=50%,"Proses MOS &gt; 100%",IF(Table1[[#This Row],[Progres MOS]]&gt;0%,"Proses MOS &gt; 50%",IF(Table1[[#This Row],[Progres MOS]]=0,"Belum MOS = 0%"))))</f>
        <v>Proses MOS &gt; 50%</v>
      </c>
      <c r="ET41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3" s="47"/>
      <c r="EV413" s="331">
        <v>45985</v>
      </c>
      <c r="EW413" s="331">
        <v>46156</v>
      </c>
      <c r="EX413" s="331">
        <v>46075</v>
      </c>
      <c r="EY413" s="331">
        <v>46186</v>
      </c>
      <c r="EZ413" s="352" t="s">
        <v>259</v>
      </c>
      <c r="FA413" s="409" t="s">
        <v>259</v>
      </c>
      <c r="FB413" s="331"/>
      <c r="FC413" s="330">
        <v>45943</v>
      </c>
      <c r="FD413" s="331" t="s">
        <v>260</v>
      </c>
      <c r="FE413" s="331"/>
      <c r="FF413" s="331"/>
      <c r="FG413" s="331"/>
      <c r="FH413" s="331"/>
      <c r="FI413" s="331"/>
      <c r="FJ413" s="331"/>
      <c r="FK413" s="331"/>
      <c r="FL413" s="352" t="s">
        <v>2759</v>
      </c>
      <c r="FM413" s="352"/>
      <c r="FN413" s="338" t="str">
        <f>IF(Table1[[#This Row],[Tanggal Pengajuan Dokumen]]="","",Table1[[#This Row],[PLAN PERMIT
start]]-Table1[[#This Row],[Tanggal Pengajuan Dokumen]])</f>
        <v/>
      </c>
      <c r="FO413" s="352"/>
      <c r="FP413" s="316"/>
      <c r="FQ413" s="338"/>
      <c r="FR413" s="331"/>
      <c r="FS413" s="338"/>
      <c r="FT41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3" s="344">
        <f ca="1">IF(Table1[[#This Row],[Status Izin]]="Selesai",Table1[[#This Row],[PLAN PERMIT
finish]]-Table1[[#This Row],[Tanggal Terbit/ Target Izin Terbit]],ROUNDUP(Table1[[#This Row],[PLAN PERMIT
finish]]-NOW(),0))</f>
        <v>-116</v>
      </c>
      <c r="FV41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3" s="344"/>
      <c r="FX413" s="47"/>
      <c r="FY413" s="513">
        <v>46034</v>
      </c>
      <c r="FZ413" s="513">
        <v>46050</v>
      </c>
      <c r="GA41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3" s="331">
        <v>46048</v>
      </c>
      <c r="GC413" s="352">
        <v>46112</v>
      </c>
      <c r="GD41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3" s="331">
        <v>46055</v>
      </c>
      <c r="GF413" s="352">
        <v>46112</v>
      </c>
      <c r="GG41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3" s="331">
        <v>46062</v>
      </c>
      <c r="GI413" s="331">
        <v>46068</v>
      </c>
      <c r="GJ413" s="352">
        <v>46120</v>
      </c>
      <c r="GK41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3" s="331">
        <v>46076</v>
      </c>
      <c r="GM413" s="331">
        <v>46193</v>
      </c>
      <c r="GN413" s="331">
        <v>46103</v>
      </c>
      <c r="GO413" s="330">
        <v>46241</v>
      </c>
      <c r="GP413" s="316"/>
      <c r="GQ41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3" s="331"/>
      <c r="GS413" s="331"/>
      <c r="GT413" s="354"/>
      <c r="GU413" s="344" t="str">
        <f>IF(Table1[[#This Row],[Hydro Tes Actual
(tanggal)]]&lt;&gt;"","Sudah","Belum")</f>
        <v>Belum</v>
      </c>
      <c r="GV413" s="330"/>
      <c r="GW413" s="330"/>
      <c r="GX413" s="331"/>
      <c r="GY413" s="344" t="str">
        <f>IF(Table1[[#This Row],[Interkoneksi Actual
(tanggal)]]&lt;&gt;"","Sudah","Belum")</f>
        <v>Belum</v>
      </c>
      <c r="GZ413" s="330"/>
      <c r="HA413" s="330"/>
      <c r="HB413" s="331"/>
      <c r="HC413" s="344" t="str">
        <f>IF(Table1[[#This Row],[Flushing Actual
(tanggal)]]&lt;&gt;"","Sudah","Belum")</f>
        <v>Belum</v>
      </c>
      <c r="HD413" s="331">
        <v>46106</v>
      </c>
      <c r="HE413" s="331">
        <v>46242</v>
      </c>
      <c r="HF413" s="331">
        <v>46111</v>
      </c>
      <c r="HG413" s="352"/>
      <c r="HH41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3" s="330"/>
      <c r="HJ413" s="330"/>
      <c r="HK413" s="331"/>
      <c r="HL413" s="331"/>
      <c r="HM413" s="331">
        <v>46128</v>
      </c>
      <c r="HN413" s="331">
        <v>46128</v>
      </c>
      <c r="HO413" s="330">
        <v>46259</v>
      </c>
      <c r="HP413" s="331"/>
      <c r="HQ41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13" s="331">
        <v>46136</v>
      </c>
      <c r="HS413" s="331"/>
      <c r="HT413" s="331">
        <v>46136</v>
      </c>
      <c r="HU413" s="420"/>
      <c r="HV413" s="395"/>
      <c r="HW413"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13" s="47"/>
      <c r="HY413" s="352"/>
      <c r="HZ413" s="352"/>
      <c r="IA413" s="72"/>
      <c r="IB413" s="618">
        <f>IFERROR(ROUND((Table1[[#This Row],[PLAN TC
finish]]-Table1[[#This Row],[PLAN MC-0
start]])/30,2),"")</f>
        <v>1.63</v>
      </c>
      <c r="IC413">
        <f>DATEDIF(Table1[[#This Row],[PLAN MC-0
start]],Table1[[#This Row],[PLAN TC
finish]],"m")</f>
        <v>1</v>
      </c>
      <c r="ID413" s="6"/>
      <c r="IE413" s="6"/>
      <c r="IF413" s="72"/>
      <c r="IH413" s="6"/>
      <c r="II413" s="4"/>
      <c r="IJ413" s="4"/>
      <c r="IK413" s="6"/>
      <c r="IL413" s="6"/>
      <c r="IM413" s="6"/>
      <c r="IN413" s="6"/>
      <c r="IO413" s="6"/>
      <c r="IQ413" s="6"/>
      <c r="IR413" s="6"/>
      <c r="IS413" s="6"/>
      <c r="IT413" s="6"/>
      <c r="IW413" s="6"/>
      <c r="IX413" s="6"/>
      <c r="IZ413" s="6"/>
      <c r="JA413" s="6"/>
    </row>
    <row r="414" spans="1:261" ht="15" hidden="1" customHeight="1" x14ac:dyDescent="0.2">
      <c r="B414" s="311">
        <f>SUBTOTAL(3,$D$5:D414)</f>
        <v>84</v>
      </c>
      <c r="C414" s="316">
        <v>410</v>
      </c>
      <c r="D414" s="315" t="s">
        <v>673</v>
      </c>
      <c r="E414" s="338" t="s">
        <v>3259</v>
      </c>
      <c r="F414" s="338" t="s">
        <v>3260</v>
      </c>
      <c r="G414" s="349">
        <v>46300</v>
      </c>
      <c r="H414" s="338" t="s">
        <v>681</v>
      </c>
      <c r="I414" s="338" t="s">
        <v>278</v>
      </c>
      <c r="J414" s="480"/>
      <c r="K414" s="338"/>
      <c r="L414" s="316"/>
      <c r="M414" s="479" t="s">
        <v>269</v>
      </c>
      <c r="N414" s="507">
        <v>24</v>
      </c>
      <c r="O414" s="31" t="s">
        <v>252</v>
      </c>
      <c r="P41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4" s="35">
        <v>1.0000000000000002</v>
      </c>
      <c r="S414" s="327">
        <v>1.0000000000000002</v>
      </c>
      <c r="T414" s="152">
        <f>Table1[[#This Row],[Progres Total Aktual
(%)]]</f>
        <v>7.5533980138542248E-2</v>
      </c>
      <c r="U414" s="121">
        <f>Table1[[#This Row],[Progres Aktual
(%)]]-Table1[[#This Row],[Target Progres
(%)]]</f>
        <v>-0.92446601986145793</v>
      </c>
      <c r="V414" s="80">
        <v>24</v>
      </c>
      <c r="W414" s="80">
        <f>Table1[[#This Row],[Total Panjang Pipa Aktual
(Sum-&gt;)3]]</f>
        <v>0</v>
      </c>
      <c r="X414" s="117"/>
      <c r="Y414" s="67" t="s">
        <v>3261</v>
      </c>
      <c r="Z414" s="67">
        <v>51917452</v>
      </c>
      <c r="AA414" s="509">
        <f>ROUND((Table1[[#This Row],[Nilai RAB Jaringan
(Exclude Ppn)]]-Table1[[#This Row],[RAB Perizinan]])*1.11+Table1[[#This Row],[RAB Perizinan]],0)</f>
        <v>51917452</v>
      </c>
      <c r="AB414" s="483">
        <f>SUM(Table1[[#This Row],[RAB Kegiatan Umum]:[RAB Perizinan]])</f>
        <v>46796263</v>
      </c>
      <c r="AC414" s="537">
        <v>3161264</v>
      </c>
      <c r="AD414" s="537">
        <v>31612639</v>
      </c>
      <c r="AE414" s="537">
        <v>11782360</v>
      </c>
      <c r="AF414" s="537">
        <v>240000</v>
      </c>
      <c r="AG414" s="534"/>
      <c r="AH414" s="510">
        <f>SUM(Table1[[#This Row],[Bobot Keg Umum]:[Bobot Perizinan]])</f>
        <v>1</v>
      </c>
      <c r="AI414" s="510">
        <f>Table1[[#This Row],[RAB Kegiatan Umum]]/Table1[[#This Row],[Nilai RAB Jaringan
(Exclude Ppn)]]</f>
        <v>6.7553770265800922E-2</v>
      </c>
      <c r="AJ414" s="510">
        <f>Table1[[#This Row],[RAB Pemasangan]]/Table1[[#This Row],[Nilai RAB Jaringan
(Exclude Ppn)]]</f>
        <v>0.67553768128878156</v>
      </c>
      <c r="AK414" s="129">
        <f>Table1[[#This Row],[RAB Pengadaan]]/Table1[[#This Row],[Nilai RAB Jaringan
(Exclude Ppn)]]</f>
        <v>0.25177993379514085</v>
      </c>
      <c r="AL414" s="130">
        <f>Table1[[#This Row],[RAB Perizinan]]/Table1[[#This Row],[Nilai RAB Jaringan
(Exclude Ppn)]]</f>
        <v>5.1286146502766685E-3</v>
      </c>
      <c r="AM414" s="47"/>
      <c r="AN414" s="285"/>
      <c r="AO414" s="285">
        <f>SUM(Table1[[#This Row],[Pipa 63 mm]:[Pipa 1,800 mm]])</f>
        <v>24</v>
      </c>
      <c r="AP414" s="285">
        <v>24</v>
      </c>
      <c r="AQ414" s="285"/>
      <c r="AR414" s="285"/>
      <c r="AS414" s="285"/>
      <c r="AT414" s="285"/>
      <c r="AU414" s="285"/>
      <c r="AV414" s="285"/>
      <c r="AW414" s="285"/>
      <c r="AX414" s="285"/>
      <c r="AY414" s="285"/>
      <c r="AZ414" s="285"/>
      <c r="BA414" s="285"/>
      <c r="BB414" s="285"/>
      <c r="BC414" s="285"/>
      <c r="BD414" s="285"/>
      <c r="BE414" s="285"/>
      <c r="BF414" s="285"/>
      <c r="BG414" s="285"/>
      <c r="BH414" s="285"/>
      <c r="BI414" s="285"/>
      <c r="BJ414" s="36">
        <f>SUM(Table1[[#This Row],[Pipa 63 mm2]:[Pipa 1,800 mm21]])</f>
        <v>0</v>
      </c>
      <c r="BK414" s="32"/>
      <c r="BL414" s="32"/>
      <c r="BM414" s="32"/>
      <c r="BN414" s="32"/>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32">
        <f>IF((Table1[[#This Row],["Volume
BA MC-0"]]-Table1[[#This Row],[Total Panjang Pipa Aktual
(Sum-&gt;)3]]-Table1[[#This Row],[Total Volume
tidak dapat dipasang]])&gt;=0,Table1[[#This Row],["Volume
BA MC-0"]]-Table1[[#This Row],[Total Panjang Pipa Aktual
(Sum-&gt;)3]]-Table1[[#This Row],[Total Volume
tidak dapat dipasang]],0)</f>
        <v>0</v>
      </c>
      <c r="CK414" s="47"/>
      <c r="CL414" s="131"/>
      <c r="CM414" s="337"/>
      <c r="CN414" s="131"/>
      <c r="CO414" s="131"/>
      <c r="CP414"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7.5533980138542248E-2</v>
      </c>
      <c r="CQ414" s="436">
        <f>IFERROR(Table1[[#This Row],[Progres Keg. Umum
(%)]]*Table1[[#This Row],[Nilai RAB Jaringan
(file pa aji)]],0)</f>
        <v>0</v>
      </c>
      <c r="CR414" s="436">
        <f>IFERROR(Table1[[#This Row],[Progres MOS
(%)]]*Table1[[#This Row],[Nilai RAB Jaringan
(file pa aji)]],0)</f>
        <v>0</v>
      </c>
      <c r="CS414" s="436">
        <f>IFERROR(Table1[[#This Row],[Progres Pemasangan
(%)]]*Table1[[#This Row],[Nilai RAB Jaringan
(file pa aji)]],0)</f>
        <v>0</v>
      </c>
      <c r="CT414" s="436">
        <f>IFERROR(Table1[[#This Row],[Progres Perizinan
(%)]]*Table1[[#This Row],[Nilai RAB Jaringan
(file pa aji)]],0)</f>
        <v>0</v>
      </c>
      <c r="CU414" s="329">
        <v>0</v>
      </c>
      <c r="CV414" s="329">
        <v>0</v>
      </c>
      <c r="CW414" s="511">
        <v>0</v>
      </c>
      <c r="CX414" s="329">
        <v>0</v>
      </c>
      <c r="CY414" s="47"/>
      <c r="CZ414" s="331">
        <v>45957</v>
      </c>
      <c r="DA414" s="331">
        <v>45984</v>
      </c>
      <c r="DB414" s="331">
        <v>45951</v>
      </c>
      <c r="DC414" s="535" t="s">
        <v>3262</v>
      </c>
      <c r="DD414" s="508">
        <f>51677451.93+240000</f>
        <v>51917451.93</v>
      </c>
      <c r="DE41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4" s="331">
        <v>45972</v>
      </c>
      <c r="DG414" s="535" t="s">
        <v>3263</v>
      </c>
      <c r="DH414" s="508">
        <f>51677451.93+240000</f>
        <v>51917451.93</v>
      </c>
      <c r="DI41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4" s="331">
        <v>45985</v>
      </c>
      <c r="DK414" s="331">
        <v>46047</v>
      </c>
      <c r="DL414" s="331">
        <v>45995</v>
      </c>
      <c r="DM414" s="316" t="s">
        <v>3264</v>
      </c>
      <c r="DN41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4" s="331">
        <v>46086</v>
      </c>
      <c r="DP414" s="334"/>
      <c r="DQ414" s="461" t="s">
        <v>762</v>
      </c>
      <c r="DR41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4" s="331">
        <v>45985</v>
      </c>
      <c r="DT414" s="331">
        <v>46164</v>
      </c>
      <c r="DU414" s="331">
        <v>46026</v>
      </c>
      <c r="DV414" s="331">
        <v>46178</v>
      </c>
      <c r="DW414" s="331">
        <v>45995</v>
      </c>
      <c r="DX414" t="s">
        <v>3265</v>
      </c>
      <c r="DY414" s="332">
        <v>12</v>
      </c>
      <c r="DZ414" s="334">
        <v>12</v>
      </c>
      <c r="EA41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4" s="331"/>
      <c r="EC414" s="332">
        <v>11</v>
      </c>
      <c r="ED414" s="332">
        <v>11</v>
      </c>
      <c r="EE414" s="118"/>
      <c r="EF414" s="337">
        <v>0.91666666666666663</v>
      </c>
      <c r="EG414" s="337">
        <f>Table1[[#This Row],[Line PO]]/Table1[[#This Row],[Line PR]]</f>
        <v>0.91666666666666663</v>
      </c>
      <c r="EH414" s="316" t="str">
        <f>IF(Table1[[#This Row],[PO Material Aktual 
(%)]]&gt;=100%,"Selesai PO = 100%",IF(Table1[[#This Row],[PO Material Aktual 
(%)]]&gt;=50%,"Proses PO &gt; 100%",IF(Table1[[#This Row],[PO Material Aktual 
(%)]]&gt;0%,"Proses PO &gt; 50%",IF(Table1[[#This Row],[PO Material Aktual 
(%)]]=0,"Belum PO = 0%"))))</f>
        <v>Proses PO &gt; 100%</v>
      </c>
      <c r="EI41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4" s="331">
        <v>46027</v>
      </c>
      <c r="EK414" s="331">
        <v>46178</v>
      </c>
      <c r="EL414" s="331">
        <v>46103</v>
      </c>
      <c r="EM414" s="331">
        <v>46183</v>
      </c>
      <c r="EN414" s="331"/>
      <c r="EO414" s="332">
        <v>6</v>
      </c>
      <c r="EP414" s="332">
        <v>6</v>
      </c>
      <c r="EQ414" s="337">
        <v>0.5</v>
      </c>
      <c r="ER414" s="337">
        <f>Table1[[#This Row],[Line MOS (kolom bantu)]]/Table1[[#This Row],[Line PR]]</f>
        <v>0.5</v>
      </c>
      <c r="ES414" s="316" t="str">
        <f>IF(Table1[[#This Row],[Progres MOS]]&gt;=100%,"Selesai MOS = 100%",IF(Table1[[#This Row],[Progres MOS]]&gt;=50%,"Proses MOS &gt; 100%",IF(Table1[[#This Row],[Progres MOS]]&gt;0%,"Proses MOS &gt; 50%",IF(Table1[[#This Row],[Progres MOS]]=0,"Belum MOS = 0%"))))</f>
        <v>Proses MOS &gt; 100%</v>
      </c>
      <c r="ET41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4" s="47"/>
      <c r="EV414" s="331">
        <v>45985</v>
      </c>
      <c r="EW414" s="331">
        <v>46156</v>
      </c>
      <c r="EX414" s="331">
        <v>46075</v>
      </c>
      <c r="EY414" s="331">
        <v>46186</v>
      </c>
      <c r="EZ414" s="352" t="s">
        <v>259</v>
      </c>
      <c r="FA414" s="409" t="s">
        <v>259</v>
      </c>
      <c r="FB414" s="331"/>
      <c r="FC414" s="330">
        <v>45979</v>
      </c>
      <c r="FD414" s="331" t="s">
        <v>260</v>
      </c>
      <c r="FE414" s="331"/>
      <c r="FF414" s="331"/>
      <c r="FG414" s="331"/>
      <c r="FH414" s="331"/>
      <c r="FI414" s="331"/>
      <c r="FJ414" s="331"/>
      <c r="FK414" s="331"/>
      <c r="FL414" s="352" t="s">
        <v>2806</v>
      </c>
      <c r="FM414" s="352"/>
      <c r="FN414" s="338" t="str">
        <f>IF(Table1[[#This Row],[Tanggal Pengajuan Dokumen]]="","",Table1[[#This Row],[PLAN PERMIT
start]]-Table1[[#This Row],[Tanggal Pengajuan Dokumen]])</f>
        <v/>
      </c>
      <c r="FO414" s="352"/>
      <c r="FP414" s="316"/>
      <c r="FQ414" s="338"/>
      <c r="FR414" s="331"/>
      <c r="FS414" s="338"/>
      <c r="FT41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4" s="344">
        <f ca="1">IF(Table1[[#This Row],[Status Izin]]="Selesai",Table1[[#This Row],[PLAN PERMIT
finish]]-Table1[[#This Row],[Tanggal Terbit/ Target Izin Terbit]],ROUNDUP(Table1[[#This Row],[PLAN PERMIT
finish]]-NOW(),0))</f>
        <v>-116</v>
      </c>
      <c r="FV41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4" s="344"/>
      <c r="FX414" s="47"/>
      <c r="FY414" s="513">
        <v>46034</v>
      </c>
      <c r="FZ414" s="513">
        <v>46050</v>
      </c>
      <c r="GA41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4" s="331">
        <v>46048</v>
      </c>
      <c r="GC414" s="352">
        <v>46112</v>
      </c>
      <c r="GD41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4" s="331">
        <v>46055</v>
      </c>
      <c r="GF414" s="352">
        <v>46112</v>
      </c>
      <c r="GG41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4" s="331">
        <v>46062</v>
      </c>
      <c r="GI414" s="331">
        <v>46068</v>
      </c>
      <c r="GJ414" s="352">
        <v>46126</v>
      </c>
      <c r="GK41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4" s="331">
        <v>46076</v>
      </c>
      <c r="GM414" s="331">
        <v>46193</v>
      </c>
      <c r="GN414" s="331">
        <v>46103</v>
      </c>
      <c r="GO414" s="330">
        <v>46241</v>
      </c>
      <c r="GP414" s="316"/>
      <c r="GQ41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4" s="331"/>
      <c r="GS414" s="331"/>
      <c r="GT414" s="354"/>
      <c r="GU414" s="344" t="str">
        <f>IF(Table1[[#This Row],[Hydro Tes Actual
(tanggal)]]&lt;&gt;"","Sudah","Belum")</f>
        <v>Belum</v>
      </c>
      <c r="GV414" s="330"/>
      <c r="GW414" s="330"/>
      <c r="GX414" s="331"/>
      <c r="GY414" s="344" t="str">
        <f>IF(Table1[[#This Row],[Interkoneksi Actual
(tanggal)]]&lt;&gt;"","Sudah","Belum")</f>
        <v>Belum</v>
      </c>
      <c r="GZ414" s="330"/>
      <c r="HA414" s="330"/>
      <c r="HB414" s="331"/>
      <c r="HC414" s="344" t="str">
        <f>IF(Table1[[#This Row],[Flushing Actual
(tanggal)]]&lt;&gt;"","Sudah","Belum")</f>
        <v>Belum</v>
      </c>
      <c r="HD414" s="331">
        <v>46106</v>
      </c>
      <c r="HE414" s="331">
        <v>46242</v>
      </c>
      <c r="HF414" s="331">
        <v>46111</v>
      </c>
      <c r="HG414" s="352"/>
      <c r="HH41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4" s="330"/>
      <c r="HJ414" s="330"/>
      <c r="HK414" s="331"/>
      <c r="HL414" s="331"/>
      <c r="HM414" s="331">
        <v>46128</v>
      </c>
      <c r="HN414" s="331">
        <v>46128</v>
      </c>
      <c r="HO414" s="330">
        <v>46259</v>
      </c>
      <c r="HP414" s="331"/>
      <c r="HQ41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14" s="331">
        <v>46136</v>
      </c>
      <c r="HS414" s="331"/>
      <c r="HT414" s="331">
        <v>46136</v>
      </c>
      <c r="HU414" s="420"/>
      <c r="HV414" s="395"/>
      <c r="HW414"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14" s="47"/>
      <c r="HY414" s="352"/>
      <c r="HZ414" s="352"/>
      <c r="IA414" s="72"/>
      <c r="IB414" s="618">
        <f>IFERROR(ROUND((Table1[[#This Row],[PLAN TC
finish]]-Table1[[#This Row],[PLAN MC-0
start]])/30,2),"")</f>
        <v>1.63</v>
      </c>
      <c r="IC414">
        <f>DATEDIF(Table1[[#This Row],[PLAN MC-0
start]],Table1[[#This Row],[PLAN TC
finish]],"m")</f>
        <v>1</v>
      </c>
      <c r="ID414" s="6"/>
      <c r="IE414" s="6"/>
      <c r="IF414" s="72"/>
      <c r="IH414" s="6"/>
      <c r="II414" s="4"/>
      <c r="IJ414" s="4"/>
      <c r="IK414" s="6"/>
      <c r="IL414" s="6"/>
      <c r="IM414" s="6"/>
      <c r="IN414" s="6"/>
      <c r="IO414" s="6"/>
      <c r="IQ414" s="6"/>
      <c r="IR414" s="6"/>
      <c r="IS414" s="6"/>
      <c r="IT414" s="6"/>
      <c r="IW414" s="6"/>
      <c r="IX414" s="6"/>
      <c r="IZ414" s="6"/>
      <c r="JA414" s="6"/>
    </row>
    <row r="415" spans="1:261" ht="15" hidden="1" customHeight="1" x14ac:dyDescent="0.2">
      <c r="B415" s="311">
        <f>SUBTOTAL(3,$D$5:D415)</f>
        <v>84</v>
      </c>
      <c r="C415" s="316">
        <v>411</v>
      </c>
      <c r="D415" s="315" t="s">
        <v>673</v>
      </c>
      <c r="E415" s="338" t="s">
        <v>3266</v>
      </c>
      <c r="F415" s="338" t="s">
        <v>3267</v>
      </c>
      <c r="G415" s="349">
        <v>46300</v>
      </c>
      <c r="H415" s="338" t="s">
        <v>681</v>
      </c>
      <c r="I415" s="338" t="s">
        <v>278</v>
      </c>
      <c r="J415" s="480"/>
      <c r="K415" s="338"/>
      <c r="L415" s="316"/>
      <c r="M415" s="479" t="s">
        <v>269</v>
      </c>
      <c r="N415" s="507">
        <v>936</v>
      </c>
      <c r="O415" s="31" t="s">
        <v>252</v>
      </c>
      <c r="P41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5" s="35">
        <v>1.0000000000000002</v>
      </c>
      <c r="S415" s="327">
        <v>1.0000000000000002</v>
      </c>
      <c r="T415" s="152">
        <f>Table1[[#This Row],[Progres Total Aktual
(%)]]</f>
        <v>8.3643828111728685E-2</v>
      </c>
      <c r="U415" s="121">
        <f>Table1[[#This Row],[Progres Aktual
(%)]]-Table1[[#This Row],[Target Progres
(%)]]</f>
        <v>-0.91635617188827156</v>
      </c>
      <c r="V415" s="80">
        <v>944</v>
      </c>
      <c r="W415" s="80">
        <f>Table1[[#This Row],[Total Panjang Pipa Aktual
(Sum-&gt;)3]]</f>
        <v>0</v>
      </c>
      <c r="X415" s="117"/>
      <c r="Y415" s="67" t="s">
        <v>3268</v>
      </c>
      <c r="Z415" s="67">
        <v>1093554684</v>
      </c>
      <c r="AA415" s="509">
        <f>ROUND((Table1[[#This Row],[Nilai RAB Jaringan
(Exclude Ppn)]]-Table1[[#This Row],[RAB Perizinan]])*1.11+Table1[[#This Row],[RAB Perizinan]],0)</f>
        <v>1093554683</v>
      </c>
      <c r="AB415" s="483">
        <f>SUM(Table1[[#This Row],[RAB Kegiatan Umum]:[RAB Perizinan]])</f>
        <v>986111967</v>
      </c>
      <c r="AC415" s="537">
        <v>62330763</v>
      </c>
      <c r="AD415" s="537">
        <v>623307628</v>
      </c>
      <c r="AE415" s="537">
        <v>291113576</v>
      </c>
      <c r="AF415" s="537">
        <v>9360000</v>
      </c>
      <c r="AG415" s="534"/>
      <c r="AH415" s="510">
        <f>SUM(Table1[[#This Row],[Bobot Keg Umum]:[Bobot Perizinan]])</f>
        <v>1</v>
      </c>
      <c r="AI415" s="510">
        <f>Table1[[#This Row],[RAB Kegiatan Umum]]/Table1[[#This Row],[Nilai RAB Jaringan
(Exclude Ppn)]]</f>
        <v>6.3208606208913401E-2</v>
      </c>
      <c r="AJ415" s="510">
        <f>Table1[[#This Row],[RAB Pemasangan]]/Table1[[#This Row],[Nilai RAB Jaringan
(Exclude Ppn)]]</f>
        <v>0.63208606006096668</v>
      </c>
      <c r="AK415" s="129">
        <f>Table1[[#This Row],[RAB Pengadaan]]/Table1[[#This Row],[Nilai RAB Jaringan
(Exclude Ppn)]]</f>
        <v>0.29521351098257181</v>
      </c>
      <c r="AL415" s="130">
        <f>Table1[[#This Row],[RAB Perizinan]]/Table1[[#This Row],[Nilai RAB Jaringan
(Exclude Ppn)]]</f>
        <v>9.4918227475480985E-3</v>
      </c>
      <c r="AM415" s="47"/>
      <c r="AN415" s="285"/>
      <c r="AO415" s="285">
        <f>SUM(Table1[[#This Row],[Pipa 63 mm]:[Pipa 1,800 mm]])</f>
        <v>944</v>
      </c>
      <c r="AP415" s="285">
        <v>908</v>
      </c>
      <c r="AQ415" s="285">
        <v>36</v>
      </c>
      <c r="AR415" s="285"/>
      <c r="AS415" s="285"/>
      <c r="AT415" s="285"/>
      <c r="AU415" s="285"/>
      <c r="AV415" s="285"/>
      <c r="AW415" s="285"/>
      <c r="AX415" s="285"/>
      <c r="AY415" s="285"/>
      <c r="AZ415" s="285"/>
      <c r="BA415" s="285"/>
      <c r="BB415" s="285"/>
      <c r="BC415" s="285"/>
      <c r="BD415" s="285"/>
      <c r="BE415" s="285"/>
      <c r="BF415" s="285"/>
      <c r="BG415" s="285"/>
      <c r="BH415" s="285"/>
      <c r="BI415" s="285"/>
      <c r="BJ415" s="36">
        <f>SUM(Table1[[#This Row],[Pipa 63 mm2]:[Pipa 1,800 mm21]])</f>
        <v>0</v>
      </c>
      <c r="BK415" s="32"/>
      <c r="BL415" s="32"/>
      <c r="BM415" s="32"/>
      <c r="BN415" s="32"/>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32">
        <f>IF((Table1[[#This Row],["Volume
BA MC-0"]]-Table1[[#This Row],[Total Panjang Pipa Aktual
(Sum-&gt;)3]]-Table1[[#This Row],[Total Volume
tidak dapat dipasang]])&gt;=0,Table1[[#This Row],["Volume
BA MC-0"]]-Table1[[#This Row],[Total Panjang Pipa Aktual
(Sum-&gt;)3]]-Table1[[#This Row],[Total Volume
tidak dapat dipasang]],0)</f>
        <v>0</v>
      </c>
      <c r="CK415" s="47"/>
      <c r="CL415" s="131"/>
      <c r="CM415" s="337"/>
      <c r="CN415" s="131"/>
      <c r="CO415" s="131"/>
      <c r="CP41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8.3643828111728685E-2</v>
      </c>
      <c r="CQ415" s="436">
        <f>IFERROR(Table1[[#This Row],[Progres Keg. Umum
(%)]]*Table1[[#This Row],[Nilai RAB Jaringan
(file pa aji)]],0)</f>
        <v>0</v>
      </c>
      <c r="CR415" s="436">
        <f>IFERROR(Table1[[#This Row],[Progres MOS
(%)]]*Table1[[#This Row],[Nilai RAB Jaringan
(file pa aji)]],0)</f>
        <v>0</v>
      </c>
      <c r="CS415" s="436">
        <f>IFERROR(Table1[[#This Row],[Progres Pemasangan
(%)]]*Table1[[#This Row],[Nilai RAB Jaringan
(file pa aji)]],0)</f>
        <v>0</v>
      </c>
      <c r="CT415" s="436">
        <f>IFERROR(Table1[[#This Row],[Progres Perizinan
(%)]]*Table1[[#This Row],[Nilai RAB Jaringan
(file pa aji)]],0)</f>
        <v>0</v>
      </c>
      <c r="CU415" s="329">
        <v>0</v>
      </c>
      <c r="CV415" s="329">
        <v>0</v>
      </c>
      <c r="CW415" s="511">
        <v>0</v>
      </c>
      <c r="CX415" s="329">
        <v>0</v>
      </c>
      <c r="CY415" s="47"/>
      <c r="CZ415" s="331">
        <v>45992</v>
      </c>
      <c r="DA415" s="331">
        <v>46019</v>
      </c>
      <c r="DB415" s="331">
        <v>45974</v>
      </c>
      <c r="DC415" s="316" t="s">
        <v>3269</v>
      </c>
      <c r="DD415" s="508">
        <v>1093554683.3699999</v>
      </c>
      <c r="DE41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5" s="331">
        <v>46049</v>
      </c>
      <c r="DG415" s="316" t="s">
        <v>3270</v>
      </c>
      <c r="DH415" s="508">
        <v>1093554683.3699999</v>
      </c>
      <c r="DI41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15" s="331">
        <v>46020</v>
      </c>
      <c r="DK415" s="331">
        <v>46082</v>
      </c>
      <c r="DL415" s="331">
        <v>46058</v>
      </c>
      <c r="DM415" s="316" t="s">
        <v>3271</v>
      </c>
      <c r="DN41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5" s="331">
        <v>46085</v>
      </c>
      <c r="DP415" s="316"/>
      <c r="DQ415" s="338" t="s">
        <v>275</v>
      </c>
      <c r="DR41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5" s="331">
        <v>46020</v>
      </c>
      <c r="DT415" s="331">
        <v>46164</v>
      </c>
      <c r="DU415" s="331">
        <v>46061</v>
      </c>
      <c r="DV415" s="331">
        <v>46178</v>
      </c>
      <c r="DW415" s="331">
        <v>46059</v>
      </c>
      <c r="DX415" t="s">
        <v>3272</v>
      </c>
      <c r="DY415" s="334">
        <v>36</v>
      </c>
      <c r="DZ415" s="334">
        <v>36</v>
      </c>
      <c r="EA41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5" s="331"/>
      <c r="EC415" s="332">
        <v>34</v>
      </c>
      <c r="ED415" s="332">
        <v>34</v>
      </c>
      <c r="EE415" s="118"/>
      <c r="EF415" s="337">
        <v>0.94444444444444442</v>
      </c>
      <c r="EG415" s="337">
        <f>Table1[[#This Row],[Line PO]]/Table1[[#This Row],[Line PR]]</f>
        <v>0.94444444444444442</v>
      </c>
      <c r="EH415" s="316" t="str">
        <f>IF(Table1[[#This Row],[PO Material Aktual 
(%)]]&gt;=100%,"Selesai PO = 100%",IF(Table1[[#This Row],[PO Material Aktual 
(%)]]&gt;=50%,"Proses PO &gt; 100%",IF(Table1[[#This Row],[PO Material Aktual 
(%)]]&gt;0%,"Proses PO &gt; 50%",IF(Table1[[#This Row],[PO Material Aktual 
(%)]]=0,"Belum PO = 0%"))))</f>
        <v>Proses PO &gt; 100%</v>
      </c>
      <c r="EI41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5" s="331">
        <v>46062</v>
      </c>
      <c r="EK415" s="331">
        <v>46178</v>
      </c>
      <c r="EL415" s="331">
        <v>46131</v>
      </c>
      <c r="EM415" s="331">
        <v>46183</v>
      </c>
      <c r="EN415" s="331"/>
      <c r="EO415" s="332">
        <v>17</v>
      </c>
      <c r="EP415" s="332">
        <v>17</v>
      </c>
      <c r="EQ415" s="337">
        <v>0.47222222222222221</v>
      </c>
      <c r="ER415" s="337">
        <f>Table1[[#This Row],[Line MOS (kolom bantu)]]/Table1[[#This Row],[Line PR]]</f>
        <v>0.47222222222222221</v>
      </c>
      <c r="ES415" s="316" t="str">
        <f>IF(Table1[[#This Row],[Progres MOS]]&gt;=100%,"Selesai MOS = 100%",IF(Table1[[#This Row],[Progres MOS]]&gt;=50%,"Proses MOS &gt; 100%",IF(Table1[[#This Row],[Progres MOS]]&gt;0%,"Proses MOS &gt; 50%",IF(Table1[[#This Row],[Progres MOS]]=0,"Belum MOS = 0%"))))</f>
        <v>Proses MOS &gt; 50%</v>
      </c>
      <c r="ET41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5" s="47"/>
      <c r="EV415" s="331">
        <v>46020</v>
      </c>
      <c r="EW415" s="331">
        <v>46156</v>
      </c>
      <c r="EX415" s="331">
        <v>46110</v>
      </c>
      <c r="EY415" s="331">
        <v>46186</v>
      </c>
      <c r="EZ415" s="352" t="s">
        <v>2748</v>
      </c>
      <c r="FA415" s="409" t="s">
        <v>2748</v>
      </c>
      <c r="FB415" s="331" t="e">
        <v>#N/A</v>
      </c>
      <c r="FC415" s="330" t="e">
        <v>#N/A</v>
      </c>
      <c r="FD415" s="331" t="e">
        <v>#N/A</v>
      </c>
      <c r="FE415" s="331" t="e">
        <v>#N/A</v>
      </c>
      <c r="FF415" s="331" t="e">
        <v>#N/A</v>
      </c>
      <c r="FG415" s="331" t="e">
        <v>#N/A</v>
      </c>
      <c r="FH415" s="331" t="e">
        <v>#N/A</v>
      </c>
      <c r="FI415" s="331" t="e">
        <v>#N/A</v>
      </c>
      <c r="FJ415" s="331" t="e">
        <v>#N/A</v>
      </c>
      <c r="FK415" s="331" t="e">
        <v>#N/A</v>
      </c>
      <c r="FL415" s="352" t="s">
        <v>2759</v>
      </c>
      <c r="FM415" s="352"/>
      <c r="FN415" s="338" t="str">
        <f>IF(Table1[[#This Row],[Tanggal Pengajuan Dokumen]]="","",Table1[[#This Row],[PLAN PERMIT
start]]-Table1[[#This Row],[Tanggal Pengajuan Dokumen]])</f>
        <v/>
      </c>
      <c r="FO415" s="352"/>
      <c r="FP415" s="316"/>
      <c r="FQ415" s="338"/>
      <c r="FR415" s="331"/>
      <c r="FS415" s="338"/>
      <c r="FT41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5" s="344">
        <f ca="1">IF(Table1[[#This Row],[Status Izin]]="Selesai",Table1[[#This Row],[PLAN PERMIT
finish]]-Table1[[#This Row],[Tanggal Terbit/ Target Izin Terbit]],ROUNDUP(Table1[[#This Row],[PLAN PERMIT
finish]]-NOW(),0))</f>
        <v>-81</v>
      </c>
      <c r="FV41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5" s="344"/>
      <c r="FX415" s="47"/>
      <c r="FY415" s="513">
        <v>46069</v>
      </c>
      <c r="FZ415" s="513">
        <v>46050</v>
      </c>
      <c r="GA41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5" s="331">
        <v>46083</v>
      </c>
      <c r="GC415" s="352">
        <v>46113</v>
      </c>
      <c r="GD41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5" s="331">
        <v>46090</v>
      </c>
      <c r="GF415" s="352">
        <v>46113</v>
      </c>
      <c r="GG41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5" s="331">
        <v>46097</v>
      </c>
      <c r="GI415" s="331">
        <v>46103</v>
      </c>
      <c r="GJ415" s="352">
        <v>46129</v>
      </c>
      <c r="GK41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5" s="331">
        <v>46111</v>
      </c>
      <c r="GM415" s="331">
        <v>46193</v>
      </c>
      <c r="GN415" s="331">
        <v>46138</v>
      </c>
      <c r="GO415" s="330">
        <v>46241</v>
      </c>
      <c r="GP415" s="316"/>
      <c r="GQ41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5" s="331"/>
      <c r="GS415" s="331"/>
      <c r="GT415" s="354"/>
      <c r="GU415" s="344" t="str">
        <f>IF(Table1[[#This Row],[Hydro Tes Actual
(tanggal)]]&lt;&gt;"","Sudah","Belum")</f>
        <v>Belum</v>
      </c>
      <c r="GV415" s="330"/>
      <c r="GW415" s="330"/>
      <c r="GX415" s="331"/>
      <c r="GY415" s="344" t="str">
        <f>IF(Table1[[#This Row],[Interkoneksi Actual
(tanggal)]]&lt;&gt;"","Sudah","Belum")</f>
        <v>Belum</v>
      </c>
      <c r="GZ415" s="330"/>
      <c r="HA415" s="330"/>
      <c r="HB415" s="331"/>
      <c r="HC415" s="344" t="str">
        <f>IF(Table1[[#This Row],[Flushing Actual
(tanggal)]]&lt;&gt;"","Sudah","Belum")</f>
        <v>Belum</v>
      </c>
      <c r="HD415" s="331">
        <v>46141</v>
      </c>
      <c r="HE415" s="331">
        <v>46242</v>
      </c>
      <c r="HF415" s="331">
        <v>46146</v>
      </c>
      <c r="HG415" s="352"/>
      <c r="HH41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5" s="330"/>
      <c r="HJ415" s="330"/>
      <c r="HK415" s="331"/>
      <c r="HL415" s="331"/>
      <c r="HM415" s="331">
        <v>46163</v>
      </c>
      <c r="HN415" s="331">
        <v>46163</v>
      </c>
      <c r="HO415" s="330">
        <v>46259</v>
      </c>
      <c r="HP415" s="331"/>
      <c r="HQ41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15" s="331">
        <v>46171</v>
      </c>
      <c r="HS415" s="331"/>
      <c r="HT415" s="331">
        <v>46171</v>
      </c>
      <c r="HU415" s="420"/>
      <c r="HV415" s="395"/>
      <c r="HW41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15" s="47"/>
      <c r="HY415" s="352"/>
      <c r="HZ415" s="352"/>
      <c r="IA415" s="72"/>
      <c r="IB415" s="618">
        <f>IFERROR(ROUND((Table1[[#This Row],[PLAN TC
finish]]-Table1[[#This Row],[PLAN MC-0
start]])/30,2),"")</f>
        <v>1.63</v>
      </c>
      <c r="IC415">
        <f>DATEDIF(Table1[[#This Row],[PLAN MC-0
start]],Table1[[#This Row],[PLAN TC
finish]],"m")</f>
        <v>1</v>
      </c>
      <c r="ID415" s="6"/>
      <c r="IE415" s="6"/>
      <c r="IF415" s="72"/>
      <c r="IH415" s="6"/>
      <c r="II415" s="4"/>
      <c r="IJ415" s="4"/>
      <c r="IK415" s="6"/>
      <c r="IL415" s="6"/>
      <c r="IM415" s="6"/>
      <c r="IN415" s="6"/>
      <c r="IO415" s="6"/>
      <c r="IQ415" s="6"/>
      <c r="IR415" s="6"/>
      <c r="IS415" s="6"/>
      <c r="IT415" s="6"/>
      <c r="IW415" s="6"/>
      <c r="IX415" s="6"/>
      <c r="IZ415" s="6"/>
      <c r="JA415" s="6"/>
    </row>
    <row r="416" spans="1:261" ht="15" hidden="1" customHeight="1" x14ac:dyDescent="0.2">
      <c r="B416" s="311">
        <f>SUBTOTAL(3,$D$5:D416)</f>
        <v>84</v>
      </c>
      <c r="C416" s="316">
        <v>412</v>
      </c>
      <c r="D416" s="315" t="s">
        <v>673</v>
      </c>
      <c r="E416" s="338" t="s">
        <v>3273</v>
      </c>
      <c r="F416" s="338" t="s">
        <v>3274</v>
      </c>
      <c r="G416" s="349">
        <v>46300</v>
      </c>
      <c r="H416" s="338" t="s">
        <v>681</v>
      </c>
      <c r="I416" s="338" t="s">
        <v>278</v>
      </c>
      <c r="J416" s="480"/>
      <c r="K416" s="338"/>
      <c r="L416" s="316"/>
      <c r="M416" s="479" t="s">
        <v>269</v>
      </c>
      <c r="N416" s="507">
        <v>120</v>
      </c>
      <c r="O416" s="31" t="s">
        <v>252</v>
      </c>
      <c r="P41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6" s="35">
        <v>1</v>
      </c>
      <c r="S416" s="327">
        <v>1</v>
      </c>
      <c r="T416" s="152">
        <f>Table1[[#This Row],[Progres Total Aktual
(%)]]</f>
        <v>5.7263566708738917E-2</v>
      </c>
      <c r="U416" s="121">
        <f>Table1[[#This Row],[Progres Aktual
(%)]]-Table1[[#This Row],[Target Progres
(%)]]</f>
        <v>-0.94273643329126111</v>
      </c>
      <c r="V416" s="80">
        <v>120</v>
      </c>
      <c r="W416" s="80">
        <f>Table1[[#This Row],[Total Panjang Pipa Aktual
(Sum-&gt;)3]]</f>
        <v>0</v>
      </c>
      <c r="X416" s="117"/>
      <c r="Y416" s="67" t="s">
        <v>3275</v>
      </c>
      <c r="Z416" s="67">
        <v>137246829</v>
      </c>
      <c r="AA416" s="509">
        <f>ROUND((Table1[[#This Row],[Nilai RAB Jaringan
(Exclude Ppn)]]-Table1[[#This Row],[RAB Perizinan]])*1.11+Table1[[#This Row],[RAB Perizinan]],0)</f>
        <v>137246828</v>
      </c>
      <c r="AB416" s="483">
        <f>SUM(Table1[[#This Row],[RAB Kegiatan Umum]:[RAB Perizinan]])</f>
        <v>123764710</v>
      </c>
      <c r="AC416" s="537">
        <v>8779844</v>
      </c>
      <c r="AD416" s="537">
        <v>87798434</v>
      </c>
      <c r="AE416" s="537">
        <v>25986432</v>
      </c>
      <c r="AF416" s="537">
        <v>1200000</v>
      </c>
      <c r="AG416" s="534"/>
      <c r="AH416" s="510">
        <f>SUM(Table1[[#This Row],[Bobot Keg Umum]:[Bobot Perizinan]])</f>
        <v>0.99999999999999989</v>
      </c>
      <c r="AI416" s="510">
        <f>Table1[[#This Row],[RAB Kegiatan Umum]]/Table1[[#This Row],[Nilai RAB Jaringan
(Exclude Ppn)]]</f>
        <v>7.0939801822344994E-2</v>
      </c>
      <c r="AJ416" s="510">
        <f>Table1[[#This Row],[RAB Pemasangan]]/Table1[[#This Row],[Nilai RAB Jaringan
(Exclude Ppn)]]</f>
        <v>0.70939796974436409</v>
      </c>
      <c r="AK416" s="129">
        <f>Table1[[#This Row],[RAB Pengadaan]]/Table1[[#This Row],[Nilai RAB Jaringan
(Exclude Ppn)]]</f>
        <v>0.20996641126537605</v>
      </c>
      <c r="AL416" s="130">
        <f>Table1[[#This Row],[RAB Perizinan]]/Table1[[#This Row],[Nilai RAB Jaringan
(Exclude Ppn)]]</f>
        <v>9.6958171679148285E-3</v>
      </c>
      <c r="AM416" s="47"/>
      <c r="AN416" s="285"/>
      <c r="AO416" s="285">
        <f>SUM(Table1[[#This Row],[Pipa 63 mm]:[Pipa 1,800 mm]])</f>
        <v>120</v>
      </c>
      <c r="AP416" s="285">
        <v>120</v>
      </c>
      <c r="AQ416" s="285"/>
      <c r="AR416" s="285"/>
      <c r="AS416" s="285"/>
      <c r="AT416" s="285"/>
      <c r="AU416" s="285"/>
      <c r="AV416" s="285"/>
      <c r="AW416" s="285"/>
      <c r="AX416" s="285"/>
      <c r="AY416" s="285"/>
      <c r="AZ416" s="285"/>
      <c r="BA416" s="285"/>
      <c r="BB416" s="285"/>
      <c r="BC416" s="285"/>
      <c r="BD416" s="285"/>
      <c r="BE416" s="285"/>
      <c r="BF416" s="285"/>
      <c r="BG416" s="285"/>
      <c r="BH416" s="285"/>
      <c r="BI416" s="285"/>
      <c r="BJ416" s="36">
        <f>SUM(Table1[[#This Row],[Pipa 63 mm2]:[Pipa 1,800 mm21]])</f>
        <v>0</v>
      </c>
      <c r="BK416" s="32"/>
      <c r="BL416" s="32"/>
      <c r="BM416" s="32"/>
      <c r="BN416" s="32"/>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32">
        <f>IF((Table1[[#This Row],["Volume
BA MC-0"]]-Table1[[#This Row],[Total Panjang Pipa Aktual
(Sum-&gt;)3]]-Table1[[#This Row],[Total Volume
tidak dapat dipasang]])&gt;=0,Table1[[#This Row],["Volume
BA MC-0"]]-Table1[[#This Row],[Total Panjang Pipa Aktual
(Sum-&gt;)3]]-Table1[[#This Row],[Total Volume
tidak dapat dipasang]],0)</f>
        <v>0</v>
      </c>
      <c r="CK416" s="47"/>
      <c r="CL416" s="131"/>
      <c r="CM416" s="337"/>
      <c r="CN416" s="131"/>
      <c r="CO416" s="131"/>
      <c r="CP41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5.7263566708738917E-2</v>
      </c>
      <c r="CQ416" s="436">
        <f>IFERROR(Table1[[#This Row],[Progres Keg. Umum
(%)]]*Table1[[#This Row],[Nilai RAB Jaringan
(file pa aji)]],0)</f>
        <v>0</v>
      </c>
      <c r="CR416" s="436">
        <f>IFERROR(Table1[[#This Row],[Progres MOS
(%)]]*Table1[[#This Row],[Nilai RAB Jaringan
(file pa aji)]],0)</f>
        <v>0</v>
      </c>
      <c r="CS416" s="436">
        <f>IFERROR(Table1[[#This Row],[Progres Pemasangan
(%)]]*Table1[[#This Row],[Nilai RAB Jaringan
(file pa aji)]],0)</f>
        <v>0</v>
      </c>
      <c r="CT416" s="436">
        <f>IFERROR(Table1[[#This Row],[Progres Perizinan
(%)]]*Table1[[#This Row],[Nilai RAB Jaringan
(file pa aji)]],0)</f>
        <v>0</v>
      </c>
      <c r="CU416" s="329">
        <v>0</v>
      </c>
      <c r="CV416" s="329">
        <v>0</v>
      </c>
      <c r="CW416" s="511">
        <v>0</v>
      </c>
      <c r="CX416" s="329">
        <v>0</v>
      </c>
      <c r="CY416" s="47"/>
      <c r="CZ416" s="331">
        <v>45992</v>
      </c>
      <c r="DA416" s="331">
        <v>46019</v>
      </c>
      <c r="DB416" s="331">
        <v>45992</v>
      </c>
      <c r="DC416" s="316" t="s">
        <v>3276</v>
      </c>
      <c r="DD416" s="508">
        <v>137246828.09999999</v>
      </c>
      <c r="DE41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6" s="331">
        <v>46001</v>
      </c>
      <c r="DG416" s="316" t="s">
        <v>3277</v>
      </c>
      <c r="DH416" s="508">
        <v>136046828.09999999</v>
      </c>
      <c r="DI41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6" s="331">
        <v>46020</v>
      </c>
      <c r="DK416" s="331">
        <v>46082</v>
      </c>
      <c r="DL416" s="331">
        <v>46043</v>
      </c>
      <c r="DM416" s="316" t="s">
        <v>3278</v>
      </c>
      <c r="DN41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6" s="331">
        <v>46087</v>
      </c>
      <c r="DP416" s="334"/>
      <c r="DQ416" s="461" t="s">
        <v>762</v>
      </c>
      <c r="DR41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6" s="331">
        <v>46020</v>
      </c>
      <c r="DT416" s="331">
        <v>46164</v>
      </c>
      <c r="DU416" s="331">
        <v>46061</v>
      </c>
      <c r="DV416" s="331">
        <v>46178</v>
      </c>
      <c r="DW416" s="331">
        <v>46043</v>
      </c>
      <c r="DX416" t="s">
        <v>3279</v>
      </c>
      <c r="DY416" s="334">
        <v>11</v>
      </c>
      <c r="DZ416" s="334">
        <v>11</v>
      </c>
      <c r="EA41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6" s="331">
        <v>46129</v>
      </c>
      <c r="EC416" s="332">
        <v>11</v>
      </c>
      <c r="ED416" s="332">
        <v>11</v>
      </c>
      <c r="EE416" t="s">
        <v>3280</v>
      </c>
      <c r="EF416" s="337">
        <v>1</v>
      </c>
      <c r="EG416" s="337">
        <f>Table1[[#This Row],[Line PO]]/Table1[[#This Row],[Line PR]]</f>
        <v>1</v>
      </c>
      <c r="EH416" s="316" t="str">
        <f>IF(Table1[[#This Row],[PO Material Aktual 
(%)]]&gt;=100%,"Selesai PO = 100%",IF(Table1[[#This Row],[PO Material Aktual 
(%)]]&gt;=50%,"Proses PO &gt; 100%",IF(Table1[[#This Row],[PO Material Aktual 
(%)]]&gt;0%,"Proses PO &gt; 50%",IF(Table1[[#This Row],[PO Material Aktual 
(%)]]=0,"Belum PO = 0%"))))</f>
        <v>Selesai PO = 100%</v>
      </c>
      <c r="EI41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16" s="331">
        <v>46062</v>
      </c>
      <c r="EK416" s="331">
        <v>46178</v>
      </c>
      <c r="EL416" s="331">
        <v>46131</v>
      </c>
      <c r="EM416" s="331">
        <v>46183</v>
      </c>
      <c r="EN416" s="331"/>
      <c r="EO416" s="332">
        <v>5</v>
      </c>
      <c r="EP416" s="332">
        <v>5</v>
      </c>
      <c r="EQ416" s="337">
        <v>0.45454545454545453</v>
      </c>
      <c r="ER416" s="337">
        <f>Table1[[#This Row],[Line MOS (kolom bantu)]]/Table1[[#This Row],[Line PR]]</f>
        <v>0.45454545454545453</v>
      </c>
      <c r="ES416" s="316" t="str">
        <f>IF(Table1[[#This Row],[Progres MOS]]&gt;=100%,"Selesai MOS = 100%",IF(Table1[[#This Row],[Progres MOS]]&gt;=50%,"Proses MOS &gt; 100%",IF(Table1[[#This Row],[Progres MOS]]&gt;0%,"Proses MOS &gt; 50%",IF(Table1[[#This Row],[Progres MOS]]=0,"Belum MOS = 0%"))))</f>
        <v>Proses MOS &gt; 50%</v>
      </c>
      <c r="ET41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6" s="47"/>
      <c r="EV416" s="331">
        <v>46020</v>
      </c>
      <c r="EW416" s="331">
        <v>46156</v>
      </c>
      <c r="EX416" s="331">
        <v>46110</v>
      </c>
      <c r="EY416" s="331">
        <v>46186</v>
      </c>
      <c r="EZ416" s="352" t="s">
        <v>3281</v>
      </c>
      <c r="FA416" s="409" t="s">
        <v>3281</v>
      </c>
      <c r="FB416" s="331" t="e">
        <v>#N/A</v>
      </c>
      <c r="FC416" s="330" t="e">
        <v>#N/A</v>
      </c>
      <c r="FD416" s="331" t="e">
        <v>#N/A</v>
      </c>
      <c r="FE416" s="331" t="e">
        <v>#N/A</v>
      </c>
      <c r="FF416" s="331" t="e">
        <v>#N/A</v>
      </c>
      <c r="FG416" s="331" t="e">
        <v>#N/A</v>
      </c>
      <c r="FH416" s="331" t="e">
        <v>#N/A</v>
      </c>
      <c r="FI416" s="331" t="e">
        <v>#N/A</v>
      </c>
      <c r="FJ416" s="331" t="e">
        <v>#N/A</v>
      </c>
      <c r="FK416" s="331" t="e">
        <v>#N/A</v>
      </c>
      <c r="FL416" s="352" t="s">
        <v>2759</v>
      </c>
      <c r="FM416" s="352"/>
      <c r="FN416" s="338" t="str">
        <f>IF(Table1[[#This Row],[Tanggal Pengajuan Dokumen]]="","",Table1[[#This Row],[PLAN PERMIT
start]]-Table1[[#This Row],[Tanggal Pengajuan Dokumen]])</f>
        <v/>
      </c>
      <c r="FO416" s="352"/>
      <c r="FP416" s="316"/>
      <c r="FQ416" s="338"/>
      <c r="FR416" s="331"/>
      <c r="FS416" s="338"/>
      <c r="FT41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6" s="344">
        <f ca="1">IF(Table1[[#This Row],[Status Izin]]="Selesai",Table1[[#This Row],[PLAN PERMIT
finish]]-Table1[[#This Row],[Tanggal Terbit/ Target Izin Terbit]],ROUNDUP(Table1[[#This Row],[PLAN PERMIT
finish]]-NOW(),0))</f>
        <v>-81</v>
      </c>
      <c r="FV41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6" s="344"/>
      <c r="FX416" s="47"/>
      <c r="FY416" s="513">
        <v>46069</v>
      </c>
      <c r="FZ416" s="513">
        <v>46050</v>
      </c>
      <c r="GA41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6" s="331">
        <v>46083</v>
      </c>
      <c r="GC416" s="352">
        <v>46112</v>
      </c>
      <c r="GD41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6" s="331">
        <v>46090</v>
      </c>
      <c r="GF416" s="352">
        <v>46112</v>
      </c>
      <c r="GG41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6" s="331">
        <v>46097</v>
      </c>
      <c r="GI416" s="331">
        <v>46103</v>
      </c>
      <c r="GJ416" s="352">
        <v>46125</v>
      </c>
      <c r="GK41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6" s="331">
        <v>46111</v>
      </c>
      <c r="GM416" s="331">
        <v>46193</v>
      </c>
      <c r="GN416" s="331">
        <v>46138</v>
      </c>
      <c r="GO416" s="330">
        <v>46241</v>
      </c>
      <c r="GP416" s="316"/>
      <c r="GQ41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6" s="331"/>
      <c r="GS416" s="331"/>
      <c r="GT416" s="354"/>
      <c r="GU416" s="344" t="str">
        <f>IF(Table1[[#This Row],[Hydro Tes Actual
(tanggal)]]&lt;&gt;"","Sudah","Belum")</f>
        <v>Belum</v>
      </c>
      <c r="GV416" s="330"/>
      <c r="GW416" s="330"/>
      <c r="GX416" s="331"/>
      <c r="GY416" s="344" t="str">
        <f>IF(Table1[[#This Row],[Interkoneksi Actual
(tanggal)]]&lt;&gt;"","Sudah","Belum")</f>
        <v>Belum</v>
      </c>
      <c r="GZ416" s="330"/>
      <c r="HA416" s="330"/>
      <c r="HB416" s="331"/>
      <c r="HC416" s="344" t="str">
        <f>IF(Table1[[#This Row],[Flushing Actual
(tanggal)]]&lt;&gt;"","Sudah","Belum")</f>
        <v>Belum</v>
      </c>
      <c r="HD416" s="331">
        <v>46141</v>
      </c>
      <c r="HE416" s="331">
        <v>46242</v>
      </c>
      <c r="HF416" s="331">
        <v>46146</v>
      </c>
      <c r="HG416" s="352"/>
      <c r="HH41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6" s="330"/>
      <c r="HJ416" s="330"/>
      <c r="HK416" s="331"/>
      <c r="HL416" s="331"/>
      <c r="HM416" s="331">
        <v>46163</v>
      </c>
      <c r="HN416" s="331">
        <v>46163</v>
      </c>
      <c r="HO416" s="330">
        <v>46259</v>
      </c>
      <c r="HP416" s="331"/>
      <c r="HQ41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16" s="331">
        <v>46171</v>
      </c>
      <c r="HS416" s="331"/>
      <c r="HT416" s="331">
        <v>46171</v>
      </c>
      <c r="HU416" s="420"/>
      <c r="HV416" s="395"/>
      <c r="HW41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16" s="47"/>
      <c r="HY416" s="352"/>
      <c r="HZ416" s="352"/>
      <c r="IA416" s="72"/>
      <c r="IB416" s="618">
        <f>IFERROR(ROUND((Table1[[#This Row],[PLAN TC
finish]]-Table1[[#This Row],[PLAN MC-0
start]])/30,2),"")</f>
        <v>1.63</v>
      </c>
      <c r="IC416">
        <f>DATEDIF(Table1[[#This Row],[PLAN MC-0
start]],Table1[[#This Row],[PLAN TC
finish]],"m")</f>
        <v>1</v>
      </c>
      <c r="ID416" s="6"/>
      <c r="IE416" s="6"/>
      <c r="IF416" s="72"/>
      <c r="IH416" s="6"/>
      <c r="II416" s="4"/>
      <c r="IJ416" s="4"/>
      <c r="IK416" s="6"/>
      <c r="IL416" s="6"/>
      <c r="IM416" s="6"/>
      <c r="IN416" s="6"/>
      <c r="IO416" s="6"/>
      <c r="IQ416" s="6"/>
      <c r="IR416" s="6"/>
      <c r="IS416" s="6"/>
      <c r="IT416" s="6"/>
      <c r="IW416" s="6"/>
      <c r="IX416" s="6"/>
      <c r="IZ416" s="6"/>
      <c r="JA416" s="6"/>
    </row>
    <row r="417" spans="2:261" s="578" customFormat="1" ht="15" hidden="1" customHeight="1" x14ac:dyDescent="0.2">
      <c r="B417" s="311">
        <f>SUBTOTAL(3,$D$5:D417)</f>
        <v>84</v>
      </c>
      <c r="C417" s="316">
        <v>413</v>
      </c>
      <c r="D417" s="363" t="s">
        <v>673</v>
      </c>
      <c r="E417" s="366" t="s">
        <v>3282</v>
      </c>
      <c r="F417" s="366" t="s">
        <v>3283</v>
      </c>
      <c r="G417" s="364">
        <v>46300</v>
      </c>
      <c r="H417" s="366" t="s">
        <v>681</v>
      </c>
      <c r="I417" s="338" t="s">
        <v>278</v>
      </c>
      <c r="J417" s="539"/>
      <c r="K417" s="338"/>
      <c r="L417" s="316"/>
      <c r="M417" s="540" t="s">
        <v>269</v>
      </c>
      <c r="N417" s="541">
        <v>1037</v>
      </c>
      <c r="O417" s="369" t="s">
        <v>252</v>
      </c>
      <c r="P41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417" s="370" t="s">
        <v>389</v>
      </c>
      <c r="R417" s="35">
        <v>0.97550275320650259</v>
      </c>
      <c r="S417" s="327">
        <v>0.97550275320650259</v>
      </c>
      <c r="T417" s="542">
        <f>Table1[[#This Row],[Progres Total Aktual
(%)]]</f>
        <v>3.404228569779516E-2</v>
      </c>
      <c r="U417" s="543">
        <f>Table1[[#This Row],[Progres Aktual
(%)]]-Table1[[#This Row],[Target Progres
(%)]]</f>
        <v>-0.94146046750870749</v>
      </c>
      <c r="V417" s="491">
        <f>Table1[[#This Row],["Volume
BA MC-0"]]</f>
        <v>0</v>
      </c>
      <c r="W417" s="491">
        <f>Table1[[#This Row],[Total Panjang Pipa Aktual
(Sum-&gt;)3]]</f>
        <v>0</v>
      </c>
      <c r="X417" s="369"/>
      <c r="Y417" s="375" t="s">
        <v>3284</v>
      </c>
      <c r="Z417" s="375">
        <v>3319683131</v>
      </c>
      <c r="AA417" s="544">
        <f>ROUND((Table1[[#This Row],[Nilai RAB Jaringan
(Exclude Ppn)]]-Table1[[#This Row],[RAB Perizinan]])*1.11+Table1[[#This Row],[RAB Perizinan]],0)</f>
        <v>3319683130</v>
      </c>
      <c r="AB417" s="494">
        <f>SUM(Table1[[#This Row],[RAB Kegiatan Umum]:[RAB Perizinan]])</f>
        <v>2992426874</v>
      </c>
      <c r="AC417" s="545">
        <v>166826699</v>
      </c>
      <c r="AD417" s="439">
        <f xml:space="preserve"> 1351692943+316574047</f>
        <v>1668266990</v>
      </c>
      <c r="AE417" s="545">
        <v>1139963185</v>
      </c>
      <c r="AF417" s="545">
        <v>17370000</v>
      </c>
      <c r="AG417" s="546"/>
      <c r="AH417" s="547">
        <f>SUM(Table1[[#This Row],[Bobot Keg Umum]:[Bobot Perizinan]])</f>
        <v>1</v>
      </c>
      <c r="AI417" s="547">
        <f>Table1[[#This Row],[RAB Kegiatan Umum]]/Table1[[#This Row],[Nilai RAB Jaringan
(Exclude Ppn)]]</f>
        <v>5.5749632664206586E-2</v>
      </c>
      <c r="AJ417" s="547">
        <f>Table1[[#This Row],[RAB Pemasangan]]/Table1[[#This Row],[Nilai RAB Jaringan
(Exclude Ppn)]]</f>
        <v>0.55749632664206583</v>
      </c>
      <c r="AK417" s="548">
        <f>Table1[[#This Row],[RAB Pengadaan]]/Table1[[#This Row],[Nilai RAB Jaringan
(Exclude Ppn)]]</f>
        <v>0.3809493875705649</v>
      </c>
      <c r="AL417" s="549">
        <f>Table1[[#This Row],[RAB Perizinan]]/Table1[[#This Row],[Nilai RAB Jaringan
(Exclude Ppn)]]</f>
        <v>5.8046531231626683E-3</v>
      </c>
      <c r="AM417" s="575"/>
      <c r="AN417" s="376"/>
      <c r="AO417" s="376">
        <f>SUM(Table1[[#This Row],[Pipa 63 mm]:[Pipa 1,800 mm]])</f>
        <v>0</v>
      </c>
      <c r="AP417" s="376"/>
      <c r="AQ417" s="376"/>
      <c r="AR417" s="376"/>
      <c r="AS417" s="376"/>
      <c r="AT417" s="376"/>
      <c r="AU417" s="376"/>
      <c r="AV417" s="376"/>
      <c r="AW417" s="376"/>
      <c r="AX417" s="376"/>
      <c r="AY417" s="376"/>
      <c r="AZ417" s="376"/>
      <c r="BA417" s="376"/>
      <c r="BB417" s="376"/>
      <c r="BC417" s="376"/>
      <c r="BD417" s="376"/>
      <c r="BE417" s="376"/>
      <c r="BF417" s="376"/>
      <c r="BG417" s="376"/>
      <c r="BH417" s="376"/>
      <c r="BI417" s="376"/>
      <c r="BJ417" s="377">
        <f>SUM(Table1[[#This Row],[Pipa 63 mm2]:[Pipa 1,800 mm21]])</f>
        <v>0</v>
      </c>
      <c r="BK417" s="378"/>
      <c r="BL417" s="378"/>
      <c r="BM417" s="378"/>
      <c r="BN417" s="378"/>
      <c r="BO417" s="378"/>
      <c r="BP417" s="378"/>
      <c r="BQ417" s="378"/>
      <c r="BR417" s="378"/>
      <c r="BS417" s="378"/>
      <c r="BT417" s="378"/>
      <c r="BU417" s="378"/>
      <c r="BV417" s="378"/>
      <c r="BW417" s="378"/>
      <c r="BX417" s="378"/>
      <c r="BY417" s="378"/>
      <c r="BZ417" s="378"/>
      <c r="CA417" s="378"/>
      <c r="CB417" s="378"/>
      <c r="CC417" s="378"/>
      <c r="CD417" s="378"/>
      <c r="CE417" s="378"/>
      <c r="CF417" s="378"/>
      <c r="CG417" s="378"/>
      <c r="CH417" s="378"/>
      <c r="CI417" s="378"/>
      <c r="CJ417" s="378">
        <f>IF((Table1[[#This Row],["Volume
BA MC-0"]]-Table1[[#This Row],[Total Panjang Pipa Aktual
(Sum-&gt;)3]]-Table1[[#This Row],[Total Volume
tidak dapat dipasang]])&gt;=0,Table1[[#This Row],["Volume
BA MC-0"]]-Table1[[#This Row],[Total Panjang Pipa Aktual
(Sum-&gt;)3]]-Table1[[#This Row],[Total Volume
tidak dapat dipasang]],0)</f>
        <v>0</v>
      </c>
      <c r="CK417" s="575"/>
      <c r="CL417" s="379"/>
      <c r="CM417" s="383"/>
      <c r="CN417" s="379"/>
      <c r="CO417" s="379"/>
      <c r="CP417" s="44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3.404228569779516E-2</v>
      </c>
      <c r="CQ417" s="439">
        <f>IFERROR(Table1[[#This Row],[Progres Keg. Umum
(%)]]*Table1[[#This Row],[Nilai RAB Jaringan
(file pa aji)]],0)</f>
        <v>0</v>
      </c>
      <c r="CR417" s="439">
        <f>IFERROR(Table1[[#This Row],[Progres MOS
(%)]]*Table1[[#This Row],[Nilai RAB Jaringan
(file pa aji)]],0)</f>
        <v>0</v>
      </c>
      <c r="CS417" s="439">
        <f>IFERROR(Table1[[#This Row],[Progres Pemasangan
(%)]]*Table1[[#This Row],[Nilai RAB Jaringan
(file pa aji)]],0)</f>
        <v>0</v>
      </c>
      <c r="CT417" s="439">
        <f>IFERROR(Table1[[#This Row],[Progres Perizinan
(%)]]*Table1[[#This Row],[Nilai RAB Jaringan
(file pa aji)]],0)</f>
        <v>0</v>
      </c>
      <c r="CU417" s="329">
        <v>0</v>
      </c>
      <c r="CV417" s="329">
        <v>0</v>
      </c>
      <c r="CW417" s="550">
        <v>0</v>
      </c>
      <c r="CX417" s="329">
        <v>0</v>
      </c>
      <c r="CY417" s="575"/>
      <c r="CZ417" s="388">
        <v>45992</v>
      </c>
      <c r="DA417" s="388">
        <v>46019</v>
      </c>
      <c r="DB417" s="388">
        <v>45992</v>
      </c>
      <c r="DC417" s="367" t="s">
        <v>3285</v>
      </c>
      <c r="DD417" s="551">
        <v>3319683130.1399999</v>
      </c>
      <c r="DE41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7" s="388">
        <v>46013</v>
      </c>
      <c r="DG417" s="367" t="s">
        <v>3286</v>
      </c>
      <c r="DH417" s="552">
        <v>3319683130.1399999</v>
      </c>
      <c r="DI417" s="36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7" s="388">
        <v>46020</v>
      </c>
      <c r="DK417" s="388">
        <v>46082</v>
      </c>
      <c r="DL417" s="388">
        <v>46043</v>
      </c>
      <c r="DM417" s="367" t="s">
        <v>3287</v>
      </c>
      <c r="DN417" s="38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7" s="388">
        <v>46087</v>
      </c>
      <c r="DP417" s="382"/>
      <c r="DQ417" s="553" t="s">
        <v>762</v>
      </c>
      <c r="DR417" s="38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7" s="388">
        <v>46020</v>
      </c>
      <c r="DT417" s="388">
        <v>0</v>
      </c>
      <c r="DU417" s="388">
        <v>46061</v>
      </c>
      <c r="DV417" s="388">
        <v>0</v>
      </c>
      <c r="DW417" s="388">
        <v>46043.76761574074</v>
      </c>
      <c r="DX417" s="367" t="s">
        <v>3287</v>
      </c>
      <c r="DY417" s="382">
        <v>47</v>
      </c>
      <c r="DZ417" s="334">
        <v>47</v>
      </c>
      <c r="EA417" s="38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7" s="388"/>
      <c r="EC417" s="442">
        <v>44</v>
      </c>
      <c r="ED417" s="442">
        <v>44</v>
      </c>
      <c r="EE417" s="554"/>
      <c r="EF417" s="383">
        <v>0.93617021276595747</v>
      </c>
      <c r="EG417" s="337">
        <f>Table1[[#This Row],[Line PO]]/Table1[[#This Row],[Line PR]]</f>
        <v>0.93617021276595747</v>
      </c>
      <c r="EH417" s="367" t="str">
        <f>IF(Table1[[#This Row],[PO Material Aktual 
(%)]]&gt;=100%,"Selesai PO = 100%",IF(Table1[[#This Row],[PO Material Aktual 
(%)]]&gt;=50%,"Proses PO &gt; 100%",IF(Table1[[#This Row],[PO Material Aktual 
(%)]]&gt;0%,"Proses PO &gt; 50%",IF(Table1[[#This Row],[PO Material Aktual 
(%)]]=0,"Belum PO = 0%"))))</f>
        <v>Proses PO &gt; 100%</v>
      </c>
      <c r="EI417" s="36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7" s="388">
        <v>46062</v>
      </c>
      <c r="EK417" s="388">
        <v>0</v>
      </c>
      <c r="EL417" s="388">
        <v>46152</v>
      </c>
      <c r="EM417" s="388">
        <v>0</v>
      </c>
      <c r="EN417" s="388"/>
      <c r="EO417" s="442">
        <v>7</v>
      </c>
      <c r="EP417" s="442">
        <v>7</v>
      </c>
      <c r="EQ417" s="383">
        <v>0.14893617021276595</v>
      </c>
      <c r="ER417" s="383">
        <f>Table1[[#This Row],[Line MOS (kolom bantu)]]/Table1[[#This Row],[Line PR]]</f>
        <v>0.14893617021276595</v>
      </c>
      <c r="ES417" s="367" t="str">
        <f>IF(Table1[[#This Row],[Progres MOS]]&gt;=100%,"Selesai MOS = 100%",IF(Table1[[#This Row],[Progres MOS]]&gt;=50%,"Proses MOS &gt; 100%",IF(Table1[[#This Row],[Progres MOS]]&gt;0%,"Proses MOS &gt; 50%",IF(Table1[[#This Row],[Progres MOS]]=0,"Belum MOS = 0%"))))</f>
        <v>Proses MOS &gt; 50%</v>
      </c>
      <c r="ET41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7" s="575"/>
      <c r="EV417" s="331">
        <v>46020</v>
      </c>
      <c r="EW417" s="331">
        <v>0</v>
      </c>
      <c r="EX417" s="331">
        <v>46110</v>
      </c>
      <c r="EY417" s="331">
        <v>0</v>
      </c>
      <c r="EZ417" s="352" t="s">
        <v>2748</v>
      </c>
      <c r="FA417" s="409" t="s">
        <v>2748</v>
      </c>
      <c r="FB417" s="331" t="e">
        <v>#N/A</v>
      </c>
      <c r="FC417" s="330" t="e">
        <v>#N/A</v>
      </c>
      <c r="FD417" s="331" t="e">
        <v>#N/A</v>
      </c>
      <c r="FE417" s="331" t="e">
        <v>#N/A</v>
      </c>
      <c r="FF417" s="331" t="e">
        <v>#N/A</v>
      </c>
      <c r="FG417" s="331" t="e">
        <v>#N/A</v>
      </c>
      <c r="FH417" s="331" t="e">
        <v>#N/A</v>
      </c>
      <c r="FI417" s="331" t="e">
        <v>#N/A</v>
      </c>
      <c r="FJ417" s="331" t="e">
        <v>#N/A</v>
      </c>
      <c r="FK417" s="331" t="e">
        <v>#N/A</v>
      </c>
      <c r="FL417" s="352" t="s">
        <v>2759</v>
      </c>
      <c r="FM417" s="352"/>
      <c r="FN417" s="338" t="str">
        <f>IF(Table1[[#This Row],[Tanggal Pengajuan Dokumen]]="","",Table1[[#This Row],[PLAN PERMIT
start]]-Table1[[#This Row],[Tanggal Pengajuan Dokumen]])</f>
        <v/>
      </c>
      <c r="FO417" s="352"/>
      <c r="FP417" s="316"/>
      <c r="FQ417" s="338"/>
      <c r="FR417" s="331"/>
      <c r="FS417" s="338"/>
      <c r="FT41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7" s="344">
        <f ca="1">IF(Table1[[#This Row],[Status Izin]]="Selesai",Table1[[#This Row],[PLAN PERMIT
finish]]-Table1[[#This Row],[Tanggal Terbit/ Target Izin Terbit]],ROUNDUP(Table1[[#This Row],[PLAN PERMIT
finish]]-NOW(),0))</f>
        <v>-81</v>
      </c>
      <c r="FV41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7" s="344"/>
      <c r="FX417" s="575"/>
      <c r="FY417" s="555">
        <v>46069</v>
      </c>
      <c r="FZ417" s="555">
        <v>46050</v>
      </c>
      <c r="GA417" s="367"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7" s="388">
        <v>46083</v>
      </c>
      <c r="GC417" s="384">
        <v>46112</v>
      </c>
      <c r="GD417" s="36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7" s="388">
        <v>46090</v>
      </c>
      <c r="GF417" s="384">
        <v>46112</v>
      </c>
      <c r="GG417" s="36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7" s="388">
        <v>46097</v>
      </c>
      <c r="GI417" s="388">
        <v>46103</v>
      </c>
      <c r="GJ417" s="384">
        <v>46125</v>
      </c>
      <c r="GK417" s="36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7" s="388">
        <v>46111</v>
      </c>
      <c r="GM417" s="388">
        <v>0</v>
      </c>
      <c r="GN417" s="388">
        <v>46166</v>
      </c>
      <c r="GO417" s="386">
        <v>0</v>
      </c>
      <c r="GP417" s="367"/>
      <c r="GQ417" s="36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7" s="388"/>
      <c r="GS417" s="388"/>
      <c r="GT417" s="390"/>
      <c r="GU417" s="387" t="str">
        <f>IF(Table1[[#This Row],[Hydro Tes Actual
(tanggal)]]&lt;&gt;"","Sudah","Belum")</f>
        <v>Belum</v>
      </c>
      <c r="GV417" s="386"/>
      <c r="GW417" s="386"/>
      <c r="GX417" s="388"/>
      <c r="GY417" s="387" t="str">
        <f>IF(Table1[[#This Row],[Interkoneksi Actual
(tanggal)]]&lt;&gt;"","Sudah","Belum")</f>
        <v>Belum</v>
      </c>
      <c r="GZ417" s="386"/>
      <c r="HA417" s="386"/>
      <c r="HB417" s="388"/>
      <c r="HC417" s="387" t="str">
        <f>IF(Table1[[#This Row],[Flushing Actual
(tanggal)]]&lt;&gt;"","Sudah","Belum")</f>
        <v>Belum</v>
      </c>
      <c r="HD417" s="388">
        <v>46169</v>
      </c>
      <c r="HE417" s="388">
        <v>0</v>
      </c>
      <c r="HF417" s="388">
        <v>46174</v>
      </c>
      <c r="HG417" s="384"/>
      <c r="HH417" s="36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7" s="386"/>
      <c r="HJ417" s="386"/>
      <c r="HK417" s="388"/>
      <c r="HL417" s="388"/>
      <c r="HM417" s="388">
        <v>46191</v>
      </c>
      <c r="HN417" s="388">
        <v>46191</v>
      </c>
      <c r="HO417" s="386">
        <v>0</v>
      </c>
      <c r="HP417" s="388"/>
      <c r="HQ417" s="392"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17" s="388">
        <v>46199</v>
      </c>
      <c r="HS417" s="388"/>
      <c r="HT417" s="388">
        <v>46199</v>
      </c>
      <c r="HU417" s="453"/>
      <c r="HV417" s="555"/>
      <c r="HW417" s="367"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17" s="575"/>
      <c r="HY417" s="352"/>
      <c r="HZ417" s="352"/>
      <c r="IA417" s="576"/>
      <c r="IB417" s="618">
        <f>IFERROR(ROUND((Table1[[#This Row],[PLAN TC
finish]]-Table1[[#This Row],[PLAN MC-0
start]])/30,2),"")</f>
        <v>2.57</v>
      </c>
      <c r="IC417">
        <f>DATEDIF(Table1[[#This Row],[PLAN MC-0
start]],Table1[[#This Row],[PLAN TC
finish]],"m")</f>
        <v>2</v>
      </c>
      <c r="IF417" s="576"/>
      <c r="IG417" s="577"/>
      <c r="II417" s="77"/>
      <c r="IJ417" s="77"/>
    </row>
    <row r="418" spans="2:261" ht="15" hidden="1" customHeight="1" x14ac:dyDescent="0.2">
      <c r="B418" s="311">
        <f>SUBTOTAL(3,$D$5:D418)</f>
        <v>84</v>
      </c>
      <c r="C418" s="316">
        <v>414</v>
      </c>
      <c r="D418" s="315" t="s">
        <v>673</v>
      </c>
      <c r="E418" s="338" t="s">
        <v>3288</v>
      </c>
      <c r="F418" s="338" t="s">
        <v>3289</v>
      </c>
      <c r="G418" s="349">
        <v>46300</v>
      </c>
      <c r="H418" s="338" t="s">
        <v>681</v>
      </c>
      <c r="I418" s="338" t="s">
        <v>278</v>
      </c>
      <c r="J418" s="480"/>
      <c r="K418" s="338"/>
      <c r="L418" s="316"/>
      <c r="M418" s="479" t="s">
        <v>269</v>
      </c>
      <c r="N418" s="507">
        <v>571</v>
      </c>
      <c r="O418" s="31" t="s">
        <v>252</v>
      </c>
      <c r="P41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18" s="35">
        <v>1</v>
      </c>
      <c r="S418" s="327">
        <v>1</v>
      </c>
      <c r="T418" s="152">
        <f>Table1[[#This Row],[Progres Total Aktual
(%)]]</f>
        <v>0.20958863388260862</v>
      </c>
      <c r="U418" s="121">
        <f>Table1[[#This Row],[Progres Aktual
(%)]]-Table1[[#This Row],[Target Progres
(%)]]</f>
        <v>-0.79041136611739138</v>
      </c>
      <c r="V418" s="80">
        <v>692</v>
      </c>
      <c r="W418" s="80">
        <f>Table1[[#This Row],[Total Panjang Pipa Aktual
(Sum-&gt;)3]]</f>
        <v>525</v>
      </c>
      <c r="X418" s="117"/>
      <c r="Y418" s="67" t="s">
        <v>3290</v>
      </c>
      <c r="Z418" s="67">
        <v>680809147</v>
      </c>
      <c r="AA418" s="509">
        <f>ROUND((Table1[[#This Row],[Nilai RAB Jaringan
(Exclude Ppn)]]-Table1[[#This Row],[RAB Perizinan]])*1.11+Table1[[#This Row],[RAB Perizinan]],0)</f>
        <v>680809146</v>
      </c>
      <c r="AB418" s="483">
        <f>SUM(Table1[[#This Row],[RAB Kegiatan Umum]:[RAB Perizinan]])</f>
        <v>613907429</v>
      </c>
      <c r="AC418" s="537">
        <v>42477312</v>
      </c>
      <c r="AD418" s="537">
        <v>424773115</v>
      </c>
      <c r="AE418" s="537">
        <v>140947002</v>
      </c>
      <c r="AF418" s="537">
        <v>5710000</v>
      </c>
      <c r="AG418" s="534"/>
      <c r="AH418" s="510">
        <f>SUM(Table1[[#This Row],[Bobot Keg Umum]:[Bobot Perizinan]])</f>
        <v>1</v>
      </c>
      <c r="AI418" s="510">
        <f>Table1[[#This Row],[RAB Kegiatan Umum]]/Table1[[#This Row],[Nilai RAB Jaringan
(Exclude Ppn)]]</f>
        <v>6.9191721737578121E-2</v>
      </c>
      <c r="AJ418" s="510">
        <f>Table1[[#This Row],[RAB Pemasangan]]/Table1[[#This Row],[Nilai RAB Jaringan
(Exclude Ppn)]]</f>
        <v>0.6919172092312309</v>
      </c>
      <c r="AK418" s="129">
        <f>Table1[[#This Row],[RAB Pengadaan]]/Table1[[#This Row],[Nilai RAB Jaringan
(Exclude Ppn)]]</f>
        <v>0.22958999246774062</v>
      </c>
      <c r="AL418" s="130">
        <f>Table1[[#This Row],[RAB Perizinan]]/Table1[[#This Row],[Nilai RAB Jaringan
(Exclude Ppn)]]</f>
        <v>9.3010765634504149E-3</v>
      </c>
      <c r="AM418" s="47"/>
      <c r="AN418" s="285"/>
      <c r="AO418" s="285">
        <f>SUM(Table1[[#This Row],[Pipa 63 mm]:[Pipa 1,800 mm]])</f>
        <v>692</v>
      </c>
      <c r="AP418" s="285">
        <v>570</v>
      </c>
      <c r="AQ418" s="285">
        <v>112</v>
      </c>
      <c r="AR418" s="285">
        <v>10</v>
      </c>
      <c r="AS418" s="285"/>
      <c r="AT418" s="285"/>
      <c r="AU418" s="285"/>
      <c r="AV418" s="285"/>
      <c r="AW418" s="285"/>
      <c r="AX418" s="285"/>
      <c r="AY418" s="285"/>
      <c r="AZ418" s="285"/>
      <c r="BA418" s="285"/>
      <c r="BB418" s="285"/>
      <c r="BC418" s="285"/>
      <c r="BD418" s="285"/>
      <c r="BE418" s="285"/>
      <c r="BF418" s="285"/>
      <c r="BG418" s="285"/>
      <c r="BH418" s="285"/>
      <c r="BI418" s="285"/>
      <c r="BJ418" s="36">
        <f>SUM(Table1[[#This Row],[Pipa 63 mm2]:[Pipa 1,800 mm21]])</f>
        <v>525</v>
      </c>
      <c r="BK418" s="32">
        <v>525</v>
      </c>
      <c r="BL418" s="32"/>
      <c r="BM418" s="32"/>
      <c r="BN418" s="32"/>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32">
        <f>IF((Table1[[#This Row],["Volume
BA MC-0"]]-Table1[[#This Row],[Total Panjang Pipa Aktual
(Sum-&gt;)3]]-Table1[[#This Row],[Total Volume
tidak dapat dipasang]])&gt;=0,Table1[[#This Row],["Volume
BA MC-0"]]-Table1[[#This Row],[Total Panjang Pipa Aktual
(Sum-&gt;)3]]-Table1[[#This Row],[Total Volume
tidak dapat dipasang]],0)</f>
        <v>0</v>
      </c>
      <c r="CK418" s="47"/>
      <c r="CL418" s="131"/>
      <c r="CM418" s="337"/>
      <c r="CN418" s="131"/>
      <c r="CO418" s="131"/>
      <c r="CP41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0.20958863388260862</v>
      </c>
      <c r="CQ418" s="436">
        <f>IFERROR(Table1[[#This Row],[Progres Keg. Umum
(%)]]*Table1[[#This Row],[Nilai RAB Jaringan
(file pa aji)]],0)</f>
        <v>0</v>
      </c>
      <c r="CR418" s="436">
        <f>IFERROR(Table1[[#This Row],[Progres MOS
(%)]]*Table1[[#This Row],[Nilai RAB Jaringan
(file pa aji)]],0)</f>
        <v>0</v>
      </c>
      <c r="CS418" s="436">
        <f>IFERROR(Table1[[#This Row],[Progres Pemasangan
(%)]]*Table1[[#This Row],[Nilai RAB Jaringan
(file pa aji)]],0)</f>
        <v>0</v>
      </c>
      <c r="CT418" s="436">
        <f>IFERROR(Table1[[#This Row],[Progres Perizinan
(%)]]*Table1[[#This Row],[Nilai RAB Jaringan
(file pa aji)]],0)</f>
        <v>0</v>
      </c>
      <c r="CU418" s="329">
        <v>142689858.84492543</v>
      </c>
      <c r="CV418" s="329">
        <v>142689858.84492543</v>
      </c>
      <c r="CW418" s="511">
        <v>0</v>
      </c>
      <c r="CX418" s="329">
        <v>0</v>
      </c>
      <c r="CY418" s="47"/>
      <c r="CZ418" s="331">
        <v>45992</v>
      </c>
      <c r="DA418" s="331">
        <v>46019</v>
      </c>
      <c r="DB418" s="331">
        <v>45979</v>
      </c>
      <c r="DC418" s="316" t="s">
        <v>3291</v>
      </c>
      <c r="DD418" s="508">
        <v>680809145</v>
      </c>
      <c r="DE41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8" s="331">
        <v>45996</v>
      </c>
      <c r="DG418" s="316" t="s">
        <v>3292</v>
      </c>
      <c r="DH418" s="508">
        <v>680809145</v>
      </c>
      <c r="DI41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8" s="331">
        <v>46020</v>
      </c>
      <c r="DK418" s="331">
        <v>46082</v>
      </c>
      <c r="DL418" s="331">
        <v>46000</v>
      </c>
      <c r="DM418" s="316" t="s">
        <v>3293</v>
      </c>
      <c r="DN41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8" s="331">
        <v>46002</v>
      </c>
      <c r="DP418" s="316" t="s">
        <v>3294</v>
      </c>
      <c r="DQ418" s="338" t="s">
        <v>365</v>
      </c>
      <c r="DR41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18" s="331">
        <v>46020</v>
      </c>
      <c r="DT418" s="331">
        <v>46164</v>
      </c>
      <c r="DU418" s="331">
        <v>46061</v>
      </c>
      <c r="DV418" s="331">
        <v>46178</v>
      </c>
      <c r="DW418" s="331">
        <v>46000</v>
      </c>
      <c r="DX418" t="s">
        <v>3295</v>
      </c>
      <c r="DY418" s="334">
        <v>29</v>
      </c>
      <c r="DZ418" s="334">
        <v>29</v>
      </c>
      <c r="EA41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8" s="331"/>
      <c r="EC418" s="332">
        <v>28</v>
      </c>
      <c r="ED418" s="332">
        <v>28</v>
      </c>
      <c r="EE418"/>
      <c r="EF418" s="337">
        <v>0.96551724137931039</v>
      </c>
      <c r="EG418" s="337">
        <f>Table1[[#This Row],[Line PO]]/Table1[[#This Row],[Line PR]]</f>
        <v>0.96551724137931039</v>
      </c>
      <c r="EH418" s="316" t="str">
        <f>IF(Table1[[#This Row],[PO Material Aktual 
(%)]]&gt;=100%,"Selesai PO = 100%",IF(Table1[[#This Row],[PO Material Aktual 
(%)]]&gt;=50%,"Proses PO &gt; 100%",IF(Table1[[#This Row],[PO Material Aktual 
(%)]]&gt;0%,"Proses PO &gt; 50%",IF(Table1[[#This Row],[PO Material Aktual 
(%)]]=0,"Belum PO = 0%"))))</f>
        <v>Proses PO &gt; 100%</v>
      </c>
      <c r="EI41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8" s="331">
        <v>46062</v>
      </c>
      <c r="EK418" s="331">
        <v>46178</v>
      </c>
      <c r="EL418" s="331">
        <v>46131</v>
      </c>
      <c r="EM418" s="331">
        <v>46183</v>
      </c>
      <c r="EN418" s="331"/>
      <c r="EO418" s="332">
        <v>28</v>
      </c>
      <c r="EP418" s="332">
        <v>28</v>
      </c>
      <c r="EQ418" s="337">
        <v>0.96551724137931039</v>
      </c>
      <c r="ER418" s="337">
        <f>Table1[[#This Row],[Line MOS (kolom bantu)]]/Table1[[#This Row],[Line PR]]</f>
        <v>0.96551724137931039</v>
      </c>
      <c r="ES418" s="316" t="str">
        <f>IF(Table1[[#This Row],[Progres MOS]]&gt;=100%,"Selesai MOS = 100%",IF(Table1[[#This Row],[Progres MOS]]&gt;=50%,"Proses MOS &gt; 100%",IF(Table1[[#This Row],[Progres MOS]]&gt;0%,"Proses MOS &gt; 50%",IF(Table1[[#This Row],[Progres MOS]]=0,"Belum MOS = 0%"))))</f>
        <v>Proses MOS &gt; 100%</v>
      </c>
      <c r="ET41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8" s="47"/>
      <c r="EV418" s="331">
        <v>46020</v>
      </c>
      <c r="EW418" s="331">
        <v>46156</v>
      </c>
      <c r="EX418" s="331">
        <v>46110</v>
      </c>
      <c r="EY418" s="331">
        <v>46186</v>
      </c>
      <c r="EZ418" s="352" t="s">
        <v>2758</v>
      </c>
      <c r="FA418" s="409" t="s">
        <v>2758</v>
      </c>
      <c r="FB418" s="331" t="e">
        <v>#N/A</v>
      </c>
      <c r="FC418" s="330" t="e">
        <v>#N/A</v>
      </c>
      <c r="FD418" s="331" t="e">
        <v>#N/A</v>
      </c>
      <c r="FE418" s="331" t="e">
        <v>#N/A</v>
      </c>
      <c r="FF418" s="331" t="e">
        <v>#N/A</v>
      </c>
      <c r="FG418" s="331" t="e">
        <v>#N/A</v>
      </c>
      <c r="FH418" s="331" t="e">
        <v>#N/A</v>
      </c>
      <c r="FI418" s="331" t="e">
        <v>#N/A</v>
      </c>
      <c r="FJ418" s="331" t="e">
        <v>#N/A</v>
      </c>
      <c r="FK418" s="331" t="e">
        <v>#N/A</v>
      </c>
      <c r="FL418" s="352" t="s">
        <v>2759</v>
      </c>
      <c r="FM418" s="352"/>
      <c r="FN418" s="338" t="str">
        <f>IF(Table1[[#This Row],[Tanggal Pengajuan Dokumen]]="","",Table1[[#This Row],[PLAN PERMIT
start]]-Table1[[#This Row],[Tanggal Pengajuan Dokumen]])</f>
        <v/>
      </c>
      <c r="FO418" s="352"/>
      <c r="FP418" s="316"/>
      <c r="FQ418" s="338"/>
      <c r="FR418" s="331"/>
      <c r="FS418" s="338"/>
      <c r="FT41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8" s="344">
        <f ca="1">IF(Table1[[#This Row],[Status Izin]]="Selesai",Table1[[#This Row],[PLAN PERMIT
finish]]-Table1[[#This Row],[Tanggal Terbit/ Target Izin Terbit]],ROUNDUP(Table1[[#This Row],[PLAN PERMIT
finish]]-NOW(),0))</f>
        <v>-81</v>
      </c>
      <c r="FV41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8" s="344"/>
      <c r="FX418" s="47"/>
      <c r="FY418" s="513">
        <v>46069</v>
      </c>
      <c r="FZ418" s="513">
        <v>46050</v>
      </c>
      <c r="GA41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8" s="331">
        <v>46083</v>
      </c>
      <c r="GC418" s="352">
        <v>46008</v>
      </c>
      <c r="GD41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18" s="331">
        <v>46090</v>
      </c>
      <c r="GF418" s="352">
        <v>46008</v>
      </c>
      <c r="GG41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18" s="331">
        <v>46097</v>
      </c>
      <c r="GI418" s="331">
        <v>46103</v>
      </c>
      <c r="GJ418" s="352">
        <v>46120</v>
      </c>
      <c r="GK41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8" s="331">
        <v>46111</v>
      </c>
      <c r="GM418" s="331">
        <v>46193</v>
      </c>
      <c r="GN418" s="331">
        <v>46138</v>
      </c>
      <c r="GO418" s="330">
        <v>46241</v>
      </c>
      <c r="GP418" s="316"/>
      <c r="GQ41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8" s="331"/>
      <c r="GS418" s="331"/>
      <c r="GT418" s="354"/>
      <c r="GU418" s="344" t="str">
        <f>IF(Table1[[#This Row],[Hydro Tes Actual
(tanggal)]]&lt;&gt;"","Sudah","Belum")</f>
        <v>Belum</v>
      </c>
      <c r="GV418" s="330"/>
      <c r="GW418" s="330"/>
      <c r="GX418" s="331"/>
      <c r="GY418" s="344" t="str">
        <f>IF(Table1[[#This Row],[Interkoneksi Actual
(tanggal)]]&lt;&gt;"","Sudah","Belum")</f>
        <v>Belum</v>
      </c>
      <c r="GZ418" s="330"/>
      <c r="HA418" s="330"/>
      <c r="HB418" s="331"/>
      <c r="HC418" s="344" t="str">
        <f>IF(Table1[[#This Row],[Flushing Actual
(tanggal)]]&lt;&gt;"","Sudah","Belum")</f>
        <v>Belum</v>
      </c>
      <c r="HD418" s="331">
        <v>46141</v>
      </c>
      <c r="HE418" s="331">
        <v>46242</v>
      </c>
      <c r="HF418" s="331">
        <v>46146</v>
      </c>
      <c r="HG418" s="352"/>
      <c r="HH41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8" s="330"/>
      <c r="HJ418" s="330"/>
      <c r="HK418" s="331"/>
      <c r="HL418" s="331"/>
      <c r="HM418" s="331">
        <v>46163</v>
      </c>
      <c r="HN418" s="331">
        <v>46163</v>
      </c>
      <c r="HO418" s="330">
        <v>46259</v>
      </c>
      <c r="HP418" s="331"/>
      <c r="HQ41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18" s="331">
        <v>46171</v>
      </c>
      <c r="HS418" s="331"/>
      <c r="HT418" s="331">
        <v>46171</v>
      </c>
      <c r="HU418" s="420"/>
      <c r="HV418" s="395"/>
      <c r="HW41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18" s="47"/>
      <c r="HY418" s="352"/>
      <c r="HZ418" s="352"/>
      <c r="IA418" s="72"/>
      <c r="IB418" s="618">
        <f>IFERROR(ROUND((Table1[[#This Row],[PLAN TC
finish]]-Table1[[#This Row],[PLAN MC-0
start]])/30,2),"")</f>
        <v>1.63</v>
      </c>
      <c r="IC418">
        <f>DATEDIF(Table1[[#This Row],[PLAN MC-0
start]],Table1[[#This Row],[PLAN TC
finish]],"m")</f>
        <v>1</v>
      </c>
      <c r="ID418" s="6"/>
      <c r="IE418" s="6"/>
      <c r="IF418" s="72"/>
      <c r="IH418" s="6"/>
      <c r="II418" s="4"/>
      <c r="IJ418" s="4"/>
      <c r="IK418" s="6"/>
      <c r="IL418" s="6"/>
      <c r="IM418" s="6"/>
      <c r="IN418" s="6"/>
      <c r="IO418" s="6"/>
      <c r="IQ418" s="6"/>
      <c r="IR418" s="6"/>
      <c r="IS418" s="6"/>
      <c r="IT418" s="6"/>
      <c r="IW418" s="6"/>
      <c r="IX418" s="6"/>
      <c r="IZ418" s="6"/>
      <c r="JA418" s="6"/>
    </row>
    <row r="419" spans="2:261" ht="15" hidden="1" customHeight="1" x14ac:dyDescent="0.2">
      <c r="B419" s="311">
        <f>SUBTOTAL(3,$D$5:D419)</f>
        <v>84</v>
      </c>
      <c r="C419" s="316">
        <v>415</v>
      </c>
      <c r="D419" s="315" t="s">
        <v>673</v>
      </c>
      <c r="E419" s="338" t="s">
        <v>3296</v>
      </c>
      <c r="F419" s="338" t="s">
        <v>3297</v>
      </c>
      <c r="G419" s="349">
        <v>46300</v>
      </c>
      <c r="H419" s="338" t="s">
        <v>681</v>
      </c>
      <c r="I419" s="338" t="s">
        <v>278</v>
      </c>
      <c r="J419" s="480"/>
      <c r="K419" s="338"/>
      <c r="L419" s="316"/>
      <c r="M419" s="355" t="s">
        <v>251</v>
      </c>
      <c r="N419" s="507">
        <v>1865</v>
      </c>
      <c r="O419" s="31" t="s">
        <v>252</v>
      </c>
      <c r="P41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1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19" s="35">
        <v>1</v>
      </c>
      <c r="S419" s="327">
        <v>1</v>
      </c>
      <c r="T419" s="152">
        <f>Table1[[#This Row],[Progres Total Aktual
(%)]]</f>
        <v>4.3210389105987596E-2</v>
      </c>
      <c r="U419" s="121">
        <f>Table1[[#This Row],[Progres Aktual
(%)]]-Table1[[#This Row],[Target Progres
(%)]]</f>
        <v>-0.95678961089401238</v>
      </c>
      <c r="V419" s="80">
        <v>1882</v>
      </c>
      <c r="W419" s="80">
        <f>Table1[[#This Row],[Total Panjang Pipa Aktual
(Sum-&gt;)3]]</f>
        <v>1436</v>
      </c>
      <c r="X419" s="117"/>
      <c r="Y419" s="67" t="s">
        <v>3298</v>
      </c>
      <c r="Z419" s="67">
        <v>2324343476</v>
      </c>
      <c r="AA419" s="509">
        <f>ROUND((Table1[[#This Row],[Nilai RAB Jaringan
(Exclude Ppn)]]-Table1[[#This Row],[RAB Perizinan]])*1.11+Table1[[#This Row],[RAB Perizinan]],0)</f>
        <v>2324343476</v>
      </c>
      <c r="AB419" s="483">
        <f>SUM(Table1[[#This Row],[RAB Kegiatan Umum]:[RAB Perizinan]])</f>
        <v>2096545023</v>
      </c>
      <c r="AC419" s="537">
        <v>163163036</v>
      </c>
      <c r="AD419" s="537">
        <v>1631630356</v>
      </c>
      <c r="AE419" s="537">
        <v>276101631</v>
      </c>
      <c r="AF419" s="537">
        <v>25650000</v>
      </c>
      <c r="AG419" s="534"/>
      <c r="AH419" s="510">
        <f>SUM(Table1[[#This Row],[Bobot Keg Umum]:[Bobot Perizinan]])</f>
        <v>1</v>
      </c>
      <c r="AI419" s="510">
        <f>Table1[[#This Row],[RAB Kegiatan Umum]]/Table1[[#This Row],[Nilai RAB Jaringan
(Exclude Ppn)]]</f>
        <v>7.7824723156446132E-2</v>
      </c>
      <c r="AJ419" s="510">
        <f>Table1[[#This Row],[RAB Pemasangan]]/Table1[[#This Row],[Nilai RAB Jaringan
(Exclude Ppn)]]</f>
        <v>0.77824722965656057</v>
      </c>
      <c r="AK419" s="129">
        <f>Table1[[#This Row],[RAB Pengadaan]]/Table1[[#This Row],[Nilai RAB Jaringan
(Exclude Ppn)]]</f>
        <v>0.13169363308254603</v>
      </c>
      <c r="AL419" s="130">
        <f>Table1[[#This Row],[RAB Perizinan]]/Table1[[#This Row],[Nilai RAB Jaringan
(Exclude Ppn)]]</f>
        <v>1.2234414104447306E-2</v>
      </c>
      <c r="AM419" s="47"/>
      <c r="AN419" s="285"/>
      <c r="AO419" s="285">
        <f>SUM(Table1[[#This Row],[Pipa 63 mm]:[Pipa 1,800 mm]])</f>
        <v>1885</v>
      </c>
      <c r="AP419" s="285">
        <v>1229</v>
      </c>
      <c r="AQ419" s="285">
        <v>223</v>
      </c>
      <c r="AR419" s="285">
        <v>433</v>
      </c>
      <c r="AS419" s="285"/>
      <c r="AT419" s="285"/>
      <c r="AU419" s="285"/>
      <c r="AV419" s="285"/>
      <c r="AW419" s="285"/>
      <c r="AX419" s="285"/>
      <c r="AY419" s="285"/>
      <c r="AZ419" s="285"/>
      <c r="BA419" s="285"/>
      <c r="BB419" s="285"/>
      <c r="BC419" s="285"/>
      <c r="BD419" s="285"/>
      <c r="BE419" s="285"/>
      <c r="BF419" s="285"/>
      <c r="BG419" s="285"/>
      <c r="BH419" s="285"/>
      <c r="BI419" s="285"/>
      <c r="BJ419" s="36">
        <f>SUM(Table1[[#This Row],[Pipa 63 mm2]:[Pipa 1,800 mm21]])</f>
        <v>1436</v>
      </c>
      <c r="BK419" s="32">
        <v>1241</v>
      </c>
      <c r="BL419" s="32">
        <v>195</v>
      </c>
      <c r="BM419" s="32"/>
      <c r="BN419" s="32"/>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32">
        <f>IF((Table1[[#This Row],["Volume
BA MC-0"]]-Table1[[#This Row],[Total Panjang Pipa Aktual
(Sum-&gt;)3]]-Table1[[#This Row],[Total Volume
tidak dapat dipasang]])&gt;=0,Table1[[#This Row],["Volume
BA MC-0"]]-Table1[[#This Row],[Total Panjang Pipa Aktual
(Sum-&gt;)3]]-Table1[[#This Row],[Total Volume
tidak dapat dipasang]],0)</f>
        <v>0</v>
      </c>
      <c r="CK419" s="47"/>
      <c r="CL419" s="131"/>
      <c r="CM419" s="337"/>
      <c r="CN419" s="131"/>
      <c r="CO419" s="131"/>
      <c r="CP419"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4.3210389105987596E-2</v>
      </c>
      <c r="CQ419" s="436">
        <f>IFERROR(Table1[[#This Row],[Progres Keg. Umum
(%)]]*Table1[[#This Row],[Nilai RAB Jaringan
(file pa aji)]],0)</f>
        <v>0</v>
      </c>
      <c r="CR419" s="436">
        <f>IFERROR(Table1[[#This Row],[Progres MOS
(%)]]*Table1[[#This Row],[Nilai RAB Jaringan
(file pa aji)]],0)</f>
        <v>0</v>
      </c>
      <c r="CS419" s="436">
        <f>IFERROR(Table1[[#This Row],[Progres Pemasangan
(%)]]*Table1[[#This Row],[Nilai RAB Jaringan
(file pa aji)]],0)</f>
        <v>0</v>
      </c>
      <c r="CT419" s="436">
        <f>IFERROR(Table1[[#This Row],[Progres Perizinan
(%)]]*Table1[[#This Row],[Nilai RAB Jaringan
(file pa aji)]],0)</f>
        <v>0</v>
      </c>
      <c r="CU419" s="329">
        <v>100435786.01392373</v>
      </c>
      <c r="CV419" s="329">
        <v>100435786.01392373</v>
      </c>
      <c r="CW419" s="511">
        <v>0</v>
      </c>
      <c r="CX419" s="329">
        <v>0</v>
      </c>
      <c r="CY419" s="47"/>
      <c r="CZ419" s="331">
        <v>46020</v>
      </c>
      <c r="DA419" s="331">
        <v>46047</v>
      </c>
      <c r="DB419" s="331">
        <v>46001</v>
      </c>
      <c r="DC419" s="316" t="s">
        <v>3299</v>
      </c>
      <c r="DD419" s="508">
        <v>2298693475.5299997</v>
      </c>
      <c r="DE41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9" s="331">
        <v>46049</v>
      </c>
      <c r="DG419" s="316" t="s">
        <v>3300</v>
      </c>
      <c r="DH419" s="508">
        <v>2298693475.5299997</v>
      </c>
      <c r="DI41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19" s="331">
        <v>46048</v>
      </c>
      <c r="DK419" s="331">
        <v>46110</v>
      </c>
      <c r="DL419" s="331">
        <v>46058</v>
      </c>
      <c r="DM419" s="316" t="s">
        <v>3301</v>
      </c>
      <c r="DN41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9" s="331">
        <v>46086</v>
      </c>
      <c r="DP419" s="316"/>
      <c r="DQ419" s="338" t="s">
        <v>365</v>
      </c>
      <c r="DR41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19" s="331">
        <v>46048</v>
      </c>
      <c r="DT419" s="331">
        <v>46162</v>
      </c>
      <c r="DU419" s="331">
        <v>46089</v>
      </c>
      <c r="DV419" s="331">
        <v>46176</v>
      </c>
      <c r="DW419" s="331">
        <v>46057</v>
      </c>
      <c r="DX419" t="s">
        <v>3302</v>
      </c>
      <c r="DY419" s="512">
        <v>56</v>
      </c>
      <c r="DZ419" s="512">
        <v>56</v>
      </c>
      <c r="EA41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9" s="331">
        <v>46162</v>
      </c>
      <c r="EC419" s="512">
        <v>56</v>
      </c>
      <c r="ED419" s="512">
        <v>56</v>
      </c>
      <c r="EE419" t="s">
        <v>3303</v>
      </c>
      <c r="EF419" s="337">
        <v>1</v>
      </c>
      <c r="EG419" s="337">
        <f>Table1[[#This Row],[Line PO]]/Table1[[#This Row],[Line PR]]</f>
        <v>1</v>
      </c>
      <c r="EH419" s="316" t="str">
        <f>IF(Table1[[#This Row],[PO Material Aktual 
(%)]]&gt;=100%,"Selesai PO = 100%",IF(Table1[[#This Row],[PO Material Aktual 
(%)]]&gt;=50%,"Proses PO &gt; 100%",IF(Table1[[#This Row],[PO Material Aktual 
(%)]]&gt;0%,"Proses PO &gt; 50%",IF(Table1[[#This Row],[PO Material Aktual 
(%)]]=0,"Belum PO = 0%"))))</f>
        <v>Selesai PO = 100%</v>
      </c>
      <c r="EI41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19" s="331">
        <v>46090</v>
      </c>
      <c r="EK419" s="331">
        <v>46176</v>
      </c>
      <c r="EL419" s="331">
        <v>46173</v>
      </c>
      <c r="EM419" s="331">
        <v>46190</v>
      </c>
      <c r="EN419" s="331"/>
      <c r="EO419" s="512">
        <v>21</v>
      </c>
      <c r="EP419" s="512">
        <v>21</v>
      </c>
      <c r="EQ419" s="337">
        <v>0.375</v>
      </c>
      <c r="ER419" s="337">
        <f>Table1[[#This Row],[Line MOS]]/Table1[[#This Row],[Line PR]]</f>
        <v>0.375</v>
      </c>
      <c r="ES419" s="316" t="str">
        <f>IF(Table1[[#This Row],[Progres MOS]]&gt;=100%,"Selesai MOS = 100%",IF(Table1[[#This Row],[Progres MOS]]&gt;=50%,"Proses MOS &gt; 100%",IF(Table1[[#This Row],[Progres MOS]]&gt;0%,"Proses MOS &gt; 50%",IF(Table1[[#This Row],[Progres MOS]]=0,"Belum MOS = 0%"))))</f>
        <v>Proses MOS &gt; 50%</v>
      </c>
      <c r="ET41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9" s="47"/>
      <c r="EV419" s="331">
        <v>46048</v>
      </c>
      <c r="EW419" s="331">
        <v>46156</v>
      </c>
      <c r="EX419" s="331">
        <v>46138</v>
      </c>
      <c r="EY419" s="331">
        <v>46186</v>
      </c>
      <c r="EZ419" s="352" t="s">
        <v>3281</v>
      </c>
      <c r="FA419" s="409" t="s">
        <v>3281</v>
      </c>
      <c r="FB419" s="331" t="e">
        <v>#N/A</v>
      </c>
      <c r="FC419" s="330" t="e">
        <v>#N/A</v>
      </c>
      <c r="FD419" s="331" t="e">
        <v>#N/A</v>
      </c>
      <c r="FE419" s="331" t="e">
        <v>#N/A</v>
      </c>
      <c r="FF419" s="331" t="e">
        <v>#N/A</v>
      </c>
      <c r="FG419" s="331" t="e">
        <v>#N/A</v>
      </c>
      <c r="FH419" s="331" t="e">
        <v>#N/A</v>
      </c>
      <c r="FI419" s="331" t="e">
        <v>#N/A</v>
      </c>
      <c r="FJ419" s="331" t="e">
        <v>#N/A</v>
      </c>
      <c r="FK419" s="331" t="e">
        <v>#N/A</v>
      </c>
      <c r="FL419" s="352" t="s">
        <v>2759</v>
      </c>
      <c r="FM419" s="352"/>
      <c r="FN419" s="338" t="str">
        <f>IF(Table1[[#This Row],[Tanggal Pengajuan Dokumen]]="","",Table1[[#This Row],[PLAN PERMIT
start]]-Table1[[#This Row],[Tanggal Pengajuan Dokumen]])</f>
        <v/>
      </c>
      <c r="FO419" s="352"/>
      <c r="FP419" s="316"/>
      <c r="FQ419" s="338"/>
      <c r="FR419" s="331"/>
      <c r="FS419" s="338"/>
      <c r="FT41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9" s="344">
        <f ca="1">IF(Table1[[#This Row],[Status Izin]]="Selesai",Table1[[#This Row],[PLAN PERMIT
finish]]-Table1[[#This Row],[Tanggal Terbit/ Target Izin Terbit]],ROUNDUP(Table1[[#This Row],[PLAN PERMIT
finish]]-NOW(),0))</f>
        <v>-53</v>
      </c>
      <c r="FV41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9" s="344"/>
      <c r="FX419" s="47"/>
      <c r="FY419" s="513">
        <v>46097</v>
      </c>
      <c r="FZ419" s="513">
        <v>46066</v>
      </c>
      <c r="GA41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9" s="331">
        <v>46111</v>
      </c>
      <c r="GC419" s="352">
        <v>46087</v>
      </c>
      <c r="GD41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19" s="331">
        <v>46118</v>
      </c>
      <c r="GF419" s="352">
        <v>46090</v>
      </c>
      <c r="GG41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19" s="331">
        <v>46125</v>
      </c>
      <c r="GI419" s="331">
        <v>46131</v>
      </c>
      <c r="GJ419" s="352">
        <v>46091</v>
      </c>
      <c r="GK41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19" s="331">
        <v>46139</v>
      </c>
      <c r="GM419" s="331">
        <v>46193</v>
      </c>
      <c r="GN419" s="331">
        <v>46201</v>
      </c>
      <c r="GO419" s="330">
        <v>46269</v>
      </c>
      <c r="GP419" s="316"/>
      <c r="GQ41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19" s="331"/>
      <c r="GS419" s="331"/>
      <c r="GT419" s="354"/>
      <c r="GU419" s="344" t="str">
        <f>IF(Table1[[#This Row],[Hydro Tes Actual
(tanggal)]]&lt;&gt;"","Sudah","Belum")</f>
        <v>Belum</v>
      </c>
      <c r="GV419" s="330"/>
      <c r="GW419" s="330"/>
      <c r="GX419" s="331"/>
      <c r="GY419" s="344" t="str">
        <f>IF(Table1[[#This Row],[Interkoneksi Actual
(tanggal)]]&lt;&gt;"","Sudah","Belum")</f>
        <v>Belum</v>
      </c>
      <c r="GZ419" s="330"/>
      <c r="HA419" s="330"/>
      <c r="HB419" s="331"/>
      <c r="HC419" s="344" t="str">
        <f>IF(Table1[[#This Row],[Flushing Actual
(tanggal)]]&lt;&gt;"","Sudah","Belum")</f>
        <v>Belum</v>
      </c>
      <c r="HD419" s="331">
        <v>46204</v>
      </c>
      <c r="HE419" s="331">
        <v>46270</v>
      </c>
      <c r="HF419" s="331">
        <v>46209</v>
      </c>
      <c r="HG419" s="352"/>
      <c r="HH41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19" s="330"/>
      <c r="HJ419" s="330"/>
      <c r="HK419" s="331"/>
      <c r="HL419" s="331"/>
      <c r="HM419" s="331">
        <v>46226</v>
      </c>
      <c r="HN419" s="331">
        <v>46226</v>
      </c>
      <c r="HO419" s="330">
        <v>46287</v>
      </c>
      <c r="HP419" s="331"/>
      <c r="HQ41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19" s="331">
        <v>46234</v>
      </c>
      <c r="HS419" s="331"/>
      <c r="HT419" s="331">
        <v>46234</v>
      </c>
      <c r="HU419" s="420"/>
      <c r="HV419" s="395"/>
      <c r="HW419"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19" s="47"/>
      <c r="HY419" s="352"/>
      <c r="HZ419" s="352"/>
      <c r="IA419" s="72"/>
      <c r="IB419" s="618">
        <f>IFERROR(ROUND((Table1[[#This Row],[PLAN TC
finish]]-Table1[[#This Row],[PLAN MC-0
start]])/30,2),"")</f>
        <v>2.8</v>
      </c>
      <c r="IC419">
        <f>DATEDIF(Table1[[#This Row],[PLAN MC-0
start]],Table1[[#This Row],[PLAN TC
finish]],"m")</f>
        <v>2</v>
      </c>
      <c r="ID419" s="6"/>
      <c r="IE419" s="6"/>
      <c r="IF419" s="72"/>
      <c r="IH419" s="6"/>
      <c r="II419" s="4"/>
      <c r="IJ419" s="4"/>
      <c r="IK419" s="6"/>
      <c r="IL419" s="6"/>
      <c r="IM419" s="6"/>
      <c r="IN419" s="6"/>
      <c r="IO419" s="6"/>
      <c r="IQ419" s="6"/>
      <c r="IR419" s="6"/>
      <c r="IS419" s="6"/>
      <c r="IT419" s="6"/>
      <c r="IW419" s="6"/>
      <c r="IX419" s="6"/>
      <c r="IZ419" s="6"/>
      <c r="JA419" s="6"/>
    </row>
    <row r="420" spans="2:261" ht="15" hidden="1" customHeight="1" x14ac:dyDescent="0.2">
      <c r="B420" s="311">
        <f>SUBTOTAL(3,$D$5:D420)</f>
        <v>84</v>
      </c>
      <c r="C420" s="316">
        <v>416</v>
      </c>
      <c r="D420" s="315" t="s">
        <v>673</v>
      </c>
      <c r="E420" s="338" t="s">
        <v>3304</v>
      </c>
      <c r="F420" s="338" t="s">
        <v>3305</v>
      </c>
      <c r="G420" s="349">
        <v>46300</v>
      </c>
      <c r="H420" s="338" t="s">
        <v>681</v>
      </c>
      <c r="I420" s="338" t="s">
        <v>278</v>
      </c>
      <c r="J420" s="480"/>
      <c r="K420" s="338"/>
      <c r="L420" s="316"/>
      <c r="M420" s="355" t="s">
        <v>251</v>
      </c>
      <c r="N420" s="507">
        <v>384</v>
      </c>
      <c r="O420" s="31" t="s">
        <v>252</v>
      </c>
      <c r="P42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42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0" s="35">
        <v>0.96427389049471135</v>
      </c>
      <c r="S420" s="327">
        <v>0.96427389049471135</v>
      </c>
      <c r="T420" s="152">
        <f>Table1[[#This Row],[Progres Total Aktual
(%)]]</f>
        <v>0.1196633523377062</v>
      </c>
      <c r="U420" s="121">
        <f>Table1[[#This Row],[Progres Aktual
(%)]]-Table1[[#This Row],[Target Progres
(%)]]</f>
        <v>-0.84461053815700515</v>
      </c>
      <c r="V420" s="80">
        <v>453</v>
      </c>
      <c r="W420" s="80">
        <f>Table1[[#This Row],[Total Panjang Pipa Aktual
(Sum-&gt;)3]]</f>
        <v>0</v>
      </c>
      <c r="X420" s="117"/>
      <c r="Y420" s="67" t="s">
        <v>3306</v>
      </c>
      <c r="Z420" s="67">
        <v>545631617</v>
      </c>
      <c r="AA420" s="509">
        <f>ROUND((Table1[[#This Row],[Nilai RAB Jaringan
(Exclude Ppn)]]-Table1[[#This Row],[RAB Perizinan]])*1.11+Table1[[#This Row],[RAB Perizinan]],0)</f>
        <v>545631616</v>
      </c>
      <c r="AB420" s="483">
        <f>SUM(Table1[[#This Row],[RAB Kegiatan Umum]:[RAB Perizinan]])</f>
        <v>491940555</v>
      </c>
      <c r="AC420" s="537">
        <v>31867156</v>
      </c>
      <c r="AD420" s="537">
        <v>318671556</v>
      </c>
      <c r="AE420" s="537">
        <v>137561843</v>
      </c>
      <c r="AF420" s="537">
        <v>3840000</v>
      </c>
      <c r="AG420" s="534"/>
      <c r="AH420" s="510">
        <f>SUM(Table1[[#This Row],[Bobot Keg Umum]:[Bobot Perizinan]])</f>
        <v>1</v>
      </c>
      <c r="AI420" s="510">
        <f>Table1[[#This Row],[RAB Kegiatan Umum]]/Table1[[#This Row],[Nilai RAB Jaringan
(Exclude Ppn)]]</f>
        <v>6.4778469016444476E-2</v>
      </c>
      <c r="AJ420" s="510">
        <f>Table1[[#This Row],[RAB Pemasangan]]/Table1[[#This Row],[Nilai RAB Jaringan
(Exclude Ppn)]]</f>
        <v>0.64778468203338102</v>
      </c>
      <c r="AK420" s="129">
        <f>Table1[[#This Row],[RAB Pengadaan]]/Table1[[#This Row],[Nilai RAB Jaringan
(Exclude Ppn)]]</f>
        <v>0.27963102777732973</v>
      </c>
      <c r="AL420" s="130">
        <f>Table1[[#This Row],[RAB Perizinan]]/Table1[[#This Row],[Nilai RAB Jaringan
(Exclude Ppn)]]</f>
        <v>7.805821172844756E-3</v>
      </c>
      <c r="AM420" s="47"/>
      <c r="AN420" s="285"/>
      <c r="AO420" s="285">
        <f>SUM(Table1[[#This Row],[Pipa 63 mm]:[Pipa 1,800 mm]])</f>
        <v>453</v>
      </c>
      <c r="AP420" s="285">
        <v>453</v>
      </c>
      <c r="AQ420" s="285"/>
      <c r="AR420" s="285"/>
      <c r="AS420" s="285"/>
      <c r="AT420" s="285"/>
      <c r="AU420" s="285"/>
      <c r="AV420" s="285"/>
      <c r="AW420" s="285"/>
      <c r="AX420" s="285"/>
      <c r="AY420" s="285"/>
      <c r="AZ420" s="285"/>
      <c r="BA420" s="285"/>
      <c r="BB420" s="285"/>
      <c r="BC420" s="285"/>
      <c r="BD420" s="285"/>
      <c r="BE420" s="285"/>
      <c r="BF420" s="285"/>
      <c r="BG420" s="285"/>
      <c r="BH420" s="285"/>
      <c r="BI420" s="285"/>
      <c r="BJ420" s="36">
        <f>SUM(Table1[[#This Row],[Pipa 63 mm2]:[Pipa 1,800 mm21]])</f>
        <v>0</v>
      </c>
      <c r="BK420" s="32"/>
      <c r="BL420" s="32"/>
      <c r="BM420" s="32"/>
      <c r="BN420" s="32"/>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32">
        <f>IF((Table1[[#This Row],["Volume
BA MC-0"]]-Table1[[#This Row],[Total Panjang Pipa Aktual
(Sum-&gt;)3]]-Table1[[#This Row],[Total Volume
tidak dapat dipasang]])&gt;=0,Table1[[#This Row],["Volume
BA MC-0"]]-Table1[[#This Row],[Total Panjang Pipa Aktual
(Sum-&gt;)3]]-Table1[[#This Row],[Total Volume
tidak dapat dipasang]],0)</f>
        <v>0</v>
      </c>
      <c r="CK420" s="47"/>
      <c r="CL420" s="131"/>
      <c r="CM420" s="337"/>
      <c r="CN420" s="131"/>
      <c r="CO420" s="131"/>
      <c r="CP420"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0.1196633523377062</v>
      </c>
      <c r="CQ420" s="436">
        <f>IFERROR(Table1[[#This Row],[Progres Keg. Umum
(%)]]*Table1[[#This Row],[Nilai RAB Jaringan
(file pa aji)]],0)</f>
        <v>0</v>
      </c>
      <c r="CR420" s="436">
        <f>IFERROR(Table1[[#This Row],[Progres MOS
(%)]]*Table1[[#This Row],[Nilai RAB Jaringan
(file pa aji)]],0)</f>
        <v>0</v>
      </c>
      <c r="CS420" s="436">
        <f>IFERROR(Table1[[#This Row],[Progres Pemasangan
(%)]]*Table1[[#This Row],[Nilai RAB Jaringan
(file pa aji)]],0)</f>
        <v>0</v>
      </c>
      <c r="CT420" s="436">
        <f>IFERROR(Table1[[#This Row],[Progres Perizinan
(%)]]*Table1[[#This Row],[Nilai RAB Jaringan
(file pa aji)]],0)</f>
        <v>0</v>
      </c>
      <c r="CU420" s="329">
        <v>65292108.312000006</v>
      </c>
      <c r="CV420" s="329">
        <v>65292108.312000006</v>
      </c>
      <c r="CW420" s="511">
        <v>0</v>
      </c>
      <c r="CX420" s="329">
        <v>0</v>
      </c>
      <c r="CY420" s="47"/>
      <c r="CZ420" s="331">
        <v>46020</v>
      </c>
      <c r="DA420" s="331">
        <v>46047</v>
      </c>
      <c r="DB420" s="331">
        <v>46001</v>
      </c>
      <c r="DC420" s="316" t="s">
        <v>3307</v>
      </c>
      <c r="DD420" s="508">
        <v>31146904007.049999</v>
      </c>
      <c r="DE42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0" s="331">
        <v>46013</v>
      </c>
      <c r="DG420" s="316" t="s">
        <v>3308</v>
      </c>
      <c r="DH420" s="508">
        <v>31146904007.049999</v>
      </c>
      <c r="DI42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0" s="331">
        <v>46048</v>
      </c>
      <c r="DK420" s="331">
        <v>46110</v>
      </c>
      <c r="DL420" s="331">
        <v>46056</v>
      </c>
      <c r="DM420" s="316" t="s">
        <v>3309</v>
      </c>
      <c r="DN42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0" s="331">
        <v>46083</v>
      </c>
      <c r="DP420" s="316"/>
      <c r="DQ420" s="338" t="s">
        <v>365</v>
      </c>
      <c r="DR42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0" s="331">
        <v>46048</v>
      </c>
      <c r="DT420" s="331">
        <v>46164</v>
      </c>
      <c r="DU420" s="331">
        <v>46089</v>
      </c>
      <c r="DV420" s="331">
        <v>46178</v>
      </c>
      <c r="DW420" s="331">
        <v>46057</v>
      </c>
      <c r="DX420" s="426" t="s">
        <v>3310</v>
      </c>
      <c r="DY420" s="512">
        <v>23</v>
      </c>
      <c r="DZ420" s="512">
        <v>23</v>
      </c>
      <c r="EA42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0" s="331">
        <v>46161</v>
      </c>
      <c r="EC420" s="334">
        <v>23</v>
      </c>
      <c r="ED420" s="334">
        <v>23</v>
      </c>
      <c r="EE420" t="s">
        <v>3311</v>
      </c>
      <c r="EF420" s="337">
        <v>1</v>
      </c>
      <c r="EG420" s="337">
        <f>Table1[[#This Row],[Line PO]]/Table1[[#This Row],[Line PR]]</f>
        <v>1</v>
      </c>
      <c r="EH420" s="316" t="str">
        <f>IF(Table1[[#This Row],[PO Material Aktual 
(%)]]&gt;=100%,"Selesai PO = 100%",IF(Table1[[#This Row],[PO Material Aktual 
(%)]]&gt;=50%,"Proses PO &gt; 100%",IF(Table1[[#This Row],[PO Material Aktual 
(%)]]&gt;0%,"Proses PO &gt; 50%",IF(Table1[[#This Row],[PO Material Aktual 
(%)]]=0,"Belum PO = 0%"))))</f>
        <v>Selesai PO = 100%</v>
      </c>
      <c r="EI42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0" s="331">
        <v>46090</v>
      </c>
      <c r="EK420" s="331">
        <v>46178</v>
      </c>
      <c r="EL420" s="331">
        <v>46159</v>
      </c>
      <c r="EM420" s="331">
        <v>46183</v>
      </c>
      <c r="EN420" s="331"/>
      <c r="EO420" s="512">
        <v>9</v>
      </c>
      <c r="EP420" s="512">
        <v>9</v>
      </c>
      <c r="EQ420" s="337">
        <v>0.39130434782608697</v>
      </c>
      <c r="ER420" s="337">
        <f>Table1[[#This Row],[Line MOS]]/Table1[[#This Row],[Line PR]]</f>
        <v>0.39130434782608697</v>
      </c>
      <c r="ES420" s="316" t="str">
        <f>IF(Table1[[#This Row],[Progres MOS]]&gt;=100%,"Selesai MOS = 100%",IF(Table1[[#This Row],[Progres MOS]]&gt;=50%,"Proses MOS &gt; 100%",IF(Table1[[#This Row],[Progres MOS]]&gt;0%,"Proses MOS &gt; 50%",IF(Table1[[#This Row],[Progres MOS]]=0,"Belum MOS = 0%"))))</f>
        <v>Proses MOS &gt; 50%</v>
      </c>
      <c r="ET42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0" s="47"/>
      <c r="EV420" s="331">
        <v>46048</v>
      </c>
      <c r="EW420" s="331">
        <v>46156</v>
      </c>
      <c r="EX420" s="331">
        <v>46138</v>
      </c>
      <c r="EY420" s="331">
        <v>46186</v>
      </c>
      <c r="EZ420" s="352" t="s">
        <v>3281</v>
      </c>
      <c r="FA420" s="409" t="s">
        <v>3281</v>
      </c>
      <c r="FB420" s="331" t="e">
        <v>#N/A</v>
      </c>
      <c r="FC420" s="330" t="e">
        <v>#N/A</v>
      </c>
      <c r="FD420" s="331" t="e">
        <v>#N/A</v>
      </c>
      <c r="FE420" s="331" t="e">
        <v>#N/A</v>
      </c>
      <c r="FF420" s="331" t="e">
        <v>#N/A</v>
      </c>
      <c r="FG420" s="331" t="e">
        <v>#N/A</v>
      </c>
      <c r="FH420" s="331" t="e">
        <v>#N/A</v>
      </c>
      <c r="FI420" s="331" t="e">
        <v>#N/A</v>
      </c>
      <c r="FJ420" s="331" t="e">
        <v>#N/A</v>
      </c>
      <c r="FK420" s="331" t="e">
        <v>#N/A</v>
      </c>
      <c r="FL420" s="352" t="s">
        <v>2759</v>
      </c>
      <c r="FM420" s="352"/>
      <c r="FN420" s="338" t="str">
        <f>IF(Table1[[#This Row],[Tanggal Pengajuan Dokumen]]="","",Table1[[#This Row],[PLAN PERMIT
start]]-Table1[[#This Row],[Tanggal Pengajuan Dokumen]])</f>
        <v/>
      </c>
      <c r="FO420" s="352"/>
      <c r="FP420" s="316"/>
      <c r="FQ420" s="338"/>
      <c r="FR420" s="331"/>
      <c r="FS420" s="338"/>
      <c r="FT42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0" s="344">
        <f ca="1">IF(Table1[[#This Row],[Status Izin]]="Selesai",Table1[[#This Row],[PLAN PERMIT
finish]]-Table1[[#This Row],[Tanggal Terbit/ Target Izin Terbit]],ROUNDUP(Table1[[#This Row],[PLAN PERMIT
finish]]-NOW(),0))</f>
        <v>-53</v>
      </c>
      <c r="FV42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0" s="344"/>
      <c r="FX420" s="47"/>
      <c r="FY420" s="513">
        <v>46097</v>
      </c>
      <c r="FZ420" s="513">
        <v>46066</v>
      </c>
      <c r="GA42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0" s="331">
        <v>46111</v>
      </c>
      <c r="GC420" s="352">
        <v>46087</v>
      </c>
      <c r="GD42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0" s="331">
        <v>46118</v>
      </c>
      <c r="GF420" s="352">
        <v>46090</v>
      </c>
      <c r="GG42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0" s="331">
        <v>46125</v>
      </c>
      <c r="GI420" s="331">
        <v>46131</v>
      </c>
      <c r="GJ420" s="352">
        <v>46090</v>
      </c>
      <c r="GK42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0" s="331">
        <v>46139</v>
      </c>
      <c r="GM420" s="331">
        <v>46193</v>
      </c>
      <c r="GN420" s="331">
        <v>46166</v>
      </c>
      <c r="GO420" s="330">
        <v>46241</v>
      </c>
      <c r="GP420" s="316"/>
      <c r="GQ42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0" s="331"/>
      <c r="GS420" s="331"/>
      <c r="GT420" s="354"/>
      <c r="GU420" s="344" t="str">
        <f>IF(Table1[[#This Row],[Hydro Tes Actual
(tanggal)]]&lt;&gt;"","Sudah","Belum")</f>
        <v>Belum</v>
      </c>
      <c r="GV420" s="330"/>
      <c r="GW420" s="330"/>
      <c r="GX420" s="331"/>
      <c r="GY420" s="344" t="str">
        <f>IF(Table1[[#This Row],[Interkoneksi Actual
(tanggal)]]&lt;&gt;"","Sudah","Belum")</f>
        <v>Belum</v>
      </c>
      <c r="GZ420" s="330"/>
      <c r="HA420" s="330"/>
      <c r="HB420" s="331"/>
      <c r="HC420" s="344" t="str">
        <f>IF(Table1[[#This Row],[Flushing Actual
(tanggal)]]&lt;&gt;"","Sudah","Belum")</f>
        <v>Belum</v>
      </c>
      <c r="HD420" s="331">
        <v>46169</v>
      </c>
      <c r="HE420" s="331">
        <v>46242</v>
      </c>
      <c r="HF420" s="331">
        <v>46174</v>
      </c>
      <c r="HG420" s="352"/>
      <c r="HH42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20" s="330"/>
      <c r="HJ420" s="330"/>
      <c r="HK420" s="331"/>
      <c r="HL420" s="331"/>
      <c r="HM420" s="331">
        <v>46191</v>
      </c>
      <c r="HN420" s="331">
        <v>46191</v>
      </c>
      <c r="HO420" s="330">
        <v>46259</v>
      </c>
      <c r="HP420" s="331"/>
      <c r="HQ42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20" s="331">
        <v>46199</v>
      </c>
      <c r="HS420" s="331"/>
      <c r="HT420" s="331">
        <v>46199</v>
      </c>
      <c r="HU420" s="420"/>
      <c r="HV420" s="395"/>
      <c r="HW420"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20" s="47"/>
      <c r="HY420" s="352"/>
      <c r="HZ420" s="352"/>
      <c r="IA420" s="72"/>
      <c r="IB420" s="618">
        <f>IFERROR(ROUND((Table1[[#This Row],[PLAN TC
finish]]-Table1[[#This Row],[PLAN MC-0
start]])/30,2),"")</f>
        <v>1.63</v>
      </c>
      <c r="IC420">
        <f>DATEDIF(Table1[[#This Row],[PLAN MC-0
start]],Table1[[#This Row],[PLAN TC
finish]],"m")</f>
        <v>1</v>
      </c>
      <c r="ID420" s="6"/>
      <c r="IE420" s="6"/>
      <c r="IF420" s="72"/>
      <c r="IH420" s="6"/>
      <c r="II420" s="4"/>
      <c r="IJ420" s="4"/>
      <c r="IK420" s="6"/>
      <c r="IL420" s="6"/>
      <c r="IM420" s="6"/>
      <c r="IN420" s="6"/>
      <c r="IO420" s="6"/>
      <c r="IQ420" s="6"/>
      <c r="IR420" s="6"/>
      <c r="IS420" s="6"/>
      <c r="IT420" s="6"/>
      <c r="IW420" s="6"/>
      <c r="IX420" s="6"/>
      <c r="IZ420" s="6"/>
      <c r="JA420" s="6"/>
    </row>
    <row r="421" spans="2:261" ht="15" hidden="1" customHeight="1" x14ac:dyDescent="0.2">
      <c r="B421" s="311">
        <f>SUBTOTAL(3,$D$5:D421)</f>
        <v>84</v>
      </c>
      <c r="C421" s="316">
        <v>417</v>
      </c>
      <c r="D421" s="315" t="s">
        <v>673</v>
      </c>
      <c r="E421" s="338" t="s">
        <v>3312</v>
      </c>
      <c r="F421" s="338" t="s">
        <v>3313</v>
      </c>
      <c r="G421" s="349">
        <v>46300</v>
      </c>
      <c r="H421" s="338" t="s">
        <v>681</v>
      </c>
      <c r="I421" s="338" t="s">
        <v>278</v>
      </c>
      <c r="J421" s="480"/>
      <c r="K421" s="338"/>
      <c r="L421" s="316"/>
      <c r="M421" s="355" t="s">
        <v>251</v>
      </c>
      <c r="N421" s="507">
        <v>418</v>
      </c>
      <c r="O421" s="31" t="s">
        <v>252</v>
      </c>
      <c r="P42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42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1" s="35">
        <v>0.96424026568532184</v>
      </c>
      <c r="S421" s="327">
        <v>0.96424026568532184</v>
      </c>
      <c r="T421" s="152">
        <f>Table1[[#This Row],[Progres Total Aktual
(%)]]</f>
        <v>0.1468377290597879</v>
      </c>
      <c r="U421" s="121">
        <f>Table1[[#This Row],[Progres Aktual
(%)]]-Table1[[#This Row],[Target Progres
(%)]]</f>
        <v>-0.81740253662553397</v>
      </c>
      <c r="V421" s="80">
        <v>373</v>
      </c>
      <c r="W421" s="80">
        <f>Table1[[#This Row],[Total Panjang Pipa Aktual
(Sum-&gt;)3]]</f>
        <v>0</v>
      </c>
      <c r="X421" s="117"/>
      <c r="Y421" s="67" t="s">
        <v>3314</v>
      </c>
      <c r="Z421" s="67">
        <v>598104818</v>
      </c>
      <c r="AA421" s="509">
        <f>ROUND((Table1[[#This Row],[Nilai RAB Jaringan
(Exclude Ppn)]]-Table1[[#This Row],[RAB Perizinan]])*1.11+Table1[[#This Row],[RAB Perizinan]],0)</f>
        <v>598104817</v>
      </c>
      <c r="AB421" s="483">
        <f>SUM(Table1[[#This Row],[RAB Kegiatan Umum]:[RAB Perizinan]])</f>
        <v>539247403</v>
      </c>
      <c r="AC421" s="537">
        <v>36078107</v>
      </c>
      <c r="AD421" s="537">
        <v>360781063</v>
      </c>
      <c r="AE421" s="537">
        <v>138208233</v>
      </c>
      <c r="AF421" s="537">
        <v>4180000</v>
      </c>
      <c r="AG421" s="534"/>
      <c r="AH421" s="510">
        <f>SUM(Table1[[#This Row],[Bobot Keg Umum]:[Bobot Perizinan]])</f>
        <v>1</v>
      </c>
      <c r="AI421" s="510">
        <f>Table1[[#This Row],[RAB Kegiatan Umum]]/Table1[[#This Row],[Nilai RAB Jaringan
(Exclude Ppn)]]</f>
        <v>6.6904554012288869E-2</v>
      </c>
      <c r="AJ421" s="510">
        <f>Table1[[#This Row],[RAB Pemasangan]]/Table1[[#This Row],[Nilai RAB Jaringan
(Exclude Ppn)]]</f>
        <v>0.66904552714183396</v>
      </c>
      <c r="AK421" s="129">
        <f>Table1[[#This Row],[RAB Pengadaan]]/Table1[[#This Row],[Nilai RAB Jaringan
(Exclude Ppn)]]</f>
        <v>0.25629837479254397</v>
      </c>
      <c r="AL421" s="130">
        <f>Table1[[#This Row],[RAB Perizinan]]/Table1[[#This Row],[Nilai RAB Jaringan
(Exclude Ppn)]]</f>
        <v>7.7515440533331599E-3</v>
      </c>
      <c r="AM421" s="47"/>
      <c r="AN421" s="285"/>
      <c r="AO421" s="285">
        <f>SUM(Table1[[#This Row],[Pipa 63 mm]:[Pipa 1,800 mm]])</f>
        <v>373</v>
      </c>
      <c r="AP421" s="285">
        <v>373</v>
      </c>
      <c r="AQ421" s="285"/>
      <c r="AR421" s="285"/>
      <c r="AS421" s="285"/>
      <c r="AT421" s="285"/>
      <c r="AU421" s="285"/>
      <c r="AV421" s="285"/>
      <c r="AW421" s="285"/>
      <c r="AX421" s="285"/>
      <c r="AY421" s="285"/>
      <c r="AZ421" s="285"/>
      <c r="BA421" s="285"/>
      <c r="BB421" s="285"/>
      <c r="BC421" s="285"/>
      <c r="BD421" s="285"/>
      <c r="BE421" s="285"/>
      <c r="BF421" s="285"/>
      <c r="BG421" s="285"/>
      <c r="BH421" s="285"/>
      <c r="BI421" s="285"/>
      <c r="BJ421" s="36">
        <f>SUM(Table1[[#This Row],[Pipa 63 mm2]:[Pipa 1,800 mm21]])</f>
        <v>0</v>
      </c>
      <c r="BK421" s="32"/>
      <c r="BL421" s="32"/>
      <c r="BM421" s="32"/>
      <c r="BN421" s="32"/>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32">
        <f>IF((Table1[[#This Row],["Volume
BA MC-0"]]-Table1[[#This Row],[Total Panjang Pipa Aktual
(Sum-&gt;)3]]-Table1[[#This Row],[Total Volume
tidak dapat dipasang]])&gt;=0,Table1[[#This Row],["Volume
BA MC-0"]]-Table1[[#This Row],[Total Panjang Pipa Aktual
(Sum-&gt;)3]]-Table1[[#This Row],[Total Volume
tidak dapat dipasang]],0)</f>
        <v>0</v>
      </c>
      <c r="CK421" s="47"/>
      <c r="CL421" s="131"/>
      <c r="CM421" s="337"/>
      <c r="CN421" s="131"/>
      <c r="CO421" s="131"/>
      <c r="CP421"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0.1468377290597879</v>
      </c>
      <c r="CQ421" s="436">
        <f>IFERROR(Table1[[#This Row],[Progres Keg. Umum
(%)]]*Table1[[#This Row],[Nilai RAB Jaringan
(file pa aji)]],0)</f>
        <v>0</v>
      </c>
      <c r="CR421" s="436">
        <f>IFERROR(Table1[[#This Row],[Progres MOS
(%)]]*Table1[[#This Row],[Nilai RAB Jaringan
(file pa aji)]],0)</f>
        <v>0</v>
      </c>
      <c r="CS421" s="436">
        <f>IFERROR(Table1[[#This Row],[Progres Pemasangan
(%)]]*Table1[[#This Row],[Nilai RAB Jaringan
(file pa aji)]],0)</f>
        <v>0</v>
      </c>
      <c r="CT421" s="436">
        <f>IFERROR(Table1[[#This Row],[Progres Perizinan
(%)]]*Table1[[#This Row],[Nilai RAB Jaringan
(file pa aji)]],0)</f>
        <v>0</v>
      </c>
      <c r="CU421" s="329">
        <v>87824353.068000019</v>
      </c>
      <c r="CV421" s="329">
        <v>87824353.068000019</v>
      </c>
      <c r="CW421" s="511">
        <v>0</v>
      </c>
      <c r="CX421" s="329">
        <v>0</v>
      </c>
      <c r="CY421" s="47"/>
      <c r="CZ421" s="331">
        <v>46020</v>
      </c>
      <c r="DA421" s="331">
        <v>46047</v>
      </c>
      <c r="DB421" s="331">
        <v>46031</v>
      </c>
      <c r="DC421" s="316" t="s">
        <v>3315</v>
      </c>
      <c r="DD421" s="508">
        <v>8044434896.3299999</v>
      </c>
      <c r="DE42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1" s="331">
        <v>46063</v>
      </c>
      <c r="DG421" s="316" t="s">
        <v>3316</v>
      </c>
      <c r="DH421" s="508">
        <f>593924817.33+4180000</f>
        <v>598104817.33000004</v>
      </c>
      <c r="DI42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21" s="331">
        <v>46048</v>
      </c>
      <c r="DK421" s="331">
        <v>46110</v>
      </c>
      <c r="DL421" s="331">
        <v>46073</v>
      </c>
      <c r="DM421" s="316" t="s">
        <v>3317</v>
      </c>
      <c r="DN42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1" s="331">
        <v>46083</v>
      </c>
      <c r="DP421" s="316"/>
      <c r="DQ421" s="338" t="s">
        <v>365</v>
      </c>
      <c r="DR42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1" s="331">
        <v>46048</v>
      </c>
      <c r="DT421" s="331">
        <v>46164</v>
      </c>
      <c r="DU421" s="331">
        <v>46089</v>
      </c>
      <c r="DV421" s="331">
        <v>46178</v>
      </c>
      <c r="DW421" s="331">
        <v>46073</v>
      </c>
      <c r="DX421" t="s">
        <v>3318</v>
      </c>
      <c r="DY421" s="512">
        <v>34</v>
      </c>
      <c r="DZ421" s="512">
        <v>34</v>
      </c>
      <c r="EA42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1" s="331">
        <v>46162</v>
      </c>
      <c r="EC421" s="512">
        <v>34</v>
      </c>
      <c r="ED421" s="512">
        <v>34</v>
      </c>
      <c r="EE421" t="s">
        <v>3319</v>
      </c>
      <c r="EF421" s="337">
        <v>1</v>
      </c>
      <c r="EG421" s="337">
        <f>Table1[[#This Row],[Line PO]]/Table1[[#This Row],[Line PR]]</f>
        <v>1</v>
      </c>
      <c r="EH421" s="316" t="str">
        <f>IF(Table1[[#This Row],[PO Material Aktual 
(%)]]&gt;=100%,"Selesai PO = 100%",IF(Table1[[#This Row],[PO Material Aktual 
(%)]]&gt;=50%,"Proses PO &gt; 100%",IF(Table1[[#This Row],[PO Material Aktual 
(%)]]&gt;0%,"Proses PO &gt; 50%",IF(Table1[[#This Row],[PO Material Aktual 
(%)]]=0,"Belum PO = 0%"))))</f>
        <v>Selesai PO = 100%</v>
      </c>
      <c r="EI42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1" s="331">
        <v>46090</v>
      </c>
      <c r="EK421" s="331">
        <v>46178</v>
      </c>
      <c r="EL421" s="331">
        <v>46159</v>
      </c>
      <c r="EM421" s="331">
        <v>46183</v>
      </c>
      <c r="EN421" s="331"/>
      <c r="EO421" s="512">
        <v>8</v>
      </c>
      <c r="EP421" s="512">
        <v>8</v>
      </c>
      <c r="EQ421" s="337">
        <v>0.23529411764705882</v>
      </c>
      <c r="ER421" s="337">
        <f>Table1[[#This Row],[Line MOS]]/Table1[[#This Row],[Line PR]]</f>
        <v>0.23529411764705882</v>
      </c>
      <c r="ES421" s="316" t="str">
        <f>IF(Table1[[#This Row],[Progres MOS]]&gt;=100%,"Selesai MOS = 100%",IF(Table1[[#This Row],[Progres MOS]]&gt;=50%,"Proses MOS &gt; 100%",IF(Table1[[#This Row],[Progres MOS]]&gt;0%,"Proses MOS &gt; 50%",IF(Table1[[#This Row],[Progres MOS]]=0,"Belum MOS = 0%"))))</f>
        <v>Proses MOS &gt; 50%</v>
      </c>
      <c r="ET42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1" s="47"/>
      <c r="EV421" s="331">
        <v>46048</v>
      </c>
      <c r="EW421" s="331">
        <v>46156</v>
      </c>
      <c r="EX421" s="331">
        <v>46138</v>
      </c>
      <c r="EY421" s="331">
        <v>46186</v>
      </c>
      <c r="EZ421" s="352" t="s">
        <v>3281</v>
      </c>
      <c r="FA421" s="409" t="s">
        <v>3281</v>
      </c>
      <c r="FB421" s="331" t="e">
        <v>#N/A</v>
      </c>
      <c r="FC421" s="330" t="e">
        <v>#N/A</v>
      </c>
      <c r="FD421" s="331" t="e">
        <v>#N/A</v>
      </c>
      <c r="FE421" s="331" t="e">
        <v>#N/A</v>
      </c>
      <c r="FF421" s="331" t="e">
        <v>#N/A</v>
      </c>
      <c r="FG421" s="331" t="e">
        <v>#N/A</v>
      </c>
      <c r="FH421" s="331" t="e">
        <v>#N/A</v>
      </c>
      <c r="FI421" s="331" t="e">
        <v>#N/A</v>
      </c>
      <c r="FJ421" s="331" t="e">
        <v>#N/A</v>
      </c>
      <c r="FK421" s="331" t="e">
        <v>#N/A</v>
      </c>
      <c r="FL421" s="352" t="s">
        <v>2759</v>
      </c>
      <c r="FM421" s="352"/>
      <c r="FN421" s="338" t="str">
        <f>IF(Table1[[#This Row],[Tanggal Pengajuan Dokumen]]="","",Table1[[#This Row],[PLAN PERMIT
start]]-Table1[[#This Row],[Tanggal Pengajuan Dokumen]])</f>
        <v/>
      </c>
      <c r="FO421" s="352"/>
      <c r="FP421" s="316"/>
      <c r="FQ421" s="338"/>
      <c r="FR421" s="331"/>
      <c r="FS421" s="338"/>
      <c r="FT42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1" s="344">
        <f ca="1">IF(Table1[[#This Row],[Status Izin]]="Selesai",Table1[[#This Row],[PLAN PERMIT
finish]]-Table1[[#This Row],[Tanggal Terbit/ Target Izin Terbit]],ROUNDUP(Table1[[#This Row],[PLAN PERMIT
finish]]-NOW(),0))</f>
        <v>-53</v>
      </c>
      <c r="FV42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1" s="344"/>
      <c r="FX421" s="47"/>
      <c r="FY421" s="513">
        <v>46097</v>
      </c>
      <c r="FZ421" s="513">
        <v>46066</v>
      </c>
      <c r="GA42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1" s="331">
        <v>46111</v>
      </c>
      <c r="GC421" s="352">
        <v>46090</v>
      </c>
      <c r="GD42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1" s="331">
        <v>46118</v>
      </c>
      <c r="GF421" s="352">
        <v>46090</v>
      </c>
      <c r="GG42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1" s="331">
        <v>46125</v>
      </c>
      <c r="GI421" s="331">
        <v>46131</v>
      </c>
      <c r="GJ421" s="352">
        <v>46090</v>
      </c>
      <c r="GK42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1" s="331">
        <v>46139</v>
      </c>
      <c r="GM421" s="331">
        <v>46193</v>
      </c>
      <c r="GN421" s="331">
        <v>46166</v>
      </c>
      <c r="GO421" s="330">
        <v>46241</v>
      </c>
      <c r="GP421" s="316"/>
      <c r="GQ42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1" s="331"/>
      <c r="GS421" s="331"/>
      <c r="GT421" s="354"/>
      <c r="GU421" s="344" t="str">
        <f>IF(Table1[[#This Row],[Hydro Tes Actual
(tanggal)]]&lt;&gt;"","Sudah","Belum")</f>
        <v>Belum</v>
      </c>
      <c r="GV421" s="330"/>
      <c r="GW421" s="330"/>
      <c r="GX421" s="331"/>
      <c r="GY421" s="344" t="str">
        <f>IF(Table1[[#This Row],[Interkoneksi Actual
(tanggal)]]&lt;&gt;"","Sudah","Belum")</f>
        <v>Belum</v>
      </c>
      <c r="GZ421" s="330"/>
      <c r="HA421" s="330"/>
      <c r="HB421" s="331"/>
      <c r="HC421" s="344" t="str">
        <f>IF(Table1[[#This Row],[Flushing Actual
(tanggal)]]&lt;&gt;"","Sudah","Belum")</f>
        <v>Belum</v>
      </c>
      <c r="HD421" s="331">
        <v>46169</v>
      </c>
      <c r="HE421" s="331">
        <v>46242</v>
      </c>
      <c r="HF421" s="331">
        <v>46174</v>
      </c>
      <c r="HG421" s="352"/>
      <c r="HH42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21" s="330"/>
      <c r="HJ421" s="330"/>
      <c r="HK421" s="331"/>
      <c r="HL421" s="331"/>
      <c r="HM421" s="331">
        <v>46191</v>
      </c>
      <c r="HN421" s="331">
        <v>46191</v>
      </c>
      <c r="HO421" s="330">
        <v>46259</v>
      </c>
      <c r="HP421" s="331"/>
      <c r="HQ42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21" s="331">
        <v>46199</v>
      </c>
      <c r="HS421" s="331"/>
      <c r="HT421" s="331">
        <v>46199</v>
      </c>
      <c r="HU421" s="420"/>
      <c r="HV421" s="395"/>
      <c r="HW421"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21" s="47"/>
      <c r="HY421" s="352"/>
      <c r="HZ421" s="352"/>
      <c r="IA421" s="72"/>
      <c r="IB421" s="618">
        <f>IFERROR(ROUND((Table1[[#This Row],[PLAN TC
finish]]-Table1[[#This Row],[PLAN MC-0
start]])/30,2),"")</f>
        <v>1.63</v>
      </c>
      <c r="IC421">
        <f>DATEDIF(Table1[[#This Row],[PLAN MC-0
start]],Table1[[#This Row],[PLAN TC
finish]],"m")</f>
        <v>1</v>
      </c>
      <c r="ID421" s="6"/>
      <c r="IE421" s="6"/>
      <c r="IF421" s="72"/>
      <c r="IH421" s="6"/>
      <c r="II421" s="4"/>
      <c r="IJ421" s="4"/>
      <c r="IK421" s="6"/>
      <c r="IL421" s="6"/>
      <c r="IM421" s="6"/>
      <c r="IN421" s="6"/>
      <c r="IO421" s="6"/>
      <c r="IQ421" s="6"/>
      <c r="IR421" s="6"/>
      <c r="IS421" s="6"/>
      <c r="IT421" s="6"/>
      <c r="IW421" s="6"/>
      <c r="IX421" s="6"/>
      <c r="IZ421" s="6"/>
      <c r="JA421" s="6"/>
    </row>
    <row r="422" spans="2:261" ht="15" hidden="1" customHeight="1" x14ac:dyDescent="0.2">
      <c r="B422" s="311">
        <f>SUBTOTAL(3,$D$5:D422)</f>
        <v>84</v>
      </c>
      <c r="C422" s="316">
        <v>418</v>
      </c>
      <c r="D422" s="315" t="s">
        <v>673</v>
      </c>
      <c r="E422" s="338" t="s">
        <v>3320</v>
      </c>
      <c r="F422" s="338" t="s">
        <v>3321</v>
      </c>
      <c r="G422" s="349">
        <v>46300</v>
      </c>
      <c r="H422" s="338" t="s">
        <v>681</v>
      </c>
      <c r="I422" s="338" t="s">
        <v>278</v>
      </c>
      <c r="J422" s="480"/>
      <c r="K422" s="338"/>
      <c r="L422" s="316"/>
      <c r="M422" s="355" t="s">
        <v>251</v>
      </c>
      <c r="N422" s="507">
        <v>149</v>
      </c>
      <c r="O422" s="31" t="s">
        <v>252</v>
      </c>
      <c r="P42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42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2" s="35">
        <v>0.96425476689605671</v>
      </c>
      <c r="S422" s="327">
        <v>0.96425476689605671</v>
      </c>
      <c r="T422" s="152">
        <f>Table1[[#This Row],[Progres Total Aktual
(%)]]</f>
        <v>6.0287012769838597E-2</v>
      </c>
      <c r="U422" s="121">
        <f>Table1[[#This Row],[Progres Aktual
(%)]]-Table1[[#This Row],[Target Progres
(%)]]</f>
        <v>-0.9039677541262181</v>
      </c>
      <c r="V422" s="80">
        <v>156</v>
      </c>
      <c r="W422" s="80">
        <f>Table1[[#This Row],[Total Panjang Pipa Aktual
(Sum-&gt;)3]]</f>
        <v>0</v>
      </c>
      <c r="X422" s="117"/>
      <c r="Y422" s="67" t="s">
        <v>3322</v>
      </c>
      <c r="Z422" s="67">
        <v>237561186</v>
      </c>
      <c r="AA422" s="509">
        <f>ROUND((Table1[[#This Row],[Nilai RAB Jaringan
(Exclude Ppn)]]-Table1[[#This Row],[RAB Perizinan]])*1.11+Table1[[#This Row],[RAB Perizinan]],0)</f>
        <v>237561186</v>
      </c>
      <c r="AB422" s="483">
        <f>SUM(Table1[[#This Row],[RAB Kegiatan Umum]:[RAB Perizinan]])</f>
        <v>214166744</v>
      </c>
      <c r="AC422" s="537">
        <v>13765068</v>
      </c>
      <c r="AD422" s="537">
        <v>137650678</v>
      </c>
      <c r="AE422" s="537">
        <v>61260998</v>
      </c>
      <c r="AF422" s="537">
        <v>1490000</v>
      </c>
      <c r="AG422" s="534"/>
      <c r="AH422" s="510">
        <f>SUM(Table1[[#This Row],[Bobot Keg Umum]:[Bobot Perizinan]])</f>
        <v>1</v>
      </c>
      <c r="AI422" s="510">
        <f>Table1[[#This Row],[RAB Kegiatan Umum]]/Table1[[#This Row],[Nilai RAB Jaringan
(Exclude Ppn)]]</f>
        <v>6.4272667842398531E-2</v>
      </c>
      <c r="AJ422" s="510">
        <f>Table1[[#This Row],[RAB Pemasangan]]/Table1[[#This Row],[Nilai RAB Jaringan
(Exclude Ppn)]]</f>
        <v>0.64272666908546738</v>
      </c>
      <c r="AK422" s="129">
        <f>Table1[[#This Row],[RAB Pengadaan]]/Table1[[#This Row],[Nilai RAB Jaringan
(Exclude Ppn)]]</f>
        <v>0.28604346714072471</v>
      </c>
      <c r="AL422" s="130">
        <f>Table1[[#This Row],[RAB Perizinan]]/Table1[[#This Row],[Nilai RAB Jaringan
(Exclude Ppn)]]</f>
        <v>6.9571959314094073E-3</v>
      </c>
      <c r="AM422" s="47"/>
      <c r="AN422" s="285"/>
      <c r="AO422" s="285">
        <f>SUM(Table1[[#This Row],[Pipa 63 mm]:[Pipa 1,800 mm]])</f>
        <v>156</v>
      </c>
      <c r="AP422" s="285">
        <f>79+77</f>
        <v>156</v>
      </c>
      <c r="AQ422" s="285"/>
      <c r="AR422" s="285"/>
      <c r="AS422" s="285"/>
      <c r="AT422" s="285"/>
      <c r="AU422" s="285"/>
      <c r="AV422" s="285"/>
      <c r="AW422" s="285"/>
      <c r="AX422" s="285"/>
      <c r="AY422" s="285"/>
      <c r="AZ422" s="285"/>
      <c r="BA422" s="285"/>
      <c r="BB422" s="285"/>
      <c r="BC422" s="285"/>
      <c r="BD422" s="285"/>
      <c r="BE422" s="285"/>
      <c r="BF422" s="285"/>
      <c r="BG422" s="285"/>
      <c r="BH422" s="285"/>
      <c r="BI422" s="285"/>
      <c r="BJ422" s="36">
        <f>SUM(Table1[[#This Row],[Pipa 63 mm2]:[Pipa 1,800 mm21]])</f>
        <v>0</v>
      </c>
      <c r="BK422" s="32"/>
      <c r="BL422" s="32"/>
      <c r="BM422" s="32"/>
      <c r="BN422" s="32"/>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32">
        <f>IF((Table1[[#This Row],["Volume
BA MC-0"]]-Table1[[#This Row],[Total Panjang Pipa Aktual
(Sum-&gt;)3]]-Table1[[#This Row],[Total Volume
tidak dapat dipasang]])&gt;=0,Table1[[#This Row],["Volume
BA MC-0"]]-Table1[[#This Row],[Total Panjang Pipa Aktual
(Sum-&gt;)3]]-Table1[[#This Row],[Total Volume
tidak dapat dipasang]],0)</f>
        <v>0</v>
      </c>
      <c r="CK422" s="47"/>
      <c r="CL422" s="131"/>
      <c r="CM422" s="337"/>
      <c r="CN422" s="131"/>
      <c r="CO422" s="131"/>
      <c r="CP422"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6.0287012769838597E-2</v>
      </c>
      <c r="CQ422" s="436">
        <f>IFERROR(Table1[[#This Row],[Progres Keg. Umum
(%)]]*Table1[[#This Row],[Nilai RAB Jaringan
(file pa aji)]],0)</f>
        <v>0</v>
      </c>
      <c r="CR422" s="436">
        <f>IFERROR(Table1[[#This Row],[Progres MOS
(%)]]*Table1[[#This Row],[Nilai RAB Jaringan
(file pa aji)]],0)</f>
        <v>0</v>
      </c>
      <c r="CS422" s="436">
        <f>IFERROR(Table1[[#This Row],[Progres Pemasangan
(%)]]*Table1[[#This Row],[Nilai RAB Jaringan
(file pa aji)]],0)</f>
        <v>0</v>
      </c>
      <c r="CT422" s="436">
        <f>IFERROR(Table1[[#This Row],[Progres Perizinan
(%)]]*Table1[[#This Row],[Nilai RAB Jaringan
(file pa aji)]],0)</f>
        <v>0</v>
      </c>
      <c r="CU422" s="329">
        <v>14321854.254000003</v>
      </c>
      <c r="CV422" s="329">
        <v>14321854.254000003</v>
      </c>
      <c r="CW422" s="511">
        <v>0</v>
      </c>
      <c r="CX422" s="329">
        <v>0</v>
      </c>
      <c r="CY422" s="47"/>
      <c r="CZ422" s="331">
        <v>46020</v>
      </c>
      <c r="DA422" s="331">
        <v>46047</v>
      </c>
      <c r="DB422" s="331">
        <v>46001</v>
      </c>
      <c r="DC422" s="316" t="s">
        <v>3323</v>
      </c>
      <c r="DD422" s="508">
        <v>24858616598.84</v>
      </c>
      <c r="DE42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2" s="331">
        <v>46063</v>
      </c>
      <c r="DG422" s="316" t="s">
        <v>3324</v>
      </c>
      <c r="DH422" s="508">
        <f>236071185.84+1490000</f>
        <v>237561185.84</v>
      </c>
      <c r="DI42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22" s="331">
        <v>46048</v>
      </c>
      <c r="DK422" s="331">
        <v>46110</v>
      </c>
      <c r="DL422" s="331">
        <v>46073</v>
      </c>
      <c r="DM422" s="316" t="s">
        <v>3325</v>
      </c>
      <c r="DN42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2" s="331">
        <v>46087</v>
      </c>
      <c r="DP422" s="316"/>
      <c r="DQ422" s="338" t="s">
        <v>1671</v>
      </c>
      <c r="DR42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2" s="331">
        <v>46048</v>
      </c>
      <c r="DT422" s="331">
        <v>46164</v>
      </c>
      <c r="DU422" s="331">
        <v>46089</v>
      </c>
      <c r="DV422" s="331">
        <v>46178</v>
      </c>
      <c r="DW422" s="331">
        <v>46072</v>
      </c>
      <c r="DX422" t="s">
        <v>3326</v>
      </c>
      <c r="DY422" s="512">
        <v>31</v>
      </c>
      <c r="DZ422" s="512">
        <v>31</v>
      </c>
      <c r="EA42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2" s="331">
        <v>46162</v>
      </c>
      <c r="EC422" s="512">
        <v>31</v>
      </c>
      <c r="ED422" s="512">
        <v>31</v>
      </c>
      <c r="EE422" s="118" t="s">
        <v>3327</v>
      </c>
      <c r="EF422" s="337">
        <v>1</v>
      </c>
      <c r="EG422" s="337">
        <f>Table1[[#This Row],[Line PO]]/Table1[[#This Row],[Line PR]]</f>
        <v>1</v>
      </c>
      <c r="EH422" s="316" t="str">
        <f>IF(Table1[[#This Row],[PO Material Aktual 
(%)]]&gt;=100%,"Selesai PO = 100%",IF(Table1[[#This Row],[PO Material Aktual 
(%)]]&gt;=50%,"Proses PO &gt; 100%",IF(Table1[[#This Row],[PO Material Aktual 
(%)]]&gt;0%,"Proses PO &gt; 50%",IF(Table1[[#This Row],[PO Material Aktual 
(%)]]=0,"Belum PO = 0%"))))</f>
        <v>Selesai PO = 100%</v>
      </c>
      <c r="EI42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2" s="331">
        <v>46090</v>
      </c>
      <c r="EK422" s="331">
        <v>46178</v>
      </c>
      <c r="EL422" s="331">
        <v>46159</v>
      </c>
      <c r="EM422" s="331">
        <v>46183</v>
      </c>
      <c r="EN422" s="331"/>
      <c r="EO422" s="512">
        <v>13</v>
      </c>
      <c r="EP422" s="512">
        <v>13</v>
      </c>
      <c r="EQ422" s="337">
        <v>0.41935483870967744</v>
      </c>
      <c r="ER422" s="337">
        <f>Table1[[#This Row],[Line MOS]]/Table1[[#This Row],[Line PR]]</f>
        <v>0.41935483870967744</v>
      </c>
      <c r="ES422" s="316" t="str">
        <f>IF(Table1[[#This Row],[Progres MOS]]&gt;=100%,"Selesai MOS = 100%",IF(Table1[[#This Row],[Progres MOS]]&gt;=50%,"Proses MOS &gt; 100%",IF(Table1[[#This Row],[Progres MOS]]&gt;0%,"Proses MOS &gt; 50%",IF(Table1[[#This Row],[Progres MOS]]=0,"Belum MOS = 0%"))))</f>
        <v>Proses MOS &gt; 50%</v>
      </c>
      <c r="ET42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2" s="47"/>
      <c r="EV422" s="331">
        <v>46048</v>
      </c>
      <c r="EW422" s="331">
        <v>46156</v>
      </c>
      <c r="EX422" s="331">
        <v>46138</v>
      </c>
      <c r="EY422" s="331">
        <v>46186</v>
      </c>
      <c r="EZ422" s="352" t="s">
        <v>3281</v>
      </c>
      <c r="FA422" s="409" t="s">
        <v>3281</v>
      </c>
      <c r="FB422" s="331" t="e">
        <v>#N/A</v>
      </c>
      <c r="FC422" s="330" t="e">
        <v>#N/A</v>
      </c>
      <c r="FD422" s="331" t="e">
        <v>#N/A</v>
      </c>
      <c r="FE422" s="331" t="e">
        <v>#N/A</v>
      </c>
      <c r="FF422" s="331" t="e">
        <v>#N/A</v>
      </c>
      <c r="FG422" s="331" t="e">
        <v>#N/A</v>
      </c>
      <c r="FH422" s="331" t="e">
        <v>#N/A</v>
      </c>
      <c r="FI422" s="331" t="e">
        <v>#N/A</v>
      </c>
      <c r="FJ422" s="331" t="e">
        <v>#N/A</v>
      </c>
      <c r="FK422" s="331" t="e">
        <v>#N/A</v>
      </c>
      <c r="FL422" s="352" t="s">
        <v>2759</v>
      </c>
      <c r="FM422" s="352"/>
      <c r="FN422" s="338" t="str">
        <f>IF(Table1[[#This Row],[Tanggal Pengajuan Dokumen]]="","",Table1[[#This Row],[PLAN PERMIT
start]]-Table1[[#This Row],[Tanggal Pengajuan Dokumen]])</f>
        <v/>
      </c>
      <c r="FO422" s="352"/>
      <c r="FP422" s="316"/>
      <c r="FQ422" s="338"/>
      <c r="FR422" s="331"/>
      <c r="FS422" s="338"/>
      <c r="FT42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2" s="344">
        <f ca="1">IF(Table1[[#This Row],[Status Izin]]="Selesai",Table1[[#This Row],[PLAN PERMIT
finish]]-Table1[[#This Row],[Tanggal Terbit/ Target Izin Terbit]],ROUNDUP(Table1[[#This Row],[PLAN PERMIT
finish]]-NOW(),0))</f>
        <v>-53</v>
      </c>
      <c r="FV42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2" s="344"/>
      <c r="FX422" s="47"/>
      <c r="FY422" s="513">
        <v>46097</v>
      </c>
      <c r="FZ422" s="513">
        <v>46066</v>
      </c>
      <c r="GA42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2" s="331">
        <v>46111</v>
      </c>
      <c r="GC422" s="352">
        <v>46087</v>
      </c>
      <c r="GD42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2" s="331">
        <v>46118</v>
      </c>
      <c r="GF422" s="352">
        <v>46087</v>
      </c>
      <c r="GG42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2" s="331">
        <v>46125</v>
      </c>
      <c r="GI422" s="331">
        <v>46131</v>
      </c>
      <c r="GJ422" s="352">
        <v>46091</v>
      </c>
      <c r="GK42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2" s="331">
        <v>46139</v>
      </c>
      <c r="GM422" s="331">
        <v>46193</v>
      </c>
      <c r="GN422" s="331">
        <v>46166</v>
      </c>
      <c r="GO422" s="330">
        <v>46241</v>
      </c>
      <c r="GP422" s="316"/>
      <c r="GQ42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2" s="331"/>
      <c r="GS422" s="331"/>
      <c r="GT422" s="354"/>
      <c r="GU422" s="344" t="str">
        <f>IF(Table1[[#This Row],[Hydro Tes Actual
(tanggal)]]&lt;&gt;"","Sudah","Belum")</f>
        <v>Belum</v>
      </c>
      <c r="GV422" s="330"/>
      <c r="GW422" s="330"/>
      <c r="GX422" s="331"/>
      <c r="GY422" s="344" t="str">
        <f>IF(Table1[[#This Row],[Interkoneksi Actual
(tanggal)]]&lt;&gt;"","Sudah","Belum")</f>
        <v>Belum</v>
      </c>
      <c r="GZ422" s="330"/>
      <c r="HA422" s="330"/>
      <c r="HB422" s="331"/>
      <c r="HC422" s="344" t="str">
        <f>IF(Table1[[#This Row],[Flushing Actual
(tanggal)]]&lt;&gt;"","Sudah","Belum")</f>
        <v>Belum</v>
      </c>
      <c r="HD422" s="331">
        <v>46169</v>
      </c>
      <c r="HE422" s="331">
        <v>46242</v>
      </c>
      <c r="HF422" s="331">
        <v>46174</v>
      </c>
      <c r="HG422" s="352"/>
      <c r="HH42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22" s="330"/>
      <c r="HJ422" s="330"/>
      <c r="HK422" s="331"/>
      <c r="HL422" s="331"/>
      <c r="HM422" s="331">
        <v>46191</v>
      </c>
      <c r="HN422" s="331">
        <v>46191</v>
      </c>
      <c r="HO422" s="330">
        <v>46259</v>
      </c>
      <c r="HP422" s="331"/>
      <c r="HQ42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22" s="331">
        <v>46199</v>
      </c>
      <c r="HS422" s="331"/>
      <c r="HT422" s="331">
        <v>46199</v>
      </c>
      <c r="HU422" s="420"/>
      <c r="HV422" s="395"/>
      <c r="HW422"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22" s="47"/>
      <c r="HY422" s="352"/>
      <c r="HZ422" s="352"/>
      <c r="IA422" s="72"/>
      <c r="IB422" s="618">
        <f>IFERROR(ROUND((Table1[[#This Row],[PLAN TC
finish]]-Table1[[#This Row],[PLAN MC-0
start]])/30,2),"")</f>
        <v>1.63</v>
      </c>
      <c r="IC422">
        <f>DATEDIF(Table1[[#This Row],[PLAN MC-0
start]],Table1[[#This Row],[PLAN TC
finish]],"m")</f>
        <v>1</v>
      </c>
      <c r="ID422" s="6"/>
      <c r="IE422" s="6"/>
      <c r="IF422" s="72"/>
      <c r="IH422" s="6"/>
      <c r="II422" s="4"/>
      <c r="IJ422" s="4"/>
      <c r="IK422" s="6"/>
      <c r="IL422" s="6"/>
      <c r="IM422" s="6"/>
      <c r="IN422" s="6"/>
      <c r="IO422" s="6"/>
      <c r="IQ422" s="6"/>
      <c r="IR422" s="6"/>
      <c r="IS422" s="6"/>
      <c r="IT422" s="6"/>
      <c r="IW422" s="6"/>
      <c r="IX422" s="6"/>
      <c r="IZ422" s="6"/>
      <c r="JA422" s="6"/>
    </row>
    <row r="423" spans="2:261" ht="15" hidden="1" customHeight="1" x14ac:dyDescent="0.2">
      <c r="B423" s="311">
        <f>SUBTOTAL(3,$D$5:D423)</f>
        <v>84</v>
      </c>
      <c r="C423" s="316">
        <v>419</v>
      </c>
      <c r="D423" s="315" t="s">
        <v>673</v>
      </c>
      <c r="E423" s="338" t="s">
        <v>3328</v>
      </c>
      <c r="F423" s="338" t="s">
        <v>3329</v>
      </c>
      <c r="G423" s="349">
        <v>46300</v>
      </c>
      <c r="H423" s="338" t="s">
        <v>681</v>
      </c>
      <c r="I423" s="338" t="s">
        <v>278</v>
      </c>
      <c r="J423" s="480"/>
      <c r="K423" s="338"/>
      <c r="L423" s="316"/>
      <c r="M423" s="355" t="s">
        <v>251</v>
      </c>
      <c r="N423" s="507">
        <v>1041</v>
      </c>
      <c r="O423" s="31" t="s">
        <v>252</v>
      </c>
      <c r="P42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3" s="35">
        <v>0.48055833361454336</v>
      </c>
      <c r="S423" s="327">
        <v>0.48055833361454336</v>
      </c>
      <c r="T423" s="152">
        <f>Table1[[#This Row],[Progres Total Aktual
(%)]]</f>
        <v>5.1065306466489539E-2</v>
      </c>
      <c r="U423" s="121">
        <f>Table1[[#This Row],[Progres Aktual
(%)]]-Table1[[#This Row],[Target Progres
(%)]]</f>
        <v>-0.42949302714805382</v>
      </c>
      <c r="V423" s="80">
        <v>1046</v>
      </c>
      <c r="W423" s="80">
        <f>Table1[[#This Row],[Total Panjang Pipa Aktual
(Sum-&gt;)3]]</f>
        <v>0</v>
      </c>
      <c r="X423" s="117"/>
      <c r="Y423" s="67" t="s">
        <v>3330</v>
      </c>
      <c r="Z423" s="67">
        <v>1152177863</v>
      </c>
      <c r="AA423" s="509">
        <f>ROUND((Table1[[#This Row],[Nilai RAB Jaringan
(Exclude Ppn)]]-Table1[[#This Row],[RAB Perizinan]])*1.11+Table1[[#This Row],[RAB Perizinan]],0)</f>
        <v>1152177863</v>
      </c>
      <c r="AB423" s="483">
        <f>SUM(Table1[[#This Row],[RAB Kegiatan Umum]:[RAB Perizinan]])</f>
        <v>1039029696</v>
      </c>
      <c r="AC423" s="537">
        <v>74420470</v>
      </c>
      <c r="AD423" s="537">
        <v>744204692</v>
      </c>
      <c r="AE423" s="537">
        <v>209994534</v>
      </c>
      <c r="AF423" s="537">
        <v>10410000</v>
      </c>
      <c r="AG423" s="534"/>
      <c r="AH423" s="510">
        <f>SUM(Table1[[#This Row],[Bobot Keg Umum]:[Bobot Perizinan]])</f>
        <v>0.99999999999999989</v>
      </c>
      <c r="AI423" s="510">
        <f>Table1[[#This Row],[RAB Kegiatan Umum]]/Table1[[#This Row],[Nilai RAB Jaringan
(Exclude Ppn)]]</f>
        <v>7.1624969225133672E-2</v>
      </c>
      <c r="AJ423" s="510">
        <f>Table1[[#This Row],[RAB Pemasangan]]/Table1[[#This Row],[Nilai RAB Jaringan
(Exclude Ppn)]]</f>
        <v>0.71624968455184557</v>
      </c>
      <c r="AK423" s="129">
        <f>Table1[[#This Row],[RAB Pengadaan]]/Table1[[#This Row],[Nilai RAB Jaringan
(Exclude Ppn)]]</f>
        <v>0.20210638330013619</v>
      </c>
      <c r="AL423" s="130">
        <f>Table1[[#This Row],[RAB Perizinan]]/Table1[[#This Row],[Nilai RAB Jaringan
(Exclude Ppn)]]</f>
        <v>1.0018962922884544E-2</v>
      </c>
      <c r="AM423" s="47"/>
      <c r="AN423" s="285"/>
      <c r="AO423" s="285">
        <f>SUM(Table1[[#This Row],[Pipa 63 mm]:[Pipa 1,800 mm]])</f>
        <v>1046</v>
      </c>
      <c r="AP423" s="285">
        <v>1018</v>
      </c>
      <c r="AQ423" s="285">
        <v>28</v>
      </c>
      <c r="AR423" s="285"/>
      <c r="AS423" s="285"/>
      <c r="AT423" s="285"/>
      <c r="AU423" s="285"/>
      <c r="AV423" s="285"/>
      <c r="AW423" s="285"/>
      <c r="AX423" s="285"/>
      <c r="AY423" s="285"/>
      <c r="AZ423" s="285"/>
      <c r="BA423" s="285"/>
      <c r="BB423" s="285"/>
      <c r="BC423" s="285"/>
      <c r="BD423" s="285"/>
      <c r="BE423" s="285"/>
      <c r="BF423" s="285"/>
      <c r="BG423" s="285"/>
      <c r="BH423" s="285"/>
      <c r="BI423" s="285"/>
      <c r="BJ423" s="36">
        <f>SUM(Table1[[#This Row],[Pipa 63 mm2]:[Pipa 1,800 mm21]])</f>
        <v>0</v>
      </c>
      <c r="BK423" s="32"/>
      <c r="BL423" s="32"/>
      <c r="BM423" s="32"/>
      <c r="BN423" s="32"/>
      <c r="BO423" s="32"/>
      <c r="BP423" s="32"/>
      <c r="BQ423" s="32"/>
      <c r="BR423" s="32"/>
      <c r="BS423" s="32"/>
      <c r="BT423" s="32"/>
      <c r="BU423" s="32"/>
      <c r="BV423" s="32"/>
      <c r="BW423" s="32"/>
      <c r="BX423" s="32"/>
      <c r="BY423" s="32"/>
      <c r="BZ423" s="32"/>
      <c r="CA423" s="32"/>
      <c r="CB423" s="32"/>
      <c r="CC423" s="32"/>
      <c r="CD423" s="32"/>
      <c r="CE423" s="32"/>
      <c r="CF423" s="32"/>
      <c r="CG423" s="32"/>
      <c r="CH423" s="32"/>
      <c r="CI423" s="32"/>
      <c r="CJ423" s="32">
        <f>IF((Table1[[#This Row],["Volume
BA MC-0"]]-Table1[[#This Row],[Total Panjang Pipa Aktual
(Sum-&gt;)3]]-Table1[[#This Row],[Total Volume
tidak dapat dipasang]])&gt;=0,Table1[[#This Row],["Volume
BA MC-0"]]-Table1[[#This Row],[Total Panjang Pipa Aktual
(Sum-&gt;)3]]-Table1[[#This Row],[Total Volume
tidak dapat dipasang]],0)</f>
        <v>0</v>
      </c>
      <c r="CK423" s="47"/>
      <c r="CL423" s="131"/>
      <c r="CM423" s="337"/>
      <c r="CN423" s="131"/>
      <c r="CO423" s="131"/>
      <c r="CP423"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5.1065306466489539E-2</v>
      </c>
      <c r="CQ423" s="436">
        <f>IFERROR(Table1[[#This Row],[Progres Keg. Umum
(%)]]*Table1[[#This Row],[Nilai RAB Jaringan
(file pa aji)]],0)</f>
        <v>0</v>
      </c>
      <c r="CR423" s="436">
        <f>IFERROR(Table1[[#This Row],[Progres MOS
(%)]]*Table1[[#This Row],[Nilai RAB Jaringan
(file pa aji)]],0)</f>
        <v>0</v>
      </c>
      <c r="CS423" s="436">
        <f>IFERROR(Table1[[#This Row],[Progres Pemasangan
(%)]]*Table1[[#This Row],[Nilai RAB Jaringan
(file pa aji)]],0)</f>
        <v>0</v>
      </c>
      <c r="CT423" s="436">
        <f>IFERROR(Table1[[#This Row],[Progres Perizinan
(%)]]*Table1[[#This Row],[Nilai RAB Jaringan
(file pa aji)]],0)</f>
        <v>0</v>
      </c>
      <c r="CU423" s="329">
        <v>58836315.677999996</v>
      </c>
      <c r="CV423" s="329">
        <v>58836315.677999996</v>
      </c>
      <c r="CW423" s="511">
        <v>0</v>
      </c>
      <c r="CX423" s="329">
        <v>0</v>
      </c>
      <c r="CY423" s="47"/>
      <c r="CZ423" s="331">
        <v>46020</v>
      </c>
      <c r="DA423" s="331">
        <v>46047</v>
      </c>
      <c r="DB423" s="331">
        <v>46031</v>
      </c>
      <c r="DC423" s="316" t="s">
        <v>3331</v>
      </c>
      <c r="DD423" s="508">
        <v>1152177862.5599999</v>
      </c>
      <c r="DE42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3" s="331">
        <v>46050</v>
      </c>
      <c r="DG423" s="316" t="s">
        <v>3332</v>
      </c>
      <c r="DH423" s="508">
        <v>1152177862.5599999</v>
      </c>
      <c r="DI42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23" s="331">
        <v>46048</v>
      </c>
      <c r="DK423" s="331">
        <v>46110</v>
      </c>
      <c r="DL423" s="331">
        <v>46057</v>
      </c>
      <c r="DM423" s="316" t="s">
        <v>3333</v>
      </c>
      <c r="DN42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3" s="331">
        <v>46086</v>
      </c>
      <c r="DP423" s="316"/>
      <c r="DQ423" s="338" t="s">
        <v>1671</v>
      </c>
      <c r="DR42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3" s="331">
        <v>46048</v>
      </c>
      <c r="DT423" s="331">
        <v>46162</v>
      </c>
      <c r="DU423" s="331">
        <v>46089</v>
      </c>
      <c r="DV423" s="331">
        <v>46176</v>
      </c>
      <c r="DW423" s="331">
        <v>46059</v>
      </c>
      <c r="DX423" t="s">
        <v>3334</v>
      </c>
      <c r="DY423" s="512">
        <v>52</v>
      </c>
      <c r="DZ423" s="512">
        <v>52</v>
      </c>
      <c r="EA42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3" s="331">
        <v>46162</v>
      </c>
      <c r="EC423" s="334">
        <v>52</v>
      </c>
      <c r="ED423" s="334">
        <v>52</v>
      </c>
      <c r="EE423" s="141" t="s">
        <v>3335</v>
      </c>
      <c r="EF423" s="337">
        <v>1</v>
      </c>
      <c r="EG423" s="337">
        <f>Table1[[#This Row],[Line PO]]/Table1[[#This Row],[Line PR]]</f>
        <v>1</v>
      </c>
      <c r="EH423" s="316" t="str">
        <f>IF(Table1[[#This Row],[PO Material Aktual 
(%)]]&gt;=100%,"Selesai PO = 100%",IF(Table1[[#This Row],[PO Material Aktual 
(%)]]&gt;=50%,"Proses PO &gt; 100%",IF(Table1[[#This Row],[PO Material Aktual 
(%)]]&gt;0%,"Proses PO &gt; 50%",IF(Table1[[#This Row],[PO Material Aktual 
(%)]]=0,"Belum PO = 0%"))))</f>
        <v>Selesai PO = 100%</v>
      </c>
      <c r="EI42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3" s="331">
        <v>46090</v>
      </c>
      <c r="EK423" s="331">
        <v>46176</v>
      </c>
      <c r="EL423" s="331">
        <v>46173</v>
      </c>
      <c r="EM423" s="331">
        <v>46190</v>
      </c>
      <c r="EN423" s="331"/>
      <c r="EO423" s="512">
        <v>22</v>
      </c>
      <c r="EP423" s="512">
        <v>22</v>
      </c>
      <c r="EQ423" s="337">
        <v>0.42307692307692307</v>
      </c>
      <c r="ER423" s="337">
        <f>Table1[[#This Row],[Line MOS]]/Table1[[#This Row],[Line PR]]</f>
        <v>0.42307692307692307</v>
      </c>
      <c r="ES423" s="316" t="str">
        <f>IF(Table1[[#This Row],[Progres MOS]]&gt;=100%,"Selesai MOS = 100%",IF(Table1[[#This Row],[Progres MOS]]&gt;=50%,"Proses MOS &gt; 100%",IF(Table1[[#This Row],[Progres MOS]]&gt;0%,"Proses MOS &gt; 50%",IF(Table1[[#This Row],[Progres MOS]]=0,"Belum MOS = 0%"))))</f>
        <v>Proses MOS &gt; 50%</v>
      </c>
      <c r="ET42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3" s="47"/>
      <c r="EV423" s="331">
        <v>46048</v>
      </c>
      <c r="EW423" s="331">
        <v>46156</v>
      </c>
      <c r="EX423" s="331">
        <v>46138</v>
      </c>
      <c r="EY423" s="331">
        <v>46186</v>
      </c>
      <c r="EZ423" s="352" t="s">
        <v>3281</v>
      </c>
      <c r="FA423" s="409" t="s">
        <v>3281</v>
      </c>
      <c r="FB423" s="331" t="e">
        <v>#N/A</v>
      </c>
      <c r="FC423" s="330" t="e">
        <v>#N/A</v>
      </c>
      <c r="FD423" s="331" t="e">
        <v>#N/A</v>
      </c>
      <c r="FE423" s="331" t="e">
        <v>#N/A</v>
      </c>
      <c r="FF423" s="331" t="e">
        <v>#N/A</v>
      </c>
      <c r="FG423" s="331" t="e">
        <v>#N/A</v>
      </c>
      <c r="FH423" s="331" t="e">
        <v>#N/A</v>
      </c>
      <c r="FI423" s="331" t="e">
        <v>#N/A</v>
      </c>
      <c r="FJ423" s="331" t="e">
        <v>#N/A</v>
      </c>
      <c r="FK423" s="331" t="e">
        <v>#N/A</v>
      </c>
      <c r="FL423" s="352" t="s">
        <v>2759</v>
      </c>
      <c r="FM423" s="352"/>
      <c r="FN423" s="338" t="str">
        <f>IF(Table1[[#This Row],[Tanggal Pengajuan Dokumen]]="","",Table1[[#This Row],[PLAN PERMIT
start]]-Table1[[#This Row],[Tanggal Pengajuan Dokumen]])</f>
        <v/>
      </c>
      <c r="FO423" s="352"/>
      <c r="FP423" s="316"/>
      <c r="FQ423" s="338"/>
      <c r="FR423" s="331"/>
      <c r="FS423" s="338"/>
      <c r="FT42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3" s="344">
        <f ca="1">IF(Table1[[#This Row],[Status Izin]]="Selesai",Table1[[#This Row],[PLAN PERMIT
finish]]-Table1[[#This Row],[Tanggal Terbit/ Target Izin Terbit]],ROUNDUP(Table1[[#This Row],[PLAN PERMIT
finish]]-NOW(),0))</f>
        <v>-53</v>
      </c>
      <c r="FV42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3" s="344"/>
      <c r="FX423" s="47"/>
      <c r="FY423" s="513">
        <v>46097</v>
      </c>
      <c r="FZ423" s="513">
        <v>46066</v>
      </c>
      <c r="GA42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3" s="331">
        <v>46111</v>
      </c>
      <c r="GC423" s="352">
        <v>46087</v>
      </c>
      <c r="GD42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3" s="331">
        <v>46118</v>
      </c>
      <c r="GF423" s="352">
        <v>46087</v>
      </c>
      <c r="GG42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3" s="331">
        <v>46125</v>
      </c>
      <c r="GI423" s="331">
        <v>46131</v>
      </c>
      <c r="GJ423" s="352">
        <v>46091</v>
      </c>
      <c r="GK42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3" s="331">
        <v>46139</v>
      </c>
      <c r="GM423" s="331">
        <v>46193</v>
      </c>
      <c r="GN423" s="331">
        <v>46201</v>
      </c>
      <c r="GO423" s="330">
        <v>46269</v>
      </c>
      <c r="GP423" s="316"/>
      <c r="GQ42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3" s="331"/>
      <c r="GS423" s="331"/>
      <c r="GT423" s="354"/>
      <c r="GU423" s="344" t="str">
        <f>IF(Table1[[#This Row],[Hydro Tes Actual
(tanggal)]]&lt;&gt;"","Sudah","Belum")</f>
        <v>Belum</v>
      </c>
      <c r="GV423" s="330"/>
      <c r="GW423" s="330"/>
      <c r="GX423" s="331"/>
      <c r="GY423" s="344" t="str">
        <f>IF(Table1[[#This Row],[Interkoneksi Actual
(tanggal)]]&lt;&gt;"","Sudah","Belum")</f>
        <v>Belum</v>
      </c>
      <c r="GZ423" s="330"/>
      <c r="HA423" s="330"/>
      <c r="HB423" s="331"/>
      <c r="HC423" s="344" t="str">
        <f>IF(Table1[[#This Row],[Flushing Actual
(tanggal)]]&lt;&gt;"","Sudah","Belum")</f>
        <v>Belum</v>
      </c>
      <c r="HD423" s="331">
        <v>46204</v>
      </c>
      <c r="HE423" s="331">
        <v>46270</v>
      </c>
      <c r="HF423" s="331">
        <v>46209</v>
      </c>
      <c r="HG423" s="352"/>
      <c r="HH42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3" s="330"/>
      <c r="HJ423" s="330"/>
      <c r="HK423" s="331"/>
      <c r="HL423" s="331"/>
      <c r="HM423" s="331">
        <v>46226</v>
      </c>
      <c r="HN423" s="331">
        <v>46226</v>
      </c>
      <c r="HO423" s="330">
        <v>46287</v>
      </c>
      <c r="HP423" s="331"/>
      <c r="HQ42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23" s="331">
        <v>46234</v>
      </c>
      <c r="HS423" s="331"/>
      <c r="HT423" s="331">
        <v>46234</v>
      </c>
      <c r="HU423" s="420"/>
      <c r="HV423" s="395"/>
      <c r="HW423"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23" s="47"/>
      <c r="HY423" s="352"/>
      <c r="HZ423" s="352"/>
      <c r="IA423" s="72"/>
      <c r="IB423" s="618">
        <f>IFERROR(ROUND((Table1[[#This Row],[PLAN TC
finish]]-Table1[[#This Row],[PLAN MC-0
start]])/30,2),"")</f>
        <v>2.8</v>
      </c>
      <c r="IC423">
        <f>DATEDIF(Table1[[#This Row],[PLAN MC-0
start]],Table1[[#This Row],[PLAN TC
finish]],"m")</f>
        <v>2</v>
      </c>
      <c r="ID423" s="6"/>
      <c r="IE423" s="6"/>
      <c r="IF423" s="72"/>
      <c r="IH423" s="6"/>
      <c r="II423" s="4"/>
      <c r="IJ423" s="4"/>
      <c r="IK423" s="6"/>
      <c r="IL423" s="6"/>
      <c r="IM423" s="6"/>
      <c r="IN423" s="6"/>
      <c r="IO423" s="6"/>
      <c r="IQ423" s="6"/>
      <c r="IR423" s="6"/>
      <c r="IS423" s="6"/>
      <c r="IT423" s="6"/>
      <c r="IW423" s="6"/>
      <c r="IX423" s="6"/>
      <c r="IZ423" s="6"/>
      <c r="JA423" s="6"/>
    </row>
    <row r="424" spans="2:261" ht="15" hidden="1" customHeight="1" x14ac:dyDescent="0.2">
      <c r="B424" s="311">
        <f>SUBTOTAL(3,$D$5:D424)</f>
        <v>84</v>
      </c>
      <c r="C424" s="316">
        <v>420</v>
      </c>
      <c r="D424" s="315" t="s">
        <v>673</v>
      </c>
      <c r="E424" s="338" t="s">
        <v>3336</v>
      </c>
      <c r="F424" s="338" t="s">
        <v>3337</v>
      </c>
      <c r="G424" s="349">
        <v>46300</v>
      </c>
      <c r="H424" s="338" t="s">
        <v>681</v>
      </c>
      <c r="I424" s="338" t="s">
        <v>278</v>
      </c>
      <c r="J424" s="480"/>
      <c r="K424" s="338"/>
      <c r="L424" s="316"/>
      <c r="M424" s="355" t="s">
        <v>251</v>
      </c>
      <c r="N424" s="507">
        <v>706</v>
      </c>
      <c r="O424" s="31" t="s">
        <v>252</v>
      </c>
      <c r="P42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4" s="35">
        <v>0.16392194938458585</v>
      </c>
      <c r="S424" s="327">
        <v>0.16392194938458585</v>
      </c>
      <c r="T424" s="152">
        <f>Table1[[#This Row],[Progres Total Aktual
(%)]]</f>
        <v>6.5695051379593764E-2</v>
      </c>
      <c r="U424" s="121">
        <f>Table1[[#This Row],[Progres Aktual
(%)]]-Table1[[#This Row],[Target Progres
(%)]]</f>
        <v>-9.8226898004992083E-2</v>
      </c>
      <c r="V424" s="80">
        <v>705</v>
      </c>
      <c r="W424" s="80">
        <f>Table1[[#This Row],[Total Panjang Pipa Aktual
(Sum-&gt;)3]]</f>
        <v>0</v>
      </c>
      <c r="X424" s="117"/>
      <c r="Y424" s="67" t="s">
        <v>3338</v>
      </c>
      <c r="Z424" s="67">
        <v>1008009930</v>
      </c>
      <c r="AA424" s="509">
        <f>ROUND((Table1[[#This Row],[Nilai RAB Jaringan
(Exclude Ppn)]]-Table1[[#This Row],[RAB Perizinan]])*1.11+Table1[[#This Row],[RAB Perizinan]],0)</f>
        <v>1008009929</v>
      </c>
      <c r="AB424" s="483">
        <f>SUM(Table1[[#This Row],[RAB Kegiatan Umum]:[RAB Perizinan]])</f>
        <v>908816693</v>
      </c>
      <c r="AC424" s="537">
        <v>58431761</v>
      </c>
      <c r="AD424" s="537">
        <v>584317608</v>
      </c>
      <c r="AE424" s="537">
        <v>259007324</v>
      </c>
      <c r="AF424" s="537">
        <v>7060000</v>
      </c>
      <c r="AG424" s="534"/>
      <c r="AH424" s="510">
        <f>SUM(Table1[[#This Row],[Bobot Keg Umum]:[Bobot Perizinan]])</f>
        <v>1</v>
      </c>
      <c r="AI424" s="510">
        <f>Table1[[#This Row],[RAB Kegiatan Umum]]/Table1[[#This Row],[Nilai RAB Jaringan
(Exclude Ppn)]]</f>
        <v>6.4294330694033591E-2</v>
      </c>
      <c r="AJ424" s="510">
        <f>Table1[[#This Row],[RAB Pemasangan]]/Table1[[#This Row],[Nilai RAB Jaringan
(Exclude Ppn)]]</f>
        <v>0.64294330473967209</v>
      </c>
      <c r="AK424" s="129">
        <f>Table1[[#This Row],[RAB Pengadaan]]/Table1[[#This Row],[Nilai RAB Jaringan
(Exclude Ppn)]]</f>
        <v>0.28499402134111107</v>
      </c>
      <c r="AL424" s="130">
        <f>Table1[[#This Row],[RAB Perizinan]]/Table1[[#This Row],[Nilai RAB Jaringan
(Exclude Ppn)]]</f>
        <v>7.7683432251832545E-3</v>
      </c>
      <c r="AM424" s="47"/>
      <c r="AN424" s="285"/>
      <c r="AO424" s="285">
        <f>SUM(Table1[[#This Row],[Pipa 63 mm]:[Pipa 1,800 mm]])</f>
        <v>705</v>
      </c>
      <c r="AP424" s="285">
        <v>705</v>
      </c>
      <c r="AQ424" s="285"/>
      <c r="AR424" s="285"/>
      <c r="AS424" s="285"/>
      <c r="AT424" s="285"/>
      <c r="AU424" s="285"/>
      <c r="AV424" s="285"/>
      <c r="AW424" s="285"/>
      <c r="AX424" s="285"/>
      <c r="AY424" s="285"/>
      <c r="AZ424" s="285"/>
      <c r="BA424" s="285"/>
      <c r="BB424" s="285"/>
      <c r="BC424" s="285"/>
      <c r="BD424" s="285"/>
      <c r="BE424" s="285"/>
      <c r="BF424" s="285"/>
      <c r="BG424" s="285"/>
      <c r="BH424" s="285"/>
      <c r="BI424" s="285"/>
      <c r="BJ424" s="36">
        <f>SUM(Table1[[#This Row],[Pipa 63 mm2]:[Pipa 1,800 mm21]])</f>
        <v>0</v>
      </c>
      <c r="BK424" s="32"/>
      <c r="BL424" s="32"/>
      <c r="BM424" s="32"/>
      <c r="BN424" s="32"/>
      <c r="BO424" s="32"/>
      <c r="BP424" s="32"/>
      <c r="BQ424" s="32"/>
      <c r="BR424" s="32"/>
      <c r="BS424" s="32"/>
      <c r="BT424" s="32"/>
      <c r="BU424" s="32"/>
      <c r="BV424" s="32"/>
      <c r="BW424" s="32"/>
      <c r="BX424" s="32"/>
      <c r="BY424" s="32"/>
      <c r="BZ424" s="32"/>
      <c r="CA424" s="32"/>
      <c r="CB424" s="32"/>
      <c r="CC424" s="32"/>
      <c r="CD424" s="32"/>
      <c r="CE424" s="32"/>
      <c r="CF424" s="32"/>
      <c r="CG424" s="32"/>
      <c r="CH424" s="32"/>
      <c r="CI424" s="32"/>
      <c r="CJ424" s="32">
        <f>IF((Table1[[#This Row],["Volume
BA MC-0"]]-Table1[[#This Row],[Total Panjang Pipa Aktual
(Sum-&gt;)3]]-Table1[[#This Row],[Total Volume
tidak dapat dipasang]])&gt;=0,Table1[[#This Row],["Volume
BA MC-0"]]-Table1[[#This Row],[Total Panjang Pipa Aktual
(Sum-&gt;)3]]-Table1[[#This Row],[Total Volume
tidak dapat dipasang]],0)</f>
        <v>0</v>
      </c>
      <c r="CK424" s="47"/>
      <c r="CL424" s="131"/>
      <c r="CM424" s="337"/>
      <c r="CN424" s="131"/>
      <c r="CO424" s="131"/>
      <c r="CP424"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6.5695051379593764E-2</v>
      </c>
      <c r="CQ424" s="436">
        <f>IFERROR(Table1[[#This Row],[Progres Keg. Umum
(%)]]*Table1[[#This Row],[Nilai RAB Jaringan
(file pa aji)]],0)</f>
        <v>0</v>
      </c>
      <c r="CR424" s="436">
        <f>IFERROR(Table1[[#This Row],[Progres MOS
(%)]]*Table1[[#This Row],[Nilai RAB Jaringan
(file pa aji)]],0)</f>
        <v>0</v>
      </c>
      <c r="CS424" s="436">
        <f>IFERROR(Table1[[#This Row],[Progres Pemasangan
(%)]]*Table1[[#This Row],[Nilai RAB Jaringan
(file pa aji)]],0)</f>
        <v>0</v>
      </c>
      <c r="CT424" s="436">
        <f>IFERROR(Table1[[#This Row],[Progres Perizinan
(%)]]*Table1[[#This Row],[Nilai RAB Jaringan
(file pa aji)]],0)</f>
        <v>0</v>
      </c>
      <c r="CU424" s="329">
        <v>66221264.07679566</v>
      </c>
      <c r="CV424" s="329">
        <v>66221264.07679566</v>
      </c>
      <c r="CW424" s="511">
        <v>0</v>
      </c>
      <c r="CX424" s="329">
        <v>0</v>
      </c>
      <c r="CY424" s="47"/>
      <c r="CZ424" s="331">
        <v>46048</v>
      </c>
      <c r="DA424" s="331">
        <v>46075</v>
      </c>
      <c r="DB424" s="331">
        <v>46021</v>
      </c>
      <c r="DC424" s="316" t="s">
        <v>3339</v>
      </c>
      <c r="DD424" s="508">
        <v>21698050262.23</v>
      </c>
      <c r="DE42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4" s="331">
        <v>46042</v>
      </c>
      <c r="DG424" s="316" t="s">
        <v>3340</v>
      </c>
      <c r="DH424" s="508">
        <v>21698050262.23</v>
      </c>
      <c r="DI42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4" s="331">
        <v>46076</v>
      </c>
      <c r="DK424" s="331">
        <v>46173</v>
      </c>
      <c r="DL424" s="331">
        <v>46062</v>
      </c>
      <c r="DM424" s="316" t="s">
        <v>3341</v>
      </c>
      <c r="DN42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4" s="331">
        <v>46086</v>
      </c>
      <c r="DP424" s="316"/>
      <c r="DQ424" s="338" t="s">
        <v>312</v>
      </c>
      <c r="DR42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4" s="331">
        <v>46076</v>
      </c>
      <c r="DT424" s="331">
        <v>46164</v>
      </c>
      <c r="DU424" s="331">
        <v>46117</v>
      </c>
      <c r="DV424" s="331">
        <v>46178</v>
      </c>
      <c r="DW424" s="331">
        <v>46062</v>
      </c>
      <c r="DX424" t="s">
        <v>3342</v>
      </c>
      <c r="DY424" s="512">
        <v>47</v>
      </c>
      <c r="DZ424" s="512">
        <v>47</v>
      </c>
      <c r="EA42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4" s="331"/>
      <c r="EC424" s="334">
        <v>45</v>
      </c>
      <c r="ED424" s="334">
        <v>45</v>
      </c>
      <c r="EE424"/>
      <c r="EF424" s="337">
        <v>0.95744680851063835</v>
      </c>
      <c r="EG424" s="337">
        <f>Table1[[#This Row],[Line PO]]/Table1[[#This Row],[Line PR]]</f>
        <v>0.95744680851063835</v>
      </c>
      <c r="EH424" s="316" t="str">
        <f>IF(Table1[[#This Row],[PO Material Aktual 
(%)]]&gt;=100%,"Selesai PO = 100%",IF(Table1[[#This Row],[PO Material Aktual 
(%)]]&gt;=50%,"Proses PO &gt; 100%",IF(Table1[[#This Row],[PO Material Aktual 
(%)]]&gt;0%,"Proses PO &gt; 50%",IF(Table1[[#This Row],[PO Material Aktual 
(%)]]=0,"Belum PO = 0%"))))</f>
        <v>Proses PO &gt; 100%</v>
      </c>
      <c r="EI42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4" s="331">
        <v>46118</v>
      </c>
      <c r="EK424" s="331">
        <v>46178</v>
      </c>
      <c r="EL424" s="331">
        <v>46201</v>
      </c>
      <c r="EM424" s="331">
        <v>46183</v>
      </c>
      <c r="EN424" s="331"/>
      <c r="EO424" s="512">
        <v>15</v>
      </c>
      <c r="EP424" s="512">
        <v>15</v>
      </c>
      <c r="EQ424" s="337">
        <v>0.31914893617021278</v>
      </c>
      <c r="ER424" s="337">
        <f>Table1[[#This Row],[Line MOS]]/Table1[[#This Row],[Line PR]]</f>
        <v>0.31914893617021278</v>
      </c>
      <c r="ES424" s="316" t="str">
        <f>IF(Table1[[#This Row],[Progres MOS]]&gt;=100%,"Selesai MOS = 100%",IF(Table1[[#This Row],[Progres MOS]]&gt;=50%,"Proses MOS &gt; 100%",IF(Table1[[#This Row],[Progres MOS]]&gt;0%,"Proses MOS &gt; 50%",IF(Table1[[#This Row],[Progres MOS]]=0,"Belum MOS = 0%"))))</f>
        <v>Proses MOS &gt; 50%</v>
      </c>
      <c r="ET42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4" s="47"/>
      <c r="EV424" s="331">
        <v>46076</v>
      </c>
      <c r="EW424" s="331">
        <v>46156</v>
      </c>
      <c r="EX424" s="331">
        <v>46201</v>
      </c>
      <c r="EY424" s="331">
        <v>46186</v>
      </c>
      <c r="EZ424" s="352" t="s">
        <v>3281</v>
      </c>
      <c r="FA424" s="409" t="s">
        <v>3281</v>
      </c>
      <c r="FB424" s="331" t="e">
        <v>#N/A</v>
      </c>
      <c r="FC424" s="330" t="e">
        <v>#N/A</v>
      </c>
      <c r="FD424" s="331" t="e">
        <v>#N/A</v>
      </c>
      <c r="FE424" s="331" t="e">
        <v>#N/A</v>
      </c>
      <c r="FF424" s="331" t="e">
        <v>#N/A</v>
      </c>
      <c r="FG424" s="331" t="e">
        <v>#N/A</v>
      </c>
      <c r="FH424" s="331" t="e">
        <v>#N/A</v>
      </c>
      <c r="FI424" s="331" t="e">
        <v>#N/A</v>
      </c>
      <c r="FJ424" s="331" t="e">
        <v>#N/A</v>
      </c>
      <c r="FK424" s="331" t="e">
        <v>#N/A</v>
      </c>
      <c r="FL424" s="352" t="s">
        <v>2759</v>
      </c>
      <c r="FM424" s="352"/>
      <c r="FN424" s="338" t="str">
        <f>IF(Table1[[#This Row],[Tanggal Pengajuan Dokumen]]="","",Table1[[#This Row],[PLAN PERMIT
start]]-Table1[[#This Row],[Tanggal Pengajuan Dokumen]])</f>
        <v/>
      </c>
      <c r="FO424" s="352"/>
      <c r="FP424" s="316"/>
      <c r="FQ424" s="338"/>
      <c r="FR424" s="331"/>
      <c r="FS424" s="338"/>
      <c r="FT42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24" s="344">
        <f ca="1">IF(Table1[[#This Row],[Status Izin]]="Selesai",Table1[[#This Row],[PLAN PERMIT
finish]]-Table1[[#This Row],[Tanggal Terbit/ Target Izin Terbit]],ROUNDUP(Table1[[#This Row],[PLAN PERMIT
finish]]-NOW(),0))</f>
        <v>11</v>
      </c>
      <c r="FV42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4" s="344"/>
      <c r="FX424" s="47"/>
      <c r="FY424" s="513">
        <v>46160</v>
      </c>
      <c r="FZ424" s="513">
        <v>46066</v>
      </c>
      <c r="GA42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4" s="331">
        <v>46174</v>
      </c>
      <c r="GC424" s="352">
        <v>46090</v>
      </c>
      <c r="GD42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4" s="331">
        <v>46181</v>
      </c>
      <c r="GF424" s="352">
        <v>46090</v>
      </c>
      <c r="GG42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4" s="331">
        <v>46188</v>
      </c>
      <c r="GI424" s="331">
        <v>46194</v>
      </c>
      <c r="GJ424" s="352">
        <v>46092</v>
      </c>
      <c r="GK42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4" s="331">
        <v>46202</v>
      </c>
      <c r="GM424" s="331">
        <v>46193</v>
      </c>
      <c r="GN424" s="331">
        <v>46222</v>
      </c>
      <c r="GO424" s="330">
        <v>46241</v>
      </c>
      <c r="GP424" s="316"/>
      <c r="GQ42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4" s="331"/>
      <c r="GS424" s="331"/>
      <c r="GT424" s="354"/>
      <c r="GU424" s="344" t="str">
        <f>IF(Table1[[#This Row],[Hydro Tes Actual
(tanggal)]]&lt;&gt;"","Sudah","Belum")</f>
        <v>Belum</v>
      </c>
      <c r="GV424" s="330"/>
      <c r="GW424" s="330"/>
      <c r="GX424" s="331"/>
      <c r="GY424" s="344" t="str">
        <f>IF(Table1[[#This Row],[Interkoneksi Actual
(tanggal)]]&lt;&gt;"","Sudah","Belum")</f>
        <v>Belum</v>
      </c>
      <c r="GZ424" s="330"/>
      <c r="HA424" s="330"/>
      <c r="HB424" s="331"/>
      <c r="HC424" s="344" t="str">
        <f>IF(Table1[[#This Row],[Flushing Actual
(tanggal)]]&lt;&gt;"","Sudah","Belum")</f>
        <v>Belum</v>
      </c>
      <c r="HD424" s="331">
        <v>46225</v>
      </c>
      <c r="HE424" s="331">
        <v>46242</v>
      </c>
      <c r="HF424" s="331">
        <v>46230</v>
      </c>
      <c r="HG424" s="352"/>
      <c r="HH42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4" s="330"/>
      <c r="HJ424" s="330"/>
      <c r="HK424" s="331"/>
      <c r="HL424" s="331"/>
      <c r="HM424" s="331">
        <v>46247</v>
      </c>
      <c r="HN424" s="331">
        <v>46247</v>
      </c>
      <c r="HO424" s="330">
        <v>46259</v>
      </c>
      <c r="HP424" s="331"/>
      <c r="HQ42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24" s="331">
        <v>46255</v>
      </c>
      <c r="HS424" s="331"/>
      <c r="HT424" s="331">
        <v>46255</v>
      </c>
      <c r="HU424" s="420"/>
      <c r="HV424" s="395"/>
      <c r="HW424"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24" s="47"/>
      <c r="HY424" s="352"/>
      <c r="HZ424" s="352"/>
      <c r="IA424" s="72"/>
      <c r="IB424" s="618">
        <f>IFERROR(ROUND((Table1[[#This Row],[PLAN TC
finish]]-Table1[[#This Row],[PLAN MC-0
start]])/30,2),"")</f>
        <v>1.4</v>
      </c>
      <c r="IC424">
        <f>DATEDIF(Table1[[#This Row],[PLAN MC-0
start]],Table1[[#This Row],[PLAN TC
finish]],"m")</f>
        <v>1</v>
      </c>
      <c r="ID424" s="6"/>
      <c r="IE424" s="6"/>
      <c r="IF424" s="72"/>
      <c r="IH424" s="6"/>
      <c r="II424" s="4"/>
      <c r="IJ424" s="4"/>
      <c r="IK424" s="6"/>
      <c r="IL424" s="6"/>
      <c r="IM424" s="6"/>
      <c r="IN424" s="6"/>
      <c r="IO424" s="6"/>
      <c r="IQ424" s="6"/>
      <c r="IR424" s="6"/>
      <c r="IS424" s="6"/>
      <c r="IT424" s="6"/>
      <c r="IW424" s="6"/>
      <c r="IX424" s="6"/>
      <c r="IZ424" s="6"/>
      <c r="JA424" s="6"/>
    </row>
    <row r="425" spans="2:261" ht="15" hidden="1" customHeight="1" x14ac:dyDescent="0.2">
      <c r="B425" s="311">
        <f>SUBTOTAL(3,$D$5:D425)</f>
        <v>84</v>
      </c>
      <c r="C425" s="316">
        <v>421</v>
      </c>
      <c r="D425" s="315" t="s">
        <v>673</v>
      </c>
      <c r="E425" s="338" t="s">
        <v>3343</v>
      </c>
      <c r="F425" s="338" t="s">
        <v>3344</v>
      </c>
      <c r="G425" s="349">
        <v>46300</v>
      </c>
      <c r="H425" s="338" t="s">
        <v>681</v>
      </c>
      <c r="I425" s="338" t="s">
        <v>278</v>
      </c>
      <c r="J425" s="480"/>
      <c r="K425" s="338"/>
      <c r="L425" s="316"/>
      <c r="M425" s="355" t="s">
        <v>251</v>
      </c>
      <c r="N425" s="507">
        <v>772</v>
      </c>
      <c r="O425" s="31" t="s">
        <v>252</v>
      </c>
      <c r="P42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5" s="35">
        <v>0.10336377948780713</v>
      </c>
      <c r="S425" s="327">
        <v>0.10336377948780713</v>
      </c>
      <c r="T425" s="152">
        <f>Table1[[#This Row],[Progres Total Aktual
(%)]]</f>
        <v>3.8770119117891348E-2</v>
      </c>
      <c r="U425" s="121">
        <f>Table1[[#This Row],[Progres Aktual
(%)]]-Table1[[#This Row],[Target Progres
(%)]]</f>
        <v>-6.459366036991579E-2</v>
      </c>
      <c r="V425" s="80">
        <v>821</v>
      </c>
      <c r="W425" s="80">
        <f>Table1[[#This Row],[Total Panjang Pipa Aktual
(Sum-&gt;)3]]</f>
        <v>0</v>
      </c>
      <c r="X425" s="117"/>
      <c r="Y425" s="67" t="s">
        <v>3345</v>
      </c>
      <c r="Z425" s="67">
        <v>870569306</v>
      </c>
      <c r="AA425" s="509">
        <f>ROUND((Table1[[#This Row],[Nilai RAB Jaringan
(Exclude Ppn)]]-Table1[[#This Row],[RAB Perizinan]])*1.11+Table1[[#This Row],[RAB Perizinan]],0)</f>
        <v>870569306</v>
      </c>
      <c r="AB425" s="483">
        <f>SUM(Table1[[#This Row],[RAB Kegiatan Umum]:[RAB Perizinan]])</f>
        <v>785061717</v>
      </c>
      <c r="AC425" s="537">
        <v>58184492</v>
      </c>
      <c r="AD425" s="537">
        <v>581844912</v>
      </c>
      <c r="AE425" s="537">
        <v>137312313</v>
      </c>
      <c r="AF425" s="537">
        <v>7720000</v>
      </c>
      <c r="AG425" s="534"/>
      <c r="AH425" s="510">
        <f>SUM(Table1[[#This Row],[Bobot Keg Umum]:[Bobot Perizinan]])</f>
        <v>1</v>
      </c>
      <c r="AI425" s="510">
        <f>Table1[[#This Row],[RAB Kegiatan Umum]]/Table1[[#This Row],[Nilai RAB Jaringan
(Exclude Ppn)]]</f>
        <v>7.4114545060665588E-2</v>
      </c>
      <c r="AJ425" s="510">
        <f>Table1[[#This Row],[RAB Pemasangan]]/Table1[[#This Row],[Nilai RAB Jaringan
(Exclude Ppn)]]</f>
        <v>0.74114544041637431</v>
      </c>
      <c r="AK425" s="129">
        <f>Table1[[#This Row],[RAB Pengadaan]]/Table1[[#This Row],[Nilai RAB Jaringan
(Exclude Ppn)]]</f>
        <v>0.17490639274160402</v>
      </c>
      <c r="AL425" s="130">
        <f>Table1[[#This Row],[RAB Perizinan]]/Table1[[#This Row],[Nilai RAB Jaringan
(Exclude Ppn)]]</f>
        <v>9.833621781356076E-3</v>
      </c>
      <c r="AM425" s="47"/>
      <c r="AN425" s="285"/>
      <c r="AO425" s="285">
        <f>SUM(Table1[[#This Row],[Pipa 63 mm]:[Pipa 1,800 mm]])</f>
        <v>818</v>
      </c>
      <c r="AP425" s="285">
        <f>35+221</f>
        <v>256</v>
      </c>
      <c r="AQ425" s="285">
        <v>562</v>
      </c>
      <c r="AR425" s="285"/>
      <c r="AS425" s="285"/>
      <c r="AT425" s="285"/>
      <c r="AU425" s="285"/>
      <c r="AV425" s="285"/>
      <c r="AW425" s="285"/>
      <c r="AX425" s="285"/>
      <c r="AY425" s="285"/>
      <c r="AZ425" s="285"/>
      <c r="BA425" s="285"/>
      <c r="BB425" s="285"/>
      <c r="BC425" s="285"/>
      <c r="BD425" s="285"/>
      <c r="BE425" s="285"/>
      <c r="BF425" s="285"/>
      <c r="BG425" s="285"/>
      <c r="BH425" s="285"/>
      <c r="BI425" s="285"/>
      <c r="BJ425" s="36">
        <f>SUM(Table1[[#This Row],[Pipa 63 mm2]:[Pipa 1,800 mm21]])</f>
        <v>0</v>
      </c>
      <c r="BK425" s="32"/>
      <c r="BL425" s="32"/>
      <c r="BM425" s="32"/>
      <c r="BN425" s="32"/>
      <c r="BO425" s="32"/>
      <c r="BP425" s="32"/>
      <c r="BQ425" s="32"/>
      <c r="BR425" s="32"/>
      <c r="BS425" s="32"/>
      <c r="BT425" s="32"/>
      <c r="BU425" s="32"/>
      <c r="BV425" s="32"/>
      <c r="BW425" s="32"/>
      <c r="BX425" s="32"/>
      <c r="BY425" s="32"/>
      <c r="BZ425" s="32"/>
      <c r="CA425" s="32"/>
      <c r="CB425" s="32"/>
      <c r="CC425" s="32"/>
      <c r="CD425" s="32"/>
      <c r="CE425" s="32"/>
      <c r="CF425" s="32"/>
      <c r="CG425" s="32"/>
      <c r="CH425" s="32"/>
      <c r="CI425" s="32"/>
      <c r="CJ425" s="32">
        <f>IF((Table1[[#This Row],["Volume
BA MC-0"]]-Table1[[#This Row],[Total Panjang Pipa Aktual
(Sum-&gt;)3]]-Table1[[#This Row],[Total Volume
tidak dapat dipasang]])&gt;=0,Table1[[#This Row],["Volume
BA MC-0"]]-Table1[[#This Row],[Total Panjang Pipa Aktual
(Sum-&gt;)3]]-Table1[[#This Row],[Total Volume
tidak dapat dipasang]],0)</f>
        <v>0</v>
      </c>
      <c r="CK425" s="47"/>
      <c r="CL425" s="131"/>
      <c r="CM425" s="337"/>
      <c r="CN425" s="131"/>
      <c r="CO425" s="131"/>
      <c r="CP425"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3.8770119117891348E-2</v>
      </c>
      <c r="CQ425" s="436">
        <f>IFERROR(Table1[[#This Row],[Progres Keg. Umum
(%)]]*Table1[[#This Row],[Nilai RAB Jaringan
(file pa aji)]],0)</f>
        <v>0</v>
      </c>
      <c r="CR425" s="436">
        <f>IFERROR(Table1[[#This Row],[Progres MOS
(%)]]*Table1[[#This Row],[Nilai RAB Jaringan
(file pa aji)]],0)</f>
        <v>0</v>
      </c>
      <c r="CS425" s="436">
        <f>IFERROR(Table1[[#This Row],[Progres Pemasangan
(%)]]*Table1[[#This Row],[Nilai RAB Jaringan
(file pa aji)]],0)</f>
        <v>0</v>
      </c>
      <c r="CT425" s="436">
        <f>IFERROR(Table1[[#This Row],[Progres Perizinan
(%)]]*Table1[[#This Row],[Nilai RAB Jaringan
(file pa aji)]],0)</f>
        <v>0</v>
      </c>
      <c r="CU425" s="329">
        <v>33752075.694000006</v>
      </c>
      <c r="CV425" s="329">
        <v>33752075.694000006</v>
      </c>
      <c r="CW425" s="511">
        <v>0</v>
      </c>
      <c r="CX425" s="329">
        <v>0</v>
      </c>
      <c r="CY425" s="47"/>
      <c r="CZ425" s="331">
        <v>46048</v>
      </c>
      <c r="DA425" s="331">
        <v>46075</v>
      </c>
      <c r="DB425" s="331">
        <v>46031</v>
      </c>
      <c r="DC425" s="535" t="s">
        <v>3346</v>
      </c>
      <c r="DD425" s="508">
        <f>862849305.8+7720000</f>
        <v>870569305.79999995</v>
      </c>
      <c r="DE42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5" s="331">
        <v>46049</v>
      </c>
      <c r="DG425" s="535" t="s">
        <v>3347</v>
      </c>
      <c r="DH425" s="508">
        <f>862849305.8+7720000</f>
        <v>870569305.79999995</v>
      </c>
      <c r="DI42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5" s="331">
        <v>46076</v>
      </c>
      <c r="DK425" s="331">
        <v>46173</v>
      </c>
      <c r="DL425" s="331">
        <v>46058</v>
      </c>
      <c r="DM425" s="316" t="s">
        <v>3301</v>
      </c>
      <c r="DN42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5" s="331">
        <v>46086</v>
      </c>
      <c r="DP425" s="316"/>
      <c r="DQ425" s="338" t="s">
        <v>312</v>
      </c>
      <c r="DR42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5" s="331">
        <v>46076</v>
      </c>
      <c r="DT425" s="331">
        <v>46164</v>
      </c>
      <c r="DU425" s="331">
        <v>46117</v>
      </c>
      <c r="DV425" s="331">
        <v>46178</v>
      </c>
      <c r="DW425" s="331">
        <v>45771</v>
      </c>
      <c r="DX425" t="s">
        <v>3348</v>
      </c>
      <c r="DY425" s="512">
        <v>40</v>
      </c>
      <c r="DZ425" s="512">
        <v>40</v>
      </c>
      <c r="EA42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5" s="331">
        <v>46162</v>
      </c>
      <c r="EC425" s="512">
        <v>40</v>
      </c>
      <c r="ED425" s="512">
        <v>40</v>
      </c>
      <c r="EE425" t="s">
        <v>3349</v>
      </c>
      <c r="EF425" s="337">
        <v>1</v>
      </c>
      <c r="EG425" s="337">
        <f>Table1[[#This Row],[Line PO]]/Table1[[#This Row],[Line PR]]</f>
        <v>1</v>
      </c>
      <c r="EH425" s="316" t="str">
        <f>IF(Table1[[#This Row],[PO Material Aktual 
(%)]]&gt;=100%,"Selesai PO = 100%",IF(Table1[[#This Row],[PO Material Aktual 
(%)]]&gt;=50%,"Proses PO &gt; 100%",IF(Table1[[#This Row],[PO Material Aktual 
(%)]]&gt;0%,"Proses PO &gt; 50%",IF(Table1[[#This Row],[PO Material Aktual 
(%)]]=0,"Belum PO = 0%"))))</f>
        <v>Selesai PO = 100%</v>
      </c>
      <c r="EI42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5" s="331">
        <v>46118</v>
      </c>
      <c r="EK425" s="331">
        <v>46178</v>
      </c>
      <c r="EL425" s="331">
        <v>46201</v>
      </c>
      <c r="EM425" s="331">
        <v>46183</v>
      </c>
      <c r="EN425" s="331"/>
      <c r="EO425" s="512">
        <v>18</v>
      </c>
      <c r="EP425" s="512">
        <v>18</v>
      </c>
      <c r="EQ425" s="337">
        <v>0.45</v>
      </c>
      <c r="ER425" s="337">
        <f>Table1[[#This Row],[Line MOS]]/Table1[[#This Row],[Line PR]]</f>
        <v>0.45</v>
      </c>
      <c r="ES425" s="316" t="str">
        <f>IF(Table1[[#This Row],[Progres MOS]]&gt;=100%,"Selesai MOS = 100%",IF(Table1[[#This Row],[Progres MOS]]&gt;=50%,"Proses MOS &gt; 100%",IF(Table1[[#This Row],[Progres MOS]]&gt;0%,"Proses MOS &gt; 50%",IF(Table1[[#This Row],[Progres MOS]]=0,"Belum MOS = 0%"))))</f>
        <v>Proses MOS &gt; 50%</v>
      </c>
      <c r="ET42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5" s="47"/>
      <c r="EV425" s="331">
        <v>46076</v>
      </c>
      <c r="EW425" s="331">
        <v>46156</v>
      </c>
      <c r="EX425" s="331">
        <v>46201</v>
      </c>
      <c r="EY425" s="331">
        <v>46186</v>
      </c>
      <c r="EZ425" s="352" t="s">
        <v>3281</v>
      </c>
      <c r="FA425" s="409" t="s">
        <v>3281</v>
      </c>
      <c r="FB425" s="331" t="e">
        <v>#N/A</v>
      </c>
      <c r="FC425" s="330" t="e">
        <v>#N/A</v>
      </c>
      <c r="FD425" s="331" t="e">
        <v>#N/A</v>
      </c>
      <c r="FE425" s="331" t="e">
        <v>#N/A</v>
      </c>
      <c r="FF425" s="331" t="e">
        <v>#N/A</v>
      </c>
      <c r="FG425" s="331" t="e">
        <v>#N/A</v>
      </c>
      <c r="FH425" s="331" t="e">
        <v>#N/A</v>
      </c>
      <c r="FI425" s="331" t="e">
        <v>#N/A</v>
      </c>
      <c r="FJ425" s="331" t="e">
        <v>#N/A</v>
      </c>
      <c r="FK425" s="331" t="e">
        <v>#N/A</v>
      </c>
      <c r="FL425" s="352" t="s">
        <v>2759</v>
      </c>
      <c r="FM425" s="352"/>
      <c r="FN425" s="338" t="str">
        <f>IF(Table1[[#This Row],[Tanggal Pengajuan Dokumen]]="","",Table1[[#This Row],[PLAN PERMIT
start]]-Table1[[#This Row],[Tanggal Pengajuan Dokumen]])</f>
        <v/>
      </c>
      <c r="FO425" s="352"/>
      <c r="FP425" s="316"/>
      <c r="FQ425" s="338"/>
      <c r="FR425" s="331"/>
      <c r="FS425" s="338"/>
      <c r="FT42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25" s="344">
        <f ca="1">IF(Table1[[#This Row],[Status Izin]]="Selesai",Table1[[#This Row],[PLAN PERMIT
finish]]-Table1[[#This Row],[Tanggal Terbit/ Target Izin Terbit]],ROUNDUP(Table1[[#This Row],[PLAN PERMIT
finish]]-NOW(),0))</f>
        <v>11</v>
      </c>
      <c r="FV42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5" s="344"/>
      <c r="FX425" s="47"/>
      <c r="FY425" s="513">
        <v>46160</v>
      </c>
      <c r="FZ425" s="513">
        <v>46066</v>
      </c>
      <c r="GA42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5" s="331">
        <v>46174</v>
      </c>
      <c r="GC425" s="352">
        <v>46090</v>
      </c>
      <c r="GD42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5" s="331">
        <v>46181</v>
      </c>
      <c r="GF425" s="352">
        <v>46090</v>
      </c>
      <c r="GG42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5" s="331">
        <v>46188</v>
      </c>
      <c r="GI425" s="331">
        <v>46194</v>
      </c>
      <c r="GJ425" s="352">
        <v>46092</v>
      </c>
      <c r="GK42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5" s="331">
        <v>46202</v>
      </c>
      <c r="GM425" s="331">
        <v>46193</v>
      </c>
      <c r="GN425" s="331">
        <v>46222</v>
      </c>
      <c r="GO425" s="330">
        <v>46241</v>
      </c>
      <c r="GP425" s="316"/>
      <c r="GQ42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5" s="331"/>
      <c r="GS425" s="331"/>
      <c r="GT425" s="354"/>
      <c r="GU425" s="344" t="str">
        <f>IF(Table1[[#This Row],[Hydro Tes Actual
(tanggal)]]&lt;&gt;"","Sudah","Belum")</f>
        <v>Belum</v>
      </c>
      <c r="GV425" s="330"/>
      <c r="GW425" s="330"/>
      <c r="GX425" s="331"/>
      <c r="GY425" s="344" t="str">
        <f>IF(Table1[[#This Row],[Interkoneksi Actual
(tanggal)]]&lt;&gt;"","Sudah","Belum")</f>
        <v>Belum</v>
      </c>
      <c r="GZ425" s="330"/>
      <c r="HA425" s="330"/>
      <c r="HB425" s="331"/>
      <c r="HC425" s="344" t="str">
        <f>IF(Table1[[#This Row],[Flushing Actual
(tanggal)]]&lt;&gt;"","Sudah","Belum")</f>
        <v>Belum</v>
      </c>
      <c r="HD425" s="331">
        <v>46225</v>
      </c>
      <c r="HE425" s="331">
        <v>46242</v>
      </c>
      <c r="HF425" s="331">
        <v>46230</v>
      </c>
      <c r="HG425" s="352"/>
      <c r="HH42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5" s="330"/>
      <c r="HJ425" s="330"/>
      <c r="HK425" s="331"/>
      <c r="HL425" s="331"/>
      <c r="HM425" s="331">
        <v>46247</v>
      </c>
      <c r="HN425" s="331">
        <v>46247</v>
      </c>
      <c r="HO425" s="330">
        <v>46259</v>
      </c>
      <c r="HP425" s="331"/>
      <c r="HQ42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25" s="331">
        <v>46255</v>
      </c>
      <c r="HS425" s="331"/>
      <c r="HT425" s="331">
        <v>46255</v>
      </c>
      <c r="HU425" s="420"/>
      <c r="HV425" s="395"/>
      <c r="HW42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25" s="47"/>
      <c r="HY425" s="352"/>
      <c r="HZ425" s="352"/>
      <c r="IA425" s="72"/>
      <c r="IB425" s="618">
        <f>IFERROR(ROUND((Table1[[#This Row],[PLAN TC
finish]]-Table1[[#This Row],[PLAN MC-0
start]])/30,2),"")</f>
        <v>1.4</v>
      </c>
      <c r="IC425">
        <f>DATEDIF(Table1[[#This Row],[PLAN MC-0
start]],Table1[[#This Row],[PLAN TC
finish]],"m")</f>
        <v>1</v>
      </c>
      <c r="ID425" s="6"/>
      <c r="IE425" s="6"/>
      <c r="IF425" s="72"/>
      <c r="IH425" s="6"/>
      <c r="II425" s="4"/>
      <c r="IJ425" s="4"/>
      <c r="IK425" s="6"/>
      <c r="IL425" s="6"/>
      <c r="IM425" s="6"/>
      <c r="IN425" s="6"/>
      <c r="IO425" s="6"/>
      <c r="IQ425" s="6"/>
      <c r="IR425" s="6"/>
      <c r="IS425" s="6"/>
      <c r="IT425" s="6"/>
      <c r="IW425" s="6"/>
      <c r="IX425" s="6"/>
      <c r="IZ425" s="6"/>
      <c r="JA425" s="6"/>
    </row>
    <row r="426" spans="2:261" ht="15" hidden="1" customHeight="1" x14ac:dyDescent="0.2">
      <c r="B426" s="311">
        <f>SUBTOTAL(3,$D$5:D426)</f>
        <v>84</v>
      </c>
      <c r="C426" s="316">
        <v>422</v>
      </c>
      <c r="D426" s="315" t="s">
        <v>673</v>
      </c>
      <c r="E426" s="338" t="s">
        <v>3350</v>
      </c>
      <c r="F426" s="338" t="s">
        <v>3351</v>
      </c>
      <c r="G426" s="349">
        <v>46300</v>
      </c>
      <c r="H426" s="338" t="s">
        <v>681</v>
      </c>
      <c r="I426" s="338" t="s">
        <v>278</v>
      </c>
      <c r="J426" s="480"/>
      <c r="K426" s="338"/>
      <c r="L426" s="316"/>
      <c r="M426" s="355" t="s">
        <v>251</v>
      </c>
      <c r="N426" s="507">
        <v>1126</v>
      </c>
      <c r="O426" s="31" t="s">
        <v>252</v>
      </c>
      <c r="P42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6" s="35">
        <v>7.2468356802105713E-2</v>
      </c>
      <c r="S426" s="327">
        <v>7.2468356802105713E-2</v>
      </c>
      <c r="T426" s="152">
        <f>Table1[[#This Row],[Progres Total Aktual
(%)]]</f>
        <v>6.1405842706888036E-2</v>
      </c>
      <c r="U426" s="121">
        <f>Table1[[#This Row],[Progres Aktual
(%)]]-Table1[[#This Row],[Target Progres
(%)]]</f>
        <v>-1.1062514095217676E-2</v>
      </c>
      <c r="V426" s="80">
        <v>1201</v>
      </c>
      <c r="W426" s="80">
        <f>Table1[[#This Row],[Total Panjang Pipa Aktual
(Sum-&gt;)3]]</f>
        <v>0</v>
      </c>
      <c r="X426" s="117"/>
      <c r="Y426" s="67" t="s">
        <v>3352</v>
      </c>
      <c r="Z426" s="67">
        <v>1378787051</v>
      </c>
      <c r="AA426" s="509">
        <f>ROUND((Table1[[#This Row],[Nilai RAB Jaringan
(Exclude Ppn)]]-Table1[[#This Row],[RAB Perizinan]])*1.11+Table1[[#This Row],[RAB Perizinan]],0)</f>
        <v>1378787051</v>
      </c>
      <c r="AB426" s="483">
        <f>SUM(Table1[[#This Row],[RAB Kegiatan Umum]:[RAB Perizinan]])</f>
        <v>1243266352</v>
      </c>
      <c r="AC426" s="537">
        <v>85690196</v>
      </c>
      <c r="AD426" s="537">
        <v>856901953</v>
      </c>
      <c r="AE426" s="537">
        <v>289414203</v>
      </c>
      <c r="AF426" s="537">
        <v>11260000</v>
      </c>
      <c r="AG426" s="534"/>
      <c r="AH426" s="510">
        <f>SUM(Table1[[#This Row],[Bobot Keg Umum]:[Bobot Perizinan]])</f>
        <v>1</v>
      </c>
      <c r="AI426" s="510">
        <f>Table1[[#This Row],[RAB Kegiatan Umum]]/Table1[[#This Row],[Nilai RAB Jaringan
(Exclude Ppn)]]</f>
        <v>6.8923441756589904E-2</v>
      </c>
      <c r="AJ426" s="510">
        <f>Table1[[#This Row],[RAB Pemasangan]]/Table1[[#This Row],[Nilai RAB Jaringan
(Exclude Ppn)]]</f>
        <v>0.68923441193556889</v>
      </c>
      <c r="AK426" s="129">
        <f>Table1[[#This Row],[RAB Pengadaan]]/Table1[[#This Row],[Nilai RAB Jaringan
(Exclude Ppn)]]</f>
        <v>0.23278535812895546</v>
      </c>
      <c r="AL426" s="130">
        <f>Table1[[#This Row],[RAB Perizinan]]/Table1[[#This Row],[Nilai RAB Jaringan
(Exclude Ppn)]]</f>
        <v>9.0567881788857427E-3</v>
      </c>
      <c r="AM426" s="47"/>
      <c r="AN426" s="285"/>
      <c r="AO426" s="285">
        <f>SUM(Table1[[#This Row],[Pipa 63 mm]:[Pipa 1,800 mm]])</f>
        <v>1201</v>
      </c>
      <c r="AP426" s="285">
        <v>1201</v>
      </c>
      <c r="AQ426" s="285"/>
      <c r="AR426" s="285"/>
      <c r="AS426" s="285"/>
      <c r="AT426" s="285"/>
      <c r="AU426" s="285"/>
      <c r="AV426" s="285"/>
      <c r="AW426" s="285"/>
      <c r="AX426" s="285"/>
      <c r="AY426" s="285"/>
      <c r="AZ426" s="285"/>
      <c r="BA426" s="285"/>
      <c r="BB426" s="285"/>
      <c r="BC426" s="285"/>
      <c r="BD426" s="285"/>
      <c r="BE426" s="285"/>
      <c r="BF426" s="285"/>
      <c r="BG426" s="285"/>
      <c r="BH426" s="285"/>
      <c r="BI426" s="285"/>
      <c r="BJ426" s="36">
        <f>SUM(Table1[[#This Row],[Pipa 63 mm2]:[Pipa 1,800 mm21]])</f>
        <v>0</v>
      </c>
      <c r="BK426" s="32"/>
      <c r="BL426" s="32"/>
      <c r="BM426" s="32"/>
      <c r="BN426" s="32"/>
      <c r="BO426" s="32"/>
      <c r="BP426" s="32"/>
      <c r="BQ426" s="32"/>
      <c r="BR426" s="32"/>
      <c r="BS426" s="32"/>
      <c r="BT426" s="32"/>
      <c r="BU426" s="32"/>
      <c r="BV426" s="32"/>
      <c r="BW426" s="32"/>
      <c r="BX426" s="32"/>
      <c r="BY426" s="32"/>
      <c r="BZ426" s="32"/>
      <c r="CA426" s="32"/>
      <c r="CB426" s="32"/>
      <c r="CC426" s="32"/>
      <c r="CD426" s="32"/>
      <c r="CE426" s="32"/>
      <c r="CF426" s="32"/>
      <c r="CG426" s="32"/>
      <c r="CH426" s="32"/>
      <c r="CI426" s="32"/>
      <c r="CJ426" s="32">
        <f>IF((Table1[[#This Row],["Volume
BA MC-0"]]-Table1[[#This Row],[Total Panjang Pipa Aktual
(Sum-&gt;)3]]-Table1[[#This Row],[Total Volume
tidak dapat dipasang]])&gt;=0,Table1[[#This Row],["Volume
BA MC-0"]]-Table1[[#This Row],[Total Panjang Pipa Aktual
(Sum-&gt;)3]]-Table1[[#This Row],[Total Volume
tidak dapat dipasang]],0)</f>
        <v>0</v>
      </c>
      <c r="CK426" s="47"/>
      <c r="CL426" s="131"/>
      <c r="CM426" s="337"/>
      <c r="CN426" s="131"/>
      <c r="CO426" s="131"/>
      <c r="CP426" s="32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6.1405842706888036E-2</v>
      </c>
      <c r="CQ426" s="436">
        <f>IFERROR(Table1[[#This Row],[Progres Keg. Umum
(%)]]*Table1[[#This Row],[Nilai RAB Jaringan
(file pa aji)]],0)</f>
        <v>0</v>
      </c>
      <c r="CR426" s="436">
        <f>IFERROR(Table1[[#This Row],[Progres MOS
(%)]]*Table1[[#This Row],[Nilai RAB Jaringan
(file pa aji)]],0)</f>
        <v>0</v>
      </c>
      <c r="CS426" s="436">
        <f>IFERROR(Table1[[#This Row],[Progres Pemasangan
(%)]]*Table1[[#This Row],[Nilai RAB Jaringan
(file pa aji)]],0)</f>
        <v>0</v>
      </c>
      <c r="CT426" s="436">
        <f>IFERROR(Table1[[#This Row],[Progres Perizinan
(%)]]*Table1[[#This Row],[Nilai RAB Jaringan
(file pa aji)]],0)</f>
        <v>0</v>
      </c>
      <c r="CU426" s="329">
        <v>84665580.780000016</v>
      </c>
      <c r="CV426" s="329">
        <v>84665580.780000016</v>
      </c>
      <c r="CW426" s="511">
        <v>0</v>
      </c>
      <c r="CX426" s="329">
        <v>0</v>
      </c>
      <c r="CY426" s="47"/>
      <c r="CZ426" s="331">
        <v>46048</v>
      </c>
      <c r="DA426" s="331">
        <v>46075</v>
      </c>
      <c r="DB426" s="331">
        <v>46031</v>
      </c>
      <c r="DC426" s="535" t="s">
        <v>3353</v>
      </c>
      <c r="DD426" s="508">
        <f>1367527050.6+11260000</f>
        <v>1378787050.5999999</v>
      </c>
      <c r="DE42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6" s="331">
        <v>46049</v>
      </c>
      <c r="DG426" s="535" t="s">
        <v>3354</v>
      </c>
      <c r="DH426" s="508">
        <f>1367527050.6+11260000</f>
        <v>1378787050.5999999</v>
      </c>
      <c r="DI42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6" s="331">
        <v>46076</v>
      </c>
      <c r="DK426" s="331">
        <v>46173</v>
      </c>
      <c r="DL426" s="331">
        <v>46059</v>
      </c>
      <c r="DM426" s="316" t="s">
        <v>3355</v>
      </c>
      <c r="DN42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6" s="331">
        <v>46086</v>
      </c>
      <c r="DP426" s="316"/>
      <c r="DQ426" s="338" t="s">
        <v>312</v>
      </c>
      <c r="DR42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6" s="331">
        <v>46076</v>
      </c>
      <c r="DT426" s="331">
        <v>46162</v>
      </c>
      <c r="DU426" s="331">
        <v>46117</v>
      </c>
      <c r="DV426" s="331">
        <v>46176</v>
      </c>
      <c r="DW426" s="331">
        <v>46060</v>
      </c>
      <c r="DX426" t="s">
        <v>3356</v>
      </c>
      <c r="DY426" s="512">
        <v>47</v>
      </c>
      <c r="DZ426" s="512">
        <v>47</v>
      </c>
      <c r="EA42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6" s="331"/>
      <c r="EC426" s="334">
        <v>45</v>
      </c>
      <c r="ED426" s="334">
        <v>45</v>
      </c>
      <c r="EE426" s="118"/>
      <c r="EF426" s="337">
        <v>0.95744680851063835</v>
      </c>
      <c r="EG426" s="337">
        <f>Table1[[#This Row],[Line PO]]/Table1[[#This Row],[Line PR]]</f>
        <v>0.95744680851063835</v>
      </c>
      <c r="EH426" s="316" t="str">
        <f>IF(Table1[[#This Row],[PO Material Aktual 
(%)]]&gt;=100%,"Selesai PO = 100%",IF(Table1[[#This Row],[PO Material Aktual 
(%)]]&gt;=50%,"Proses PO &gt; 100%",IF(Table1[[#This Row],[PO Material Aktual 
(%)]]&gt;0%,"Proses PO &gt; 50%",IF(Table1[[#This Row],[PO Material Aktual 
(%)]]=0,"Belum PO = 0%"))))</f>
        <v>Proses PO &gt; 100%</v>
      </c>
      <c r="EI42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6" s="331">
        <v>46118</v>
      </c>
      <c r="EK426" s="331">
        <v>46176</v>
      </c>
      <c r="EL426" s="331">
        <v>46236</v>
      </c>
      <c r="EM426" s="331">
        <v>46190</v>
      </c>
      <c r="EN426" s="331"/>
      <c r="EO426" s="512">
        <v>14</v>
      </c>
      <c r="EP426" s="512">
        <v>14</v>
      </c>
      <c r="EQ426" s="337">
        <v>0.2978723404255319</v>
      </c>
      <c r="ER426" s="337">
        <f>Table1[[#This Row],[Line MOS]]/Table1[[#This Row],[Line PR]]</f>
        <v>0.2978723404255319</v>
      </c>
      <c r="ES426" s="316" t="str">
        <f>IF(Table1[[#This Row],[Progres MOS]]&gt;=100%,"Selesai MOS = 100%",IF(Table1[[#This Row],[Progres MOS]]&gt;=50%,"Proses MOS &gt; 100%",IF(Table1[[#This Row],[Progres MOS]]&gt;0%,"Proses MOS &gt; 50%",IF(Table1[[#This Row],[Progres MOS]]=0,"Belum MOS = 0%"))))</f>
        <v>Proses MOS &gt; 50%</v>
      </c>
      <c r="ET42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6" s="47"/>
      <c r="EV426" s="331">
        <v>46076</v>
      </c>
      <c r="EW426" s="331">
        <v>46156</v>
      </c>
      <c r="EX426" s="331">
        <v>46201</v>
      </c>
      <c r="EY426" s="331">
        <v>46186</v>
      </c>
      <c r="EZ426" s="352" t="s">
        <v>3281</v>
      </c>
      <c r="FA426" s="409" t="s">
        <v>3281</v>
      </c>
      <c r="FB426" s="331" t="e">
        <v>#N/A</v>
      </c>
      <c r="FC426" s="330" t="e">
        <v>#N/A</v>
      </c>
      <c r="FD426" s="331" t="e">
        <v>#N/A</v>
      </c>
      <c r="FE426" s="331" t="e">
        <v>#N/A</v>
      </c>
      <c r="FF426" s="331" t="e">
        <v>#N/A</v>
      </c>
      <c r="FG426" s="331" t="e">
        <v>#N/A</v>
      </c>
      <c r="FH426" s="331" t="e">
        <v>#N/A</v>
      </c>
      <c r="FI426" s="331" t="e">
        <v>#N/A</v>
      </c>
      <c r="FJ426" s="331" t="e">
        <v>#N/A</v>
      </c>
      <c r="FK426" s="331" t="e">
        <v>#N/A</v>
      </c>
      <c r="FL426" s="352" t="s">
        <v>2759</v>
      </c>
      <c r="FM426" s="352"/>
      <c r="FN426" s="338" t="str">
        <f>IF(Table1[[#This Row],[Tanggal Pengajuan Dokumen]]="","",Table1[[#This Row],[PLAN PERMIT
start]]-Table1[[#This Row],[Tanggal Pengajuan Dokumen]])</f>
        <v/>
      </c>
      <c r="FO426" s="352"/>
      <c r="FP426" s="316"/>
      <c r="FQ426" s="338"/>
      <c r="FR426" s="331"/>
      <c r="FS426" s="338"/>
      <c r="FT42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26" s="344">
        <f ca="1">IF(Table1[[#This Row],[Status Izin]]="Selesai",Table1[[#This Row],[PLAN PERMIT
finish]]-Table1[[#This Row],[Tanggal Terbit/ Target Izin Terbit]],ROUNDUP(Table1[[#This Row],[PLAN PERMIT
finish]]-NOW(),0))</f>
        <v>11</v>
      </c>
      <c r="FV42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6" s="344"/>
      <c r="FX426" s="47"/>
      <c r="FY426" s="513">
        <v>46160</v>
      </c>
      <c r="FZ426" s="513">
        <v>46066</v>
      </c>
      <c r="GA42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6" s="331">
        <v>46174</v>
      </c>
      <c r="GC426" s="352">
        <v>46090</v>
      </c>
      <c r="GD42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6" s="331">
        <v>46181</v>
      </c>
      <c r="GF426" s="352">
        <v>46090</v>
      </c>
      <c r="GG42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6" s="331">
        <v>46188</v>
      </c>
      <c r="GI426" s="331">
        <v>46194</v>
      </c>
      <c r="GJ426" s="352">
        <v>46092</v>
      </c>
      <c r="GK42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6" s="331">
        <v>46202</v>
      </c>
      <c r="GM426" s="331">
        <v>46193</v>
      </c>
      <c r="GN426" s="331">
        <v>46222</v>
      </c>
      <c r="GO426" s="330">
        <v>46269</v>
      </c>
      <c r="GP426" s="316"/>
      <c r="GQ42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6" s="331"/>
      <c r="GS426" s="331"/>
      <c r="GT426" s="354"/>
      <c r="GU426" s="344" t="str">
        <f>IF(Table1[[#This Row],[Hydro Tes Actual
(tanggal)]]&lt;&gt;"","Sudah","Belum")</f>
        <v>Belum</v>
      </c>
      <c r="GV426" s="330"/>
      <c r="GW426" s="330"/>
      <c r="GX426" s="331"/>
      <c r="GY426" s="344" t="str">
        <f>IF(Table1[[#This Row],[Interkoneksi Actual
(tanggal)]]&lt;&gt;"","Sudah","Belum")</f>
        <v>Belum</v>
      </c>
      <c r="GZ426" s="330"/>
      <c r="HA426" s="330"/>
      <c r="HB426" s="331"/>
      <c r="HC426" s="344" t="str">
        <f>IF(Table1[[#This Row],[Flushing Actual
(tanggal)]]&lt;&gt;"","Sudah","Belum")</f>
        <v>Belum</v>
      </c>
      <c r="HD426" s="331">
        <v>46225</v>
      </c>
      <c r="HE426" s="331">
        <v>46270</v>
      </c>
      <c r="HF426" s="331">
        <v>46230</v>
      </c>
      <c r="HG426" s="352"/>
      <c r="HH42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6" s="330"/>
      <c r="HJ426" s="330"/>
      <c r="HK426" s="331"/>
      <c r="HL426" s="331"/>
      <c r="HM426" s="331">
        <v>46247</v>
      </c>
      <c r="HN426" s="331">
        <v>46247</v>
      </c>
      <c r="HO426" s="330">
        <v>46287</v>
      </c>
      <c r="HP426" s="331"/>
      <c r="HQ42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26" s="331">
        <v>46255</v>
      </c>
      <c r="HS426" s="331"/>
      <c r="HT426" s="331">
        <v>46255</v>
      </c>
      <c r="HU426" s="420"/>
      <c r="HV426" s="395"/>
      <c r="HW42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26" s="47"/>
      <c r="HY426" s="352"/>
      <c r="HZ426" s="352"/>
      <c r="IA426" s="72"/>
      <c r="IB426" s="618">
        <f>IFERROR(ROUND((Table1[[#This Row],[PLAN TC
finish]]-Table1[[#This Row],[PLAN MC-0
start]])/30,2),"")</f>
        <v>1.4</v>
      </c>
      <c r="IC426">
        <f>DATEDIF(Table1[[#This Row],[PLAN MC-0
start]],Table1[[#This Row],[PLAN TC
finish]],"m")</f>
        <v>1</v>
      </c>
      <c r="ID426" s="6"/>
      <c r="IE426" s="6"/>
      <c r="IF426" s="72"/>
      <c r="IH426" s="6"/>
      <c r="II426" s="4"/>
      <c r="IJ426" s="4"/>
      <c r="IK426" s="6"/>
      <c r="IL426" s="6"/>
      <c r="IM426" s="6"/>
      <c r="IN426" s="6"/>
      <c r="IO426" s="6"/>
      <c r="IQ426" s="6"/>
      <c r="IR426" s="6"/>
      <c r="IS426" s="6"/>
      <c r="IT426" s="6"/>
      <c r="IW426" s="6"/>
      <c r="IX426" s="6"/>
      <c r="IZ426" s="6"/>
      <c r="JA426" s="6"/>
    </row>
    <row r="427" spans="2:261" ht="15" hidden="1" customHeight="1" x14ac:dyDescent="0.2">
      <c r="B427" s="311">
        <f>SUBTOTAL(3,$D$5:D427)</f>
        <v>84</v>
      </c>
      <c r="C427" s="316">
        <v>423</v>
      </c>
      <c r="D427" s="315" t="s">
        <v>673</v>
      </c>
      <c r="E427" s="461" t="s">
        <v>3357</v>
      </c>
      <c r="F427" s="338" t="s">
        <v>3358</v>
      </c>
      <c r="G427" s="349">
        <v>46300</v>
      </c>
      <c r="H427" s="338" t="s">
        <v>681</v>
      </c>
      <c r="I427" s="461" t="s">
        <v>278</v>
      </c>
      <c r="J427" s="518"/>
      <c r="K427" s="461"/>
      <c r="L427" s="334"/>
      <c r="M427" s="479" t="s">
        <v>269</v>
      </c>
      <c r="N427" s="507">
        <v>185</v>
      </c>
      <c r="O427" s="31" t="s">
        <v>252</v>
      </c>
      <c r="P427"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7" s="35">
        <v>0.16514159820410879</v>
      </c>
      <c r="S427" s="327">
        <v>0.16514159820410879</v>
      </c>
      <c r="T427" s="153">
        <f>Table1[[#This Row],[Progres Total Aktual
(%)]]</f>
        <v>6.2840374487592665E-2</v>
      </c>
      <c r="U427" s="122">
        <f>Table1[[#This Row],[Progres Aktual
(%)]]-Table1[[#This Row],[Target Progres
(%)]]</f>
        <v>-0.10230122371651612</v>
      </c>
      <c r="V427" s="119">
        <v>200</v>
      </c>
      <c r="W427" s="119">
        <f>Table1[[#This Row],[Total Panjang Pipa Aktual
(Sum-&gt;)3]]</f>
        <v>0</v>
      </c>
      <c r="X427" s="120"/>
      <c r="Y427" s="67" t="s">
        <v>3359</v>
      </c>
      <c r="Z427" s="67">
        <v>296736552</v>
      </c>
      <c r="AA427" s="519">
        <f>ROUND((Table1[[#This Row],[Nilai RAB Jaringan
(Exclude Ppn)]]-Table1[[#This Row],[RAB Perizinan]])*1.11+Table1[[#This Row],[RAB Perizinan]],0)</f>
        <v>296736552</v>
      </c>
      <c r="AB427" s="505">
        <f>SUM(Table1[[#This Row],[RAB Kegiatan Umum]:[RAB Perizinan]])</f>
        <v>267513560</v>
      </c>
      <c r="AC427" s="537">
        <v>17146795</v>
      </c>
      <c r="AD427" s="486">
        <f>139012109+ 32455833</f>
        <v>171467942</v>
      </c>
      <c r="AE427" s="537">
        <v>77048823</v>
      </c>
      <c r="AF427" s="537">
        <v>1850000</v>
      </c>
      <c r="AG427" s="538"/>
      <c r="AH427" s="520">
        <f>SUM(Table1[[#This Row],[Bobot Keg Umum]:[Bobot Perizinan]])</f>
        <v>1</v>
      </c>
      <c r="AI427" s="520">
        <f>Table1[[#This Row],[RAB Kegiatan Umum]]/Table1[[#This Row],[Nilai RAB Jaringan
(Exclude Ppn)]]</f>
        <v>6.4096919049636214E-2</v>
      </c>
      <c r="AJ427" s="520">
        <f>Table1[[#This Row],[RAB Pemasangan]]/Table1[[#This Row],[Nilai RAB Jaringan
(Exclude Ppn)]]</f>
        <v>0.64096916059133602</v>
      </c>
      <c r="AK427" s="521">
        <f>Table1[[#This Row],[RAB Pengadaan]]/Table1[[#This Row],[Nilai RAB Jaringan
(Exclude Ppn)]]</f>
        <v>0.28801838306813304</v>
      </c>
      <c r="AL427" s="522">
        <f>Table1[[#This Row],[RAB Perizinan]]/Table1[[#This Row],[Nilai RAB Jaringan
(Exclude Ppn)]]</f>
        <v>6.9155372908947122E-3</v>
      </c>
      <c r="AM427" s="47"/>
      <c r="AN427" s="470"/>
      <c r="AO427" s="470">
        <f>SUM(Table1[[#This Row],[Pipa 63 mm]:[Pipa 1,800 mm]])</f>
        <v>200</v>
      </c>
      <c r="AP427" s="470">
        <v>200</v>
      </c>
      <c r="AQ427" s="470"/>
      <c r="AR427" s="470"/>
      <c r="AS427" s="470"/>
      <c r="AT427" s="470"/>
      <c r="AU427" s="470"/>
      <c r="AV427" s="470"/>
      <c r="AW427" s="470"/>
      <c r="AX427" s="470"/>
      <c r="AY427" s="470"/>
      <c r="AZ427" s="470"/>
      <c r="BA427" s="470"/>
      <c r="BB427" s="470"/>
      <c r="BC427" s="470"/>
      <c r="BD427" s="470"/>
      <c r="BE427" s="470"/>
      <c r="BF427" s="470"/>
      <c r="BG427" s="470"/>
      <c r="BH427" s="470"/>
      <c r="BI427" s="470"/>
      <c r="BJ427" s="523">
        <f>SUM(Table1[[#This Row],[Pipa 63 mm2]:[Pipa 1,800 mm21]])</f>
        <v>0</v>
      </c>
      <c r="BK427" s="471"/>
      <c r="BL427" s="471"/>
      <c r="BM427" s="471"/>
      <c r="BN427" s="471"/>
      <c r="BO427" s="471"/>
      <c r="BP427" s="471"/>
      <c r="BQ427" s="471"/>
      <c r="BR427" s="471"/>
      <c r="BS427" s="471"/>
      <c r="BT427" s="471"/>
      <c r="BU427" s="471"/>
      <c r="BV427" s="471"/>
      <c r="BW427" s="471"/>
      <c r="BX427" s="471"/>
      <c r="BY427" s="471"/>
      <c r="BZ427" s="471"/>
      <c r="CA427" s="471"/>
      <c r="CB427" s="471"/>
      <c r="CC427" s="471"/>
      <c r="CD427" s="471"/>
      <c r="CE427" s="471"/>
      <c r="CF427" s="471"/>
      <c r="CG427" s="471"/>
      <c r="CH427" s="471"/>
      <c r="CI427" s="471"/>
      <c r="CJ427" s="471">
        <f>IF((Table1[[#This Row],["Volume
BA MC-0"]]-Table1[[#This Row],[Total Panjang Pipa Aktual
(Sum-&gt;)3]]-Table1[[#This Row],[Total Volume
tidak dapat dipasang]])&gt;=0,Table1[[#This Row],["Volume
BA MC-0"]]-Table1[[#This Row],[Total Panjang Pipa Aktual
(Sum-&gt;)3]]-Table1[[#This Row],[Total Volume
tidak dapat dipasang]],0)</f>
        <v>0</v>
      </c>
      <c r="CK427" s="47"/>
      <c r="CL427" s="472"/>
      <c r="CM427" s="475"/>
      <c r="CN427" s="472"/>
      <c r="CO427" s="472"/>
      <c r="CP42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6.2840374487592665E-2</v>
      </c>
      <c r="CQ427" s="465">
        <f>IFERROR(Table1[[#This Row],[Progres Keg. Umum
(%)]]*Table1[[#This Row],[Nilai RAB Jaringan
(file pa aji)]],0)</f>
        <v>0</v>
      </c>
      <c r="CR427" s="465">
        <f>IFERROR(Table1[[#This Row],[Progres MOS
(%)]]*Table1[[#This Row],[Nilai RAB Jaringan
(file pa aji)]],0)</f>
        <v>0</v>
      </c>
      <c r="CS427" s="465">
        <f>IFERROR(Table1[[#This Row],[Progres Pemasangan
(%)]]*Table1[[#This Row],[Nilai RAB Jaringan
(file pa aji)]],0)</f>
        <v>0</v>
      </c>
      <c r="CT427" s="465">
        <f>IFERROR(Table1[[#This Row],[Progres Perizinan
(%)]]*Table1[[#This Row],[Nilai RAB Jaringan
(file pa aji)]],0)</f>
        <v>0</v>
      </c>
      <c r="CU427" s="329">
        <v>0</v>
      </c>
      <c r="CV427" s="329">
        <v>0</v>
      </c>
      <c r="CW427" s="524">
        <v>0</v>
      </c>
      <c r="CX427" s="329">
        <v>0</v>
      </c>
      <c r="CY427" s="47"/>
      <c r="CZ427" s="331">
        <v>46048</v>
      </c>
      <c r="DA427" s="331">
        <v>46075</v>
      </c>
      <c r="DB427" s="420">
        <v>46030</v>
      </c>
      <c r="DC427" s="535" t="s">
        <v>3360</v>
      </c>
      <c r="DD427" s="525">
        <f>294886551.6+1850000</f>
        <v>296736551.60000002</v>
      </c>
      <c r="DE42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7" s="420">
        <v>46042</v>
      </c>
      <c r="DG427" s="535" t="s">
        <v>3361</v>
      </c>
      <c r="DH427" s="525">
        <f>294886551.6+1850000</f>
        <v>296736551.60000002</v>
      </c>
      <c r="DI427"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7" s="331">
        <v>46076</v>
      </c>
      <c r="DK427" s="331">
        <v>46173</v>
      </c>
      <c r="DL427" s="331">
        <v>46058</v>
      </c>
      <c r="DM427" s="334" t="s">
        <v>3362</v>
      </c>
      <c r="DN42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7" s="331">
        <v>46086</v>
      </c>
      <c r="DP427" s="334"/>
      <c r="DQ427" s="461" t="s">
        <v>762</v>
      </c>
      <c r="DR42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7" s="331">
        <v>46076</v>
      </c>
      <c r="DT427" s="331">
        <v>46164</v>
      </c>
      <c r="DU427" s="331">
        <v>46117</v>
      </c>
      <c r="DV427" s="331">
        <v>46178</v>
      </c>
      <c r="DW427" s="331">
        <v>46058</v>
      </c>
      <c r="DX427" t="s">
        <v>3363</v>
      </c>
      <c r="DY427" s="334">
        <v>22</v>
      </c>
      <c r="DZ427" s="334">
        <v>22</v>
      </c>
      <c r="EA42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7" s="420"/>
      <c r="EC427" s="332">
        <v>21</v>
      </c>
      <c r="ED427" s="332">
        <v>21</v>
      </c>
      <c r="EE427" s="526"/>
      <c r="EF427" s="475">
        <v>0.95454545454545459</v>
      </c>
      <c r="EG427" s="337">
        <f>Table1[[#This Row],[Line PO]]/Table1[[#This Row],[Line PR]]</f>
        <v>0.95454545454545459</v>
      </c>
      <c r="EH427" s="316" t="str">
        <f>IF(Table1[[#This Row],[PO Material Aktual 
(%)]]&gt;=100%,"Selesai PO = 100%",IF(Table1[[#This Row],[PO Material Aktual 
(%)]]&gt;=50%,"Proses PO &gt; 100%",IF(Table1[[#This Row],[PO Material Aktual 
(%)]]&gt;0%,"Proses PO &gt; 50%",IF(Table1[[#This Row],[PO Material Aktual 
(%)]]=0,"Belum PO = 0%"))))</f>
        <v>Proses PO &gt; 100%</v>
      </c>
      <c r="EI42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7" s="331">
        <v>46118</v>
      </c>
      <c r="EK427" s="331">
        <v>46178</v>
      </c>
      <c r="EL427" s="331">
        <v>46201</v>
      </c>
      <c r="EM427" s="420">
        <v>46183</v>
      </c>
      <c r="EN427" s="420"/>
      <c r="EO427" s="332">
        <v>8</v>
      </c>
      <c r="EP427" s="332">
        <v>8</v>
      </c>
      <c r="EQ427" s="337">
        <v>0.36363636363636365</v>
      </c>
      <c r="ER427" s="337">
        <f>Table1[[#This Row],[Line MOS (kolom bantu)]]/Table1[[#This Row],[Line PR]]</f>
        <v>0.36363636363636365</v>
      </c>
      <c r="ES427" s="316" t="str">
        <f>IF(Table1[[#This Row],[Progres MOS]]&gt;=100%,"Selesai MOS = 100%",IF(Table1[[#This Row],[Progres MOS]]&gt;=50%,"Proses MOS &gt; 100%",IF(Table1[[#This Row],[Progres MOS]]&gt;0%,"Proses MOS &gt; 50%",IF(Table1[[#This Row],[Progres MOS]]=0,"Belum MOS = 0%"))))</f>
        <v>Proses MOS &gt; 50%</v>
      </c>
      <c r="ET42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7" s="47"/>
      <c r="EV427" s="331">
        <v>46076</v>
      </c>
      <c r="EW427" s="331">
        <v>46156</v>
      </c>
      <c r="EX427" s="331">
        <v>46201</v>
      </c>
      <c r="EY427" s="420">
        <v>46186</v>
      </c>
      <c r="EZ427" s="477" t="s">
        <v>2748</v>
      </c>
      <c r="FA427" s="409" t="s">
        <v>2748</v>
      </c>
      <c r="FB427" s="420" t="e">
        <v>#N/A</v>
      </c>
      <c r="FC427" s="330" t="e">
        <v>#N/A</v>
      </c>
      <c r="FD427" s="420" t="e">
        <v>#N/A</v>
      </c>
      <c r="FE427" s="420" t="e">
        <v>#N/A</v>
      </c>
      <c r="FF427" s="420" t="e">
        <v>#N/A</v>
      </c>
      <c r="FG427" s="420" t="e">
        <v>#N/A</v>
      </c>
      <c r="FH427" s="420" t="e">
        <v>#N/A</v>
      </c>
      <c r="FI427" s="420" t="e">
        <v>#N/A</v>
      </c>
      <c r="FJ427" s="420" t="e">
        <v>#N/A</v>
      </c>
      <c r="FK427" s="420" t="e">
        <v>#N/A</v>
      </c>
      <c r="FL427" s="352" t="s">
        <v>2759</v>
      </c>
      <c r="FM427" s="477"/>
      <c r="FN427" s="461" t="str">
        <f>IF(Table1[[#This Row],[Tanggal Pengajuan Dokumen]]="","",Table1[[#This Row],[PLAN PERMIT
start]]-Table1[[#This Row],[Tanggal Pengajuan Dokumen]])</f>
        <v/>
      </c>
      <c r="FO427" s="477"/>
      <c r="FP427" s="334"/>
      <c r="FQ427" s="461"/>
      <c r="FR427" s="420"/>
      <c r="FS427" s="461"/>
      <c r="FT427"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27" s="476">
        <f ca="1">IF(Table1[[#This Row],[Status Izin]]="Selesai",Table1[[#This Row],[PLAN PERMIT
finish]]-Table1[[#This Row],[Tanggal Terbit/ Target Izin Terbit]],ROUNDUP(Table1[[#This Row],[PLAN PERMIT
finish]]-NOW(),0))</f>
        <v>11</v>
      </c>
      <c r="FV427"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7" s="476"/>
      <c r="FX427" s="47"/>
      <c r="FY427" s="513">
        <v>46160</v>
      </c>
      <c r="FZ427" s="513">
        <v>46097</v>
      </c>
      <c r="GA42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7" s="331">
        <v>46174</v>
      </c>
      <c r="GC427" s="477">
        <v>46112</v>
      </c>
      <c r="GD427"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7" s="331">
        <v>46181</v>
      </c>
      <c r="GF427" s="477">
        <v>46112</v>
      </c>
      <c r="GG427"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7" s="331">
        <v>46188</v>
      </c>
      <c r="GI427" s="331">
        <v>46194</v>
      </c>
      <c r="GJ427" s="477">
        <v>46125</v>
      </c>
      <c r="GK427"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7" s="331">
        <v>46202</v>
      </c>
      <c r="GM427" s="331">
        <v>46193</v>
      </c>
      <c r="GN427" s="331">
        <v>46222</v>
      </c>
      <c r="GO427" s="330">
        <v>46241</v>
      </c>
      <c r="GP427" s="334"/>
      <c r="GQ427"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7" s="420"/>
      <c r="GS427" s="420"/>
      <c r="GT427" s="419"/>
      <c r="GU427" s="476" t="str">
        <f>IF(Table1[[#This Row],[Hydro Tes Actual
(tanggal)]]&lt;&gt;"","Sudah","Belum")</f>
        <v>Belum</v>
      </c>
      <c r="GV427" s="527"/>
      <c r="GW427" s="527"/>
      <c r="GX427" s="420"/>
      <c r="GY427" s="476" t="str">
        <f>IF(Table1[[#This Row],[Interkoneksi Actual
(tanggal)]]&lt;&gt;"","Sudah","Belum")</f>
        <v>Belum</v>
      </c>
      <c r="GZ427" s="527"/>
      <c r="HA427" s="527"/>
      <c r="HB427" s="420"/>
      <c r="HC427" s="476" t="str">
        <f>IF(Table1[[#This Row],[Flushing Actual
(tanggal)]]&lt;&gt;"","Sudah","Belum")</f>
        <v>Belum</v>
      </c>
      <c r="HD427" s="331">
        <v>46225</v>
      </c>
      <c r="HE427" s="331">
        <v>46242</v>
      </c>
      <c r="HF427" s="331">
        <v>46230</v>
      </c>
      <c r="HG427" s="477"/>
      <c r="HH427"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7" s="527"/>
      <c r="HJ427" s="527"/>
      <c r="HK427" s="420"/>
      <c r="HL427" s="420"/>
      <c r="HM427" s="331">
        <v>46247</v>
      </c>
      <c r="HN427" s="331">
        <v>46247</v>
      </c>
      <c r="HO427" s="330">
        <v>46259</v>
      </c>
      <c r="HP427" s="420"/>
      <c r="HQ427"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27" s="331">
        <v>46255</v>
      </c>
      <c r="HS427" s="331"/>
      <c r="HT427" s="331">
        <v>46255</v>
      </c>
      <c r="HU427" s="420"/>
      <c r="HV427" s="347"/>
      <c r="HW427"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27" s="47"/>
      <c r="HY427" s="477"/>
      <c r="HZ427" s="477"/>
      <c r="IA427" s="72"/>
      <c r="IB427" s="618">
        <f>IFERROR(ROUND((Table1[[#This Row],[PLAN TC
finish]]-Table1[[#This Row],[PLAN MC-0
start]])/30,2),"")</f>
        <v>1.4</v>
      </c>
      <c r="IC427">
        <f>DATEDIF(Table1[[#This Row],[PLAN MC-0
start]],Table1[[#This Row],[PLAN TC
finish]],"m")</f>
        <v>1</v>
      </c>
      <c r="ID427" s="6"/>
      <c r="IE427" s="6"/>
      <c r="IF427" s="72"/>
      <c r="IH427" s="6"/>
      <c r="II427" s="4"/>
      <c r="IJ427" s="4"/>
      <c r="IK427" s="6"/>
      <c r="IL427" s="6"/>
      <c r="IM427" s="6"/>
      <c r="IN427" s="6"/>
      <c r="IO427" s="6"/>
      <c r="IQ427" s="6"/>
      <c r="IR427" s="6"/>
      <c r="IS427" s="6"/>
      <c r="IT427" s="6"/>
      <c r="IW427" s="6"/>
      <c r="IX427" s="6"/>
      <c r="IZ427" s="6"/>
      <c r="JA427" s="6"/>
    </row>
    <row r="428" spans="2:261" ht="15" hidden="1" customHeight="1" x14ac:dyDescent="0.2">
      <c r="B428" s="311">
        <f>SUBTOTAL(3,$D$5:D428)</f>
        <v>84</v>
      </c>
      <c r="C428" s="316">
        <v>424</v>
      </c>
      <c r="D428" s="315" t="s">
        <v>673</v>
      </c>
      <c r="E428" s="461" t="s">
        <v>3364</v>
      </c>
      <c r="F428" s="338" t="s">
        <v>3365</v>
      </c>
      <c r="G428" s="349">
        <v>46300</v>
      </c>
      <c r="H428" s="338" t="s">
        <v>681</v>
      </c>
      <c r="I428" s="461" t="s">
        <v>278</v>
      </c>
      <c r="J428" s="518"/>
      <c r="K428" s="461"/>
      <c r="L428" s="334"/>
      <c r="M428" s="479" t="s">
        <v>269</v>
      </c>
      <c r="N428" s="507">
        <v>1245</v>
      </c>
      <c r="O428" s="31" t="s">
        <v>252</v>
      </c>
      <c r="P428"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8" s="35">
        <v>5.1424374030431014E-2</v>
      </c>
      <c r="S428" s="327">
        <v>5.1424374030431014E-2</v>
      </c>
      <c r="T428" s="153">
        <f>Table1[[#This Row],[Progres Total Aktual
(%)]]</f>
        <v>4.2367597913591917E-2</v>
      </c>
      <c r="U428" s="122">
        <f>Table1[[#This Row],[Progres Aktual
(%)]]-Table1[[#This Row],[Target Progres
(%)]]</f>
        <v>-9.0567761168390964E-3</v>
      </c>
      <c r="V428" s="119">
        <v>1282</v>
      </c>
      <c r="W428" s="119">
        <f>Table1[[#This Row],[Total Panjang Pipa Aktual
(Sum-&gt;)3]]</f>
        <v>0</v>
      </c>
      <c r="X428" s="120"/>
      <c r="Y428" s="528" t="s">
        <v>3366</v>
      </c>
      <c r="Z428" s="529">
        <v>1408158270</v>
      </c>
      <c r="AA428" s="519">
        <f>ROUND((Table1[[#This Row],[Nilai RAB Jaringan
(Exclude Ppn)]]-Table1[[#This Row],[RAB Perizinan]])*1.11+Table1[[#This Row],[RAB Perizinan]],0)</f>
        <v>1408158269</v>
      </c>
      <c r="AB428" s="505">
        <f>SUM(Table1[[#This Row],[RAB Kegiatan Umum]:[RAB Perizinan]])</f>
        <v>1269844837</v>
      </c>
      <c r="AC428" s="537">
        <v>95967619</v>
      </c>
      <c r="AD428" s="486">
        <v>959676185</v>
      </c>
      <c r="AE428" s="537">
        <v>201751033</v>
      </c>
      <c r="AF428" s="537">
        <v>12450000</v>
      </c>
      <c r="AG428" s="538"/>
      <c r="AH428" s="520">
        <f>SUM(Table1[[#This Row],[Bobot Keg Umum]:[Bobot Perizinan]])</f>
        <v>1</v>
      </c>
      <c r="AI428" s="520">
        <f>Table1[[#This Row],[RAB Kegiatan Umum]]/Table1[[#This Row],[Nilai RAB Jaringan
(Exclude Ppn)]]</f>
        <v>7.5574287663934481E-2</v>
      </c>
      <c r="AJ428" s="520">
        <f>Table1[[#This Row],[RAB Pemasangan]]/Table1[[#This Row],[Nilai RAB Jaringan
(Exclude Ppn)]]</f>
        <v>0.75574287270185592</v>
      </c>
      <c r="AK428" s="521">
        <f>Table1[[#This Row],[RAB Pengadaan]]/Table1[[#This Row],[Nilai RAB Jaringan
(Exclude Ppn)]]</f>
        <v>0.15887849217596969</v>
      </c>
      <c r="AL428" s="522">
        <f>Table1[[#This Row],[RAB Perizinan]]/Table1[[#This Row],[Nilai RAB Jaringan
(Exclude Ppn)]]</f>
        <v>9.8043474582398919E-3</v>
      </c>
      <c r="AM428" s="47"/>
      <c r="AN428" s="470"/>
      <c r="AO428" s="470">
        <f>SUM(Table1[[#This Row],[Pipa 63 mm]:[Pipa 1,800 mm]])</f>
        <v>1282</v>
      </c>
      <c r="AP428" s="470">
        <v>66</v>
      </c>
      <c r="AQ428" s="470">
        <v>1216</v>
      </c>
      <c r="AR428" s="470"/>
      <c r="AS428" s="470"/>
      <c r="AT428" s="470"/>
      <c r="AU428" s="470"/>
      <c r="AV428" s="470"/>
      <c r="AW428" s="470"/>
      <c r="AX428" s="470"/>
      <c r="AY428" s="470"/>
      <c r="AZ428" s="470"/>
      <c r="BA428" s="470"/>
      <c r="BB428" s="470"/>
      <c r="BC428" s="470"/>
      <c r="BD428" s="470"/>
      <c r="BE428" s="470"/>
      <c r="BF428" s="470"/>
      <c r="BG428" s="470"/>
      <c r="BH428" s="470"/>
      <c r="BI428" s="470"/>
      <c r="BJ428" s="523">
        <f>SUM(Table1[[#This Row],[Pipa 63 mm2]:[Pipa 1,800 mm21]])</f>
        <v>0</v>
      </c>
      <c r="BK428" s="471"/>
      <c r="BL428" s="471"/>
      <c r="BM428" s="471"/>
      <c r="BN428" s="471"/>
      <c r="BO428" s="471"/>
      <c r="BP428" s="471"/>
      <c r="BQ428" s="471"/>
      <c r="BR428" s="471"/>
      <c r="BS428" s="471"/>
      <c r="BT428" s="471"/>
      <c r="BU428" s="471"/>
      <c r="BV428" s="471"/>
      <c r="BW428" s="471"/>
      <c r="BX428" s="471"/>
      <c r="BY428" s="471"/>
      <c r="BZ428" s="471"/>
      <c r="CA428" s="471"/>
      <c r="CB428" s="471"/>
      <c r="CC428" s="471"/>
      <c r="CD428" s="471"/>
      <c r="CE428" s="471"/>
      <c r="CF428" s="471"/>
      <c r="CG428" s="471"/>
      <c r="CH428" s="471"/>
      <c r="CI428" s="471"/>
      <c r="CJ428" s="471">
        <f>IF((Table1[[#This Row],["Volume
BA MC-0"]]-Table1[[#This Row],[Total Panjang Pipa Aktual
(Sum-&gt;)3]]-Table1[[#This Row],[Total Volume
tidak dapat dipasang]])&gt;=0,Table1[[#This Row],["Volume
BA MC-0"]]-Table1[[#This Row],[Total Panjang Pipa Aktual
(Sum-&gt;)3]]-Table1[[#This Row],[Total Volume
tidak dapat dipasang]],0)</f>
        <v>0</v>
      </c>
      <c r="CK428" s="47"/>
      <c r="CL428" s="472"/>
      <c r="CM428" s="475"/>
      <c r="CN428" s="472"/>
      <c r="CO428" s="472"/>
      <c r="CP42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4.2367597913591917E-2</v>
      </c>
      <c r="CQ428" s="465">
        <f>IFERROR(Table1[[#This Row],[Progres Keg. Umum
(%)]]*Table1[[#This Row],[Nilai RAB Jaringan
(file pa aji)]],0)</f>
        <v>0</v>
      </c>
      <c r="CR428" s="465">
        <f>IFERROR(Table1[[#This Row],[Progres MOS
(%)]]*Table1[[#This Row],[Nilai RAB Jaringan
(file pa aji)]],0)</f>
        <v>0</v>
      </c>
      <c r="CS428" s="465">
        <f>IFERROR(Table1[[#This Row],[Progres Pemasangan
(%)]]*Table1[[#This Row],[Nilai RAB Jaringan
(file pa aji)]],0)</f>
        <v>0</v>
      </c>
      <c r="CT428" s="465">
        <f>IFERROR(Table1[[#This Row],[Progres Perizinan
(%)]]*Table1[[#This Row],[Nilai RAB Jaringan
(file pa aji)]],0)</f>
        <v>0</v>
      </c>
      <c r="CU428" s="329">
        <v>0</v>
      </c>
      <c r="CV428" s="329">
        <v>0</v>
      </c>
      <c r="CW428" s="524">
        <v>0</v>
      </c>
      <c r="CX428" s="329">
        <v>0</v>
      </c>
      <c r="CY428" s="47"/>
      <c r="CZ428" s="331">
        <v>46048</v>
      </c>
      <c r="DA428" s="331">
        <v>46075</v>
      </c>
      <c r="DB428" s="420">
        <v>46049</v>
      </c>
      <c r="DC428" s="535" t="s">
        <v>3367</v>
      </c>
      <c r="DD428" s="525">
        <f>12450000+1395708269</f>
        <v>1408158269</v>
      </c>
      <c r="DE42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8" s="420">
        <v>46052</v>
      </c>
      <c r="DG428" s="535" t="s">
        <v>3368</v>
      </c>
      <c r="DH428" s="525">
        <f>12450000+1395708269</f>
        <v>1408158269</v>
      </c>
      <c r="DI428"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8" s="331">
        <v>46076</v>
      </c>
      <c r="DK428" s="331">
        <v>46173</v>
      </c>
      <c r="DL428" s="331">
        <v>46065</v>
      </c>
      <c r="DM428" s="334" t="s">
        <v>3369</v>
      </c>
      <c r="DN42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8" s="331">
        <v>46086</v>
      </c>
      <c r="DP428" s="334"/>
      <c r="DQ428" s="461" t="s">
        <v>762</v>
      </c>
      <c r="DR42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8" s="331">
        <v>46076</v>
      </c>
      <c r="DT428" s="331">
        <v>46162</v>
      </c>
      <c r="DU428" s="331">
        <v>46117</v>
      </c>
      <c r="DV428" s="331">
        <v>46176</v>
      </c>
      <c r="DW428" s="331">
        <v>46065</v>
      </c>
      <c r="DX428" t="s">
        <v>3370</v>
      </c>
      <c r="DY428" s="334">
        <v>27</v>
      </c>
      <c r="DZ428" s="334">
        <v>27</v>
      </c>
      <c r="EA42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8" s="420"/>
      <c r="EC428" s="332">
        <v>24</v>
      </c>
      <c r="ED428" s="332">
        <v>24</v>
      </c>
      <c r="EE428" s="526"/>
      <c r="EF428" s="475">
        <v>0.88888888888888884</v>
      </c>
      <c r="EG428" s="337">
        <f>Table1[[#This Row],[Line PO]]/Table1[[#This Row],[Line PR]]</f>
        <v>0.88888888888888884</v>
      </c>
      <c r="EH428" s="316" t="str">
        <f>IF(Table1[[#This Row],[PO Material Aktual 
(%)]]&gt;=100%,"Selesai PO = 100%",IF(Table1[[#This Row],[PO Material Aktual 
(%)]]&gt;=50%,"Proses PO &gt; 100%",IF(Table1[[#This Row],[PO Material Aktual 
(%)]]&gt;0%,"Proses PO &gt; 50%",IF(Table1[[#This Row],[PO Material Aktual 
(%)]]=0,"Belum PO = 0%"))))</f>
        <v>Proses PO &gt; 100%</v>
      </c>
      <c r="EI42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8" s="331">
        <v>46118</v>
      </c>
      <c r="EK428" s="331">
        <v>46176</v>
      </c>
      <c r="EL428" s="331">
        <v>46236</v>
      </c>
      <c r="EM428" s="420">
        <v>46190</v>
      </c>
      <c r="EN428" s="420"/>
      <c r="EO428" s="332">
        <v>12</v>
      </c>
      <c r="EP428" s="332">
        <v>12</v>
      </c>
      <c r="EQ428" s="337">
        <v>0.44444444444444442</v>
      </c>
      <c r="ER428" s="337">
        <f>Table1[[#This Row],[Line MOS (kolom bantu)]]/Table1[[#This Row],[Line PR]]</f>
        <v>0.44444444444444442</v>
      </c>
      <c r="ES428" s="316" t="str">
        <f>IF(Table1[[#This Row],[Progres MOS]]&gt;=100%,"Selesai MOS = 100%",IF(Table1[[#This Row],[Progres MOS]]&gt;=50%,"Proses MOS &gt; 100%",IF(Table1[[#This Row],[Progres MOS]]&gt;0%,"Proses MOS &gt; 50%",IF(Table1[[#This Row],[Progres MOS]]=0,"Belum MOS = 0%"))))</f>
        <v>Proses MOS &gt; 50%</v>
      </c>
      <c r="ET42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8" s="47"/>
      <c r="EV428" s="331"/>
      <c r="EW428" s="331">
        <v>46156</v>
      </c>
      <c r="EX428" s="331"/>
      <c r="EY428" s="420">
        <v>46186</v>
      </c>
      <c r="EZ428" s="477" t="s">
        <v>2748</v>
      </c>
      <c r="FA428" s="409" t="s">
        <v>2748</v>
      </c>
      <c r="FB428" s="420" t="e">
        <v>#N/A</v>
      </c>
      <c r="FC428" s="330" t="e">
        <v>#N/A</v>
      </c>
      <c r="FD428" s="420" t="e">
        <v>#N/A</v>
      </c>
      <c r="FE428" s="420" t="e">
        <v>#N/A</v>
      </c>
      <c r="FF428" s="420" t="e">
        <v>#N/A</v>
      </c>
      <c r="FG428" s="420" t="e">
        <v>#N/A</v>
      </c>
      <c r="FH428" s="420" t="e">
        <v>#N/A</v>
      </c>
      <c r="FI428" s="420" t="e">
        <v>#N/A</v>
      </c>
      <c r="FJ428" s="420" t="e">
        <v>#N/A</v>
      </c>
      <c r="FK428" s="420" t="e">
        <v>#N/A</v>
      </c>
      <c r="FL428" s="352"/>
      <c r="FM428" s="477"/>
      <c r="FN428" s="461" t="str">
        <f>IF(Table1[[#This Row],[Tanggal Pengajuan Dokumen]]="","",Table1[[#This Row],[PLAN PERMIT
start]]-Table1[[#This Row],[Tanggal Pengajuan Dokumen]])</f>
        <v/>
      </c>
      <c r="FO428" s="477"/>
      <c r="FP428" s="334"/>
      <c r="FQ428" s="461"/>
      <c r="FR428" s="420"/>
      <c r="FS428" s="461"/>
      <c r="FT428"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8" s="476">
        <f ca="1">IF(Table1[[#This Row],[Status Izin]]="Selesai",Table1[[#This Row],[PLAN PERMIT
finish]]-Table1[[#This Row],[Tanggal Terbit/ Target Izin Terbit]],ROUNDUP(Table1[[#This Row],[PLAN PERMIT
finish]]-NOW(),0))</f>
        <v>-46191</v>
      </c>
      <c r="FV428"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8" s="476"/>
      <c r="FX428" s="47"/>
      <c r="FY428" s="513">
        <v>46160</v>
      </c>
      <c r="FZ428" s="513">
        <v>46097</v>
      </c>
      <c r="GA42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8" s="331">
        <v>46174</v>
      </c>
      <c r="GC428" s="477">
        <v>46112</v>
      </c>
      <c r="GD428"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8" s="331">
        <v>46181</v>
      </c>
      <c r="GF428" s="477">
        <v>46112</v>
      </c>
      <c r="GG428"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8" s="331">
        <v>46188</v>
      </c>
      <c r="GI428" s="331">
        <v>46194</v>
      </c>
      <c r="GJ428" s="477">
        <v>46125</v>
      </c>
      <c r="GK428"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8" s="331">
        <v>46202</v>
      </c>
      <c r="GM428" s="331">
        <v>46193</v>
      </c>
      <c r="GN428" s="331">
        <v>46222</v>
      </c>
      <c r="GO428" s="330">
        <v>46269</v>
      </c>
      <c r="GP428" s="334"/>
      <c r="GQ428"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8" s="420"/>
      <c r="GS428" s="420"/>
      <c r="GT428" s="419"/>
      <c r="GU428" s="476" t="str">
        <f>IF(Table1[[#This Row],[Hydro Tes Actual
(tanggal)]]&lt;&gt;"","Sudah","Belum")</f>
        <v>Belum</v>
      </c>
      <c r="GV428" s="527"/>
      <c r="GW428" s="527"/>
      <c r="GX428" s="420"/>
      <c r="GY428" s="476" t="str">
        <f>IF(Table1[[#This Row],[Interkoneksi Actual
(tanggal)]]&lt;&gt;"","Sudah","Belum")</f>
        <v>Belum</v>
      </c>
      <c r="GZ428" s="527"/>
      <c r="HA428" s="527"/>
      <c r="HB428" s="420"/>
      <c r="HC428" s="476" t="str">
        <f>IF(Table1[[#This Row],[Flushing Actual
(tanggal)]]&lt;&gt;"","Sudah","Belum")</f>
        <v>Belum</v>
      </c>
      <c r="HD428" s="331">
        <v>46225</v>
      </c>
      <c r="HE428" s="331">
        <v>46270</v>
      </c>
      <c r="HF428" s="331">
        <v>46230</v>
      </c>
      <c r="HG428" s="477"/>
      <c r="HH428"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8" s="527"/>
      <c r="HJ428" s="527"/>
      <c r="HK428" s="420"/>
      <c r="HL428" s="420"/>
      <c r="HM428" s="331">
        <v>46247</v>
      </c>
      <c r="HN428" s="331">
        <v>46247</v>
      </c>
      <c r="HO428" s="330">
        <v>46287</v>
      </c>
      <c r="HP428" s="420"/>
      <c r="HQ428"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28" s="331">
        <v>46255</v>
      </c>
      <c r="HS428" s="331"/>
      <c r="HT428" s="331">
        <v>46255</v>
      </c>
      <c r="HU428" s="420"/>
      <c r="HV428" s="347"/>
      <c r="HW428"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28" s="47"/>
      <c r="HY428" s="477"/>
      <c r="HZ428" s="477"/>
      <c r="IA428" s="72"/>
      <c r="IB428" s="618">
        <f>IFERROR(ROUND((Table1[[#This Row],[PLAN TC
finish]]-Table1[[#This Row],[PLAN MC-0
start]])/30,2),"")</f>
        <v>1.4</v>
      </c>
      <c r="IC428">
        <f>DATEDIF(Table1[[#This Row],[PLAN MC-0
start]],Table1[[#This Row],[PLAN TC
finish]],"m")</f>
        <v>1</v>
      </c>
      <c r="ID428" s="6"/>
      <c r="IE428" s="6"/>
      <c r="IF428" s="72"/>
      <c r="IH428" s="6"/>
      <c r="II428" s="4"/>
      <c r="IJ428" s="4"/>
      <c r="IK428" s="6"/>
      <c r="IL428" s="6"/>
      <c r="IM428" s="6"/>
      <c r="IN428" s="6"/>
      <c r="IO428" s="6"/>
      <c r="IQ428" s="6"/>
      <c r="IR428" s="6"/>
      <c r="IS428" s="6"/>
      <c r="IT428" s="6"/>
      <c r="IW428" s="6"/>
      <c r="IX428" s="6"/>
      <c r="IZ428" s="6"/>
      <c r="JA428" s="6"/>
    </row>
    <row r="429" spans="2:261" ht="15" hidden="1" customHeight="1" x14ac:dyDescent="0.2">
      <c r="B429" s="311">
        <f>SUBTOTAL(3,$D$5:D429)</f>
        <v>84</v>
      </c>
      <c r="C429" s="316">
        <v>425</v>
      </c>
      <c r="D429" s="315" t="s">
        <v>673</v>
      </c>
      <c r="E429" s="461" t="s">
        <v>3371</v>
      </c>
      <c r="F429" s="338" t="s">
        <v>3372</v>
      </c>
      <c r="G429" s="349">
        <v>46300</v>
      </c>
      <c r="H429" s="338" t="s">
        <v>681</v>
      </c>
      <c r="I429" s="461" t="s">
        <v>278</v>
      </c>
      <c r="J429" s="518"/>
      <c r="K429" s="461"/>
      <c r="L429" s="334"/>
      <c r="M429" s="479" t="s">
        <v>269</v>
      </c>
      <c r="N429" s="507">
        <v>1012</v>
      </c>
      <c r="O429" s="31" t="s">
        <v>252</v>
      </c>
      <c r="P429"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9" s="35">
        <v>5.140280659816869E-2</v>
      </c>
      <c r="S429" s="327">
        <v>5.140280659816869E-2</v>
      </c>
      <c r="T429" s="153">
        <f>Table1[[#This Row],[Progres Total Aktual
(%)]]</f>
        <v>5.2970065462267395E-2</v>
      </c>
      <c r="U429" s="122">
        <f>Table1[[#This Row],[Progres Aktual
(%)]]-Table1[[#This Row],[Target Progres
(%)]]</f>
        <v>1.5672588640987042E-3</v>
      </c>
      <c r="V429" s="119">
        <v>1041</v>
      </c>
      <c r="W429" s="119">
        <f>Table1[[#This Row],[Total Panjang Pipa Aktual
(Sum-&gt;)3]]</f>
        <v>0</v>
      </c>
      <c r="X429" s="120"/>
      <c r="Y429" s="531" t="s">
        <v>3373</v>
      </c>
      <c r="Z429" s="529">
        <v>1092475342</v>
      </c>
      <c r="AA429" s="519">
        <f>ROUND((Table1[[#This Row],[Nilai RAB Jaringan
(Exclude Ppn)]]-Table1[[#This Row],[RAB Perizinan]])*1.11+Table1[[#This Row],[RAB Perizinan]],0)</f>
        <v>1092475341</v>
      </c>
      <c r="AB429" s="505">
        <f>SUM(Table1[[#This Row],[RAB Kegiatan Umum]:[RAB Perizinan]])</f>
        <v>985214902</v>
      </c>
      <c r="AC429" s="537">
        <v>74500481</v>
      </c>
      <c r="AD429" s="486">
        <v>745004801</v>
      </c>
      <c r="AE429" s="537">
        <v>155589620</v>
      </c>
      <c r="AF429" s="537">
        <v>10120000</v>
      </c>
      <c r="AG429" s="538"/>
      <c r="AH429" s="520">
        <f>SUM(Table1[[#This Row],[Bobot Keg Umum]:[Bobot Perizinan]])</f>
        <v>1</v>
      </c>
      <c r="AI429" s="520">
        <f>Table1[[#This Row],[RAB Kegiatan Umum]]/Table1[[#This Row],[Nilai RAB Jaringan
(Exclude Ppn)]]</f>
        <v>7.5618508052165051E-2</v>
      </c>
      <c r="AJ429" s="520">
        <f>Table1[[#This Row],[RAB Pemasangan]]/Table1[[#This Row],[Nilai RAB Jaringan
(Exclude Ppn)]]</f>
        <v>0.75618507138658775</v>
      </c>
      <c r="AK429" s="521">
        <f>Table1[[#This Row],[RAB Pengadaan]]/Table1[[#This Row],[Nilai RAB Jaringan
(Exclude Ppn)]]</f>
        <v>0.15792454994758087</v>
      </c>
      <c r="AL429" s="522">
        <f>Table1[[#This Row],[RAB Perizinan]]/Table1[[#This Row],[Nilai RAB Jaringan
(Exclude Ppn)]]</f>
        <v>1.0271870613666377E-2</v>
      </c>
      <c r="AM429" s="47"/>
      <c r="AN429" s="470"/>
      <c r="AO429" s="470">
        <f>SUM(Table1[[#This Row],[Pipa 63 mm]:[Pipa 1,800 mm]])</f>
        <v>1041</v>
      </c>
      <c r="AP429" s="470">
        <v>971</v>
      </c>
      <c r="AQ429" s="470">
        <v>51</v>
      </c>
      <c r="AR429" s="470">
        <v>19</v>
      </c>
      <c r="AS429" s="470"/>
      <c r="AT429" s="470"/>
      <c r="AU429" s="470"/>
      <c r="AV429" s="470"/>
      <c r="AW429" s="470"/>
      <c r="AX429" s="470"/>
      <c r="AY429" s="470"/>
      <c r="AZ429" s="470"/>
      <c r="BA429" s="470"/>
      <c r="BB429" s="470"/>
      <c r="BC429" s="470"/>
      <c r="BD429" s="470"/>
      <c r="BE429" s="470"/>
      <c r="BF429" s="470"/>
      <c r="BG429" s="470"/>
      <c r="BH429" s="470"/>
      <c r="BI429" s="470"/>
      <c r="BJ429" s="523">
        <f>SUM(Table1[[#This Row],[Pipa 63 mm2]:[Pipa 1,800 mm21]])</f>
        <v>0</v>
      </c>
      <c r="BK429" s="471"/>
      <c r="BL429" s="471"/>
      <c r="BM429" s="471"/>
      <c r="BN429" s="471"/>
      <c r="BO429" s="471"/>
      <c r="BP429" s="471"/>
      <c r="BQ429" s="471"/>
      <c r="BR429" s="471"/>
      <c r="BS429" s="471"/>
      <c r="BT429" s="471"/>
      <c r="BU429" s="471"/>
      <c r="BV429" s="471"/>
      <c r="BW429" s="471"/>
      <c r="BX429" s="471"/>
      <c r="BY429" s="471"/>
      <c r="BZ429" s="471"/>
      <c r="CA429" s="471"/>
      <c r="CB429" s="471"/>
      <c r="CC429" s="471"/>
      <c r="CD429" s="471"/>
      <c r="CE429" s="471"/>
      <c r="CF429" s="471"/>
      <c r="CG429" s="471"/>
      <c r="CH429" s="471"/>
      <c r="CI429" s="471"/>
      <c r="CJ429" s="471">
        <f>IF((Table1[[#This Row],["Volume
BA MC-0"]]-Table1[[#This Row],[Total Panjang Pipa Aktual
(Sum-&gt;)3]]-Table1[[#This Row],[Total Volume
tidak dapat dipasang]])&gt;=0,Table1[[#This Row],["Volume
BA MC-0"]]-Table1[[#This Row],[Total Panjang Pipa Aktual
(Sum-&gt;)3]]-Table1[[#This Row],[Total Volume
tidak dapat dipasang]],0)</f>
        <v>0</v>
      </c>
      <c r="CK429" s="47"/>
      <c r="CL429" s="472"/>
      <c r="CM429" s="475"/>
      <c r="CN429" s="472"/>
      <c r="CO429" s="472"/>
      <c r="CP42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5.2970065462267395E-2</v>
      </c>
      <c r="CQ429" s="465">
        <f>IFERROR(Table1[[#This Row],[Progres Keg. Umum
(%)]]*Table1[[#This Row],[Nilai RAB Jaringan
(file pa aji)]],0)</f>
        <v>0</v>
      </c>
      <c r="CR429" s="465">
        <f>IFERROR(Table1[[#This Row],[Progres MOS
(%)]]*Table1[[#This Row],[Nilai RAB Jaringan
(file pa aji)]],0)</f>
        <v>0</v>
      </c>
      <c r="CS429" s="465">
        <f>IFERROR(Table1[[#This Row],[Progres Pemasangan
(%)]]*Table1[[#This Row],[Nilai RAB Jaringan
(file pa aji)]],0)</f>
        <v>0</v>
      </c>
      <c r="CT429" s="465">
        <f>IFERROR(Table1[[#This Row],[Progres Perizinan
(%)]]*Table1[[#This Row],[Nilai RAB Jaringan
(file pa aji)]],0)</f>
        <v>0</v>
      </c>
      <c r="CU429" s="329">
        <v>57868490.328682892</v>
      </c>
      <c r="CV429" s="329">
        <v>57868490.328682892</v>
      </c>
      <c r="CW429" s="524">
        <v>0</v>
      </c>
      <c r="CX429" s="329">
        <v>0</v>
      </c>
      <c r="CY429" s="47"/>
      <c r="CZ429" s="331">
        <v>46048</v>
      </c>
      <c r="DA429" s="331">
        <v>46075</v>
      </c>
      <c r="DB429" s="420">
        <v>46049</v>
      </c>
      <c r="DC429" s="535" t="s">
        <v>3374</v>
      </c>
      <c r="DD429" s="525">
        <f>10120000+1082355341</f>
        <v>1092475341</v>
      </c>
      <c r="DE42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9" s="420">
        <v>46062</v>
      </c>
      <c r="DG429" s="535" t="s">
        <v>3375</v>
      </c>
      <c r="DH429" s="525">
        <f>10120000+1082355341</f>
        <v>1092475341</v>
      </c>
      <c r="DI429"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9" s="331">
        <v>46076</v>
      </c>
      <c r="DK429" s="331">
        <v>46173</v>
      </c>
      <c r="DL429" s="331">
        <v>46066</v>
      </c>
      <c r="DM429" s="334" t="s">
        <v>3376</v>
      </c>
      <c r="DN42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9" s="331">
        <v>46086</v>
      </c>
      <c r="DP429" s="316"/>
      <c r="DQ429" s="338" t="s">
        <v>365</v>
      </c>
      <c r="DR42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9" s="331">
        <v>46076</v>
      </c>
      <c r="DT429" s="331">
        <v>46162</v>
      </c>
      <c r="DU429" s="331">
        <v>46117</v>
      </c>
      <c r="DV429" s="331">
        <v>46176</v>
      </c>
      <c r="DW429" s="331">
        <v>46066</v>
      </c>
      <c r="DX429" t="s">
        <v>3377</v>
      </c>
      <c r="DY429" s="334">
        <v>29</v>
      </c>
      <c r="DZ429" s="334">
        <v>29</v>
      </c>
      <c r="EA42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9" s="420"/>
      <c r="EC429" s="332">
        <v>27</v>
      </c>
      <c r="ED429" s="332">
        <v>27</v>
      </c>
      <c r="EE429" s="526"/>
      <c r="EF429" s="475">
        <v>0.93103448275862066</v>
      </c>
      <c r="EG429" s="337">
        <f>Table1[[#This Row],[Line PO]]/Table1[[#This Row],[Line PR]]</f>
        <v>0.93103448275862066</v>
      </c>
      <c r="EH429" s="316" t="str">
        <f>IF(Table1[[#This Row],[PO Material Aktual 
(%)]]&gt;=100%,"Selesai PO = 100%",IF(Table1[[#This Row],[PO Material Aktual 
(%)]]&gt;=50%,"Proses PO &gt; 100%",IF(Table1[[#This Row],[PO Material Aktual 
(%)]]&gt;0%,"Proses PO &gt; 50%",IF(Table1[[#This Row],[PO Material Aktual 
(%)]]=0,"Belum PO = 0%"))))</f>
        <v>Proses PO &gt; 100%</v>
      </c>
      <c r="EI42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9" s="331">
        <v>46118</v>
      </c>
      <c r="EK429" s="331">
        <v>46176</v>
      </c>
      <c r="EL429" s="331">
        <v>46236</v>
      </c>
      <c r="EM429" s="420">
        <v>46190</v>
      </c>
      <c r="EN429" s="420"/>
      <c r="EO429" s="332">
        <v>9</v>
      </c>
      <c r="EP429" s="332">
        <v>9</v>
      </c>
      <c r="EQ429" s="337">
        <v>0.31034482758620691</v>
      </c>
      <c r="ER429" s="337">
        <f>Table1[[#This Row],[Line MOS (kolom bantu)]]/Table1[[#This Row],[Line PR]]</f>
        <v>0.31034482758620691</v>
      </c>
      <c r="ES429" s="316" t="str">
        <f>IF(Table1[[#This Row],[Progres MOS]]&gt;=100%,"Selesai MOS = 100%",IF(Table1[[#This Row],[Progres MOS]]&gt;=50%,"Proses MOS &gt; 100%",IF(Table1[[#This Row],[Progres MOS]]&gt;0%,"Proses MOS &gt; 50%",IF(Table1[[#This Row],[Progres MOS]]=0,"Belum MOS = 0%"))))</f>
        <v>Proses MOS &gt; 50%</v>
      </c>
      <c r="ET42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9" s="47"/>
      <c r="EV429" s="331"/>
      <c r="EW429" s="331">
        <v>46156</v>
      </c>
      <c r="EX429" s="331"/>
      <c r="EY429" s="420">
        <v>46186</v>
      </c>
      <c r="EZ429" s="477" t="s">
        <v>2748</v>
      </c>
      <c r="FA429" s="409" t="s">
        <v>2748</v>
      </c>
      <c r="FB429" s="420" t="e">
        <v>#N/A</v>
      </c>
      <c r="FC429" s="330" t="e">
        <v>#N/A</v>
      </c>
      <c r="FD429" s="420" t="e">
        <v>#N/A</v>
      </c>
      <c r="FE429" s="420" t="e">
        <v>#N/A</v>
      </c>
      <c r="FF429" s="420" t="e">
        <v>#N/A</v>
      </c>
      <c r="FG429" s="420" t="e">
        <v>#N/A</v>
      </c>
      <c r="FH429" s="420" t="e">
        <v>#N/A</v>
      </c>
      <c r="FI429" s="420" t="e">
        <v>#N/A</v>
      </c>
      <c r="FJ429" s="420" t="e">
        <v>#N/A</v>
      </c>
      <c r="FK429" s="420" t="e">
        <v>#N/A</v>
      </c>
      <c r="FL429" s="352"/>
      <c r="FM429" s="477"/>
      <c r="FN429" s="461" t="str">
        <f>IF(Table1[[#This Row],[Tanggal Pengajuan Dokumen]]="","",Table1[[#This Row],[PLAN PERMIT
start]]-Table1[[#This Row],[Tanggal Pengajuan Dokumen]])</f>
        <v/>
      </c>
      <c r="FO429" s="477"/>
      <c r="FP429" s="334"/>
      <c r="FQ429" s="461"/>
      <c r="FR429" s="420"/>
      <c r="FS429" s="461"/>
      <c r="FT429"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9" s="476">
        <f ca="1">IF(Table1[[#This Row],[Status Izin]]="Selesai",Table1[[#This Row],[PLAN PERMIT
finish]]-Table1[[#This Row],[Tanggal Terbit/ Target Izin Terbit]],ROUNDUP(Table1[[#This Row],[PLAN PERMIT
finish]]-NOW(),0))</f>
        <v>-46191</v>
      </c>
      <c r="FV429"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9" s="476"/>
      <c r="FX429" s="47"/>
      <c r="FY429" s="513">
        <v>46160</v>
      </c>
      <c r="FZ429" s="513">
        <v>46097</v>
      </c>
      <c r="GA42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9" s="331">
        <v>46174</v>
      </c>
      <c r="GC429" s="477">
        <v>46112</v>
      </c>
      <c r="GD429"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9" s="331">
        <v>46181</v>
      </c>
      <c r="GF429" s="477">
        <v>46112</v>
      </c>
      <c r="GG429"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9" s="331">
        <v>46188</v>
      </c>
      <c r="GI429" s="331">
        <v>46194</v>
      </c>
      <c r="GJ429" s="477">
        <v>46119</v>
      </c>
      <c r="GK429"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9" s="331">
        <v>46202</v>
      </c>
      <c r="GM429" s="331">
        <v>46193</v>
      </c>
      <c r="GN429" s="331">
        <v>46222</v>
      </c>
      <c r="GO429" s="330">
        <v>46269</v>
      </c>
      <c r="GP429" s="334"/>
      <c r="GQ429"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9" s="420"/>
      <c r="GS429" s="420"/>
      <c r="GT429" s="419"/>
      <c r="GU429" s="476" t="str">
        <f>IF(Table1[[#This Row],[Hydro Tes Actual
(tanggal)]]&lt;&gt;"","Sudah","Belum")</f>
        <v>Belum</v>
      </c>
      <c r="GV429" s="527"/>
      <c r="GW429" s="527"/>
      <c r="GX429" s="420"/>
      <c r="GY429" s="476" t="str">
        <f>IF(Table1[[#This Row],[Interkoneksi Actual
(tanggal)]]&lt;&gt;"","Sudah","Belum")</f>
        <v>Belum</v>
      </c>
      <c r="GZ429" s="527"/>
      <c r="HA429" s="527"/>
      <c r="HB429" s="420"/>
      <c r="HC429" s="476" t="str">
        <f>IF(Table1[[#This Row],[Flushing Actual
(tanggal)]]&lt;&gt;"","Sudah","Belum")</f>
        <v>Belum</v>
      </c>
      <c r="HD429" s="331">
        <v>46225</v>
      </c>
      <c r="HE429" s="331">
        <v>46270</v>
      </c>
      <c r="HF429" s="331">
        <v>46230</v>
      </c>
      <c r="HG429" s="477"/>
      <c r="HH429"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9" s="527"/>
      <c r="HJ429" s="527"/>
      <c r="HK429" s="420"/>
      <c r="HL429" s="420"/>
      <c r="HM429" s="331">
        <v>46247</v>
      </c>
      <c r="HN429" s="331">
        <v>46247</v>
      </c>
      <c r="HO429" s="330">
        <v>46287</v>
      </c>
      <c r="HP429" s="420"/>
      <c r="HQ429"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29" s="331">
        <v>46255</v>
      </c>
      <c r="HS429" s="331"/>
      <c r="HT429" s="331">
        <v>46255</v>
      </c>
      <c r="HU429" s="420"/>
      <c r="HV429" s="347"/>
      <c r="HW429"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29" s="47"/>
      <c r="HY429" s="477"/>
      <c r="HZ429" s="477"/>
      <c r="IA429" s="72"/>
      <c r="IB429" s="618">
        <f>IFERROR(ROUND((Table1[[#This Row],[PLAN TC
finish]]-Table1[[#This Row],[PLAN MC-0
start]])/30,2),"")</f>
        <v>1.4</v>
      </c>
      <c r="IC429">
        <f>DATEDIF(Table1[[#This Row],[PLAN MC-0
start]],Table1[[#This Row],[PLAN TC
finish]],"m")</f>
        <v>1</v>
      </c>
      <c r="ID429" s="6"/>
      <c r="IE429" s="6"/>
      <c r="IF429" s="72"/>
      <c r="IH429" s="6"/>
      <c r="II429" s="4"/>
      <c r="IJ429" s="4"/>
      <c r="IK429" s="6"/>
      <c r="IL429" s="6"/>
      <c r="IM429" s="6"/>
      <c r="IN429" s="6"/>
      <c r="IO429" s="6"/>
      <c r="IQ429" s="6"/>
      <c r="IR429" s="6"/>
      <c r="IS429" s="6"/>
      <c r="IT429" s="6"/>
      <c r="IW429" s="6"/>
      <c r="IX429" s="6"/>
      <c r="IZ429" s="6"/>
      <c r="JA429" s="6"/>
    </row>
    <row r="430" spans="2:261" ht="15" hidden="1" customHeight="1" x14ac:dyDescent="0.2">
      <c r="B430" s="311">
        <f>SUBTOTAL(3,$D$5:D430)</f>
        <v>84</v>
      </c>
      <c r="C430" s="316">
        <v>426</v>
      </c>
      <c r="D430" s="315" t="s">
        <v>673</v>
      </c>
      <c r="E430" s="461" t="s">
        <v>3378</v>
      </c>
      <c r="F430" s="338" t="s">
        <v>3379</v>
      </c>
      <c r="G430" s="349">
        <v>46300</v>
      </c>
      <c r="H430" s="338" t="s">
        <v>681</v>
      </c>
      <c r="I430" s="461" t="s">
        <v>278</v>
      </c>
      <c r="J430" s="518"/>
      <c r="K430" s="461"/>
      <c r="L430" s="334"/>
      <c r="M430" s="479" t="s">
        <v>269</v>
      </c>
      <c r="N430" s="507">
        <v>106</v>
      </c>
      <c r="O430" s="31" t="s">
        <v>252</v>
      </c>
      <c r="P430"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3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0" s="35">
        <v>0.18213866790005873</v>
      </c>
      <c r="S430" s="327">
        <v>0.18213866790005873</v>
      </c>
      <c r="T430" s="153">
        <f>Table1[[#This Row],[Progres Total Aktual
(%)]]</f>
        <v>0.16820436075384093</v>
      </c>
      <c r="U430" s="122">
        <f>Table1[[#This Row],[Progres Aktual
(%)]]-Table1[[#This Row],[Target Progres
(%)]]</f>
        <v>-1.3934307146217795E-2</v>
      </c>
      <c r="V430" s="119">
        <v>106</v>
      </c>
      <c r="W430" s="119">
        <f>Table1[[#This Row],[Total Panjang Pipa Aktual
(Sum-&gt;)3]]</f>
        <v>0</v>
      </c>
      <c r="X430" s="120"/>
      <c r="Y430" s="531" t="s">
        <v>3373</v>
      </c>
      <c r="Z430" s="529">
        <v>228391200</v>
      </c>
      <c r="AA430" s="519">
        <f>ROUND((Table1[[#This Row],[Nilai RAB Jaringan
(Exclude Ppn)]]-Table1[[#This Row],[RAB Perizinan]])*1.11+Table1[[#This Row],[RAB Perizinan]],0)</f>
        <v>228391199</v>
      </c>
      <c r="AB430" s="505">
        <f>SUM(Table1[[#This Row],[RAB Kegiatan Umum]:[RAB Perizinan]])</f>
        <v>205862882</v>
      </c>
      <c r="AC430" s="537">
        <v>12627619</v>
      </c>
      <c r="AD430" s="486">
        <v>126276182</v>
      </c>
      <c r="AE430" s="537">
        <v>65899081</v>
      </c>
      <c r="AF430" s="537">
        <v>1060000</v>
      </c>
      <c r="AG430" s="538"/>
      <c r="AH430" s="520">
        <f>SUM(Table1[[#This Row],[Bobot Keg Umum]:[Bobot Perizinan]])</f>
        <v>1</v>
      </c>
      <c r="AI430" s="520">
        <f>Table1[[#This Row],[RAB Kegiatan Umum]]/Table1[[#This Row],[Nilai RAB Jaringan
(Exclude Ppn)]]</f>
        <v>6.1339950540476744E-2</v>
      </c>
      <c r="AJ430" s="520">
        <f>Table1[[#This Row],[RAB Pemasangan]]/Table1[[#This Row],[Nilai RAB Jaringan
(Exclude Ppn)]]</f>
        <v>0.61339946654394939</v>
      </c>
      <c r="AK430" s="521">
        <f>Table1[[#This Row],[RAB Pengadaan]]/Table1[[#This Row],[Nilai RAB Jaringan
(Exclude Ppn)]]</f>
        <v>0.32011152452436764</v>
      </c>
      <c r="AL430" s="522">
        <f>Table1[[#This Row],[RAB Perizinan]]/Table1[[#This Row],[Nilai RAB Jaringan
(Exclude Ppn)]]</f>
        <v>5.1490583912062399E-3</v>
      </c>
      <c r="AM430" s="47"/>
      <c r="AN430" s="470"/>
      <c r="AO430" s="470">
        <f>SUM(Table1[[#This Row],[Pipa 63 mm]:[Pipa 1,800 mm]])</f>
        <v>106</v>
      </c>
      <c r="AP430" s="470"/>
      <c r="AQ430" s="470"/>
      <c r="AR430" s="470">
        <v>106</v>
      </c>
      <c r="AS430" s="470"/>
      <c r="AT430" s="470"/>
      <c r="AU430" s="470"/>
      <c r="AV430" s="470"/>
      <c r="AW430" s="470"/>
      <c r="AX430" s="470"/>
      <c r="AY430" s="470"/>
      <c r="AZ430" s="470"/>
      <c r="BA430" s="470"/>
      <c r="BB430" s="470"/>
      <c r="BC430" s="470"/>
      <c r="BD430" s="470"/>
      <c r="BE430" s="470"/>
      <c r="BF430" s="470"/>
      <c r="BG430" s="470"/>
      <c r="BH430" s="470"/>
      <c r="BI430" s="470"/>
      <c r="BJ430" s="523">
        <f>SUM(Table1[[#This Row],[Pipa 63 mm2]:[Pipa 1,800 mm21]])</f>
        <v>0</v>
      </c>
      <c r="BK430" s="471"/>
      <c r="BL430" s="471"/>
      <c r="BM430" s="471"/>
      <c r="BN430" s="471"/>
      <c r="BO430" s="471"/>
      <c r="BP430" s="471"/>
      <c r="BQ430" s="471"/>
      <c r="BR430" s="471"/>
      <c r="BS430" s="471"/>
      <c r="BT430" s="471"/>
      <c r="BU430" s="471"/>
      <c r="BV430" s="471"/>
      <c r="BW430" s="471"/>
      <c r="BX430" s="471"/>
      <c r="BY430" s="471"/>
      <c r="BZ430" s="471"/>
      <c r="CA430" s="471"/>
      <c r="CB430" s="471"/>
      <c r="CC430" s="471"/>
      <c r="CD430" s="471"/>
      <c r="CE430" s="471"/>
      <c r="CF430" s="471"/>
      <c r="CG430" s="471"/>
      <c r="CH430" s="471"/>
      <c r="CI430" s="471"/>
      <c r="CJ430" s="471">
        <f>IF((Table1[[#This Row],["Volume
BA MC-0"]]-Table1[[#This Row],[Total Panjang Pipa Aktual
(Sum-&gt;)3]]-Table1[[#This Row],[Total Volume
tidak dapat dipasang]])&gt;=0,Table1[[#This Row],["Volume
BA MC-0"]]-Table1[[#This Row],[Total Panjang Pipa Aktual
(Sum-&gt;)3]]-Table1[[#This Row],[Total Volume
tidak dapat dipasang]],0)</f>
        <v>0</v>
      </c>
      <c r="CK430" s="47"/>
      <c r="CL430" s="472"/>
      <c r="CM430" s="475"/>
      <c r="CN430" s="472"/>
      <c r="CO430" s="472"/>
      <c r="CP43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0.16820436075384093</v>
      </c>
      <c r="CQ430" s="465">
        <f>IFERROR(Table1[[#This Row],[Progres Keg. Umum
(%)]]*Table1[[#This Row],[Nilai RAB Jaringan
(file pa aji)]],0)</f>
        <v>0</v>
      </c>
      <c r="CR430" s="465">
        <f>IFERROR(Table1[[#This Row],[Progres MOS
(%)]]*Table1[[#This Row],[Nilai RAB Jaringan
(file pa aji)]],0)</f>
        <v>0</v>
      </c>
      <c r="CS430" s="465">
        <f>IFERROR(Table1[[#This Row],[Progres Pemasangan
(%)]]*Table1[[#This Row],[Nilai RAB Jaringan
(file pa aji)]],0)</f>
        <v>0</v>
      </c>
      <c r="CT430" s="465">
        <f>IFERROR(Table1[[#This Row],[Progres Perizinan
(%)]]*Table1[[#This Row],[Nilai RAB Jaringan
(file pa aji)]],0)</f>
        <v>0</v>
      </c>
      <c r="CU430" s="329">
        <v>38416395.629598275</v>
      </c>
      <c r="CV430" s="329">
        <v>38416395.629598275</v>
      </c>
      <c r="CW430" s="524">
        <v>0</v>
      </c>
      <c r="CX430" s="329">
        <v>0</v>
      </c>
      <c r="CY430" s="47"/>
      <c r="CZ430" s="331">
        <v>46048</v>
      </c>
      <c r="DA430" s="331">
        <v>46075</v>
      </c>
      <c r="DB430" s="420">
        <v>46049</v>
      </c>
      <c r="DC430" s="535" t="s">
        <v>3380</v>
      </c>
      <c r="DD430" s="525">
        <f>1060000+227331199</f>
        <v>228391199</v>
      </c>
      <c r="DE43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0" s="420">
        <v>46052</v>
      </c>
      <c r="DG430" s="535" t="s">
        <v>3381</v>
      </c>
      <c r="DH430" s="525">
        <f>1060000+227331199</f>
        <v>228391199</v>
      </c>
      <c r="DI430"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0" s="331">
        <v>46076</v>
      </c>
      <c r="DK430" s="331">
        <v>46173</v>
      </c>
      <c r="DL430" s="331">
        <v>46065</v>
      </c>
      <c r="DM430" s="334" t="s">
        <v>3382</v>
      </c>
      <c r="DN43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0" s="331">
        <v>46083</v>
      </c>
      <c r="DP430" s="316"/>
      <c r="DQ430" s="338" t="s">
        <v>365</v>
      </c>
      <c r="DR43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0" s="331">
        <v>46076</v>
      </c>
      <c r="DT430" s="331">
        <v>46164</v>
      </c>
      <c r="DU430" s="331">
        <v>46117</v>
      </c>
      <c r="DV430" s="331">
        <v>46178</v>
      </c>
      <c r="DW430" s="331">
        <v>46065</v>
      </c>
      <c r="DX430" s="426" t="s">
        <v>3383</v>
      </c>
      <c r="DY430" s="334">
        <v>22</v>
      </c>
      <c r="DZ430" s="334">
        <v>22</v>
      </c>
      <c r="EA43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0" s="420"/>
      <c r="EC430" s="332">
        <v>21</v>
      </c>
      <c r="ED430" s="332">
        <v>21</v>
      </c>
      <c r="EE430" s="526"/>
      <c r="EF430" s="475">
        <v>0.95454545454545459</v>
      </c>
      <c r="EG430" s="337">
        <f>Table1[[#This Row],[Line PO]]/Table1[[#This Row],[Line PR]]</f>
        <v>0.95454545454545459</v>
      </c>
      <c r="EH430" s="316" t="str">
        <f>IF(Table1[[#This Row],[PO Material Aktual 
(%)]]&gt;=100%,"Selesai PO = 100%",IF(Table1[[#This Row],[PO Material Aktual 
(%)]]&gt;=50%,"Proses PO &gt; 100%",IF(Table1[[#This Row],[PO Material Aktual 
(%)]]&gt;0%,"Proses PO &gt; 50%",IF(Table1[[#This Row],[PO Material Aktual 
(%)]]=0,"Belum PO = 0%"))))</f>
        <v>Proses PO &gt; 100%</v>
      </c>
      <c r="EI43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0" s="331">
        <v>46118</v>
      </c>
      <c r="EK430" s="331">
        <v>46178</v>
      </c>
      <c r="EL430" s="331">
        <v>46201</v>
      </c>
      <c r="EM430" s="420">
        <v>46183</v>
      </c>
      <c r="EN430" s="420"/>
      <c r="EO430" s="332">
        <v>11</v>
      </c>
      <c r="EP430" s="332">
        <v>11</v>
      </c>
      <c r="EQ430" s="337">
        <v>0.5</v>
      </c>
      <c r="ER430" s="337">
        <f>Table1[[#This Row],[Line MOS (kolom bantu)]]/Table1[[#This Row],[Line PR]]</f>
        <v>0.5</v>
      </c>
      <c r="ES430" s="316" t="str">
        <f>IF(Table1[[#This Row],[Progres MOS]]&gt;=100%,"Selesai MOS = 100%",IF(Table1[[#This Row],[Progres MOS]]&gt;=50%,"Proses MOS &gt; 100%",IF(Table1[[#This Row],[Progres MOS]]&gt;0%,"Proses MOS &gt; 50%",IF(Table1[[#This Row],[Progres MOS]]=0,"Belum MOS = 0%"))))</f>
        <v>Proses MOS &gt; 100%</v>
      </c>
      <c r="ET43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30" s="47"/>
      <c r="EV430" s="331"/>
      <c r="EW430" s="331">
        <v>46156</v>
      </c>
      <c r="EX430" s="331"/>
      <c r="EY430" s="420">
        <v>46186</v>
      </c>
      <c r="EZ430" s="477" t="s">
        <v>2748</v>
      </c>
      <c r="FA430" s="409" t="s">
        <v>2748</v>
      </c>
      <c r="FB430" s="420" t="e">
        <v>#N/A</v>
      </c>
      <c r="FC430" s="330" t="e">
        <v>#N/A</v>
      </c>
      <c r="FD430" s="420" t="e">
        <v>#N/A</v>
      </c>
      <c r="FE430" s="420" t="e">
        <v>#N/A</v>
      </c>
      <c r="FF430" s="420" t="e">
        <v>#N/A</v>
      </c>
      <c r="FG430" s="420" t="e">
        <v>#N/A</v>
      </c>
      <c r="FH430" s="420" t="e">
        <v>#N/A</v>
      </c>
      <c r="FI430" s="420" t="e">
        <v>#N/A</v>
      </c>
      <c r="FJ430" s="420" t="e">
        <v>#N/A</v>
      </c>
      <c r="FK430" s="420" t="e">
        <v>#N/A</v>
      </c>
      <c r="FL430" s="352"/>
      <c r="FM430" s="477"/>
      <c r="FN430" s="461" t="str">
        <f>IF(Table1[[#This Row],[Tanggal Pengajuan Dokumen]]="","",Table1[[#This Row],[PLAN PERMIT
start]]-Table1[[#This Row],[Tanggal Pengajuan Dokumen]])</f>
        <v/>
      </c>
      <c r="FO430" s="477"/>
      <c r="FP430" s="334"/>
      <c r="FQ430" s="461"/>
      <c r="FR430" s="420"/>
      <c r="FS430" s="461"/>
      <c r="FT430"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0" s="476">
        <f ca="1">IF(Table1[[#This Row],[Status Izin]]="Selesai",Table1[[#This Row],[PLAN PERMIT
finish]]-Table1[[#This Row],[Tanggal Terbit/ Target Izin Terbit]],ROUNDUP(Table1[[#This Row],[PLAN PERMIT
finish]]-NOW(),0))</f>
        <v>-46191</v>
      </c>
      <c r="FV430"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0" s="476"/>
      <c r="FX430" s="47"/>
      <c r="FY430" s="513">
        <v>46160</v>
      </c>
      <c r="FZ430" s="513">
        <v>46097</v>
      </c>
      <c r="GA430"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0" s="331">
        <v>46174</v>
      </c>
      <c r="GC430" s="477">
        <v>46112</v>
      </c>
      <c r="GD430"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0" s="331">
        <v>46181</v>
      </c>
      <c r="GF430" s="477">
        <v>46112</v>
      </c>
      <c r="GG430"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0" s="331">
        <v>46188</v>
      </c>
      <c r="GI430" s="331">
        <v>46194</v>
      </c>
      <c r="GJ430" s="477">
        <v>46119</v>
      </c>
      <c r="GK430"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0" s="331">
        <v>46202</v>
      </c>
      <c r="GM430" s="331">
        <v>46193</v>
      </c>
      <c r="GN430" s="331">
        <v>46222</v>
      </c>
      <c r="GO430" s="330">
        <v>46241</v>
      </c>
      <c r="GP430" s="334"/>
      <c r="GQ430"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0" s="420"/>
      <c r="GS430" s="420"/>
      <c r="GT430" s="419"/>
      <c r="GU430" s="476" t="str">
        <f>IF(Table1[[#This Row],[Hydro Tes Actual
(tanggal)]]&lt;&gt;"","Sudah","Belum")</f>
        <v>Belum</v>
      </c>
      <c r="GV430" s="527"/>
      <c r="GW430" s="527"/>
      <c r="GX430" s="420"/>
      <c r="GY430" s="476" t="str">
        <f>IF(Table1[[#This Row],[Interkoneksi Actual
(tanggal)]]&lt;&gt;"","Sudah","Belum")</f>
        <v>Belum</v>
      </c>
      <c r="GZ430" s="527"/>
      <c r="HA430" s="527"/>
      <c r="HB430" s="420"/>
      <c r="HC430" s="476" t="str">
        <f>IF(Table1[[#This Row],[Flushing Actual
(tanggal)]]&lt;&gt;"","Sudah","Belum")</f>
        <v>Belum</v>
      </c>
      <c r="HD430" s="331">
        <v>46225</v>
      </c>
      <c r="HE430" s="331">
        <v>46242</v>
      </c>
      <c r="HF430" s="331">
        <v>46230</v>
      </c>
      <c r="HG430" s="477"/>
      <c r="HH430"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0" s="527"/>
      <c r="HJ430" s="527"/>
      <c r="HK430" s="420"/>
      <c r="HL430" s="420"/>
      <c r="HM430" s="331">
        <v>46247</v>
      </c>
      <c r="HN430" s="331">
        <v>46247</v>
      </c>
      <c r="HO430" s="330">
        <v>46259</v>
      </c>
      <c r="HP430" s="420"/>
      <c r="HQ430"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30" s="331">
        <v>46255</v>
      </c>
      <c r="HS430" s="331"/>
      <c r="HT430" s="331">
        <v>46255</v>
      </c>
      <c r="HU430" s="420"/>
      <c r="HV430" s="347"/>
      <c r="HW430"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30" s="47"/>
      <c r="HY430" s="477"/>
      <c r="HZ430" s="477"/>
      <c r="IA430" s="72"/>
      <c r="IB430" s="618">
        <f>IFERROR(ROUND((Table1[[#This Row],[PLAN TC
finish]]-Table1[[#This Row],[PLAN MC-0
start]])/30,2),"")</f>
        <v>1.4</v>
      </c>
      <c r="IC430">
        <f>DATEDIF(Table1[[#This Row],[PLAN MC-0
start]],Table1[[#This Row],[PLAN TC
finish]],"m")</f>
        <v>1</v>
      </c>
      <c r="ID430" s="6"/>
      <c r="IE430" s="6"/>
      <c r="IF430" s="72"/>
      <c r="IH430" s="6"/>
      <c r="II430" s="4"/>
      <c r="IJ430" s="4"/>
      <c r="IK430" s="6"/>
      <c r="IL430" s="6"/>
      <c r="IM430" s="6"/>
      <c r="IN430" s="6"/>
      <c r="IO430" s="6"/>
      <c r="IQ430" s="6"/>
      <c r="IR430" s="6"/>
      <c r="IS430" s="6"/>
      <c r="IT430" s="6"/>
      <c r="IW430" s="6"/>
      <c r="IX430" s="6"/>
      <c r="IZ430" s="6"/>
      <c r="JA430" s="6"/>
    </row>
    <row r="431" spans="2:261" ht="15" hidden="1" customHeight="1" x14ac:dyDescent="0.2">
      <c r="B431" s="311">
        <f>SUBTOTAL(3,$D$5:D431)</f>
        <v>84</v>
      </c>
      <c r="C431" s="316">
        <v>427</v>
      </c>
      <c r="D431" s="315" t="s">
        <v>673</v>
      </c>
      <c r="E431" s="461" t="s">
        <v>3384</v>
      </c>
      <c r="F431" s="338" t="s">
        <v>3385</v>
      </c>
      <c r="G431" s="349">
        <v>46300</v>
      </c>
      <c r="H431" s="338" t="s">
        <v>681</v>
      </c>
      <c r="I431" s="461" t="s">
        <v>278</v>
      </c>
      <c r="J431" s="518"/>
      <c r="K431" s="461"/>
      <c r="L431" s="334"/>
      <c r="M431" s="479" t="s">
        <v>269</v>
      </c>
      <c r="N431" s="507">
        <v>15</v>
      </c>
      <c r="O431" s="31" t="s">
        <v>252</v>
      </c>
      <c r="P431"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3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1" s="35">
        <v>0.40361415020812474</v>
      </c>
      <c r="S431" s="327">
        <v>0.40361415020812474</v>
      </c>
      <c r="T431" s="153">
        <f>Table1[[#This Row],[Progres Total Aktual
(%)]]</f>
        <v>0.13820611539474972</v>
      </c>
      <c r="U431" s="122">
        <f>Table1[[#This Row],[Progres Aktual
(%)]]-Table1[[#This Row],[Target Progres
(%)]]</f>
        <v>-0.26540803481337505</v>
      </c>
      <c r="V431" s="119">
        <v>15</v>
      </c>
      <c r="W431" s="119">
        <f>Table1[[#This Row],[Total Panjang Pipa Aktual
(Sum-&gt;)3]]</f>
        <v>0</v>
      </c>
      <c r="X431" s="120"/>
      <c r="Y431" s="531" t="s">
        <v>3386</v>
      </c>
      <c r="Z431" s="529">
        <v>188411072</v>
      </c>
      <c r="AA431" s="519">
        <f>ROUND((Table1[[#This Row],[Nilai RAB Jaringan
(Exclude Ppn)]]-Table1[[#This Row],[RAB Perizinan]])*1.11+Table1[[#This Row],[RAB Perizinan]],0)</f>
        <v>188411072</v>
      </c>
      <c r="AB431" s="505">
        <f>SUM(Table1[[#This Row],[RAB Kegiatan Umum]:[RAB Perizinan]])</f>
        <v>169754569</v>
      </c>
      <c r="AC431" s="537">
        <v>4310113</v>
      </c>
      <c r="AD431" s="486">
        <v>43101125</v>
      </c>
      <c r="AE431" s="537">
        <v>122193331</v>
      </c>
      <c r="AF431" s="537">
        <v>150000</v>
      </c>
      <c r="AG431" s="538"/>
      <c r="AH431" s="520">
        <f>SUM(Table1[[#This Row],[Bobot Keg Umum]:[Bobot Perizinan]])</f>
        <v>1.0000000000000002</v>
      </c>
      <c r="AI431" s="520">
        <f>Table1[[#This Row],[RAB Kegiatan Umum]]/Table1[[#This Row],[Nilai RAB Jaringan
(Exclude Ppn)]]</f>
        <v>2.5390262102459229E-2</v>
      </c>
      <c r="AJ431" s="520">
        <f>Table1[[#This Row],[RAB Pemasangan]]/Table1[[#This Row],[Nilai RAB Jaringan
(Exclude Ppn)]]</f>
        <v>0.25390259157030409</v>
      </c>
      <c r="AK431" s="521">
        <f>Table1[[#This Row],[RAB Pengadaan]]/Table1[[#This Row],[Nilai RAB Jaringan
(Exclude Ppn)]]</f>
        <v>0.71982351768098807</v>
      </c>
      <c r="AL431" s="522">
        <f>Table1[[#This Row],[RAB Perizinan]]/Table1[[#This Row],[Nilai RAB Jaringan
(Exclude Ppn)]]</f>
        <v>8.8362864624869097E-4</v>
      </c>
      <c r="AM431" s="47"/>
      <c r="AN431" s="470"/>
      <c r="AO431" s="470">
        <f>SUM(Table1[[#This Row],[Pipa 63 mm]:[Pipa 1,800 mm]])</f>
        <v>15</v>
      </c>
      <c r="AP431" s="470">
        <v>15</v>
      </c>
      <c r="AQ431" s="470"/>
      <c r="AR431" s="470"/>
      <c r="AS431" s="470"/>
      <c r="AT431" s="470"/>
      <c r="AU431" s="470"/>
      <c r="AV431" s="470"/>
      <c r="AW431" s="470"/>
      <c r="AX431" s="470"/>
      <c r="AY431" s="470"/>
      <c r="AZ431" s="470"/>
      <c r="BA431" s="470"/>
      <c r="BB431" s="470"/>
      <c r="BC431" s="470"/>
      <c r="BD431" s="470"/>
      <c r="BE431" s="470"/>
      <c r="BF431" s="470"/>
      <c r="BG431" s="470"/>
      <c r="BH431" s="470"/>
      <c r="BI431" s="470"/>
      <c r="BJ431" s="523">
        <f>SUM(Table1[[#This Row],[Pipa 63 mm2]:[Pipa 1,800 mm21]])</f>
        <v>0</v>
      </c>
      <c r="BK431" s="471"/>
      <c r="BL431" s="471"/>
      <c r="BM431" s="471"/>
      <c r="BN431" s="471"/>
      <c r="BO431" s="471"/>
      <c r="BP431" s="471"/>
      <c r="BQ431" s="471"/>
      <c r="BR431" s="471"/>
      <c r="BS431" s="471"/>
      <c r="BT431" s="471"/>
      <c r="BU431" s="471"/>
      <c r="BV431" s="471"/>
      <c r="BW431" s="471"/>
      <c r="BX431" s="471"/>
      <c r="BY431" s="471"/>
      <c r="BZ431" s="471"/>
      <c r="CA431" s="471"/>
      <c r="CB431" s="471"/>
      <c r="CC431" s="471"/>
      <c r="CD431" s="471"/>
      <c r="CE431" s="471"/>
      <c r="CF431" s="471"/>
      <c r="CG431" s="471"/>
      <c r="CH431" s="471"/>
      <c r="CI431" s="471"/>
      <c r="CJ431" s="471">
        <f>IF((Table1[[#This Row],["Volume
BA MC-0"]]-Table1[[#This Row],[Total Panjang Pipa Aktual
(Sum-&gt;)3]]-Table1[[#This Row],[Total Volume
tidak dapat dipasang]])&gt;=0,Table1[[#This Row],["Volume
BA MC-0"]]-Table1[[#This Row],[Total Panjang Pipa Aktual
(Sum-&gt;)3]]-Table1[[#This Row],[Total Volume
tidak dapat dipasang]],0)</f>
        <v>0</v>
      </c>
      <c r="CK431" s="47"/>
      <c r="CL431" s="472"/>
      <c r="CM431" s="475"/>
      <c r="CN431" s="472"/>
      <c r="CO431" s="472"/>
      <c r="CP431"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0.13820611539474972</v>
      </c>
      <c r="CQ431" s="465">
        <f>IFERROR(Table1[[#This Row],[Progres Keg. Umum
(%)]]*Table1[[#This Row],[Nilai RAB Jaringan
(file pa aji)]],0)</f>
        <v>0</v>
      </c>
      <c r="CR431" s="465">
        <f>IFERROR(Table1[[#This Row],[Progres MOS
(%)]]*Table1[[#This Row],[Nilai RAB Jaringan
(file pa aji)]],0)</f>
        <v>0</v>
      </c>
      <c r="CS431" s="465">
        <f>IFERROR(Table1[[#This Row],[Progres Pemasangan
(%)]]*Table1[[#This Row],[Nilai RAB Jaringan
(file pa aji)]],0)</f>
        <v>0</v>
      </c>
      <c r="CT431" s="465">
        <f>IFERROR(Table1[[#This Row],[Progres Perizinan
(%)]]*Table1[[#This Row],[Nilai RAB Jaringan
(file pa aji)]],0)</f>
        <v>0</v>
      </c>
      <c r="CU431" s="329">
        <v>0</v>
      </c>
      <c r="CV431" s="329">
        <v>0</v>
      </c>
      <c r="CW431" s="524">
        <v>0</v>
      </c>
      <c r="CX431" s="329">
        <v>0</v>
      </c>
      <c r="CY431" s="47"/>
      <c r="CZ431" s="331">
        <v>46048</v>
      </c>
      <c r="DA431" s="331">
        <v>46075</v>
      </c>
      <c r="DB431" s="420">
        <v>46049</v>
      </c>
      <c r="DC431" s="535" t="s">
        <v>3387</v>
      </c>
      <c r="DD431" s="525">
        <f>188261071+150000</f>
        <v>188411071</v>
      </c>
      <c r="DE43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1" s="420">
        <v>46063</v>
      </c>
      <c r="DG431" s="535" t="s">
        <v>3388</v>
      </c>
      <c r="DH431" s="525">
        <f>188261071+150000</f>
        <v>188411071</v>
      </c>
      <c r="DI431"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1" s="331">
        <v>46076</v>
      </c>
      <c r="DK431" s="331">
        <v>46173</v>
      </c>
      <c r="DL431" s="331">
        <v>46066</v>
      </c>
      <c r="DM431" s="334" t="s">
        <v>3389</v>
      </c>
      <c r="DN43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1" s="331">
        <v>46086</v>
      </c>
      <c r="DP431" s="334"/>
      <c r="DQ431" s="461" t="s">
        <v>762</v>
      </c>
      <c r="DR43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1" s="331">
        <v>46076</v>
      </c>
      <c r="DT431" s="331">
        <v>46164</v>
      </c>
      <c r="DU431" s="331">
        <v>46117</v>
      </c>
      <c r="DV431" s="331">
        <v>46178</v>
      </c>
      <c r="DW431" s="331">
        <v>46066</v>
      </c>
      <c r="DX431" s="426" t="s">
        <v>3390</v>
      </c>
      <c r="DY431" s="334">
        <v>25</v>
      </c>
      <c r="DZ431" s="334">
        <v>25</v>
      </c>
      <c r="EA43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1" s="453"/>
      <c r="EC431" s="332">
        <v>22</v>
      </c>
      <c r="ED431" s="332">
        <v>22</v>
      </c>
      <c r="EE431" s="141"/>
      <c r="EF431" s="475">
        <v>0.88</v>
      </c>
      <c r="EG431" s="337">
        <f>Table1[[#This Row],[Line PO]]/Table1[[#This Row],[Line PR]]</f>
        <v>0.88</v>
      </c>
      <c r="EH431" s="316" t="str">
        <f>IF(Table1[[#This Row],[PO Material Aktual 
(%)]]&gt;=100%,"Selesai PO = 100%",IF(Table1[[#This Row],[PO Material Aktual 
(%)]]&gt;=50%,"Proses PO &gt; 100%",IF(Table1[[#This Row],[PO Material Aktual 
(%)]]&gt;0%,"Proses PO &gt; 50%",IF(Table1[[#This Row],[PO Material Aktual 
(%)]]=0,"Belum PO = 0%"))))</f>
        <v>Proses PO &gt; 100%</v>
      </c>
      <c r="EI43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1" s="331">
        <v>46118</v>
      </c>
      <c r="EK431" s="331">
        <v>46178</v>
      </c>
      <c r="EL431" s="331">
        <v>46201</v>
      </c>
      <c r="EM431" s="420">
        <v>46183</v>
      </c>
      <c r="EN431" s="420"/>
      <c r="EO431" s="332">
        <v>8</v>
      </c>
      <c r="EP431" s="332">
        <v>8</v>
      </c>
      <c r="EQ431" s="337">
        <v>0.32</v>
      </c>
      <c r="ER431" s="337">
        <f>Table1[[#This Row],[Line MOS (kolom bantu)]]/Table1[[#This Row],[Line PR]]</f>
        <v>0.32</v>
      </c>
      <c r="ES431" s="316" t="str">
        <f>IF(Table1[[#This Row],[Progres MOS]]&gt;=100%,"Selesai MOS = 100%",IF(Table1[[#This Row],[Progres MOS]]&gt;=50%,"Proses MOS &gt; 100%",IF(Table1[[#This Row],[Progres MOS]]&gt;0%,"Proses MOS &gt; 50%",IF(Table1[[#This Row],[Progres MOS]]=0,"Belum MOS = 0%"))))</f>
        <v>Proses MOS &gt; 50%</v>
      </c>
      <c r="ET43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31" s="47"/>
      <c r="EV431" s="331"/>
      <c r="EW431" s="331">
        <v>46156</v>
      </c>
      <c r="EX431" s="331"/>
      <c r="EY431" s="420">
        <v>46186</v>
      </c>
      <c r="EZ431" s="477" t="s">
        <v>2748</v>
      </c>
      <c r="FA431" s="409" t="s">
        <v>2748</v>
      </c>
      <c r="FB431" s="420" t="e">
        <v>#N/A</v>
      </c>
      <c r="FC431" s="330" t="e">
        <v>#N/A</v>
      </c>
      <c r="FD431" s="420" t="e">
        <v>#N/A</v>
      </c>
      <c r="FE431" s="420" t="e">
        <v>#N/A</v>
      </c>
      <c r="FF431" s="420" t="e">
        <v>#N/A</v>
      </c>
      <c r="FG431" s="420" t="e">
        <v>#N/A</v>
      </c>
      <c r="FH431" s="420" t="e">
        <v>#N/A</v>
      </c>
      <c r="FI431" s="420" t="e">
        <v>#N/A</v>
      </c>
      <c r="FJ431" s="420" t="e">
        <v>#N/A</v>
      </c>
      <c r="FK431" s="420" t="e">
        <v>#N/A</v>
      </c>
      <c r="FL431" s="352"/>
      <c r="FM431" s="477"/>
      <c r="FN431" s="461" t="str">
        <f>IF(Table1[[#This Row],[Tanggal Pengajuan Dokumen]]="","",Table1[[#This Row],[PLAN PERMIT
start]]-Table1[[#This Row],[Tanggal Pengajuan Dokumen]])</f>
        <v/>
      </c>
      <c r="FO431" s="477"/>
      <c r="FP431" s="334"/>
      <c r="FQ431" s="461"/>
      <c r="FR431" s="420"/>
      <c r="FS431" s="461"/>
      <c r="FT431"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1" s="476">
        <f ca="1">IF(Table1[[#This Row],[Status Izin]]="Selesai",Table1[[#This Row],[PLAN PERMIT
finish]]-Table1[[#This Row],[Tanggal Terbit/ Target Izin Terbit]],ROUNDUP(Table1[[#This Row],[PLAN PERMIT
finish]]-NOW(),0))</f>
        <v>-46191</v>
      </c>
      <c r="FV431"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1" s="476"/>
      <c r="FX431" s="47"/>
      <c r="FY431" s="513">
        <v>46160</v>
      </c>
      <c r="FZ431" s="513">
        <v>46097</v>
      </c>
      <c r="GA431"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1" s="331">
        <v>46174</v>
      </c>
      <c r="GC431" s="477">
        <v>46112</v>
      </c>
      <c r="GD431"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1" s="331">
        <v>46181</v>
      </c>
      <c r="GF431" s="477">
        <v>46112</v>
      </c>
      <c r="GG431"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1" s="331">
        <v>46188</v>
      </c>
      <c r="GI431" s="331">
        <v>46194</v>
      </c>
      <c r="GJ431" s="477">
        <v>46125</v>
      </c>
      <c r="GK431"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1" s="331">
        <v>46202</v>
      </c>
      <c r="GM431" s="331">
        <v>46193</v>
      </c>
      <c r="GN431" s="331">
        <v>46222</v>
      </c>
      <c r="GO431" s="330">
        <v>46241</v>
      </c>
      <c r="GP431" s="334"/>
      <c r="GQ431"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1" s="420"/>
      <c r="GS431" s="420"/>
      <c r="GT431" s="419"/>
      <c r="GU431" s="476" t="str">
        <f>IF(Table1[[#This Row],[Hydro Tes Actual
(tanggal)]]&lt;&gt;"","Sudah","Belum")</f>
        <v>Belum</v>
      </c>
      <c r="GV431" s="527"/>
      <c r="GW431" s="527"/>
      <c r="GX431" s="420"/>
      <c r="GY431" s="476" t="str">
        <f>IF(Table1[[#This Row],[Interkoneksi Actual
(tanggal)]]&lt;&gt;"","Sudah","Belum")</f>
        <v>Belum</v>
      </c>
      <c r="GZ431" s="527"/>
      <c r="HA431" s="527"/>
      <c r="HB431" s="420"/>
      <c r="HC431" s="476" t="str">
        <f>IF(Table1[[#This Row],[Flushing Actual
(tanggal)]]&lt;&gt;"","Sudah","Belum")</f>
        <v>Belum</v>
      </c>
      <c r="HD431" s="331">
        <v>46225</v>
      </c>
      <c r="HE431" s="331">
        <v>46242</v>
      </c>
      <c r="HF431" s="331">
        <v>46230</v>
      </c>
      <c r="HG431" s="477"/>
      <c r="HH431"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1" s="527"/>
      <c r="HJ431" s="527"/>
      <c r="HK431" s="420"/>
      <c r="HL431" s="420"/>
      <c r="HM431" s="331">
        <v>46247</v>
      </c>
      <c r="HN431" s="331">
        <v>46247</v>
      </c>
      <c r="HO431" s="330">
        <v>46259</v>
      </c>
      <c r="HP431" s="420"/>
      <c r="HQ431"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31" s="331">
        <v>46255</v>
      </c>
      <c r="HS431" s="331"/>
      <c r="HT431" s="331">
        <v>46255</v>
      </c>
      <c r="HU431" s="420"/>
      <c r="HV431" s="347"/>
      <c r="HW431"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31" s="47"/>
      <c r="HY431" s="477"/>
      <c r="HZ431" s="477"/>
      <c r="IA431" s="72"/>
      <c r="IB431" s="618">
        <f>IFERROR(ROUND((Table1[[#This Row],[PLAN TC
finish]]-Table1[[#This Row],[PLAN MC-0
start]])/30,2),"")</f>
        <v>1.4</v>
      </c>
      <c r="IC431">
        <f>DATEDIF(Table1[[#This Row],[PLAN MC-0
start]],Table1[[#This Row],[PLAN TC
finish]],"m")</f>
        <v>1</v>
      </c>
      <c r="ID431" s="6"/>
      <c r="IE431" s="6"/>
      <c r="IF431" s="72"/>
      <c r="IH431" s="6"/>
      <c r="II431" s="4"/>
      <c r="IJ431" s="4"/>
      <c r="IK431" s="6"/>
      <c r="IL431" s="6"/>
      <c r="IM431" s="6"/>
      <c r="IN431" s="6"/>
      <c r="IO431" s="6"/>
      <c r="IQ431" s="6"/>
      <c r="IR431" s="6"/>
      <c r="IS431" s="6"/>
      <c r="IT431" s="6"/>
      <c r="IW431" s="6"/>
      <c r="IX431" s="6"/>
      <c r="IZ431" s="6"/>
      <c r="JA431" s="6"/>
    </row>
    <row r="432" spans="2:261" ht="15" hidden="1" customHeight="1" x14ac:dyDescent="0.2">
      <c r="B432" s="311">
        <f>SUBTOTAL(3,$D$5:D432)</f>
        <v>84</v>
      </c>
      <c r="C432" s="316"/>
      <c r="D432" s="315" t="s">
        <v>673</v>
      </c>
      <c r="E432" s="461" t="s">
        <v>3391</v>
      </c>
      <c r="F432" s="338" t="s">
        <v>3392</v>
      </c>
      <c r="G432" s="349">
        <v>46300</v>
      </c>
      <c r="H432" s="338" t="s">
        <v>681</v>
      </c>
      <c r="I432" s="461"/>
      <c r="J432" s="518"/>
      <c r="K432" s="461"/>
      <c r="L432" s="334"/>
      <c r="M432" s="479"/>
      <c r="N432" s="507">
        <v>40</v>
      </c>
      <c r="O432" s="31" t="s">
        <v>252</v>
      </c>
      <c r="P432"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2" s="32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32" s="35">
        <v>0</v>
      </c>
      <c r="S432" s="327">
        <v>0</v>
      </c>
      <c r="T432" s="153">
        <f>Table1[[#This Row],[Progres Total Aktual
(%)]]</f>
        <v>0</v>
      </c>
      <c r="U432" s="122">
        <f>Table1[[#This Row],[Progres Aktual
(%)]]-Table1[[#This Row],[Target Progres
(%)]]</f>
        <v>0</v>
      </c>
      <c r="V432" s="119">
        <f>Table1[[#This Row],["Volume
BA MC-0"]]</f>
        <v>0</v>
      </c>
      <c r="W432" s="119">
        <f>Table1[[#This Row],[Total Panjang Pipa Aktual
(Sum-&gt;)3]]</f>
        <v>0</v>
      </c>
      <c r="X432" s="120"/>
      <c r="Y432" s="531"/>
      <c r="Z432" s="529"/>
      <c r="AA432" s="519">
        <f>ROUND((Table1[[#This Row],[Nilai RAB Jaringan
(Exclude Ppn)]]-Table1[[#This Row],[RAB Perizinan]])*1.11+Table1[[#This Row],[RAB Perizinan]],0)</f>
        <v>0</v>
      </c>
      <c r="AB432" s="505">
        <f>SUM(Table1[[#This Row],[RAB Kegiatan Umum]:[RAB Perizinan]])</f>
        <v>0</v>
      </c>
      <c r="AC432" s="556"/>
      <c r="AD432" s="557"/>
      <c r="AE432" s="556"/>
      <c r="AF432" s="556"/>
      <c r="AG432" s="538"/>
      <c r="AH432" s="520" t="e">
        <f>SUM(Table1[[#This Row],[Bobot Keg Umum]:[Bobot Perizinan]])</f>
        <v>#DIV/0!</v>
      </c>
      <c r="AI432" s="520" t="e">
        <f>Table1[[#This Row],[RAB Kegiatan Umum]]/Table1[[#This Row],[Nilai RAB Jaringan
(Exclude Ppn)]]</f>
        <v>#DIV/0!</v>
      </c>
      <c r="AJ432" s="520" t="e">
        <f>Table1[[#This Row],[RAB Pemasangan]]/Table1[[#This Row],[Nilai RAB Jaringan
(Exclude Ppn)]]</f>
        <v>#DIV/0!</v>
      </c>
      <c r="AK432" s="521" t="e">
        <f>Table1[[#This Row],[RAB Pengadaan]]/Table1[[#This Row],[Nilai RAB Jaringan
(Exclude Ppn)]]</f>
        <v>#DIV/0!</v>
      </c>
      <c r="AL432" s="522" t="e">
        <f>Table1[[#This Row],[RAB Perizinan]]/Table1[[#This Row],[Nilai RAB Jaringan
(Exclude Ppn)]]</f>
        <v>#DIV/0!</v>
      </c>
      <c r="AM432" s="47"/>
      <c r="AN432" s="470"/>
      <c r="AO432" s="470">
        <f>SUM(Table1[[#This Row],[Pipa 63 mm]:[Pipa 1,800 mm]])</f>
        <v>0</v>
      </c>
      <c r="AP432" s="470"/>
      <c r="AQ432" s="470"/>
      <c r="AR432" s="470"/>
      <c r="AS432" s="470"/>
      <c r="AT432" s="470"/>
      <c r="AU432" s="470"/>
      <c r="AV432" s="470"/>
      <c r="AW432" s="470"/>
      <c r="AX432" s="470"/>
      <c r="AY432" s="470"/>
      <c r="AZ432" s="470"/>
      <c r="BA432" s="470"/>
      <c r="BB432" s="470"/>
      <c r="BC432" s="470"/>
      <c r="BD432" s="470"/>
      <c r="BE432" s="470"/>
      <c r="BF432" s="470"/>
      <c r="BG432" s="470"/>
      <c r="BH432" s="470"/>
      <c r="BI432" s="470"/>
      <c r="BJ432" s="523">
        <f>SUM(Table1[[#This Row],[Pipa 63 mm2]:[Pipa 1,800 mm21]])</f>
        <v>0</v>
      </c>
      <c r="BK432" s="471"/>
      <c r="BL432" s="471"/>
      <c r="BM432" s="471"/>
      <c r="BN432" s="471"/>
      <c r="BO432" s="471"/>
      <c r="BP432" s="471"/>
      <c r="BQ432" s="471"/>
      <c r="BR432" s="471"/>
      <c r="BS432" s="471"/>
      <c r="BT432" s="471"/>
      <c r="BU432" s="471"/>
      <c r="BV432" s="471"/>
      <c r="BW432" s="471"/>
      <c r="BX432" s="471"/>
      <c r="BY432" s="471"/>
      <c r="BZ432" s="471"/>
      <c r="CA432" s="471"/>
      <c r="CB432" s="471"/>
      <c r="CC432" s="471"/>
      <c r="CD432" s="471"/>
      <c r="CE432" s="471"/>
      <c r="CF432" s="471"/>
      <c r="CG432" s="471"/>
      <c r="CH432" s="471"/>
      <c r="CI432" s="471"/>
      <c r="CJ432" s="471">
        <f>IF((Table1[[#This Row],["Volume
BA MC-0"]]-Table1[[#This Row],[Total Panjang Pipa Aktual
(Sum-&gt;)3]]-Table1[[#This Row],[Total Volume
tidak dapat dipasang]])&gt;=0,Table1[[#This Row],["Volume
BA MC-0"]]-Table1[[#This Row],[Total Panjang Pipa Aktual
(Sum-&gt;)3]]-Table1[[#This Row],[Total Volume
tidak dapat dipasang]],0)</f>
        <v>0</v>
      </c>
      <c r="CK432" s="47"/>
      <c r="CL432" s="472"/>
      <c r="CM432" s="475"/>
      <c r="CN432" s="472"/>
      <c r="CO432" s="472"/>
      <c r="CP432" s="327"/>
      <c r="CQ432" s="465">
        <f>IFERROR(Table1[[#This Row],[Progres Keg. Umum
(%)]]*Table1[[#This Row],[Nilai RAB Jaringan
(file pa aji)]],0)</f>
        <v>0</v>
      </c>
      <c r="CR432" s="465">
        <f>IFERROR(Table1[[#This Row],[Progres MOS
(%)]]*Table1[[#This Row],[Nilai RAB Jaringan
(file pa aji)]],0)</f>
        <v>0</v>
      </c>
      <c r="CS432" s="465">
        <f>IFERROR(Table1[[#This Row],[Progres Pemasangan
(%)]]*Table1[[#This Row],[Nilai RAB Jaringan
(file pa aji)]],0)</f>
        <v>0</v>
      </c>
      <c r="CT432" s="465">
        <f>IFERROR(Table1[[#This Row],[Progres Perizinan
(%)]]*Table1[[#This Row],[Nilai RAB Jaringan
(file pa aji)]],0)</f>
        <v>0</v>
      </c>
      <c r="CU432" s="329"/>
      <c r="CV432" s="436"/>
      <c r="CW432" s="524"/>
      <c r="CX432" s="329"/>
      <c r="CY432" s="47"/>
      <c r="CZ432" s="331"/>
      <c r="DA432" s="331"/>
      <c r="DB432" s="420"/>
      <c r="DC432" s="535"/>
      <c r="DD432" s="525"/>
      <c r="DE43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32" s="420"/>
      <c r="DG432" s="535"/>
      <c r="DH432" s="525"/>
      <c r="DI432"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2" s="331"/>
      <c r="DK432" s="331"/>
      <c r="DL432" s="331"/>
      <c r="DM432" s="334"/>
      <c r="DN432"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32" s="331"/>
      <c r="DP432" s="334"/>
      <c r="DQ432" s="461"/>
      <c r="DR432"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32" s="331"/>
      <c r="DT432" s="331">
        <v>46164</v>
      </c>
      <c r="DU432" s="331"/>
      <c r="DV432" s="331">
        <v>46178</v>
      </c>
      <c r="DW432" s="331"/>
      <c r="DX432" s="334"/>
      <c r="DY432" s="334"/>
      <c r="DZ432" s="334"/>
      <c r="EA432"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2" s="420"/>
      <c r="EC432" s="332"/>
      <c r="ED432" s="332"/>
      <c r="EE432" s="526"/>
      <c r="EF432" s="475"/>
      <c r="EG432" s="337"/>
      <c r="EH432" s="316" t="str">
        <f>IF(Table1[[#This Row],[PO Material Aktual 
(%)]]&gt;=100%,"Selesai PO = 100%",IF(Table1[[#This Row],[PO Material Aktual 
(%)]]&gt;=50%,"Proses PO &gt; 100%",IF(Table1[[#This Row],[PO Material Aktual 
(%)]]&gt;0%,"Proses PO &gt; 50%",IF(Table1[[#This Row],[PO Material Aktual 
(%)]]=0,"Belum PO = 0%"))))</f>
        <v>Belum PO = 0%</v>
      </c>
      <c r="EI43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2" s="331"/>
      <c r="EK432" s="331">
        <v>46178</v>
      </c>
      <c r="EL432" s="331"/>
      <c r="EM432" s="420">
        <v>46193</v>
      </c>
      <c r="EN432" s="420"/>
      <c r="EO432" s="332"/>
      <c r="EP432" s="332"/>
      <c r="EQ432" s="337"/>
      <c r="ER432" s="337"/>
      <c r="ES432" s="316" t="str">
        <f>IF(Table1[[#This Row],[Progres MOS]]&gt;=100%,"Selesai MOS = 100%",IF(Table1[[#This Row],[Progres MOS]]&gt;=50%,"Proses MOS &gt; 100%",IF(Table1[[#This Row],[Progres MOS]]&gt;0%,"Proses MOS &gt; 50%",IF(Table1[[#This Row],[Progres MOS]]=0,"Belum MOS = 0%"))))</f>
        <v>Belum MOS = 0%</v>
      </c>
      <c r="ET43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2" s="47"/>
      <c r="EV432" s="331"/>
      <c r="EW432" s="331">
        <v>46159</v>
      </c>
      <c r="EX432" s="331"/>
      <c r="EY432" s="420">
        <v>46189</v>
      </c>
      <c r="EZ432" s="477" t="s">
        <v>2748</v>
      </c>
      <c r="FA432" s="409" t="s">
        <v>2748</v>
      </c>
      <c r="FB432" s="420"/>
      <c r="FC432" s="330"/>
      <c r="FD432" s="420"/>
      <c r="FE432" s="420"/>
      <c r="FF432" s="420"/>
      <c r="FG432" s="420"/>
      <c r="FH432" s="420"/>
      <c r="FI432" s="420"/>
      <c r="FJ432" s="420"/>
      <c r="FK432" s="420"/>
      <c r="FL432" s="352"/>
      <c r="FM432" s="477"/>
      <c r="FN432" s="461" t="str">
        <f>IF(Table1[[#This Row],[Tanggal Pengajuan Dokumen]]="","",Table1[[#This Row],[PLAN PERMIT
start]]-Table1[[#This Row],[Tanggal Pengajuan Dokumen]])</f>
        <v/>
      </c>
      <c r="FO432" s="477"/>
      <c r="FP432" s="334"/>
      <c r="FQ432" s="461"/>
      <c r="FR432" s="420"/>
      <c r="FS432" s="461"/>
      <c r="FT432"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2" s="476">
        <f ca="1">IF(Table1[[#This Row],[Status Izin]]="Selesai",Table1[[#This Row],[PLAN PERMIT
finish]]-Table1[[#This Row],[Tanggal Terbit/ Target Izin Terbit]],ROUNDUP(Table1[[#This Row],[PLAN PERMIT
finish]]-NOW(),0))</f>
        <v>-46191</v>
      </c>
      <c r="FV432"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2" s="476"/>
      <c r="FX432" s="47"/>
      <c r="FY432" s="513"/>
      <c r="FZ432" s="513"/>
      <c r="GA432"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2" s="331"/>
      <c r="GC432" s="477"/>
      <c r="GD432"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32" s="331"/>
      <c r="GF432" s="477"/>
      <c r="GG432"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32" s="331"/>
      <c r="GI432" s="331"/>
      <c r="GJ432" s="477"/>
      <c r="GK432"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32" s="331"/>
      <c r="GM432" s="331">
        <v>46196</v>
      </c>
      <c r="GN432" s="331"/>
      <c r="GO432" s="330">
        <v>46216</v>
      </c>
      <c r="GP432" s="334"/>
      <c r="GQ432"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2" s="420"/>
      <c r="GS432" s="420"/>
      <c r="GT432" s="419"/>
      <c r="GU432" s="476" t="str">
        <f>IF(Table1[[#This Row],[Hydro Tes Actual
(tanggal)]]&lt;&gt;"","Sudah","Belum")</f>
        <v>Belum</v>
      </c>
      <c r="GV432" s="527"/>
      <c r="GW432" s="527"/>
      <c r="GX432" s="420"/>
      <c r="GY432" s="476" t="str">
        <f>IF(Table1[[#This Row],[Interkoneksi Actual
(tanggal)]]&lt;&gt;"","Sudah","Belum")</f>
        <v>Belum</v>
      </c>
      <c r="GZ432" s="527"/>
      <c r="HA432" s="527"/>
      <c r="HB432" s="420"/>
      <c r="HC432" s="476" t="str">
        <f>IF(Table1[[#This Row],[Flushing Actual
(tanggal)]]&lt;&gt;"","Sudah","Belum")</f>
        <v>Belum</v>
      </c>
      <c r="HD432" s="331"/>
      <c r="HE432" s="331">
        <v>46217</v>
      </c>
      <c r="HF432" s="331"/>
      <c r="HG432" s="477"/>
      <c r="HH432"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2" s="527"/>
      <c r="HJ432" s="527"/>
      <c r="HK432" s="420"/>
      <c r="HL432" s="420"/>
      <c r="HM432" s="331"/>
      <c r="HN432" s="331"/>
      <c r="HO432" s="330">
        <v>46234</v>
      </c>
      <c r="HP432" s="420"/>
      <c r="HQ432"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32" s="331"/>
      <c r="HS432" s="331"/>
      <c r="HT432" s="331"/>
      <c r="HU432" s="420"/>
      <c r="HV432" s="347"/>
      <c r="HW432"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32" s="47"/>
      <c r="HY432" s="477"/>
      <c r="HZ432" s="477"/>
      <c r="IA432" s="72"/>
      <c r="IB432" s="618">
        <f>IFERROR(ROUND((Table1[[#This Row],[PLAN TC
finish]]-Table1[[#This Row],[PLAN MC-0
start]])/30,2),"")</f>
        <v>0</v>
      </c>
      <c r="IC432">
        <f>DATEDIF(Table1[[#This Row],[PLAN MC-0
start]],Table1[[#This Row],[PLAN TC
finish]],"m")</f>
        <v>0</v>
      </c>
      <c r="ID432" s="6"/>
      <c r="IE432" s="6"/>
      <c r="IF432" s="72"/>
      <c r="IH432" s="6"/>
      <c r="II432" s="4"/>
      <c r="IJ432" s="4"/>
      <c r="IK432" s="6"/>
      <c r="IL432" s="6"/>
      <c r="IM432" s="6"/>
      <c r="IN432" s="6"/>
      <c r="IO432" s="6"/>
      <c r="IQ432" s="6"/>
      <c r="IR432" s="6"/>
      <c r="IS432" s="6"/>
      <c r="IT432" s="6"/>
      <c r="IW432" s="6"/>
      <c r="IX432" s="6"/>
      <c r="IZ432" s="6"/>
      <c r="JA432" s="6"/>
    </row>
    <row r="433" spans="2:261" ht="15" hidden="1" customHeight="1" x14ac:dyDescent="0.2">
      <c r="B433" s="311">
        <f>SUBTOTAL(3,$D$5:D433)</f>
        <v>84</v>
      </c>
      <c r="C433" s="316"/>
      <c r="D433" s="315" t="s">
        <v>673</v>
      </c>
      <c r="E433" s="461" t="s">
        <v>3393</v>
      </c>
      <c r="F433" s="338" t="s">
        <v>3394</v>
      </c>
      <c r="G433" s="349">
        <v>46300</v>
      </c>
      <c r="H433" s="338" t="s">
        <v>681</v>
      </c>
      <c r="I433" s="461"/>
      <c r="J433" s="518"/>
      <c r="K433" s="461"/>
      <c r="L433" s="334"/>
      <c r="M433" s="479"/>
      <c r="N433" s="507">
        <v>268</v>
      </c>
      <c r="O433" s="31" t="s">
        <v>252</v>
      </c>
      <c r="P433"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3" s="32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33" s="35">
        <v>0</v>
      </c>
      <c r="S433" s="327">
        <v>0</v>
      </c>
      <c r="T433" s="153">
        <f>Table1[[#This Row],[Progres Total Aktual
(%)]]</f>
        <v>0</v>
      </c>
      <c r="U433" s="122">
        <f>Table1[[#This Row],[Progres Aktual
(%)]]-Table1[[#This Row],[Target Progres
(%)]]</f>
        <v>0</v>
      </c>
      <c r="V433" s="119">
        <f>Table1[[#This Row],["Volume
BA MC-0"]]</f>
        <v>0</v>
      </c>
      <c r="W433" s="119">
        <f>Table1[[#This Row],[Total Panjang Pipa Aktual
(Sum-&gt;)3]]</f>
        <v>0</v>
      </c>
      <c r="X433" s="120"/>
      <c r="Y433" s="531"/>
      <c r="Z433" s="529"/>
      <c r="AA433" s="519">
        <f>ROUND((Table1[[#This Row],[Nilai RAB Jaringan
(Exclude Ppn)]]-Table1[[#This Row],[RAB Perizinan]])*1.11+Table1[[#This Row],[RAB Perizinan]],0)</f>
        <v>0</v>
      </c>
      <c r="AB433" s="505">
        <f>SUM(Table1[[#This Row],[RAB Kegiatan Umum]:[RAB Perizinan]])</f>
        <v>0</v>
      </c>
      <c r="AC433" s="556"/>
      <c r="AD433" s="557"/>
      <c r="AE433" s="556"/>
      <c r="AF433" s="556"/>
      <c r="AG433" s="538"/>
      <c r="AH433" s="520" t="e">
        <f>SUM(Table1[[#This Row],[Bobot Keg Umum]:[Bobot Perizinan]])</f>
        <v>#DIV/0!</v>
      </c>
      <c r="AI433" s="520" t="e">
        <f>Table1[[#This Row],[RAB Kegiatan Umum]]/Table1[[#This Row],[Nilai RAB Jaringan
(Exclude Ppn)]]</f>
        <v>#DIV/0!</v>
      </c>
      <c r="AJ433" s="520" t="e">
        <f>Table1[[#This Row],[RAB Pemasangan]]/Table1[[#This Row],[Nilai RAB Jaringan
(Exclude Ppn)]]</f>
        <v>#DIV/0!</v>
      </c>
      <c r="AK433" s="521" t="e">
        <f>Table1[[#This Row],[RAB Pengadaan]]/Table1[[#This Row],[Nilai RAB Jaringan
(Exclude Ppn)]]</f>
        <v>#DIV/0!</v>
      </c>
      <c r="AL433" s="522" t="e">
        <f>Table1[[#This Row],[RAB Perizinan]]/Table1[[#This Row],[Nilai RAB Jaringan
(Exclude Ppn)]]</f>
        <v>#DIV/0!</v>
      </c>
      <c r="AM433" s="47"/>
      <c r="AN433" s="470"/>
      <c r="AO433" s="470">
        <f>SUM(Table1[[#This Row],[Pipa 63 mm]:[Pipa 1,800 mm]])</f>
        <v>0</v>
      </c>
      <c r="AP433" s="470"/>
      <c r="AQ433" s="470"/>
      <c r="AR433" s="470"/>
      <c r="AS433" s="470"/>
      <c r="AT433" s="470"/>
      <c r="AU433" s="470"/>
      <c r="AV433" s="470"/>
      <c r="AW433" s="470"/>
      <c r="AX433" s="470"/>
      <c r="AY433" s="470"/>
      <c r="AZ433" s="470"/>
      <c r="BA433" s="470"/>
      <c r="BB433" s="470"/>
      <c r="BC433" s="470"/>
      <c r="BD433" s="470"/>
      <c r="BE433" s="470"/>
      <c r="BF433" s="470"/>
      <c r="BG433" s="470"/>
      <c r="BH433" s="470"/>
      <c r="BI433" s="470"/>
      <c r="BJ433" s="523">
        <f>SUM(Table1[[#This Row],[Pipa 63 mm2]:[Pipa 1,800 mm21]])</f>
        <v>0</v>
      </c>
      <c r="BK433" s="471"/>
      <c r="BL433" s="471"/>
      <c r="BM433" s="471"/>
      <c r="BN433" s="471"/>
      <c r="BO433" s="471"/>
      <c r="BP433" s="471"/>
      <c r="BQ433" s="471"/>
      <c r="BR433" s="471"/>
      <c r="BS433" s="471"/>
      <c r="BT433" s="471"/>
      <c r="BU433" s="471"/>
      <c r="BV433" s="471"/>
      <c r="BW433" s="471"/>
      <c r="BX433" s="471"/>
      <c r="BY433" s="471"/>
      <c r="BZ433" s="471"/>
      <c r="CA433" s="471"/>
      <c r="CB433" s="471"/>
      <c r="CC433" s="471"/>
      <c r="CD433" s="471"/>
      <c r="CE433" s="471"/>
      <c r="CF433" s="471"/>
      <c r="CG433" s="471"/>
      <c r="CH433" s="471"/>
      <c r="CI433" s="471"/>
      <c r="CJ433" s="471">
        <f>IF((Table1[[#This Row],["Volume
BA MC-0"]]-Table1[[#This Row],[Total Panjang Pipa Aktual
(Sum-&gt;)3]]-Table1[[#This Row],[Total Volume
tidak dapat dipasang]])&gt;=0,Table1[[#This Row],["Volume
BA MC-0"]]-Table1[[#This Row],[Total Panjang Pipa Aktual
(Sum-&gt;)3]]-Table1[[#This Row],[Total Volume
tidak dapat dipasang]],0)</f>
        <v>0</v>
      </c>
      <c r="CK433" s="47"/>
      <c r="CL433" s="472"/>
      <c r="CM433" s="475"/>
      <c r="CN433" s="472"/>
      <c r="CO433" s="472"/>
      <c r="CP433" s="327"/>
      <c r="CQ433" s="465">
        <f>IFERROR(Table1[[#This Row],[Progres Keg. Umum
(%)]]*Table1[[#This Row],[Nilai RAB Jaringan
(file pa aji)]],0)</f>
        <v>0</v>
      </c>
      <c r="CR433" s="465">
        <f>IFERROR(Table1[[#This Row],[Progres MOS
(%)]]*Table1[[#This Row],[Nilai RAB Jaringan
(file pa aji)]],0)</f>
        <v>0</v>
      </c>
      <c r="CS433" s="465">
        <f>IFERROR(Table1[[#This Row],[Progres Pemasangan
(%)]]*Table1[[#This Row],[Nilai RAB Jaringan
(file pa aji)]],0)</f>
        <v>0</v>
      </c>
      <c r="CT433" s="465">
        <f>IFERROR(Table1[[#This Row],[Progres Perizinan
(%)]]*Table1[[#This Row],[Nilai RAB Jaringan
(file pa aji)]],0)</f>
        <v>0</v>
      </c>
      <c r="CU433" s="329"/>
      <c r="CV433" s="436"/>
      <c r="CW433" s="524"/>
      <c r="CX433" s="329"/>
      <c r="CY433" s="47"/>
      <c r="CZ433" s="331"/>
      <c r="DA433" s="331"/>
      <c r="DB433" s="420"/>
      <c r="DC433" s="535"/>
      <c r="DD433" s="525"/>
      <c r="DE43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33" s="420"/>
      <c r="DG433" s="535"/>
      <c r="DH433" s="525"/>
      <c r="DI433"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3" s="331"/>
      <c r="DK433" s="331"/>
      <c r="DL433" s="331"/>
      <c r="DM433" s="334"/>
      <c r="DN433"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33" s="331"/>
      <c r="DP433" s="334"/>
      <c r="DQ433" s="461"/>
      <c r="DR433"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33" s="331"/>
      <c r="DT433" s="331">
        <v>46164</v>
      </c>
      <c r="DU433" s="331"/>
      <c r="DV433" s="331">
        <v>46178</v>
      </c>
      <c r="DW433" s="331"/>
      <c r="DX433" s="334"/>
      <c r="DY433" s="334"/>
      <c r="DZ433" s="334"/>
      <c r="EA433"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3" s="420"/>
      <c r="EC433" s="332"/>
      <c r="ED433" s="332"/>
      <c r="EE433" s="526"/>
      <c r="EF433" s="475"/>
      <c r="EG433" s="337"/>
      <c r="EH433" s="316" t="str">
        <f>IF(Table1[[#This Row],[PO Material Aktual 
(%)]]&gt;=100%,"Selesai PO = 100%",IF(Table1[[#This Row],[PO Material Aktual 
(%)]]&gt;=50%,"Proses PO &gt; 100%",IF(Table1[[#This Row],[PO Material Aktual 
(%)]]&gt;0%,"Proses PO &gt; 50%",IF(Table1[[#This Row],[PO Material Aktual 
(%)]]=0,"Belum PO = 0%"))))</f>
        <v>Belum PO = 0%</v>
      </c>
      <c r="EI43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3" s="331"/>
      <c r="EK433" s="331">
        <v>46178</v>
      </c>
      <c r="EL433" s="331"/>
      <c r="EM433" s="420">
        <v>46193</v>
      </c>
      <c r="EN433" s="420"/>
      <c r="EO433" s="332"/>
      <c r="EP433" s="332"/>
      <c r="EQ433" s="337"/>
      <c r="ER433" s="337"/>
      <c r="ES433" s="316" t="str">
        <f>IF(Table1[[#This Row],[Progres MOS]]&gt;=100%,"Selesai MOS = 100%",IF(Table1[[#This Row],[Progres MOS]]&gt;=50%,"Proses MOS &gt; 100%",IF(Table1[[#This Row],[Progres MOS]]&gt;0%,"Proses MOS &gt; 50%",IF(Table1[[#This Row],[Progres MOS]]=0,"Belum MOS = 0%"))))</f>
        <v>Belum MOS = 0%</v>
      </c>
      <c r="ET43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3" s="47"/>
      <c r="EV433" s="331"/>
      <c r="EW433" s="331">
        <v>46159</v>
      </c>
      <c r="EX433" s="331"/>
      <c r="EY433" s="420">
        <v>46189</v>
      </c>
      <c r="EZ433" s="477" t="s">
        <v>2748</v>
      </c>
      <c r="FA433" s="409" t="s">
        <v>2748</v>
      </c>
      <c r="FB433" s="420"/>
      <c r="FC433" s="330"/>
      <c r="FD433" s="420"/>
      <c r="FE433" s="420"/>
      <c r="FF433" s="420"/>
      <c r="FG433" s="420"/>
      <c r="FH433" s="420"/>
      <c r="FI433" s="420"/>
      <c r="FJ433" s="420"/>
      <c r="FK433" s="420"/>
      <c r="FL433" s="352"/>
      <c r="FM433" s="477"/>
      <c r="FN433" s="461" t="str">
        <f>IF(Table1[[#This Row],[Tanggal Pengajuan Dokumen]]="","",Table1[[#This Row],[PLAN PERMIT
start]]-Table1[[#This Row],[Tanggal Pengajuan Dokumen]])</f>
        <v/>
      </c>
      <c r="FO433" s="477"/>
      <c r="FP433" s="334"/>
      <c r="FQ433" s="461"/>
      <c r="FR433" s="420"/>
      <c r="FS433" s="461"/>
      <c r="FT433"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3" s="476">
        <f ca="1">IF(Table1[[#This Row],[Status Izin]]="Selesai",Table1[[#This Row],[PLAN PERMIT
finish]]-Table1[[#This Row],[Tanggal Terbit/ Target Izin Terbit]],ROUNDUP(Table1[[#This Row],[PLAN PERMIT
finish]]-NOW(),0))</f>
        <v>-46191</v>
      </c>
      <c r="FV433"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3" s="476"/>
      <c r="FX433" s="47"/>
      <c r="FY433" s="513"/>
      <c r="FZ433" s="513"/>
      <c r="GA433"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3" s="331"/>
      <c r="GC433" s="477"/>
      <c r="GD433"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33" s="331"/>
      <c r="GF433" s="477"/>
      <c r="GG433"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33" s="331"/>
      <c r="GI433" s="331"/>
      <c r="GJ433" s="477"/>
      <c r="GK433"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33" s="331"/>
      <c r="GM433" s="331">
        <v>46196</v>
      </c>
      <c r="GN433" s="331"/>
      <c r="GO433" s="330">
        <v>46216</v>
      </c>
      <c r="GP433" s="334"/>
      <c r="GQ433"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3" s="420"/>
      <c r="GS433" s="420"/>
      <c r="GT433" s="419"/>
      <c r="GU433" s="476" t="str">
        <f>IF(Table1[[#This Row],[Hydro Tes Actual
(tanggal)]]&lt;&gt;"","Sudah","Belum")</f>
        <v>Belum</v>
      </c>
      <c r="GV433" s="527"/>
      <c r="GW433" s="527"/>
      <c r="GX433" s="420"/>
      <c r="GY433" s="476" t="str">
        <f>IF(Table1[[#This Row],[Interkoneksi Actual
(tanggal)]]&lt;&gt;"","Sudah","Belum")</f>
        <v>Belum</v>
      </c>
      <c r="GZ433" s="527"/>
      <c r="HA433" s="527"/>
      <c r="HB433" s="420"/>
      <c r="HC433" s="476" t="str">
        <f>IF(Table1[[#This Row],[Flushing Actual
(tanggal)]]&lt;&gt;"","Sudah","Belum")</f>
        <v>Belum</v>
      </c>
      <c r="HD433" s="331"/>
      <c r="HE433" s="331">
        <v>46217</v>
      </c>
      <c r="HF433" s="331"/>
      <c r="HG433" s="477"/>
      <c r="HH433"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3" s="527"/>
      <c r="HJ433" s="527"/>
      <c r="HK433" s="420"/>
      <c r="HL433" s="420"/>
      <c r="HM433" s="331"/>
      <c r="HN433" s="331"/>
      <c r="HO433" s="330">
        <v>46234</v>
      </c>
      <c r="HP433" s="420"/>
      <c r="HQ433"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33" s="331"/>
      <c r="HS433" s="331"/>
      <c r="HT433" s="331"/>
      <c r="HU433" s="420"/>
      <c r="HV433" s="347"/>
      <c r="HW433"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33" s="47"/>
      <c r="HY433" s="477"/>
      <c r="HZ433" s="477"/>
      <c r="IA433" s="72"/>
      <c r="IB433" s="618">
        <f>IFERROR(ROUND((Table1[[#This Row],[PLAN TC
finish]]-Table1[[#This Row],[PLAN MC-0
start]])/30,2),"")</f>
        <v>0</v>
      </c>
      <c r="IC433">
        <f>DATEDIF(Table1[[#This Row],[PLAN MC-0
start]],Table1[[#This Row],[PLAN TC
finish]],"m")</f>
        <v>0</v>
      </c>
      <c r="ID433" s="6"/>
      <c r="IE433" s="6"/>
      <c r="IF433" s="72"/>
      <c r="IH433" s="6"/>
      <c r="II433" s="4"/>
      <c r="IJ433" s="4"/>
      <c r="IK433" s="6"/>
      <c r="IL433" s="6"/>
      <c r="IM433" s="6"/>
      <c r="IN433" s="6"/>
      <c r="IO433" s="6"/>
      <c r="IQ433" s="6"/>
      <c r="IR433" s="6"/>
      <c r="IS433" s="6"/>
      <c r="IT433" s="6"/>
      <c r="IW433" s="6"/>
      <c r="IX433" s="6"/>
      <c r="IZ433" s="6"/>
      <c r="JA433" s="6"/>
    </row>
    <row r="434" spans="2:261" ht="15" hidden="1" customHeight="1" x14ac:dyDescent="0.2">
      <c r="B434" s="311">
        <f>SUBTOTAL(3,$D$5:D434)</f>
        <v>84</v>
      </c>
      <c r="C434" s="316"/>
      <c r="D434" s="315" t="s">
        <v>673</v>
      </c>
      <c r="E434" s="461" t="s">
        <v>3395</v>
      </c>
      <c r="F434" s="338" t="s">
        <v>3396</v>
      </c>
      <c r="G434" s="349">
        <v>46300</v>
      </c>
      <c r="H434" s="338" t="s">
        <v>681</v>
      </c>
      <c r="I434" s="461"/>
      <c r="J434" s="518"/>
      <c r="K434" s="461"/>
      <c r="L434" s="334"/>
      <c r="M434" s="479"/>
      <c r="N434" s="507">
        <v>287</v>
      </c>
      <c r="O434" s="31" t="s">
        <v>252</v>
      </c>
      <c r="P434"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4" s="32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34" s="35">
        <v>0</v>
      </c>
      <c r="S434" s="327">
        <v>0</v>
      </c>
      <c r="T434" s="153">
        <f>Table1[[#This Row],[Progres Total Aktual
(%)]]</f>
        <v>0</v>
      </c>
      <c r="U434" s="122">
        <f>Table1[[#This Row],[Progres Aktual
(%)]]-Table1[[#This Row],[Target Progres
(%)]]</f>
        <v>0</v>
      </c>
      <c r="V434" s="119">
        <f>Table1[[#This Row],["Volume
BA MC-0"]]</f>
        <v>0</v>
      </c>
      <c r="W434" s="119">
        <f>Table1[[#This Row],[Total Panjang Pipa Aktual
(Sum-&gt;)3]]</f>
        <v>0</v>
      </c>
      <c r="X434" s="120"/>
      <c r="Y434" s="531"/>
      <c r="Z434" s="529"/>
      <c r="AA434" s="519">
        <f>ROUND((Table1[[#This Row],[Nilai RAB Jaringan
(Exclude Ppn)]]-Table1[[#This Row],[RAB Perizinan]])*1.11+Table1[[#This Row],[RAB Perizinan]],0)</f>
        <v>0</v>
      </c>
      <c r="AB434" s="505">
        <f>SUM(Table1[[#This Row],[RAB Kegiatan Umum]:[RAB Perizinan]])</f>
        <v>0</v>
      </c>
      <c r="AC434" s="556"/>
      <c r="AD434" s="557"/>
      <c r="AE434" s="556"/>
      <c r="AF434" s="556"/>
      <c r="AG434" s="538"/>
      <c r="AH434" s="520" t="e">
        <f>SUM(Table1[[#This Row],[Bobot Keg Umum]:[Bobot Perizinan]])</f>
        <v>#DIV/0!</v>
      </c>
      <c r="AI434" s="520" t="e">
        <f>Table1[[#This Row],[RAB Kegiatan Umum]]/Table1[[#This Row],[Nilai RAB Jaringan
(Exclude Ppn)]]</f>
        <v>#DIV/0!</v>
      </c>
      <c r="AJ434" s="520" t="e">
        <f>Table1[[#This Row],[RAB Pemasangan]]/Table1[[#This Row],[Nilai RAB Jaringan
(Exclude Ppn)]]</f>
        <v>#DIV/0!</v>
      </c>
      <c r="AK434" s="521" t="e">
        <f>Table1[[#This Row],[RAB Pengadaan]]/Table1[[#This Row],[Nilai RAB Jaringan
(Exclude Ppn)]]</f>
        <v>#DIV/0!</v>
      </c>
      <c r="AL434" s="522" t="e">
        <f>Table1[[#This Row],[RAB Perizinan]]/Table1[[#This Row],[Nilai RAB Jaringan
(Exclude Ppn)]]</f>
        <v>#DIV/0!</v>
      </c>
      <c r="AM434" s="47"/>
      <c r="AN434" s="470"/>
      <c r="AO434" s="470">
        <f>SUM(Table1[[#This Row],[Pipa 63 mm]:[Pipa 1,800 mm]])</f>
        <v>0</v>
      </c>
      <c r="AP434" s="470"/>
      <c r="AQ434" s="470"/>
      <c r="AR434" s="470"/>
      <c r="AS434" s="470"/>
      <c r="AT434" s="470"/>
      <c r="AU434" s="470"/>
      <c r="AV434" s="470"/>
      <c r="AW434" s="470"/>
      <c r="AX434" s="470"/>
      <c r="AY434" s="470"/>
      <c r="AZ434" s="470"/>
      <c r="BA434" s="470"/>
      <c r="BB434" s="470"/>
      <c r="BC434" s="470"/>
      <c r="BD434" s="470"/>
      <c r="BE434" s="470"/>
      <c r="BF434" s="470"/>
      <c r="BG434" s="470"/>
      <c r="BH434" s="470"/>
      <c r="BI434" s="470"/>
      <c r="BJ434" s="523">
        <f>SUM(Table1[[#This Row],[Pipa 63 mm2]:[Pipa 1,800 mm21]])</f>
        <v>0</v>
      </c>
      <c r="BK434" s="471"/>
      <c r="BL434" s="471"/>
      <c r="BM434" s="471"/>
      <c r="BN434" s="471"/>
      <c r="BO434" s="471"/>
      <c r="BP434" s="471"/>
      <c r="BQ434" s="471"/>
      <c r="BR434" s="471"/>
      <c r="BS434" s="471"/>
      <c r="BT434" s="471"/>
      <c r="BU434" s="471"/>
      <c r="BV434" s="471"/>
      <c r="BW434" s="471"/>
      <c r="BX434" s="471"/>
      <c r="BY434" s="471"/>
      <c r="BZ434" s="471"/>
      <c r="CA434" s="471"/>
      <c r="CB434" s="471"/>
      <c r="CC434" s="471"/>
      <c r="CD434" s="471"/>
      <c r="CE434" s="471"/>
      <c r="CF434" s="471"/>
      <c r="CG434" s="471"/>
      <c r="CH434" s="471"/>
      <c r="CI434" s="471"/>
      <c r="CJ434" s="471">
        <f>IF((Table1[[#This Row],["Volume
BA MC-0"]]-Table1[[#This Row],[Total Panjang Pipa Aktual
(Sum-&gt;)3]]-Table1[[#This Row],[Total Volume
tidak dapat dipasang]])&gt;=0,Table1[[#This Row],["Volume
BA MC-0"]]-Table1[[#This Row],[Total Panjang Pipa Aktual
(Sum-&gt;)3]]-Table1[[#This Row],[Total Volume
tidak dapat dipasang]],0)</f>
        <v>0</v>
      </c>
      <c r="CK434" s="47"/>
      <c r="CL434" s="472"/>
      <c r="CM434" s="475"/>
      <c r="CN434" s="472"/>
      <c r="CO434" s="472"/>
      <c r="CP434" s="327"/>
      <c r="CQ434" s="465">
        <f>IFERROR(Table1[[#This Row],[Progres Keg. Umum
(%)]]*Table1[[#This Row],[Nilai RAB Jaringan
(file pa aji)]],0)</f>
        <v>0</v>
      </c>
      <c r="CR434" s="465">
        <f>IFERROR(Table1[[#This Row],[Progres MOS
(%)]]*Table1[[#This Row],[Nilai RAB Jaringan
(file pa aji)]],0)</f>
        <v>0</v>
      </c>
      <c r="CS434" s="465">
        <f>IFERROR(Table1[[#This Row],[Progres Pemasangan
(%)]]*Table1[[#This Row],[Nilai RAB Jaringan
(file pa aji)]],0)</f>
        <v>0</v>
      </c>
      <c r="CT434" s="465">
        <f>IFERROR(Table1[[#This Row],[Progres Perizinan
(%)]]*Table1[[#This Row],[Nilai RAB Jaringan
(file pa aji)]],0)</f>
        <v>0</v>
      </c>
      <c r="CU434" s="329"/>
      <c r="CV434" s="436"/>
      <c r="CW434" s="524"/>
      <c r="CX434" s="329"/>
      <c r="CY434" s="47"/>
      <c r="CZ434" s="331"/>
      <c r="DA434" s="331"/>
      <c r="DB434" s="420"/>
      <c r="DC434" s="535"/>
      <c r="DD434" s="525"/>
      <c r="DE43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34" s="420"/>
      <c r="DG434" s="535"/>
      <c r="DH434" s="525"/>
      <c r="DI434"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4" s="331"/>
      <c r="DK434" s="331"/>
      <c r="DL434" s="331"/>
      <c r="DM434" s="334"/>
      <c r="DN43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34" s="331"/>
      <c r="DP434" s="334"/>
      <c r="DQ434" s="461"/>
      <c r="DR43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34" s="331"/>
      <c r="DT434" s="331">
        <v>46164</v>
      </c>
      <c r="DU434" s="331"/>
      <c r="DV434" s="331">
        <v>46178</v>
      </c>
      <c r="DW434" s="331"/>
      <c r="DX434" s="334"/>
      <c r="DY434" s="334"/>
      <c r="DZ434" s="334"/>
      <c r="EA43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4" s="420"/>
      <c r="EC434" s="332"/>
      <c r="ED434" s="332"/>
      <c r="EE434" s="526"/>
      <c r="EF434" s="475"/>
      <c r="EG434" s="337"/>
      <c r="EH434" s="316" t="str">
        <f>IF(Table1[[#This Row],[PO Material Aktual 
(%)]]&gt;=100%,"Selesai PO = 100%",IF(Table1[[#This Row],[PO Material Aktual 
(%)]]&gt;=50%,"Proses PO &gt; 100%",IF(Table1[[#This Row],[PO Material Aktual 
(%)]]&gt;0%,"Proses PO &gt; 50%",IF(Table1[[#This Row],[PO Material Aktual 
(%)]]=0,"Belum PO = 0%"))))</f>
        <v>Belum PO = 0%</v>
      </c>
      <c r="EI43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4" s="331"/>
      <c r="EK434" s="331">
        <v>46178</v>
      </c>
      <c r="EL434" s="331"/>
      <c r="EM434" s="420">
        <v>46193</v>
      </c>
      <c r="EN434" s="420"/>
      <c r="EO434" s="332"/>
      <c r="EP434" s="332"/>
      <c r="EQ434" s="337"/>
      <c r="ER434" s="337"/>
      <c r="ES434" s="316" t="str">
        <f>IF(Table1[[#This Row],[Progres MOS]]&gt;=100%,"Selesai MOS = 100%",IF(Table1[[#This Row],[Progres MOS]]&gt;=50%,"Proses MOS &gt; 100%",IF(Table1[[#This Row],[Progres MOS]]&gt;0%,"Proses MOS &gt; 50%",IF(Table1[[#This Row],[Progres MOS]]=0,"Belum MOS = 0%"))))</f>
        <v>Belum MOS = 0%</v>
      </c>
      <c r="ET43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4" s="47"/>
      <c r="EV434" s="331"/>
      <c r="EW434" s="331">
        <v>46159</v>
      </c>
      <c r="EX434" s="331"/>
      <c r="EY434" s="420">
        <v>46189</v>
      </c>
      <c r="EZ434" s="477" t="s">
        <v>2748</v>
      </c>
      <c r="FA434" s="409" t="s">
        <v>2748</v>
      </c>
      <c r="FB434" s="420"/>
      <c r="FC434" s="330"/>
      <c r="FD434" s="420"/>
      <c r="FE434" s="420"/>
      <c r="FF434" s="420"/>
      <c r="FG434" s="420"/>
      <c r="FH434" s="420"/>
      <c r="FI434" s="420"/>
      <c r="FJ434" s="420"/>
      <c r="FK434" s="420"/>
      <c r="FL434" s="352"/>
      <c r="FM434" s="477"/>
      <c r="FN434" s="461" t="str">
        <f>IF(Table1[[#This Row],[Tanggal Pengajuan Dokumen]]="","",Table1[[#This Row],[PLAN PERMIT
start]]-Table1[[#This Row],[Tanggal Pengajuan Dokumen]])</f>
        <v/>
      </c>
      <c r="FO434" s="477"/>
      <c r="FP434" s="334"/>
      <c r="FQ434" s="461"/>
      <c r="FR434" s="420"/>
      <c r="FS434" s="461"/>
      <c r="FT434"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4" s="476">
        <f ca="1">IF(Table1[[#This Row],[Status Izin]]="Selesai",Table1[[#This Row],[PLAN PERMIT
finish]]-Table1[[#This Row],[Tanggal Terbit/ Target Izin Terbit]],ROUNDUP(Table1[[#This Row],[PLAN PERMIT
finish]]-NOW(),0))</f>
        <v>-46191</v>
      </c>
      <c r="FV434"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4" s="476"/>
      <c r="FX434" s="47"/>
      <c r="FY434" s="513"/>
      <c r="FZ434" s="513"/>
      <c r="GA434"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4" s="331"/>
      <c r="GC434" s="477"/>
      <c r="GD434"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34" s="331"/>
      <c r="GF434" s="477"/>
      <c r="GG434"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34" s="331"/>
      <c r="GI434" s="331"/>
      <c r="GJ434" s="477"/>
      <c r="GK434"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34" s="331"/>
      <c r="GM434" s="331">
        <v>46196</v>
      </c>
      <c r="GN434" s="331"/>
      <c r="GO434" s="330">
        <v>46216</v>
      </c>
      <c r="GP434" s="334"/>
      <c r="GQ434"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4" s="420"/>
      <c r="GS434" s="420"/>
      <c r="GT434" s="419"/>
      <c r="GU434" s="476" t="str">
        <f>IF(Table1[[#This Row],[Hydro Tes Actual
(tanggal)]]&lt;&gt;"","Sudah","Belum")</f>
        <v>Belum</v>
      </c>
      <c r="GV434" s="527"/>
      <c r="GW434" s="527"/>
      <c r="GX434" s="420"/>
      <c r="GY434" s="476" t="str">
        <f>IF(Table1[[#This Row],[Interkoneksi Actual
(tanggal)]]&lt;&gt;"","Sudah","Belum")</f>
        <v>Belum</v>
      </c>
      <c r="GZ434" s="527"/>
      <c r="HA434" s="527"/>
      <c r="HB434" s="420"/>
      <c r="HC434" s="476" t="str">
        <f>IF(Table1[[#This Row],[Flushing Actual
(tanggal)]]&lt;&gt;"","Sudah","Belum")</f>
        <v>Belum</v>
      </c>
      <c r="HD434" s="331"/>
      <c r="HE434" s="331">
        <v>46217</v>
      </c>
      <c r="HF434" s="331"/>
      <c r="HG434" s="477"/>
      <c r="HH434"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4" s="527"/>
      <c r="HJ434" s="527"/>
      <c r="HK434" s="420"/>
      <c r="HL434" s="420"/>
      <c r="HM434" s="331"/>
      <c r="HN434" s="331"/>
      <c r="HO434" s="330">
        <v>46234</v>
      </c>
      <c r="HP434" s="420"/>
      <c r="HQ434"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34" s="331"/>
      <c r="HS434" s="331"/>
      <c r="HT434" s="331"/>
      <c r="HU434" s="420"/>
      <c r="HV434" s="347"/>
      <c r="HW434"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34" s="47"/>
      <c r="HY434" s="477"/>
      <c r="HZ434" s="477"/>
      <c r="IA434" s="72"/>
      <c r="IB434" s="618">
        <f>IFERROR(ROUND((Table1[[#This Row],[PLAN TC
finish]]-Table1[[#This Row],[PLAN MC-0
start]])/30,2),"")</f>
        <v>0</v>
      </c>
      <c r="IC434">
        <f>DATEDIF(Table1[[#This Row],[PLAN MC-0
start]],Table1[[#This Row],[PLAN TC
finish]],"m")</f>
        <v>0</v>
      </c>
      <c r="ID434" s="6"/>
      <c r="IE434" s="6"/>
      <c r="IF434" s="72"/>
      <c r="IH434" s="6"/>
      <c r="II434" s="4"/>
      <c r="IJ434" s="4"/>
      <c r="IK434" s="6"/>
      <c r="IL434" s="6"/>
      <c r="IM434" s="6"/>
      <c r="IN434" s="6"/>
      <c r="IO434" s="6"/>
      <c r="IQ434" s="6"/>
      <c r="IR434" s="6"/>
      <c r="IS434" s="6"/>
      <c r="IT434" s="6"/>
      <c r="IW434" s="6"/>
      <c r="IX434" s="6"/>
      <c r="IZ434" s="6"/>
      <c r="JA434" s="6"/>
    </row>
    <row r="435" spans="2:261" ht="15" hidden="1" customHeight="1" x14ac:dyDescent="0.2">
      <c r="B435" s="311">
        <f>SUBTOTAL(3,$D$5:D435)</f>
        <v>84</v>
      </c>
      <c r="C435" s="316">
        <v>428</v>
      </c>
      <c r="D435" s="315" t="s">
        <v>629</v>
      </c>
      <c r="E435" s="338" t="s">
        <v>3397</v>
      </c>
      <c r="F435" s="338" t="s">
        <v>3398</v>
      </c>
      <c r="G435" s="349">
        <v>46300</v>
      </c>
      <c r="H435" s="338" t="s">
        <v>681</v>
      </c>
      <c r="I435" s="338" t="s">
        <v>278</v>
      </c>
      <c r="J435" s="480"/>
      <c r="K435" s="338" t="s">
        <v>915</v>
      </c>
      <c r="L435" s="316" t="s">
        <v>250</v>
      </c>
      <c r="M435" s="355" t="s">
        <v>269</v>
      </c>
      <c r="N435" s="507">
        <v>1723</v>
      </c>
      <c r="O435" s="31" t="s">
        <v>252</v>
      </c>
      <c r="P43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435" s="35">
        <v>0.99999999999999989</v>
      </c>
      <c r="S435" s="327">
        <v>0.99999999999999989</v>
      </c>
      <c r="T435" s="152">
        <f>Table1[[#This Row],[Progres Total Aktual
(%)]]</f>
        <v>8.0256272879410812E-2</v>
      </c>
      <c r="U435" s="121">
        <f>Table1[[#This Row],[Progres Aktual
(%)]]-Table1[[#This Row],[Target Progres
(%)]]</f>
        <v>-0.91974372712058905</v>
      </c>
      <c r="V435" s="80">
        <v>1756.6</v>
      </c>
      <c r="W435" s="80">
        <f>Table1[[#This Row],[Total Panjang Pipa Aktual
(Sum-&gt;)3]]</f>
        <v>1941.4</v>
      </c>
      <c r="X435" s="117"/>
      <c r="Y435" s="67" t="s">
        <v>3399</v>
      </c>
      <c r="Z435" s="67">
        <v>1900517720</v>
      </c>
      <c r="AA435" s="509">
        <f>ROUND((Table1[[#This Row],[Nilai RAB Jaringan
(Exclude Ppn)]]-Table1[[#This Row],[RAB Perizinan]])*1.11+Table1[[#This Row],[RAB Perizinan]],0)</f>
        <v>1900517719</v>
      </c>
      <c r="AB435" s="436">
        <f>SUM(Table1[[#This Row],[RAB Kegiatan Umum]:[RAB Perizinan]])</f>
        <v>1713885603</v>
      </c>
      <c r="AC435" s="558">
        <v>130682118</v>
      </c>
      <c r="AD435" s="558">
        <v>1306821178</v>
      </c>
      <c r="AE435" s="558">
        <v>259152307</v>
      </c>
      <c r="AF435" s="558">
        <v>17230000</v>
      </c>
      <c r="AG435" s="436"/>
      <c r="AH435" s="510">
        <f>SUM(Table1[[#This Row],[Bobot Keg Umum]:[Bobot Perizinan]])</f>
        <v>1</v>
      </c>
      <c r="AI435" s="510">
        <f>Table1[[#This Row],[RAB Kegiatan Umum]]/Table1[[#This Row],[Nilai RAB Jaringan
(Exclude Ppn)]]</f>
        <v>7.6249031890607458E-2</v>
      </c>
      <c r="AJ435" s="510">
        <f>Table1[[#This Row],[RAB Pemasangan]]/Table1[[#This Row],[Nilai RAB Jaringan
(Exclude Ppn)]]</f>
        <v>0.76249031773913556</v>
      </c>
      <c r="AK435" s="129">
        <f>Table1[[#This Row],[RAB Pengadaan]]/Table1[[#This Row],[Nilai RAB Jaringan
(Exclude Ppn)]]</f>
        <v>0.1512074706423682</v>
      </c>
      <c r="AL435" s="130">
        <f>Table1[[#This Row],[RAB Perizinan]]/Table1[[#This Row],[Nilai RAB Jaringan
(Exclude Ppn)]]</f>
        <v>1.0053179727888759E-2</v>
      </c>
      <c r="AM435" s="47"/>
      <c r="AN435" s="285"/>
      <c r="AO435" s="285">
        <f>SUM(Table1[[#This Row],[Pipa 63 mm]:[Pipa 1,800 mm]])</f>
        <v>1756.6</v>
      </c>
      <c r="AP435" s="285">
        <v>1756.6</v>
      </c>
      <c r="AQ435" s="285"/>
      <c r="AR435" s="285"/>
      <c r="AS435" s="285"/>
      <c r="AT435" s="285"/>
      <c r="AU435" s="285"/>
      <c r="AV435" s="285"/>
      <c r="AW435" s="285"/>
      <c r="AX435" s="285"/>
      <c r="AY435" s="285"/>
      <c r="AZ435" s="285"/>
      <c r="BA435" s="285"/>
      <c r="BB435" s="285"/>
      <c r="BC435" s="285"/>
      <c r="BD435" s="285"/>
      <c r="BE435" s="285"/>
      <c r="BF435" s="285"/>
      <c r="BG435" s="285"/>
      <c r="BH435" s="285"/>
      <c r="BI435" s="285"/>
      <c r="BJ435" s="36">
        <f>SUM(Table1[[#This Row],[Pipa 63 mm2]:[Pipa 1,800 mm21]])</f>
        <v>1941.4</v>
      </c>
      <c r="BK435" s="32">
        <v>1941.4</v>
      </c>
      <c r="BL435" s="32"/>
      <c r="BM435" s="32"/>
      <c r="BN435" s="32"/>
      <c r="BO435" s="32"/>
      <c r="BP435" s="32"/>
      <c r="BQ435" s="32"/>
      <c r="BR435" s="32"/>
      <c r="BS435" s="32"/>
      <c r="BT435" s="32"/>
      <c r="BU435" s="32"/>
      <c r="BV435" s="32"/>
      <c r="BW435" s="32"/>
      <c r="BX435" s="32"/>
      <c r="BY435" s="32"/>
      <c r="BZ435" s="32"/>
      <c r="CA435" s="32"/>
      <c r="CB435" s="32"/>
      <c r="CC435" s="32"/>
      <c r="CD435" s="32"/>
      <c r="CE435" s="32"/>
      <c r="CF435" s="32"/>
      <c r="CG435" s="32"/>
      <c r="CH435" s="32"/>
      <c r="CI435" s="32"/>
      <c r="CJ435" s="32">
        <f>IF((Table1[[#This Row],["Volume
BA MC-0"]]-Table1[[#This Row],[Total Panjang Pipa Aktual
(Sum-&gt;)3]]-Table1[[#This Row],[Total Volume
tidak dapat dipasang]])&gt;=0,Table1[[#This Row],["Volume
BA MC-0"]]-Table1[[#This Row],[Total Panjang Pipa Aktual
(Sum-&gt;)3]]-Table1[[#This Row],[Total Volume
tidak dapat dipasang]],0)</f>
        <v>0</v>
      </c>
      <c r="CK435" s="47"/>
      <c r="CL435" s="131"/>
      <c r="CM435" s="337"/>
      <c r="CN435" s="131"/>
      <c r="CO435" s="131"/>
      <c r="CP435"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8.0256272879410812E-2</v>
      </c>
      <c r="CQ435" s="436">
        <f>IFERROR(Table1[[#This Row],[Progres Keg. Umum
(%)]]*Table1[[#This Row],[Nilai RAB Jaringan
(file pa aji)]],0)</f>
        <v>0</v>
      </c>
      <c r="CR435" s="436">
        <f>IFERROR(Table1[[#This Row],[Progres MOS
(%)]]*Table1[[#This Row],[Nilai RAB Jaringan
(file pa aji)]],0)</f>
        <v>0</v>
      </c>
      <c r="CS435" s="436">
        <f>IFERROR(Table1[[#This Row],[Progres Pemasangan
(%)]]*Table1[[#This Row],[Nilai RAB Jaringan
(file pa aji)]],0)</f>
        <v>0</v>
      </c>
      <c r="CT435" s="436">
        <f>IFERROR(Table1[[#This Row],[Progres Perizinan
(%)]]*Table1[[#This Row],[Nilai RAB Jaringan
(file pa aji)]],0)</f>
        <v>0</v>
      </c>
      <c r="CU435" s="329">
        <v>0</v>
      </c>
      <c r="CV435" s="436">
        <v>0</v>
      </c>
      <c r="CW435" s="511">
        <v>0</v>
      </c>
      <c r="CX435" s="329">
        <v>0</v>
      </c>
      <c r="CY435" s="47"/>
      <c r="CZ435" s="331">
        <v>45957</v>
      </c>
      <c r="DA435" s="331">
        <v>45984</v>
      </c>
      <c r="DB435" s="331">
        <v>45959</v>
      </c>
      <c r="DC435" s="316" t="s">
        <v>3400</v>
      </c>
      <c r="DD435" s="508">
        <v>1883287720</v>
      </c>
      <c r="DE43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5" s="395">
        <v>45978</v>
      </c>
      <c r="DG435" s="357" t="s">
        <v>3401</v>
      </c>
      <c r="DH435" s="508">
        <v>1883287720</v>
      </c>
      <c r="DI43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5" s="331">
        <v>45985</v>
      </c>
      <c r="DK435" s="331">
        <v>46047</v>
      </c>
      <c r="DL435" s="331">
        <v>46006</v>
      </c>
      <c r="DM435" s="316" t="s">
        <v>3402</v>
      </c>
      <c r="DN43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5" s="331">
        <v>46027</v>
      </c>
      <c r="DP435" s="316" t="s">
        <v>3403</v>
      </c>
      <c r="DQ435" s="338" t="s">
        <v>365</v>
      </c>
      <c r="DR43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5" s="331">
        <v>45985</v>
      </c>
      <c r="DT435" s="331">
        <v>46154</v>
      </c>
      <c r="DU435" s="331">
        <v>46026</v>
      </c>
      <c r="DV435" s="331">
        <v>46168</v>
      </c>
      <c r="DW435" s="331">
        <v>46006</v>
      </c>
      <c r="DX435" s="426" t="s">
        <v>3404</v>
      </c>
      <c r="DY435" s="334">
        <v>26</v>
      </c>
      <c r="DZ435" s="334">
        <v>26</v>
      </c>
      <c r="EA43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5" s="331">
        <v>46072</v>
      </c>
      <c r="EC435" s="332">
        <v>26</v>
      </c>
      <c r="ED435" s="332">
        <v>26</v>
      </c>
      <c r="EE435" s="425" t="s">
        <v>3405</v>
      </c>
      <c r="EF435" s="337">
        <v>1</v>
      </c>
      <c r="EG435" s="337">
        <f>Table1[[#This Row],[Line PO (kolom  bantu)2]]/Table1[[#This Row],[Line PR]]</f>
        <v>1</v>
      </c>
      <c r="EH435" s="316" t="str">
        <f>IF(Table1[[#This Row],[PO Material Aktual 
(%)]]&gt;=100%,"Selesai PO = 100%",IF(Table1[[#This Row],[PO Material Aktual 
(%)]]&gt;=50%,"Proses PO &gt; 100%",IF(Table1[[#This Row],[PO Material Aktual 
(%)]]&gt;0%,"Proses PO &gt; 50%",IF(Table1[[#This Row],[PO Material Aktual 
(%)]]=0,"Belum PO = 0%"))))</f>
        <v>Selesai PO = 100%</v>
      </c>
      <c r="EI43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35" s="331">
        <v>46027</v>
      </c>
      <c r="EK435" s="331">
        <v>46168</v>
      </c>
      <c r="EL435" s="331">
        <v>46124</v>
      </c>
      <c r="EM435" s="331">
        <v>46183</v>
      </c>
      <c r="EN435" s="331"/>
      <c r="EO435" s="332">
        <v>23</v>
      </c>
      <c r="EP435" s="332">
        <v>23</v>
      </c>
      <c r="EQ435" s="337">
        <v>0.88461538461538458</v>
      </c>
      <c r="ER435" s="337">
        <f>Table1[[#This Row],[Line MOS (kolom bantu)]]/Table1[[#This Row],[Line PR]]</f>
        <v>0.88461538461538458</v>
      </c>
      <c r="ES435" s="316" t="str">
        <f>IF(Table1[[#This Row],[Progres MOS]]&gt;=100%,"Selesai MOS = 100%",IF(Table1[[#This Row],[Progres MOS]]&gt;=50%,"Proses MOS &gt; 100%",IF(Table1[[#This Row],[Progres MOS]]&gt;0%,"Proses MOS &gt; 50%",IF(Table1[[#This Row],[Progres MOS]]=0,"Belum MOS = 0%"))))</f>
        <v>Proses MOS &gt; 100%</v>
      </c>
      <c r="ET43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5" s="47"/>
      <c r="EV435" s="331">
        <v>45985</v>
      </c>
      <c r="EW435" s="331">
        <v>46149</v>
      </c>
      <c r="EX435" s="331">
        <v>46075</v>
      </c>
      <c r="EY435" s="331">
        <v>46179</v>
      </c>
      <c r="EZ435" s="352" t="s">
        <v>2748</v>
      </c>
      <c r="FA435" s="409" t="s">
        <v>2748</v>
      </c>
      <c r="FB435" s="331" t="s">
        <v>260</v>
      </c>
      <c r="FC435" s="330">
        <v>45995</v>
      </c>
      <c r="FD435" s="331" t="s">
        <v>260</v>
      </c>
      <c r="FE435" s="331">
        <v>46079</v>
      </c>
      <c r="FF435" s="331"/>
      <c r="FG435" s="331"/>
      <c r="FH435" s="331"/>
      <c r="FI435" s="331"/>
      <c r="FJ435" s="331"/>
      <c r="FK435" s="331"/>
      <c r="FL435" s="352" t="s">
        <v>2759</v>
      </c>
      <c r="FM435" s="352"/>
      <c r="FN435" s="338" t="str">
        <f>IF(Table1[[#This Row],[Tanggal Pengajuan Dokumen]]="","",Table1[[#This Row],[PLAN PERMIT
start]]-Table1[[#This Row],[Tanggal Pengajuan Dokumen]])</f>
        <v/>
      </c>
      <c r="FO435" s="352"/>
      <c r="FP435" s="316"/>
      <c r="FQ435" s="338"/>
      <c r="FR435" s="331"/>
      <c r="FS435" s="338"/>
      <c r="FT43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5" s="344">
        <f ca="1">IF(Table1[[#This Row],[Status Izin]]="Selesai",Table1[[#This Row],[PLAN PERMIT
finish]]-Table1[[#This Row],[Tanggal Terbit/ Target Izin Terbit]],ROUNDUP(Table1[[#This Row],[PLAN PERMIT
finish]]-NOW(),0))</f>
        <v>-116</v>
      </c>
      <c r="FV43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5" s="344"/>
      <c r="FX435" s="47"/>
      <c r="FY435" s="513">
        <v>46034</v>
      </c>
      <c r="FZ435" s="513">
        <v>45961</v>
      </c>
      <c r="GA435"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5" s="331">
        <v>46048</v>
      </c>
      <c r="GC435" s="352">
        <v>46003</v>
      </c>
      <c r="GD43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5" s="331">
        <v>46055</v>
      </c>
      <c r="GF435" s="352">
        <v>46003</v>
      </c>
      <c r="GG43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5" s="331">
        <v>46062</v>
      </c>
      <c r="GI435" s="331">
        <v>46068</v>
      </c>
      <c r="GJ435" s="352">
        <v>46007</v>
      </c>
      <c r="GK43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5" s="331">
        <v>46076</v>
      </c>
      <c r="GM435" s="331">
        <v>46186</v>
      </c>
      <c r="GN435" s="331">
        <v>46138</v>
      </c>
      <c r="GO435" s="330">
        <v>46269</v>
      </c>
      <c r="GP435" s="316"/>
      <c r="GQ43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5" s="331"/>
      <c r="GS435" s="331"/>
      <c r="GT435" s="354">
        <v>46059</v>
      </c>
      <c r="GU435" s="344" t="str">
        <f>IF(Table1[[#This Row],[Hydro Tes Actual
(tanggal)]]&lt;&gt;"","Sudah","Belum")</f>
        <v>Sudah</v>
      </c>
      <c r="GV435" s="330"/>
      <c r="GW435" s="330"/>
      <c r="GX435" s="331">
        <v>46064</v>
      </c>
      <c r="GY435" s="344" t="str">
        <f>IF(Table1[[#This Row],[Interkoneksi Actual
(tanggal)]]&lt;&gt;"","Sudah","Belum")</f>
        <v>Sudah</v>
      </c>
      <c r="GZ435" s="330"/>
      <c r="HA435" s="330"/>
      <c r="HB435" s="331">
        <v>46073</v>
      </c>
      <c r="HC435" s="344" t="str">
        <f>IF(Table1[[#This Row],[Flushing Actual
(tanggal)]]&lt;&gt;"","Sudah","Belum")</f>
        <v>Sudah</v>
      </c>
      <c r="HD435" s="331">
        <v>46141</v>
      </c>
      <c r="HE435" s="331">
        <v>46270</v>
      </c>
      <c r="HF435" s="331">
        <v>46146</v>
      </c>
      <c r="HG435" s="352">
        <v>46085</v>
      </c>
      <c r="HH43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435" s="330"/>
      <c r="HJ435" s="330"/>
      <c r="HK435" s="331"/>
      <c r="HL435" s="331"/>
      <c r="HM435" s="331">
        <v>46163</v>
      </c>
      <c r="HN435" s="331">
        <v>46163</v>
      </c>
      <c r="HO435" s="330">
        <v>46287</v>
      </c>
      <c r="HP435" s="331"/>
      <c r="HQ43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35" s="331">
        <v>46171</v>
      </c>
      <c r="HS435" s="331"/>
      <c r="HT435" s="331">
        <v>46171</v>
      </c>
      <c r="HU435" s="420"/>
      <c r="HV435" s="395"/>
      <c r="HW43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35" s="47"/>
      <c r="HY435" s="352"/>
      <c r="HZ435" s="352"/>
      <c r="IA435" s="72"/>
      <c r="IB435" s="618">
        <f>IFERROR(ROUND((Table1[[#This Row],[PLAN TC
finish]]-Table1[[#This Row],[PLAN MC-0
start]])/30,2),"")</f>
        <v>2.8</v>
      </c>
      <c r="IC435">
        <f>DATEDIF(Table1[[#This Row],[PLAN MC-0
start]],Table1[[#This Row],[PLAN TC
finish]],"m")</f>
        <v>2</v>
      </c>
      <c r="ID435" s="6"/>
      <c r="IE435" s="6"/>
      <c r="IF435" s="72"/>
      <c r="IH435" s="6"/>
      <c r="II435" s="4"/>
      <c r="IJ435" s="4"/>
      <c r="IK435" s="6"/>
      <c r="IL435" s="6"/>
      <c r="IM435" s="6"/>
      <c r="IN435" s="6"/>
      <c r="IO435" s="6"/>
      <c r="IQ435" s="6"/>
      <c r="IR435" s="6"/>
      <c r="IS435" s="6"/>
      <c r="IT435" s="6"/>
      <c r="IW435" s="6"/>
      <c r="IX435" s="6"/>
      <c r="IZ435" s="6"/>
      <c r="JA435" s="6"/>
    </row>
    <row r="436" spans="2:261" ht="15" hidden="1" customHeight="1" x14ac:dyDescent="0.2">
      <c r="B436" s="311">
        <f>SUBTOTAL(3,$D$5:D436)</f>
        <v>84</v>
      </c>
      <c r="C436" s="316">
        <v>429</v>
      </c>
      <c r="D436" s="315" t="s">
        <v>629</v>
      </c>
      <c r="E436" s="338" t="s">
        <v>3406</v>
      </c>
      <c r="F436" s="338" t="s">
        <v>3407</v>
      </c>
      <c r="G436" s="349">
        <v>46300</v>
      </c>
      <c r="H436" s="338" t="s">
        <v>681</v>
      </c>
      <c r="I436" s="338" t="s">
        <v>278</v>
      </c>
      <c r="J436" s="480"/>
      <c r="K436" s="338" t="s">
        <v>915</v>
      </c>
      <c r="L436" s="316" t="s">
        <v>250</v>
      </c>
      <c r="M436" s="355" t="s">
        <v>269</v>
      </c>
      <c r="N436" s="507">
        <v>499</v>
      </c>
      <c r="O436" s="31" t="s">
        <v>252</v>
      </c>
      <c r="P43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6" s="35">
        <v>0.99999999999999967</v>
      </c>
      <c r="S436" s="327">
        <v>0.99999999999999989</v>
      </c>
      <c r="T436" s="152">
        <f>Table1[[#This Row],[Progres Total Aktual
(%)]]</f>
        <v>1</v>
      </c>
      <c r="U436" s="121">
        <f>Table1[[#This Row],[Progres Aktual
(%)]]-Table1[[#This Row],[Target Progres
(%)]]</f>
        <v>0</v>
      </c>
      <c r="V436" s="80">
        <v>438.8</v>
      </c>
      <c r="W436" s="80">
        <f>Table1[[#This Row],[Total Panjang Pipa Aktual
(Sum-&gt;)3]]</f>
        <v>475</v>
      </c>
      <c r="X436" s="117"/>
      <c r="Y436" s="67" t="s">
        <v>3408</v>
      </c>
      <c r="Z436" s="67">
        <v>566145404</v>
      </c>
      <c r="AA436" s="509">
        <f>ROUND((Table1[[#This Row],[Nilai RAB Jaringan
(Exclude Ppn)]]-Table1[[#This Row],[RAB Perizinan]])*1.11+Table1[[#This Row],[RAB Perizinan]],0)</f>
        <v>566145404</v>
      </c>
      <c r="AB436" s="436">
        <f>SUM(Table1[[#This Row],[RAB Kegiatan Umum]:[RAB Perizinan]])</f>
        <v>510535409</v>
      </c>
      <c r="AC436" s="436">
        <v>35934877</v>
      </c>
      <c r="AD436" s="436">
        <v>359348761</v>
      </c>
      <c r="AE436" s="436">
        <v>110261771</v>
      </c>
      <c r="AF436" s="436">
        <v>4990000</v>
      </c>
      <c r="AG436" s="436"/>
      <c r="AH436" s="510">
        <f>SUM(Table1[[#This Row],[Bobot Keg Umum]:[Bobot Perizinan]])</f>
        <v>1</v>
      </c>
      <c r="AI436" s="510">
        <f>Table1[[#This Row],[RAB Kegiatan Umum]]/Table1[[#This Row],[Nilai RAB Jaringan
(Exclude Ppn)]]</f>
        <v>7.0386649714241467E-2</v>
      </c>
      <c r="AJ436" s="510">
        <f>Table1[[#This Row],[RAB Pemasangan]]/Table1[[#This Row],[Nilai RAB Jaringan
(Exclude Ppn)]]</f>
        <v>0.70386647951386272</v>
      </c>
      <c r="AK436" s="129">
        <f>Table1[[#This Row],[RAB Pengadaan]]/Table1[[#This Row],[Nilai RAB Jaringan
(Exclude Ppn)]]</f>
        <v>0.21597281805775786</v>
      </c>
      <c r="AL436" s="130">
        <f>Table1[[#This Row],[RAB Perizinan]]/Table1[[#This Row],[Nilai RAB Jaringan
(Exclude Ppn)]]</f>
        <v>9.7740527141379919E-3</v>
      </c>
      <c r="AM436" s="47"/>
      <c r="AN436" s="285"/>
      <c r="AO436" s="285">
        <f>SUM(Table1[[#This Row],[Pipa 63 mm]:[Pipa 1,800 mm]])</f>
        <v>438.8</v>
      </c>
      <c r="AP436" s="285">
        <v>438.8</v>
      </c>
      <c r="AQ436" s="285"/>
      <c r="AR436" s="285"/>
      <c r="AS436" s="285"/>
      <c r="AT436" s="285"/>
      <c r="AU436" s="285"/>
      <c r="AV436" s="285"/>
      <c r="AW436" s="285"/>
      <c r="AX436" s="285"/>
      <c r="AY436" s="285"/>
      <c r="AZ436" s="285"/>
      <c r="BA436" s="285"/>
      <c r="BB436" s="285"/>
      <c r="BC436" s="285"/>
      <c r="BD436" s="285"/>
      <c r="BE436" s="285"/>
      <c r="BF436" s="285"/>
      <c r="BG436" s="285"/>
      <c r="BH436" s="285"/>
      <c r="BI436" s="285"/>
      <c r="BJ436" s="36">
        <f>SUM(Table1[[#This Row],[Pipa 63 mm2]:[Pipa 1,800 mm21]])</f>
        <v>475</v>
      </c>
      <c r="BK436" s="32">
        <v>475</v>
      </c>
      <c r="BL436" s="32"/>
      <c r="BM436" s="32"/>
      <c r="BN436" s="32"/>
      <c r="BO436" s="32"/>
      <c r="BP436" s="32"/>
      <c r="BQ436" s="32"/>
      <c r="BR436" s="32"/>
      <c r="BS436" s="32"/>
      <c r="BT436" s="32"/>
      <c r="BU436" s="32"/>
      <c r="BV436" s="32"/>
      <c r="BW436" s="32"/>
      <c r="BX436" s="32"/>
      <c r="BY436" s="32"/>
      <c r="BZ436" s="32"/>
      <c r="CA436" s="32"/>
      <c r="CB436" s="32"/>
      <c r="CC436" s="32"/>
      <c r="CD436" s="32"/>
      <c r="CE436" s="32"/>
      <c r="CF436" s="32"/>
      <c r="CG436" s="32"/>
      <c r="CH436" s="32"/>
      <c r="CI436" s="32"/>
      <c r="CJ436" s="32">
        <f>IF((Table1[[#This Row],["Volume
BA MC-0"]]-Table1[[#This Row],[Total Panjang Pipa Aktual
(Sum-&gt;)3]]-Table1[[#This Row],[Total Volume
tidak dapat dipasang]])&gt;=0,Table1[[#This Row],["Volume
BA MC-0"]]-Table1[[#This Row],[Total Panjang Pipa Aktual
(Sum-&gt;)3]]-Table1[[#This Row],[Total Volume
tidak dapat dipasang]],0)</f>
        <v>0</v>
      </c>
      <c r="CK436" s="47"/>
      <c r="CL436" s="131"/>
      <c r="CM436" s="337"/>
      <c r="CN436" s="131"/>
      <c r="CO436" s="131"/>
      <c r="CP436"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36" s="436">
        <f>IFERROR(Table1[[#This Row],[Progres Keg. Umum
(%)]]*Table1[[#This Row],[Nilai RAB Jaringan
(file pa aji)]],0)</f>
        <v>0</v>
      </c>
      <c r="CR436" s="436">
        <f>IFERROR(Table1[[#This Row],[Progres MOS
(%)]]*Table1[[#This Row],[Nilai RAB Jaringan
(file pa aji)]],0)</f>
        <v>0</v>
      </c>
      <c r="CS436" s="436">
        <f>IFERROR(Table1[[#This Row],[Progres Pemasangan
(%)]]*Table1[[#This Row],[Nilai RAB Jaringan
(file pa aji)]],0)</f>
        <v>0</v>
      </c>
      <c r="CT436" s="436">
        <f>IFERROR(Table1[[#This Row],[Progres Perizinan
(%)]]*Table1[[#This Row],[Nilai RAB Jaringan
(file pa aji)]],0)</f>
        <v>0</v>
      </c>
      <c r="CU436" s="329">
        <v>530965477</v>
      </c>
      <c r="CV436" s="436">
        <v>530965477</v>
      </c>
      <c r="CW436" s="511">
        <v>530965477</v>
      </c>
      <c r="CX436" s="329">
        <v>530965477</v>
      </c>
      <c r="CY436" s="47"/>
      <c r="CZ436" s="331">
        <v>45957</v>
      </c>
      <c r="DA436" s="331">
        <v>45984</v>
      </c>
      <c r="DB436" s="331">
        <v>45953</v>
      </c>
      <c r="DC436" s="316" t="s">
        <v>3409</v>
      </c>
      <c r="DD436" s="508">
        <v>561155403</v>
      </c>
      <c r="DE43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6" s="395">
        <v>45978</v>
      </c>
      <c r="DG436" s="357" t="s">
        <v>3410</v>
      </c>
      <c r="DH436" s="508">
        <v>561155403</v>
      </c>
      <c r="DI43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6" s="331">
        <v>45985</v>
      </c>
      <c r="DK436" s="331">
        <v>46047</v>
      </c>
      <c r="DL436" s="331">
        <v>46006</v>
      </c>
      <c r="DM436" s="316" t="s">
        <v>3411</v>
      </c>
      <c r="DN436"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6" s="331">
        <v>46027</v>
      </c>
      <c r="DP436" s="316" t="s">
        <v>3412</v>
      </c>
      <c r="DQ436" s="338" t="s">
        <v>365</v>
      </c>
      <c r="DR436"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6" s="331">
        <v>45985</v>
      </c>
      <c r="DT436" s="331">
        <v>46164</v>
      </c>
      <c r="DU436" s="331">
        <v>46026</v>
      </c>
      <c r="DV436" s="331">
        <v>46178</v>
      </c>
      <c r="DW436" s="331">
        <v>46006</v>
      </c>
      <c r="DX436" s="426" t="s">
        <v>3413</v>
      </c>
      <c r="DY436" s="334">
        <v>18</v>
      </c>
      <c r="DZ436" s="334">
        <v>18</v>
      </c>
      <c r="EA436"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6" s="331"/>
      <c r="EC436" s="332">
        <v>17</v>
      </c>
      <c r="ED436" s="332">
        <v>17</v>
      </c>
      <c r="EE436" s="118"/>
      <c r="EF436" s="337">
        <v>0.94444444444444442</v>
      </c>
      <c r="EG436" s="337">
        <f>Table1[[#This Row],[Line PO (kolom  bantu)2]]/Table1[[#This Row],[Line PR]]</f>
        <v>0.94444444444444442</v>
      </c>
      <c r="EH436" s="316" t="str">
        <f>IF(Table1[[#This Row],[PO Material Aktual 
(%)]]&gt;=100%,"Selesai PO = 100%",IF(Table1[[#This Row],[PO Material Aktual 
(%)]]&gt;=50%,"Proses PO &gt; 100%",IF(Table1[[#This Row],[PO Material Aktual 
(%)]]&gt;0%,"Proses PO &gt; 50%",IF(Table1[[#This Row],[PO Material Aktual 
(%)]]=0,"Belum PO = 0%"))))</f>
        <v>Proses PO &gt; 100%</v>
      </c>
      <c r="EI43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6" s="331">
        <v>46027</v>
      </c>
      <c r="EK436" s="331">
        <v>46178</v>
      </c>
      <c r="EL436" s="331">
        <v>46103</v>
      </c>
      <c r="EM436" s="331">
        <v>46183</v>
      </c>
      <c r="EN436" s="331"/>
      <c r="EO436" s="332">
        <v>13</v>
      </c>
      <c r="EP436" s="332">
        <v>13</v>
      </c>
      <c r="EQ436" s="337">
        <v>0.72222222222222221</v>
      </c>
      <c r="ER436" s="337">
        <f>Table1[[#This Row],[Line MOS (kolom bantu)]]/Table1[[#This Row],[Line PR]]</f>
        <v>0.72222222222222221</v>
      </c>
      <c r="ES436" s="316" t="str">
        <f>IF(Table1[[#This Row],[Progres MOS]]&gt;=100%,"Selesai MOS = 100%",IF(Table1[[#This Row],[Progres MOS]]&gt;=50%,"Proses MOS &gt; 100%",IF(Table1[[#This Row],[Progres MOS]]&gt;0%,"Proses MOS &gt; 50%",IF(Table1[[#This Row],[Progres MOS]]=0,"Belum MOS = 0%"))))</f>
        <v>Proses MOS &gt; 100%</v>
      </c>
      <c r="ET43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6" s="47"/>
      <c r="EV436" s="331">
        <v>45985</v>
      </c>
      <c r="EW436" s="331">
        <v>46156</v>
      </c>
      <c r="EX436" s="331">
        <v>46075</v>
      </c>
      <c r="EY436" s="331">
        <v>46186</v>
      </c>
      <c r="EZ436" s="352" t="s">
        <v>2748</v>
      </c>
      <c r="FA436" s="409" t="s">
        <v>2748</v>
      </c>
      <c r="FB436" s="331" t="s">
        <v>260</v>
      </c>
      <c r="FC436" s="330">
        <v>45995</v>
      </c>
      <c r="FD436" s="331" t="s">
        <v>260</v>
      </c>
      <c r="FE436" s="331">
        <v>46079</v>
      </c>
      <c r="FF436" s="331"/>
      <c r="FG436" s="331"/>
      <c r="FH436" s="331"/>
      <c r="FI436" s="331"/>
      <c r="FJ436" s="331"/>
      <c r="FK436" s="331"/>
      <c r="FL436" s="352" t="s">
        <v>2759</v>
      </c>
      <c r="FM436" s="352"/>
      <c r="FN436" s="338" t="str">
        <f>IF(Table1[[#This Row],[Tanggal Pengajuan Dokumen]]="","",Table1[[#This Row],[PLAN PERMIT
start]]-Table1[[#This Row],[Tanggal Pengajuan Dokumen]])</f>
        <v/>
      </c>
      <c r="FO436" s="352"/>
      <c r="FP436" s="316"/>
      <c r="FQ436" s="338"/>
      <c r="FR436" s="331"/>
      <c r="FS436" s="338"/>
      <c r="FT43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6" s="344">
        <f ca="1">IF(Table1[[#This Row],[Status Izin]]="Selesai",Table1[[#This Row],[PLAN PERMIT
finish]]-Table1[[#This Row],[Tanggal Terbit/ Target Izin Terbit]],ROUNDUP(Table1[[#This Row],[PLAN PERMIT
finish]]-NOW(),0))</f>
        <v>-116</v>
      </c>
      <c r="FV43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6" s="344"/>
      <c r="FX436" s="47"/>
      <c r="FY436" s="513">
        <v>46034</v>
      </c>
      <c r="FZ436" s="513">
        <v>45961</v>
      </c>
      <c r="GA436"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6" s="331">
        <v>46048</v>
      </c>
      <c r="GC436" s="352">
        <v>46003</v>
      </c>
      <c r="GD43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6" s="331">
        <v>46055</v>
      </c>
      <c r="GF436" s="352">
        <v>46003</v>
      </c>
      <c r="GG43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6" s="331">
        <v>46062</v>
      </c>
      <c r="GI436" s="331">
        <v>46068</v>
      </c>
      <c r="GJ436" s="352">
        <v>46007</v>
      </c>
      <c r="GK43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6" s="331">
        <v>46076</v>
      </c>
      <c r="GM436" s="331">
        <v>46193</v>
      </c>
      <c r="GN436" s="331">
        <v>46103</v>
      </c>
      <c r="GO436" s="330">
        <v>46269</v>
      </c>
      <c r="GP436" s="316"/>
      <c r="GQ43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6" s="331"/>
      <c r="GS436" s="331"/>
      <c r="GT436" s="354">
        <v>46045</v>
      </c>
      <c r="GU436" s="344" t="str">
        <f>IF(Table1[[#This Row],[Hydro Tes Actual
(tanggal)]]&lt;&gt;"","Sudah","Belum")</f>
        <v>Sudah</v>
      </c>
      <c r="GV436" s="330"/>
      <c r="GW436" s="330"/>
      <c r="GX436" s="331">
        <v>46048</v>
      </c>
      <c r="GY436" s="344" t="str">
        <f>IF(Table1[[#This Row],[Interkoneksi Actual
(tanggal)]]&lt;&gt;"","Sudah","Belum")</f>
        <v>Sudah</v>
      </c>
      <c r="GZ436" s="330"/>
      <c r="HA436" s="330"/>
      <c r="HB436" s="331">
        <v>46050</v>
      </c>
      <c r="HC436" s="344" t="str">
        <f>IF(Table1[[#This Row],[Flushing Actual
(tanggal)]]&lt;&gt;"","Sudah","Belum")</f>
        <v>Sudah</v>
      </c>
      <c r="HD436" s="331">
        <v>46106</v>
      </c>
      <c r="HE436" s="331">
        <v>46270</v>
      </c>
      <c r="HF436" s="331">
        <v>46111</v>
      </c>
      <c r="HG436" s="352">
        <v>46055</v>
      </c>
      <c r="HH43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436" s="330"/>
      <c r="HJ436" s="330"/>
      <c r="HK436" s="331"/>
      <c r="HL436" s="331"/>
      <c r="HM436" s="331">
        <v>46128</v>
      </c>
      <c r="HN436" s="331">
        <v>46128</v>
      </c>
      <c r="HO436" s="330">
        <v>46287</v>
      </c>
      <c r="HP436" s="331">
        <v>46154</v>
      </c>
      <c r="HQ43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Sudah, Delay</v>
      </c>
      <c r="HR436" s="331">
        <v>46136</v>
      </c>
      <c r="HS436" s="331"/>
      <c r="HT436" s="331">
        <v>46136</v>
      </c>
      <c r="HU436" s="420"/>
      <c r="HV436" s="395">
        <v>46160</v>
      </c>
      <c r="HW43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X436" s="47"/>
      <c r="HY436" s="352"/>
      <c r="HZ436" s="352"/>
      <c r="IA436" s="72"/>
      <c r="IB436" s="618">
        <f>IFERROR(ROUND((Table1[[#This Row],[PLAN TC
finish]]-Table1[[#This Row],[PLAN MC-0
start]])/30,2),"")</f>
        <v>1.63</v>
      </c>
      <c r="IC436">
        <f>DATEDIF(Table1[[#This Row],[PLAN MC-0
start]],Table1[[#This Row],[PLAN TC
finish]],"m")</f>
        <v>1</v>
      </c>
      <c r="ID436" s="6"/>
      <c r="IE436" s="6"/>
      <c r="IF436" s="72"/>
      <c r="IH436" s="6"/>
      <c r="II436" s="4"/>
      <c r="IJ436" s="4"/>
      <c r="IK436" s="6"/>
      <c r="IL436" s="6"/>
      <c r="IM436" s="6"/>
      <c r="IN436" s="6"/>
      <c r="IO436" s="6"/>
      <c r="IQ436" s="6"/>
      <c r="IR436" s="6"/>
      <c r="IS436" s="6"/>
      <c r="IT436" s="6"/>
      <c r="IW436" s="6"/>
      <c r="IX436" s="6"/>
      <c r="IZ436" s="6"/>
      <c r="JA436" s="6"/>
    </row>
    <row r="437" spans="2:261" ht="15" hidden="1" customHeight="1" x14ac:dyDescent="0.2">
      <c r="B437" s="311">
        <f>SUBTOTAL(3,$D$5:D437)</f>
        <v>84</v>
      </c>
      <c r="C437" s="316">
        <v>430</v>
      </c>
      <c r="D437" s="315" t="s">
        <v>629</v>
      </c>
      <c r="E437" s="338" t="s">
        <v>3414</v>
      </c>
      <c r="F437" s="338" t="s">
        <v>3415</v>
      </c>
      <c r="G437" s="349">
        <v>46300</v>
      </c>
      <c r="H437" s="338" t="s">
        <v>681</v>
      </c>
      <c r="I437" s="338" t="s">
        <v>278</v>
      </c>
      <c r="J437" s="480"/>
      <c r="K437" s="338" t="s">
        <v>915</v>
      </c>
      <c r="L437" s="316" t="s">
        <v>250</v>
      </c>
      <c r="M437" s="355" t="s">
        <v>269</v>
      </c>
      <c r="N437" s="507">
        <v>574</v>
      </c>
      <c r="O437" s="31" t="s">
        <v>252</v>
      </c>
      <c r="P43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7" s="35">
        <v>1</v>
      </c>
      <c r="S437" s="327">
        <v>0.99999999999999989</v>
      </c>
      <c r="T437" s="152">
        <f>Table1[[#This Row],[Progres Total Aktual
(%)]]</f>
        <v>7.8160320353772753E-2</v>
      </c>
      <c r="U437" s="121">
        <f>Table1[[#This Row],[Progres Aktual
(%)]]-Table1[[#This Row],[Target Progres
(%)]]</f>
        <v>-0.92183967964622715</v>
      </c>
      <c r="V437" s="80">
        <f>Table1[[#This Row],["Volume
BA MC-0"]]</f>
        <v>0</v>
      </c>
      <c r="W437" s="80">
        <f>Table1[[#This Row],[Total Panjang Pipa Aktual
(Sum-&gt;)3]]</f>
        <v>0</v>
      </c>
      <c r="X437" s="117"/>
      <c r="Y437" s="67" t="s">
        <v>3416</v>
      </c>
      <c r="Z437" s="67">
        <v>845547893</v>
      </c>
      <c r="AA437" s="509">
        <f>ROUND((Table1[[#This Row],[Nilai RAB Jaringan
(Exclude Ppn)]]-Table1[[#This Row],[RAB Perizinan]])*1.11+Table1[[#This Row],[RAB Perizinan]],0)</f>
        <v>845547893</v>
      </c>
      <c r="AB437" s="436">
        <f>SUM(Table1[[#This Row],[RAB Kegiatan Umum]:[RAB Perizinan]])</f>
        <v>762323687</v>
      </c>
      <c r="AC437" s="436">
        <v>53597222</v>
      </c>
      <c r="AD437" s="436">
        <v>535972211</v>
      </c>
      <c r="AE437" s="436">
        <v>167014254</v>
      </c>
      <c r="AF437" s="436">
        <v>5740000</v>
      </c>
      <c r="AG437" s="436"/>
      <c r="AH437" s="510">
        <f>SUM(Table1[[#This Row],[Bobot Keg Umum]:[Bobot Perizinan]])</f>
        <v>1</v>
      </c>
      <c r="AI437" s="510">
        <f>Table1[[#This Row],[RAB Kegiatan Umum]]/Table1[[#This Row],[Nilai RAB Jaringan
(Exclude Ppn)]]</f>
        <v>7.0307695948584631E-2</v>
      </c>
      <c r="AJ437" s="510">
        <f>Table1[[#This Row],[RAB Pemasangan]]/Table1[[#This Row],[Nilai RAB Jaringan
(Exclude Ppn)]]</f>
        <v>0.70307694767983775</v>
      </c>
      <c r="AK437" s="129">
        <f>Table1[[#This Row],[RAB Pengadaan]]/Table1[[#This Row],[Nilai RAB Jaringan
(Exclude Ppn)]]</f>
        <v>0.2190857464461812</v>
      </c>
      <c r="AL437" s="130">
        <f>Table1[[#This Row],[RAB Perizinan]]/Table1[[#This Row],[Nilai RAB Jaringan
(Exclude Ppn)]]</f>
        <v>7.5296099253964284E-3</v>
      </c>
      <c r="AM437" s="47"/>
      <c r="AN437" s="285"/>
      <c r="AO437" s="285">
        <f>SUM(Table1[[#This Row],[Pipa 63 mm]:[Pipa 1,800 mm]])</f>
        <v>0</v>
      </c>
      <c r="AP437" s="285"/>
      <c r="AQ437" s="285"/>
      <c r="AR437" s="285"/>
      <c r="AS437" s="285"/>
      <c r="AT437" s="285"/>
      <c r="AU437" s="285"/>
      <c r="AV437" s="285"/>
      <c r="AW437" s="285"/>
      <c r="AX437" s="285"/>
      <c r="AY437" s="285"/>
      <c r="AZ437" s="285"/>
      <c r="BA437" s="285"/>
      <c r="BB437" s="285"/>
      <c r="BC437" s="285"/>
      <c r="BD437" s="285"/>
      <c r="BE437" s="285"/>
      <c r="BF437" s="285"/>
      <c r="BG437" s="285"/>
      <c r="BH437" s="285"/>
      <c r="BI437" s="285"/>
      <c r="BJ437" s="36">
        <f>SUM(Table1[[#This Row],[Pipa 63 mm2]:[Pipa 1,800 mm21]])</f>
        <v>0</v>
      </c>
      <c r="BK437" s="32"/>
      <c r="BL437" s="32"/>
      <c r="BM437" s="32"/>
      <c r="BN437" s="32"/>
      <c r="BO437" s="32"/>
      <c r="BP437" s="32"/>
      <c r="BQ437" s="32"/>
      <c r="BR437" s="32"/>
      <c r="BS437" s="32"/>
      <c r="BT437" s="32"/>
      <c r="BU437" s="32"/>
      <c r="BV437" s="32"/>
      <c r="BW437" s="32"/>
      <c r="BX437" s="32"/>
      <c r="BY437" s="32"/>
      <c r="BZ437" s="32"/>
      <c r="CA437" s="32"/>
      <c r="CB437" s="32"/>
      <c r="CC437" s="32"/>
      <c r="CD437" s="32"/>
      <c r="CE437" s="32"/>
      <c r="CF437" s="32"/>
      <c r="CG437" s="32"/>
      <c r="CH437" s="32"/>
      <c r="CI437" s="32"/>
      <c r="CJ437" s="32">
        <f>IF((Table1[[#This Row],["Volume
BA MC-0"]]-Table1[[#This Row],[Total Panjang Pipa Aktual
(Sum-&gt;)3]]-Table1[[#This Row],[Total Volume
tidak dapat dipasang]])&gt;=0,Table1[[#This Row],["Volume
BA MC-0"]]-Table1[[#This Row],[Total Panjang Pipa Aktual
(Sum-&gt;)3]]-Table1[[#This Row],[Total Volume
tidak dapat dipasang]],0)</f>
        <v>0</v>
      </c>
      <c r="CK437" s="47"/>
      <c r="CL437" s="131"/>
      <c r="CM437" s="337"/>
      <c r="CN437" s="131"/>
      <c r="CO437" s="131"/>
      <c r="CP437"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7.8160320353772753E-2</v>
      </c>
      <c r="CQ437" s="436">
        <f>IFERROR(Table1[[#This Row],[Progres Keg. Umum
(%)]]*Table1[[#This Row],[Nilai RAB Jaringan
(file pa aji)]],0)</f>
        <v>0</v>
      </c>
      <c r="CR437" s="436">
        <f>IFERROR(Table1[[#This Row],[Progres MOS
(%)]]*Table1[[#This Row],[Nilai RAB Jaringan
(file pa aji)]],0)</f>
        <v>0</v>
      </c>
      <c r="CS437" s="436">
        <f>IFERROR(Table1[[#This Row],[Progres Pemasangan
(%)]]*Table1[[#This Row],[Nilai RAB Jaringan
(file pa aji)]],0)</f>
        <v>0</v>
      </c>
      <c r="CT437" s="436">
        <f>IFERROR(Table1[[#This Row],[Progres Perizinan
(%)]]*Table1[[#This Row],[Nilai RAB Jaringan
(file pa aji)]],0)</f>
        <v>0</v>
      </c>
      <c r="CU437" s="329">
        <v>0</v>
      </c>
      <c r="CV437" s="436">
        <v>0</v>
      </c>
      <c r="CW437" s="511">
        <v>0</v>
      </c>
      <c r="CX437" s="329">
        <v>0</v>
      </c>
      <c r="CY437" s="47"/>
      <c r="CZ437" s="331">
        <v>45992</v>
      </c>
      <c r="DA437" s="331">
        <v>46019</v>
      </c>
      <c r="DB437" s="331">
        <v>46031</v>
      </c>
      <c r="DC437" s="316" t="s">
        <v>3417</v>
      </c>
      <c r="DD437" s="508">
        <v>839807892.57000005</v>
      </c>
      <c r="DE43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37" s="331">
        <v>46049</v>
      </c>
      <c r="DG437" s="357" t="s">
        <v>3418</v>
      </c>
      <c r="DH437" s="508">
        <v>839807892.57000005</v>
      </c>
      <c r="DI43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37" s="331">
        <v>46020</v>
      </c>
      <c r="DK437" s="331">
        <v>46082</v>
      </c>
      <c r="DL437" s="331">
        <v>46064</v>
      </c>
      <c r="DM437" s="316" t="s">
        <v>3419</v>
      </c>
      <c r="DN437"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7" s="331">
        <v>46085</v>
      </c>
      <c r="DP437" s="316"/>
      <c r="DQ437" s="338" t="s">
        <v>275</v>
      </c>
      <c r="DR437"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37" s="331">
        <v>46020</v>
      </c>
      <c r="DT437" s="331">
        <v>46164</v>
      </c>
      <c r="DU437" s="331">
        <v>46061</v>
      </c>
      <c r="DV437" s="331">
        <v>46178</v>
      </c>
      <c r="DW437" s="331">
        <v>46064</v>
      </c>
      <c r="DX437" s="316" t="s">
        <v>3420</v>
      </c>
      <c r="DY437" s="334">
        <v>37</v>
      </c>
      <c r="DZ437" s="334">
        <v>37</v>
      </c>
      <c r="EA437"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37" s="331"/>
      <c r="EC437" s="332">
        <v>36</v>
      </c>
      <c r="ED437" s="332">
        <v>36</v>
      </c>
      <c r="EE437" s="118"/>
      <c r="EF437" s="337">
        <v>0.97297297297297303</v>
      </c>
      <c r="EG437" s="337">
        <f>Table1[[#This Row],[Line PO (kolom  bantu)2]]/Table1[[#This Row],[Line PR]]</f>
        <v>0.97297297297297303</v>
      </c>
      <c r="EH437" s="316" t="str">
        <f>IF(Table1[[#This Row],[PO Material Aktual 
(%)]]&gt;=100%,"Selesai PO = 100%",IF(Table1[[#This Row],[PO Material Aktual 
(%)]]&gt;=50%,"Proses PO &gt; 100%",IF(Table1[[#This Row],[PO Material Aktual 
(%)]]&gt;0%,"Proses PO &gt; 50%",IF(Table1[[#This Row],[PO Material Aktual 
(%)]]=0,"Belum PO = 0%"))))</f>
        <v>Proses PO &gt; 100%</v>
      </c>
      <c r="EI43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7" s="331">
        <v>46062</v>
      </c>
      <c r="EK437" s="331">
        <v>46178</v>
      </c>
      <c r="EL437" s="331">
        <v>46131</v>
      </c>
      <c r="EM437" s="331">
        <v>46183</v>
      </c>
      <c r="EN437" s="331"/>
      <c r="EO437" s="332">
        <v>22</v>
      </c>
      <c r="EP437" s="332">
        <v>22</v>
      </c>
      <c r="EQ437" s="337">
        <v>0.59459459459459463</v>
      </c>
      <c r="ER437" s="337">
        <f>Table1[[#This Row],[Line MOS (kolom bantu)]]/Table1[[#This Row],[Line PR]]</f>
        <v>0.59459459459459463</v>
      </c>
      <c r="ES437" s="316" t="str">
        <f>IF(Table1[[#This Row],[Progres MOS]]&gt;=100%,"Selesai MOS = 100%",IF(Table1[[#This Row],[Progres MOS]]&gt;=50%,"Proses MOS &gt; 100%",IF(Table1[[#This Row],[Progres MOS]]&gt;0%,"Proses MOS &gt; 50%",IF(Table1[[#This Row],[Progres MOS]]=0,"Belum MOS = 0%"))))</f>
        <v>Proses MOS &gt; 100%</v>
      </c>
      <c r="ET43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7" s="47"/>
      <c r="EV437" s="331">
        <v>46020</v>
      </c>
      <c r="EW437" s="331">
        <v>46156</v>
      </c>
      <c r="EX437" s="331">
        <v>46110</v>
      </c>
      <c r="EY437" s="331">
        <v>46186</v>
      </c>
      <c r="EZ437" s="352" t="s">
        <v>2748</v>
      </c>
      <c r="FA437" s="409" t="s">
        <v>2748</v>
      </c>
      <c r="FB437" s="331" t="e">
        <v>#N/A</v>
      </c>
      <c r="FC437" s="330" t="e">
        <v>#N/A</v>
      </c>
      <c r="FD437" s="331" t="e">
        <v>#N/A</v>
      </c>
      <c r="FE437" s="331" t="e">
        <v>#N/A</v>
      </c>
      <c r="FF437" s="331" t="e">
        <v>#N/A</v>
      </c>
      <c r="FG437" s="331" t="e">
        <v>#N/A</v>
      </c>
      <c r="FH437" s="331" t="e">
        <v>#N/A</v>
      </c>
      <c r="FI437" s="331" t="e">
        <v>#N/A</v>
      </c>
      <c r="FJ437" s="331" t="e">
        <v>#N/A</v>
      </c>
      <c r="FK437" s="331" t="e">
        <v>#N/A</v>
      </c>
      <c r="FL437" s="352" t="s">
        <v>2759</v>
      </c>
      <c r="FM437" s="352"/>
      <c r="FN437" s="338" t="str">
        <f>IF(Table1[[#This Row],[Tanggal Pengajuan Dokumen]]="","",Table1[[#This Row],[PLAN PERMIT
start]]-Table1[[#This Row],[Tanggal Pengajuan Dokumen]])</f>
        <v/>
      </c>
      <c r="FO437" s="352"/>
      <c r="FP437" s="316"/>
      <c r="FQ437" s="338"/>
      <c r="FR437" s="331"/>
      <c r="FS437" s="338"/>
      <c r="FT43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7" s="344">
        <f ca="1">IF(Table1[[#This Row],[Status Izin]]="Selesai",Table1[[#This Row],[PLAN PERMIT
finish]]-Table1[[#This Row],[Tanggal Terbit/ Target Izin Terbit]],ROUNDUP(Table1[[#This Row],[PLAN PERMIT
finish]]-NOW(),0))</f>
        <v>-81</v>
      </c>
      <c r="FV43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7" s="344"/>
      <c r="FX437" s="47"/>
      <c r="FY437" s="513">
        <v>46069</v>
      </c>
      <c r="FZ437" s="513">
        <v>46049</v>
      </c>
      <c r="GA437"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7" s="331">
        <v>46083</v>
      </c>
      <c r="GC437" s="352">
        <v>46120</v>
      </c>
      <c r="GD43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37" s="331">
        <v>46090</v>
      </c>
      <c r="GF437" s="352">
        <v>46120</v>
      </c>
      <c r="GG43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37" s="331">
        <v>46097</v>
      </c>
      <c r="GI437" s="331">
        <v>46103</v>
      </c>
      <c r="GJ437" s="352">
        <v>46126</v>
      </c>
      <c r="GK43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37" s="331">
        <v>46111</v>
      </c>
      <c r="GM437" s="331">
        <v>46193</v>
      </c>
      <c r="GN437" s="331">
        <v>46138</v>
      </c>
      <c r="GO437" s="330">
        <v>46241</v>
      </c>
      <c r="GP437" s="316"/>
      <c r="GQ43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7" s="331"/>
      <c r="GS437" s="331"/>
      <c r="GT437" s="354"/>
      <c r="GU437" s="344" t="str">
        <f>IF(Table1[[#This Row],[Hydro Tes Actual
(tanggal)]]&lt;&gt;"","Sudah","Belum")</f>
        <v>Belum</v>
      </c>
      <c r="GV437" s="330"/>
      <c r="GW437" s="330"/>
      <c r="GX437" s="331"/>
      <c r="GY437" s="344" t="str">
        <f>IF(Table1[[#This Row],[Interkoneksi Actual
(tanggal)]]&lt;&gt;"","Sudah","Belum")</f>
        <v>Belum</v>
      </c>
      <c r="GZ437" s="330"/>
      <c r="HA437" s="330"/>
      <c r="HB437" s="331"/>
      <c r="HC437" s="344" t="str">
        <f>IF(Table1[[#This Row],[Flushing Actual
(tanggal)]]&lt;&gt;"","Sudah","Belum")</f>
        <v>Belum</v>
      </c>
      <c r="HD437" s="331">
        <v>46141</v>
      </c>
      <c r="HE437" s="331">
        <v>46242</v>
      </c>
      <c r="HF437" s="331">
        <v>46146</v>
      </c>
      <c r="HG437" s="352"/>
      <c r="HH43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7" s="330"/>
      <c r="HJ437" s="330"/>
      <c r="HK437" s="331"/>
      <c r="HL437" s="331"/>
      <c r="HM437" s="331">
        <v>46163</v>
      </c>
      <c r="HN437" s="331">
        <v>46163</v>
      </c>
      <c r="HO437" s="330">
        <v>46259</v>
      </c>
      <c r="HP437" s="331"/>
      <c r="HQ43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37" s="331">
        <v>46171</v>
      </c>
      <c r="HS437" s="331"/>
      <c r="HT437" s="331">
        <v>46171</v>
      </c>
      <c r="HU437" s="420"/>
      <c r="HV437" s="395"/>
      <c r="HW437"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37" s="47"/>
      <c r="HY437" s="352"/>
      <c r="HZ437" s="352"/>
      <c r="IA437" s="72"/>
      <c r="IB437" s="618">
        <f>IFERROR(ROUND((Table1[[#This Row],[PLAN TC
finish]]-Table1[[#This Row],[PLAN MC-0
start]])/30,2),"")</f>
        <v>1.63</v>
      </c>
      <c r="IC437">
        <f>DATEDIF(Table1[[#This Row],[PLAN MC-0
start]],Table1[[#This Row],[PLAN TC
finish]],"m")</f>
        <v>1</v>
      </c>
      <c r="ID437" s="6"/>
      <c r="IE437" s="6"/>
      <c r="IF437" s="72"/>
      <c r="IH437" s="6"/>
      <c r="II437" s="4"/>
      <c r="IJ437" s="4"/>
      <c r="IK437" s="6"/>
      <c r="IL437" s="6"/>
      <c r="IM437" s="6"/>
      <c r="IN437" s="6"/>
      <c r="IO437" s="6"/>
      <c r="IQ437" s="6"/>
      <c r="IR437" s="6"/>
      <c r="IS437" s="6"/>
      <c r="IT437" s="6"/>
      <c r="IW437" s="6"/>
      <c r="IX437" s="6"/>
      <c r="IZ437" s="6"/>
      <c r="JA437" s="6"/>
    </row>
    <row r="438" spans="2:261" ht="15" hidden="1" customHeight="1" x14ac:dyDescent="0.2">
      <c r="B438" s="311">
        <f>SUBTOTAL(3,$D$5:D438)</f>
        <v>84</v>
      </c>
      <c r="C438" s="316">
        <v>431</v>
      </c>
      <c r="D438" s="315" t="s">
        <v>629</v>
      </c>
      <c r="E438" s="338" t="s">
        <v>3421</v>
      </c>
      <c r="F438" s="338" t="s">
        <v>3422</v>
      </c>
      <c r="G438" s="349">
        <v>46300</v>
      </c>
      <c r="H438" s="338" t="s">
        <v>681</v>
      </c>
      <c r="I438" s="338" t="s">
        <v>278</v>
      </c>
      <c r="J438" s="480"/>
      <c r="K438" s="338" t="s">
        <v>915</v>
      </c>
      <c r="L438" s="316" t="s">
        <v>250</v>
      </c>
      <c r="M438" s="355" t="s">
        <v>269</v>
      </c>
      <c r="N438" s="507">
        <v>1107</v>
      </c>
      <c r="O438" s="31" t="s">
        <v>252</v>
      </c>
      <c r="P43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3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8" s="35">
        <v>6.4017108407684639E-2</v>
      </c>
      <c r="S438" s="327">
        <v>0.99999999999999989</v>
      </c>
      <c r="T438" s="152">
        <f>Table1[[#This Row],[Progres Total Aktual
(%)]]</f>
        <v>6.4263341364962881E-2</v>
      </c>
      <c r="U438" s="121">
        <f>Table1[[#This Row],[Progres Aktual
(%)]]-Table1[[#This Row],[Target Progres
(%)]]</f>
        <v>-0.93573665863503697</v>
      </c>
      <c r="V438" s="80">
        <f>Table1[[#This Row],["Volume
BA MC-0"]]</f>
        <v>0</v>
      </c>
      <c r="W438" s="80">
        <f>Table1[[#This Row],[Total Panjang Pipa Aktual
(Sum-&gt;)3]]</f>
        <v>0</v>
      </c>
      <c r="X438" s="117"/>
      <c r="Y438" s="67" t="s">
        <v>3423</v>
      </c>
      <c r="Z438" s="67">
        <v>1299733190</v>
      </c>
      <c r="AA438" s="509">
        <f>ROUND((Table1[[#This Row],[Nilai RAB Jaringan
(Exclude Ppn)]]-Table1[[#This Row],[RAB Perizinan]])*1.11+Table1[[#This Row],[RAB Perizinan]],0)</f>
        <v>1299733189</v>
      </c>
      <c r="AB438" s="436">
        <f>SUM(Table1[[#This Row],[RAB Kegiatan Umum]:[RAB Perizinan]])</f>
        <v>1172027828</v>
      </c>
      <c r="AC438" s="436">
        <v>83919107</v>
      </c>
      <c r="AD438" s="436">
        <v>839191065</v>
      </c>
      <c r="AE438" s="436">
        <v>237847656</v>
      </c>
      <c r="AF438" s="436">
        <v>11070000</v>
      </c>
      <c r="AG438" s="436"/>
      <c r="AH438" s="510">
        <f>SUM(Table1[[#This Row],[Bobot Keg Umum]:[Bobot Perizinan]])</f>
        <v>0.99999999999999989</v>
      </c>
      <c r="AI438" s="510">
        <f>Table1[[#This Row],[RAB Kegiatan Umum]]/Table1[[#This Row],[Nilai RAB Jaringan
(Exclude Ppn)]]</f>
        <v>7.1601633506606463E-2</v>
      </c>
      <c r="AJ438" s="510">
        <f>Table1[[#This Row],[RAB Pemasangan]]/Table1[[#This Row],[Nilai RAB Jaringan
(Exclude Ppn)]]</f>
        <v>0.7160163307999543</v>
      </c>
      <c r="AK438" s="129">
        <f>Table1[[#This Row],[RAB Pengadaan]]/Table1[[#This Row],[Nilai RAB Jaringan
(Exclude Ppn)]]</f>
        <v>0.20293686746830383</v>
      </c>
      <c r="AL438" s="130">
        <f>Table1[[#This Row],[RAB Perizinan]]/Table1[[#This Row],[Nilai RAB Jaringan
(Exclude Ppn)]]</f>
        <v>9.4451682251353499E-3</v>
      </c>
      <c r="AM438" s="47"/>
      <c r="AN438" s="285"/>
      <c r="AO438" s="285">
        <f>SUM(Table1[[#This Row],[Pipa 63 mm]:[Pipa 1,800 mm]])</f>
        <v>0</v>
      </c>
      <c r="AP438" s="285" t="s">
        <v>3424</v>
      </c>
      <c r="AQ438" s="285"/>
      <c r="AR438" s="285"/>
      <c r="AS438" s="285"/>
      <c r="AT438" s="285"/>
      <c r="AU438" s="285"/>
      <c r="AV438" s="285"/>
      <c r="AW438" s="285"/>
      <c r="AX438" s="285"/>
      <c r="AY438" s="285"/>
      <c r="AZ438" s="285"/>
      <c r="BA438" s="285"/>
      <c r="BB438" s="285"/>
      <c r="BC438" s="285"/>
      <c r="BD438" s="285"/>
      <c r="BE438" s="285"/>
      <c r="BF438" s="285"/>
      <c r="BG438" s="285"/>
      <c r="BH438" s="285"/>
      <c r="BI438" s="285"/>
      <c r="BJ438" s="36">
        <f>SUM(Table1[[#This Row],[Pipa 63 mm2]:[Pipa 1,800 mm21]])</f>
        <v>0</v>
      </c>
      <c r="BK438" s="32"/>
      <c r="BL438" s="32"/>
      <c r="BM438" s="32"/>
      <c r="BN438" s="32"/>
      <c r="BO438" s="32"/>
      <c r="BP438" s="32"/>
      <c r="BQ438" s="32"/>
      <c r="BR438" s="32"/>
      <c r="BS438" s="32"/>
      <c r="BT438" s="32"/>
      <c r="BU438" s="32"/>
      <c r="BV438" s="32"/>
      <c r="BW438" s="32"/>
      <c r="BX438" s="32"/>
      <c r="BY438" s="32"/>
      <c r="BZ438" s="32"/>
      <c r="CA438" s="32"/>
      <c r="CB438" s="32"/>
      <c r="CC438" s="32"/>
      <c r="CD438" s="32"/>
      <c r="CE438" s="32"/>
      <c r="CF438" s="32"/>
      <c r="CG438" s="32"/>
      <c r="CH438" s="32"/>
      <c r="CI438" s="32"/>
      <c r="CJ438" s="32">
        <f>IF((Table1[[#This Row],["Volume
BA MC-0"]]-Table1[[#This Row],[Total Panjang Pipa Aktual
(Sum-&gt;)3]]-Table1[[#This Row],[Total Volume
tidak dapat dipasang]])&gt;=0,Table1[[#This Row],["Volume
BA MC-0"]]-Table1[[#This Row],[Total Panjang Pipa Aktual
(Sum-&gt;)3]]-Table1[[#This Row],[Total Volume
tidak dapat dipasang]],0)</f>
        <v>0</v>
      </c>
      <c r="CK438" s="47"/>
      <c r="CL438" s="131"/>
      <c r="CM438" s="337"/>
      <c r="CN438" s="131"/>
      <c r="CO438" s="131"/>
      <c r="CP438"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6.4263341364962881E-2</v>
      </c>
      <c r="CQ438" s="436">
        <f>IFERROR(Table1[[#This Row],[Progres Keg. Umum
(%)]]*Table1[[#This Row],[Nilai RAB Jaringan
(file pa aji)]],0)</f>
        <v>0</v>
      </c>
      <c r="CR438" s="436">
        <f>IFERROR(Table1[[#This Row],[Progres MOS
(%)]]*Table1[[#This Row],[Nilai RAB Jaringan
(file pa aji)]],0)</f>
        <v>0</v>
      </c>
      <c r="CS438" s="436">
        <f>IFERROR(Table1[[#This Row],[Progres Pemasangan
(%)]]*Table1[[#This Row],[Nilai RAB Jaringan
(file pa aji)]],0)</f>
        <v>0</v>
      </c>
      <c r="CT438" s="436">
        <f>IFERROR(Table1[[#This Row],[Progres Perizinan
(%)]]*Table1[[#This Row],[Nilai RAB Jaringan
(file pa aji)]],0)</f>
        <v>0</v>
      </c>
      <c r="CU438" s="329">
        <v>0</v>
      </c>
      <c r="CV438" s="436">
        <v>0</v>
      </c>
      <c r="CW438" s="511">
        <v>0</v>
      </c>
      <c r="CX438" s="329">
        <v>0</v>
      </c>
      <c r="CY438" s="47"/>
      <c r="CZ438" s="331">
        <v>46048</v>
      </c>
      <c r="DA438" s="331">
        <v>46075</v>
      </c>
      <c r="DB438" s="331">
        <v>46035</v>
      </c>
      <c r="DC438" s="316" t="s">
        <v>3425</v>
      </c>
      <c r="DD438" s="508">
        <v>1288663189.0799999</v>
      </c>
      <c r="DE43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8" s="331">
        <v>46049</v>
      </c>
      <c r="DG438" s="357" t="s">
        <v>3426</v>
      </c>
      <c r="DH438" s="508">
        <v>1288663189.0799999</v>
      </c>
      <c r="DI43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8" s="331">
        <v>46076</v>
      </c>
      <c r="DK438" s="331">
        <v>46173</v>
      </c>
      <c r="DL438" s="331">
        <v>46064</v>
      </c>
      <c r="DM438" s="316" t="s">
        <v>3427</v>
      </c>
      <c r="DN438"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8" s="331">
        <v>46085</v>
      </c>
      <c r="DP438" s="316"/>
      <c r="DQ438" s="338" t="s">
        <v>275</v>
      </c>
      <c r="DR438"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8" s="331">
        <v>46076</v>
      </c>
      <c r="DT438" s="331">
        <v>46162</v>
      </c>
      <c r="DU438" s="331">
        <v>46117</v>
      </c>
      <c r="DV438" s="331">
        <v>46176</v>
      </c>
      <c r="DW438" s="331">
        <v>46064</v>
      </c>
      <c r="DX438" s="316" t="s">
        <v>3428</v>
      </c>
      <c r="DY438" s="334">
        <v>36</v>
      </c>
      <c r="DZ438" s="334">
        <v>36</v>
      </c>
      <c r="EA438"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8" s="331">
        <v>46161</v>
      </c>
      <c r="EC438" s="334">
        <v>36</v>
      </c>
      <c r="ED438" s="334">
        <v>36</v>
      </c>
      <c r="EE438" s="118" t="s">
        <v>3429</v>
      </c>
      <c r="EF438" s="337">
        <v>1</v>
      </c>
      <c r="EG438" s="337">
        <f>Table1[[#This Row],[Line PO (kolom  bantu)2]]/Table1[[#This Row],[Line PR]]</f>
        <v>1</v>
      </c>
      <c r="EH438" s="316" t="str">
        <f>IF(Table1[[#This Row],[PO Material Aktual 
(%)]]&gt;=100%,"Selesai PO = 100%",IF(Table1[[#This Row],[PO Material Aktual 
(%)]]&gt;=50%,"Proses PO &gt; 100%",IF(Table1[[#This Row],[PO Material Aktual 
(%)]]&gt;0%,"Proses PO &gt; 50%",IF(Table1[[#This Row],[PO Material Aktual 
(%)]]=0,"Belum PO = 0%"))))</f>
        <v>Selesai PO = 100%</v>
      </c>
      <c r="EI43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38" s="331">
        <v>46118</v>
      </c>
      <c r="EK438" s="331">
        <v>46176</v>
      </c>
      <c r="EL438" s="331">
        <v>46236</v>
      </c>
      <c r="EM438" s="331">
        <v>46190</v>
      </c>
      <c r="EN438" s="331"/>
      <c r="EO438" s="332">
        <v>19</v>
      </c>
      <c r="EP438" s="332">
        <v>19</v>
      </c>
      <c r="EQ438" s="337">
        <v>0.52777777777777779</v>
      </c>
      <c r="ER438" s="337">
        <f>Table1[[#This Row],[Line MOS (kolom bantu)]]/Table1[[#This Row],[Line PR]]</f>
        <v>0.52777777777777779</v>
      </c>
      <c r="ES438" s="316" t="str">
        <f>IF(Table1[[#This Row],[Progres MOS]]&gt;=100%,"Selesai MOS = 100%",IF(Table1[[#This Row],[Progres MOS]]&gt;=50%,"Proses MOS &gt; 100%",IF(Table1[[#This Row],[Progres MOS]]&gt;0%,"Proses MOS &gt; 50%",IF(Table1[[#This Row],[Progres MOS]]=0,"Belum MOS = 0%"))))</f>
        <v>Proses MOS &gt; 100%</v>
      </c>
      <c r="ET43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38" s="47"/>
      <c r="EV438" s="331">
        <v>46076</v>
      </c>
      <c r="EW438" s="331">
        <v>46156</v>
      </c>
      <c r="EX438" s="331">
        <v>46201</v>
      </c>
      <c r="EY438" s="331">
        <v>46186</v>
      </c>
      <c r="EZ438" s="352" t="s">
        <v>2748</v>
      </c>
      <c r="FA438" s="409" t="s">
        <v>2748</v>
      </c>
      <c r="FB438" s="331" t="e">
        <v>#N/A</v>
      </c>
      <c r="FC438" s="330" t="e">
        <v>#N/A</v>
      </c>
      <c r="FD438" s="331" t="e">
        <v>#N/A</v>
      </c>
      <c r="FE438" s="331" t="e">
        <v>#N/A</v>
      </c>
      <c r="FF438" s="331" t="e">
        <v>#N/A</v>
      </c>
      <c r="FG438" s="331" t="e">
        <v>#N/A</v>
      </c>
      <c r="FH438" s="331" t="e">
        <v>#N/A</v>
      </c>
      <c r="FI438" s="331" t="e">
        <v>#N/A</v>
      </c>
      <c r="FJ438" s="331" t="e">
        <v>#N/A</v>
      </c>
      <c r="FK438" s="331" t="e">
        <v>#N/A</v>
      </c>
      <c r="FL438" s="352" t="s">
        <v>2759</v>
      </c>
      <c r="FM438" s="352"/>
      <c r="FN438" s="338" t="str">
        <f>IF(Table1[[#This Row],[Tanggal Pengajuan Dokumen]]="","",Table1[[#This Row],[PLAN PERMIT
start]]-Table1[[#This Row],[Tanggal Pengajuan Dokumen]])</f>
        <v/>
      </c>
      <c r="FO438" s="352"/>
      <c r="FP438" s="316"/>
      <c r="FQ438" s="338"/>
      <c r="FR438" s="331"/>
      <c r="FS438" s="338"/>
      <c r="FT43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38" s="344">
        <f ca="1">IF(Table1[[#This Row],[Status Izin]]="Selesai",Table1[[#This Row],[PLAN PERMIT
finish]]-Table1[[#This Row],[Tanggal Terbit/ Target Izin Terbit]],ROUNDUP(Table1[[#This Row],[PLAN PERMIT
finish]]-NOW(),0))</f>
        <v>11</v>
      </c>
      <c r="FV43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8" s="344"/>
      <c r="FX438" s="47"/>
      <c r="FY438" s="513">
        <v>46160</v>
      </c>
      <c r="FZ438" s="513">
        <v>46059</v>
      </c>
      <c r="GA438"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8" s="331">
        <v>46174</v>
      </c>
      <c r="GC438" s="352">
        <v>46120</v>
      </c>
      <c r="GD43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8" s="331">
        <v>46181</v>
      </c>
      <c r="GF438" s="352">
        <v>46120</v>
      </c>
      <c r="GG43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8" s="331">
        <v>46188</v>
      </c>
      <c r="GI438" s="331">
        <v>46194</v>
      </c>
      <c r="GJ438" s="352">
        <v>46126</v>
      </c>
      <c r="GK43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8" s="331">
        <v>46202</v>
      </c>
      <c r="GM438" s="331">
        <v>46193</v>
      </c>
      <c r="GN438" s="331">
        <v>46222</v>
      </c>
      <c r="GO438" s="330">
        <v>46269</v>
      </c>
      <c r="GP438" s="316"/>
      <c r="GQ43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8" s="331"/>
      <c r="GS438" s="331"/>
      <c r="GT438" s="354"/>
      <c r="GU438" s="344" t="str">
        <f>IF(Table1[[#This Row],[Hydro Tes Actual
(tanggal)]]&lt;&gt;"","Sudah","Belum")</f>
        <v>Belum</v>
      </c>
      <c r="GV438" s="330"/>
      <c r="GW438" s="330"/>
      <c r="GX438" s="331"/>
      <c r="GY438" s="344" t="str">
        <f>IF(Table1[[#This Row],[Interkoneksi Actual
(tanggal)]]&lt;&gt;"","Sudah","Belum")</f>
        <v>Belum</v>
      </c>
      <c r="GZ438" s="330"/>
      <c r="HA438" s="330"/>
      <c r="HB438" s="331"/>
      <c r="HC438" s="344" t="str">
        <f>IF(Table1[[#This Row],[Flushing Actual
(tanggal)]]&lt;&gt;"","Sudah","Belum")</f>
        <v>Belum</v>
      </c>
      <c r="HD438" s="331">
        <v>46225</v>
      </c>
      <c r="HE438" s="331">
        <v>46270</v>
      </c>
      <c r="HF438" s="331">
        <v>46230</v>
      </c>
      <c r="HG438" s="352"/>
      <c r="HH43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8" s="330"/>
      <c r="HJ438" s="330"/>
      <c r="HK438" s="331"/>
      <c r="HL438" s="331"/>
      <c r="HM438" s="331">
        <v>46247</v>
      </c>
      <c r="HN438" s="331">
        <v>46247</v>
      </c>
      <c r="HO438" s="330">
        <v>46287</v>
      </c>
      <c r="HP438" s="331"/>
      <c r="HQ43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38" s="331">
        <v>46255</v>
      </c>
      <c r="HS438" s="331"/>
      <c r="HT438" s="331">
        <v>46255</v>
      </c>
      <c r="HU438" s="420"/>
      <c r="HV438" s="395"/>
      <c r="HW43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38" s="47"/>
      <c r="HY438" s="352"/>
      <c r="HZ438" s="352"/>
      <c r="IA438" s="72"/>
      <c r="IB438" s="618">
        <f>IFERROR(ROUND((Table1[[#This Row],[PLAN TC
finish]]-Table1[[#This Row],[PLAN MC-0
start]])/30,2),"")</f>
        <v>1.4</v>
      </c>
      <c r="IC438">
        <f>DATEDIF(Table1[[#This Row],[PLAN MC-0
start]],Table1[[#This Row],[PLAN TC
finish]],"m")</f>
        <v>1</v>
      </c>
      <c r="ID438" s="6"/>
      <c r="IE438" s="6"/>
      <c r="IF438" s="72"/>
      <c r="IH438" s="6"/>
      <c r="II438" s="4"/>
      <c r="IJ438" s="4"/>
      <c r="IK438" s="6"/>
      <c r="IL438" s="6"/>
      <c r="IM438" s="6"/>
      <c r="IN438" s="6"/>
      <c r="IO438" s="6"/>
      <c r="IQ438" s="6"/>
      <c r="IR438" s="6"/>
      <c r="IS438" s="6"/>
      <c r="IT438" s="6"/>
      <c r="IW438" s="6"/>
      <c r="IX438" s="6"/>
      <c r="IZ438" s="6"/>
      <c r="JA438" s="6"/>
    </row>
    <row r="439" spans="2:261" ht="15" hidden="1" customHeight="1" x14ac:dyDescent="0.2">
      <c r="B439" s="311">
        <f>SUBTOTAL(3,$D$5:D439)</f>
        <v>84</v>
      </c>
      <c r="C439" s="316">
        <v>432</v>
      </c>
      <c r="D439" s="315" t="s">
        <v>629</v>
      </c>
      <c r="E439" s="461" t="s">
        <v>3430</v>
      </c>
      <c r="F439" s="338" t="s">
        <v>3431</v>
      </c>
      <c r="G439" s="349">
        <v>46300</v>
      </c>
      <c r="H439" s="338" t="s">
        <v>681</v>
      </c>
      <c r="I439" s="461" t="s">
        <v>278</v>
      </c>
      <c r="J439" s="518"/>
      <c r="K439" s="461" t="s">
        <v>915</v>
      </c>
      <c r="L439" s="334" t="s">
        <v>250</v>
      </c>
      <c r="M439" s="479" t="s">
        <v>269</v>
      </c>
      <c r="N439" s="507">
        <v>591</v>
      </c>
      <c r="O439" s="31" t="s">
        <v>252</v>
      </c>
      <c r="P439"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3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9" s="35">
        <v>0.12735372696633254</v>
      </c>
      <c r="S439" s="327">
        <v>0.99999999999999989</v>
      </c>
      <c r="T439" s="153">
        <f>Table1[[#This Row],[Progres Total Aktual
(%)]]</f>
        <v>5.7410254775718747E-2</v>
      </c>
      <c r="U439" s="122">
        <f>Table1[[#This Row],[Progres Aktual
(%)]]-Table1[[#This Row],[Target Progres
(%)]]</f>
        <v>-0.94258974522428118</v>
      </c>
      <c r="V439" s="119">
        <f>Table1[[#This Row],["Volume
BA MC-0"]]</f>
        <v>0</v>
      </c>
      <c r="W439" s="119">
        <f>Table1[[#This Row],[Total Panjang Pipa Aktual
(Sum-&gt;)3]]</f>
        <v>0</v>
      </c>
      <c r="X439" s="120"/>
      <c r="Y439" s="67" t="s">
        <v>3432</v>
      </c>
      <c r="Z439" s="67">
        <v>743181033</v>
      </c>
      <c r="AA439" s="519">
        <f>ROUND((Table1[[#This Row],[Nilai RAB Jaringan
(Exclude Ppn)]]-Table1[[#This Row],[RAB Perizinan]])*1.11+Table1[[#This Row],[RAB Perizinan]],0)</f>
        <v>743181032</v>
      </c>
      <c r="AB439" s="465">
        <f>SUM(Table1[[#This Row],[RAB Kegiatan Umum]:[RAB Perizinan]])</f>
        <v>670118137</v>
      </c>
      <c r="AC439" s="465">
        <v>47059042</v>
      </c>
      <c r="AD439" s="465">
        <v>470590417</v>
      </c>
      <c r="AE439" s="465">
        <v>146558678</v>
      </c>
      <c r="AF439" s="465">
        <v>5910000</v>
      </c>
      <c r="AG439" s="465"/>
      <c r="AH439" s="520">
        <f>SUM(Table1[[#This Row],[Bobot Keg Umum]:[Bobot Perizinan]])</f>
        <v>0.99999999999999989</v>
      </c>
      <c r="AI439" s="520">
        <f>Table1[[#This Row],[RAB Kegiatan Umum]]/Table1[[#This Row],[Nilai RAB Jaringan
(Exclude Ppn)]]</f>
        <v>7.0224993775985498E-2</v>
      </c>
      <c r="AJ439" s="520">
        <f>Table1[[#This Row],[RAB Pemasangan]]/Table1[[#This Row],[Nilai RAB Jaringan
(Exclude Ppn)]]</f>
        <v>0.70224993328303242</v>
      </c>
      <c r="AK439" s="521">
        <f>Table1[[#This Row],[RAB Pengadaan]]/Table1[[#This Row],[Nilai RAB Jaringan
(Exclude Ppn)]]</f>
        <v>0.21870573247892855</v>
      </c>
      <c r="AL439" s="522">
        <f>Table1[[#This Row],[RAB Perizinan]]/Table1[[#This Row],[Nilai RAB Jaringan
(Exclude Ppn)]]</f>
        <v>8.8193404620534842E-3</v>
      </c>
      <c r="AM439" s="47"/>
      <c r="AN439" s="470"/>
      <c r="AO439" s="470">
        <f>SUM(Table1[[#This Row],[Pipa 63 mm]:[Pipa 1,800 mm]])</f>
        <v>0</v>
      </c>
      <c r="AP439" s="470"/>
      <c r="AQ439" s="470"/>
      <c r="AR439" s="470"/>
      <c r="AS439" s="470"/>
      <c r="AT439" s="470"/>
      <c r="AU439" s="470"/>
      <c r="AV439" s="470"/>
      <c r="AW439" s="470"/>
      <c r="AX439" s="470"/>
      <c r="AY439" s="470"/>
      <c r="AZ439" s="470"/>
      <c r="BA439" s="470"/>
      <c r="BB439" s="470"/>
      <c r="BC439" s="470"/>
      <c r="BD439" s="470"/>
      <c r="BE439" s="470"/>
      <c r="BF439" s="470"/>
      <c r="BG439" s="470"/>
      <c r="BH439" s="470"/>
      <c r="BI439" s="470"/>
      <c r="BJ439" s="523">
        <f>SUM(Table1[[#This Row],[Pipa 63 mm2]:[Pipa 1,800 mm21]])</f>
        <v>0</v>
      </c>
      <c r="BK439" s="471"/>
      <c r="BL439" s="471"/>
      <c r="BM439" s="471"/>
      <c r="BN439" s="471"/>
      <c r="BO439" s="471"/>
      <c r="BP439" s="471"/>
      <c r="BQ439" s="471"/>
      <c r="BR439" s="471"/>
      <c r="BS439" s="471"/>
      <c r="BT439" s="471"/>
      <c r="BU439" s="471"/>
      <c r="BV439" s="471"/>
      <c r="BW439" s="471"/>
      <c r="BX439" s="471"/>
      <c r="BY439" s="471"/>
      <c r="BZ439" s="471"/>
      <c r="CA439" s="471"/>
      <c r="CB439" s="471"/>
      <c r="CC439" s="471"/>
      <c r="CD439" s="471"/>
      <c r="CE439" s="471"/>
      <c r="CF439" s="471"/>
      <c r="CG439" s="471"/>
      <c r="CH439" s="471"/>
      <c r="CI439" s="471"/>
      <c r="CJ439" s="471">
        <f>IF((Table1[[#This Row],["Volume
BA MC-0"]]-Table1[[#This Row],[Total Panjang Pipa Aktual
(Sum-&gt;)3]]-Table1[[#This Row],[Total Volume
tidak dapat dipasang]])&gt;=0,Table1[[#This Row],["Volume
BA MC-0"]]-Table1[[#This Row],[Total Panjang Pipa Aktual
(Sum-&gt;)3]]-Table1[[#This Row],[Total Volume
tidak dapat dipasang]],0)</f>
        <v>0</v>
      </c>
      <c r="CK439" s="47"/>
      <c r="CL439" s="472"/>
      <c r="CM439" s="475"/>
      <c r="CN439" s="472"/>
      <c r="CO439" s="472"/>
      <c r="CP439"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5.7410254775718747E-2</v>
      </c>
      <c r="CQ439" s="465">
        <f>IFERROR(Table1[[#This Row],[Progres Keg. Umum
(%)]]*Table1[[#This Row],[Nilai RAB Jaringan
(file pa aji)]],0)</f>
        <v>0</v>
      </c>
      <c r="CR439" s="465">
        <f>IFERROR(Table1[[#This Row],[Progres MOS
(%)]]*Table1[[#This Row],[Nilai RAB Jaringan
(file pa aji)]],0)</f>
        <v>0</v>
      </c>
      <c r="CS439" s="465">
        <f>IFERROR(Table1[[#This Row],[Progres Pemasangan
(%)]]*Table1[[#This Row],[Nilai RAB Jaringan
(file pa aji)]],0)</f>
        <v>0</v>
      </c>
      <c r="CT439" s="465">
        <f>IFERROR(Table1[[#This Row],[Progres Perizinan
(%)]]*Table1[[#This Row],[Nilai RAB Jaringan
(file pa aji)]],0)</f>
        <v>0</v>
      </c>
      <c r="CU439" s="329">
        <v>0</v>
      </c>
      <c r="CV439" s="436">
        <v>0</v>
      </c>
      <c r="CW439" s="524">
        <v>0</v>
      </c>
      <c r="CX439" s="329">
        <v>0</v>
      </c>
      <c r="CY439" s="47"/>
      <c r="CZ439" s="331">
        <v>46048</v>
      </c>
      <c r="DA439" s="331">
        <v>46075</v>
      </c>
      <c r="DB439" s="331">
        <v>46035</v>
      </c>
      <c r="DC439" s="334" t="s">
        <v>3433</v>
      </c>
      <c r="DD439" s="525">
        <v>737271032.07000005</v>
      </c>
      <c r="DE43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9" s="331">
        <v>46049</v>
      </c>
      <c r="DG439" s="357" t="s">
        <v>3434</v>
      </c>
      <c r="DH439" s="525">
        <v>737271032.07000005</v>
      </c>
      <c r="DI439"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9" s="331">
        <v>46076</v>
      </c>
      <c r="DK439" s="331">
        <v>46173</v>
      </c>
      <c r="DL439" s="331">
        <v>46064</v>
      </c>
      <c r="DM439" s="334" t="s">
        <v>3435</v>
      </c>
      <c r="DN439"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9" s="331">
        <v>46085</v>
      </c>
      <c r="DP439" s="316"/>
      <c r="DQ439" s="338" t="s">
        <v>275</v>
      </c>
      <c r="DR439"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9" s="331">
        <v>46076</v>
      </c>
      <c r="DT439" s="331">
        <v>46164</v>
      </c>
      <c r="DU439" s="331">
        <v>46117</v>
      </c>
      <c r="DV439" s="331">
        <v>46178</v>
      </c>
      <c r="DW439" s="331">
        <v>46064</v>
      </c>
      <c r="DX439" s="334" t="s">
        <v>3436</v>
      </c>
      <c r="DY439" s="334">
        <v>32</v>
      </c>
      <c r="DZ439" s="334">
        <v>32</v>
      </c>
      <c r="EA439"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9" s="420">
        <v>46162</v>
      </c>
      <c r="EC439" s="332">
        <v>32</v>
      </c>
      <c r="ED439" s="332">
        <v>32</v>
      </c>
      <c r="EE439" s="426" t="s">
        <v>3437</v>
      </c>
      <c r="EF439" s="475">
        <v>1</v>
      </c>
      <c r="EG439" s="337">
        <f>Table1[[#This Row],[Line PO (kolom  bantu)2]]/Table1[[#This Row],[Line PR]]</f>
        <v>1</v>
      </c>
      <c r="EH439" s="316" t="str">
        <f>IF(Table1[[#This Row],[PO Material Aktual 
(%)]]&gt;=100%,"Selesai PO = 100%",IF(Table1[[#This Row],[PO Material Aktual 
(%)]]&gt;=50%,"Proses PO &gt; 100%",IF(Table1[[#This Row],[PO Material Aktual 
(%)]]&gt;0%,"Proses PO &gt; 50%",IF(Table1[[#This Row],[PO Material Aktual 
(%)]]=0,"Belum PO = 0%"))))</f>
        <v>Selesai PO = 100%</v>
      </c>
      <c r="EI43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39" s="331">
        <v>46118</v>
      </c>
      <c r="EK439" s="331">
        <v>46178</v>
      </c>
      <c r="EL439" s="331">
        <v>46201</v>
      </c>
      <c r="EM439" s="420">
        <v>46183</v>
      </c>
      <c r="EN439" s="420"/>
      <c r="EO439" s="332">
        <v>14</v>
      </c>
      <c r="EP439" s="332">
        <v>14</v>
      </c>
      <c r="EQ439" s="337">
        <v>0.4375</v>
      </c>
      <c r="ER439" s="337">
        <f>Table1[[#This Row],[Line MOS (kolom bantu)]]/Table1[[#This Row],[Line PR]]</f>
        <v>0.4375</v>
      </c>
      <c r="ES439" s="316" t="str">
        <f>IF(Table1[[#This Row],[Progres MOS]]&gt;=100%,"Selesai MOS = 100%",IF(Table1[[#This Row],[Progres MOS]]&gt;=50%,"Proses MOS &gt; 100%",IF(Table1[[#This Row],[Progres MOS]]&gt;0%,"Proses MOS &gt; 50%",IF(Table1[[#This Row],[Progres MOS]]=0,"Belum MOS = 0%"))))</f>
        <v>Proses MOS &gt; 50%</v>
      </c>
      <c r="ET43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39" s="47"/>
      <c r="EV439" s="331">
        <v>46076</v>
      </c>
      <c r="EW439" s="331">
        <v>46156</v>
      </c>
      <c r="EX439" s="331">
        <v>46201</v>
      </c>
      <c r="EY439" s="420">
        <v>46186</v>
      </c>
      <c r="EZ439" s="477" t="s">
        <v>2748</v>
      </c>
      <c r="FA439" s="409" t="s">
        <v>2748</v>
      </c>
      <c r="FB439" s="420" t="e">
        <v>#N/A</v>
      </c>
      <c r="FC439" s="330" t="e">
        <v>#N/A</v>
      </c>
      <c r="FD439" s="420" t="e">
        <v>#N/A</v>
      </c>
      <c r="FE439" s="420" t="e">
        <v>#N/A</v>
      </c>
      <c r="FF439" s="420" t="e">
        <v>#N/A</v>
      </c>
      <c r="FG439" s="420" t="e">
        <v>#N/A</v>
      </c>
      <c r="FH439" s="420" t="e">
        <v>#N/A</v>
      </c>
      <c r="FI439" s="420" t="e">
        <v>#N/A</v>
      </c>
      <c r="FJ439" s="420" t="e">
        <v>#N/A</v>
      </c>
      <c r="FK439" s="420" t="e">
        <v>#N/A</v>
      </c>
      <c r="FL439" s="352" t="s">
        <v>2759</v>
      </c>
      <c r="FM439" s="477"/>
      <c r="FN439" s="461" t="str">
        <f>IF(Table1[[#This Row],[Tanggal Pengajuan Dokumen]]="","",Table1[[#This Row],[PLAN PERMIT
start]]-Table1[[#This Row],[Tanggal Pengajuan Dokumen]])</f>
        <v/>
      </c>
      <c r="FO439" s="477"/>
      <c r="FP439" s="334"/>
      <c r="FQ439" s="461"/>
      <c r="FR439" s="420"/>
      <c r="FS439" s="461"/>
      <c r="FT439"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39" s="476">
        <f ca="1">IF(Table1[[#This Row],[Status Izin]]="Selesai",Table1[[#This Row],[PLAN PERMIT
finish]]-Table1[[#This Row],[Tanggal Terbit/ Target Izin Terbit]],ROUNDUP(Table1[[#This Row],[PLAN PERMIT
finish]]-NOW(),0))</f>
        <v>11</v>
      </c>
      <c r="FV439"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9" s="476"/>
      <c r="FX439" s="47"/>
      <c r="FY439" s="513">
        <v>46160</v>
      </c>
      <c r="FZ439" s="513">
        <v>46059</v>
      </c>
      <c r="GA439" s="31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9" s="331">
        <v>46174</v>
      </c>
      <c r="GC439" s="477">
        <v>46120</v>
      </c>
      <c r="GD439"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9" s="331">
        <v>46181</v>
      </c>
      <c r="GF439" s="477">
        <v>46120</v>
      </c>
      <c r="GG439"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9" s="331">
        <v>46188</v>
      </c>
      <c r="GI439" s="331">
        <v>46194</v>
      </c>
      <c r="GJ439" s="477">
        <v>46126</v>
      </c>
      <c r="GK439"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9" s="331">
        <v>46202</v>
      </c>
      <c r="GM439" s="331">
        <v>46193</v>
      </c>
      <c r="GN439" s="331">
        <v>46222</v>
      </c>
      <c r="GO439" s="330">
        <v>46241</v>
      </c>
      <c r="GP439" s="334"/>
      <c r="GQ439"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9" s="420"/>
      <c r="GS439" s="420"/>
      <c r="GT439" s="419"/>
      <c r="GU439" s="476" t="str">
        <f>IF(Table1[[#This Row],[Hydro Tes Actual
(tanggal)]]&lt;&gt;"","Sudah","Belum")</f>
        <v>Belum</v>
      </c>
      <c r="GV439" s="527"/>
      <c r="GW439" s="527"/>
      <c r="GX439" s="420"/>
      <c r="GY439" s="476" t="str">
        <f>IF(Table1[[#This Row],[Interkoneksi Actual
(tanggal)]]&lt;&gt;"","Sudah","Belum")</f>
        <v>Belum</v>
      </c>
      <c r="GZ439" s="527"/>
      <c r="HA439" s="527"/>
      <c r="HB439" s="420"/>
      <c r="HC439" s="476" t="str">
        <f>IF(Table1[[#This Row],[Flushing Actual
(tanggal)]]&lt;&gt;"","Sudah","Belum")</f>
        <v>Belum</v>
      </c>
      <c r="HD439" s="331">
        <v>46225</v>
      </c>
      <c r="HE439" s="331">
        <v>46242</v>
      </c>
      <c r="HF439" s="331">
        <v>46230</v>
      </c>
      <c r="HG439" s="477"/>
      <c r="HH439"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9" s="527"/>
      <c r="HJ439" s="527"/>
      <c r="HK439" s="420"/>
      <c r="HL439" s="420"/>
      <c r="HM439" s="331">
        <v>46247</v>
      </c>
      <c r="HN439" s="331">
        <v>46247</v>
      </c>
      <c r="HO439" s="330">
        <v>46259</v>
      </c>
      <c r="HP439" s="420"/>
      <c r="HQ439"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39" s="331">
        <v>46255</v>
      </c>
      <c r="HS439" s="331"/>
      <c r="HT439" s="331">
        <v>46255</v>
      </c>
      <c r="HU439" s="420"/>
      <c r="HV439" s="347"/>
      <c r="HW439" s="47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39" s="47"/>
      <c r="HY439" s="477"/>
      <c r="HZ439" s="477"/>
      <c r="IA439" s="72"/>
      <c r="IB439" s="618">
        <f>IFERROR(ROUND((Table1[[#This Row],[PLAN TC
finish]]-Table1[[#This Row],[PLAN MC-0
start]])/30,2),"")</f>
        <v>1.4</v>
      </c>
      <c r="IC439">
        <f>DATEDIF(Table1[[#This Row],[PLAN MC-0
start]],Table1[[#This Row],[PLAN TC
finish]],"m")</f>
        <v>1</v>
      </c>
      <c r="ID439" s="6"/>
      <c r="IE439" s="6"/>
      <c r="IF439" s="72"/>
      <c r="IH439" s="6"/>
      <c r="II439" s="4"/>
      <c r="IJ439" s="4"/>
      <c r="IK439" s="6"/>
      <c r="IL439" s="6"/>
      <c r="IM439" s="6"/>
      <c r="IN439" s="6"/>
      <c r="IO439" s="6"/>
      <c r="IQ439" s="6"/>
      <c r="IR439" s="6"/>
      <c r="IS439" s="6"/>
      <c r="IT439" s="6"/>
      <c r="IW439" s="6"/>
      <c r="IX439" s="6"/>
      <c r="IZ439" s="6"/>
      <c r="JA439" s="6"/>
    </row>
    <row r="440" spans="2:261" customFormat="1" ht="15" hidden="1" customHeight="1" x14ac:dyDescent="0.2">
      <c r="B440" s="311">
        <f>SUBTOTAL(3,$D$5:D440)</f>
        <v>84</v>
      </c>
      <c r="C440" s="316">
        <v>433</v>
      </c>
      <c r="D440" s="460" t="s">
        <v>629</v>
      </c>
      <c r="E440" s="461" t="s">
        <v>3438</v>
      </c>
      <c r="F440" s="461" t="s">
        <v>3439</v>
      </c>
      <c r="G440" s="349">
        <v>46300</v>
      </c>
      <c r="H440" s="338" t="s">
        <v>681</v>
      </c>
      <c r="I440" s="461" t="s">
        <v>278</v>
      </c>
      <c r="J440" s="518"/>
      <c r="K440" s="461" t="s">
        <v>915</v>
      </c>
      <c r="L440" s="334" t="s">
        <v>250</v>
      </c>
      <c r="M440" s="479" t="s">
        <v>269</v>
      </c>
      <c r="N440" s="559">
        <v>136</v>
      </c>
      <c r="O440" s="464" t="s">
        <v>252</v>
      </c>
      <c r="P440"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MC-0</v>
      </c>
      <c r="Q44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40" s="35">
        <v>0</v>
      </c>
      <c r="S440" s="327">
        <v>0.99999999999999989</v>
      </c>
      <c r="T440" s="560">
        <f>Table1[[#This Row],[Progres Total Aktual
(%)]]</f>
        <v>0</v>
      </c>
      <c r="U440" s="561">
        <f>Table1[[#This Row],[Progres Aktual
(%)]]-Table1[[#This Row],[Target Progres
(%)]]</f>
        <v>-0.99999999999999989</v>
      </c>
      <c r="V440" s="562">
        <f>Table1[[#This Row],["Volume
BA MC-0"]]</f>
        <v>0</v>
      </c>
      <c r="W440" s="562">
        <f>Table1[[#This Row],[Total Panjang Pipa Aktual
(Sum-&gt;)3]]</f>
        <v>0</v>
      </c>
      <c r="X440" s="120"/>
      <c r="Y440" s="67" t="s">
        <v>3440</v>
      </c>
      <c r="Z440" s="468">
        <v>185939569</v>
      </c>
      <c r="AA440" s="468">
        <f>ROUND((Table1[[#This Row],[Nilai RAB Jaringan
(Exclude Ppn)]]-Table1[[#This Row],[RAB Perizinan]])*1.11+Table1[[#This Row],[RAB Perizinan]],0)</f>
        <v>0</v>
      </c>
      <c r="AB440" s="465">
        <f>SUM(Table1[[#This Row],[RAB Kegiatan Umum]:[RAB Perizinan]])</f>
        <v>0</v>
      </c>
      <c r="AC440" s="465"/>
      <c r="AD440" s="465"/>
      <c r="AE440" s="465"/>
      <c r="AF440" s="465"/>
      <c r="AG440" s="465"/>
      <c r="AH440" s="563" t="e">
        <f>SUM(Table1[[#This Row],[Bobot Keg Umum]:[Bobot Perizinan]])</f>
        <v>#DIV/0!</v>
      </c>
      <c r="AI440" s="563" t="e">
        <f>Table1[[#This Row],[RAB Kegiatan Umum]]/Table1[[#This Row],[Nilai RAB Jaringan
(Exclude Ppn)]]</f>
        <v>#DIV/0!</v>
      </c>
      <c r="AJ440" s="563" t="e">
        <f>Table1[[#This Row],[RAB Pemasangan]]/Table1[[#This Row],[Nilai RAB Jaringan
(Exclude Ppn)]]</f>
        <v>#DIV/0!</v>
      </c>
      <c r="AK440" s="563" t="e">
        <f>Table1[[#This Row],[RAB Pengadaan]]/Table1[[#This Row],[Nilai RAB Jaringan
(Exclude Ppn)]]</f>
        <v>#DIV/0!</v>
      </c>
      <c r="AL440" s="475" t="e">
        <f>Table1[[#This Row],[RAB Perizinan]]/Table1[[#This Row],[Nilai RAB Jaringan
(Exclude Ppn)]]</f>
        <v>#DIV/0!</v>
      </c>
      <c r="AM440" s="47"/>
      <c r="AN440" s="470"/>
      <c r="AO440" s="470">
        <f>SUM(Table1[[#This Row],[Pipa 63 mm]:[Pipa 1,800 mm]])</f>
        <v>0</v>
      </c>
      <c r="AP440" s="470"/>
      <c r="AQ440" s="470"/>
      <c r="AR440" s="470"/>
      <c r="AS440" s="470"/>
      <c r="AT440" s="470"/>
      <c r="AU440" s="470"/>
      <c r="AV440" s="470"/>
      <c r="AW440" s="470"/>
      <c r="AX440" s="470"/>
      <c r="AY440" s="470"/>
      <c r="AZ440" s="470"/>
      <c r="BA440" s="470"/>
      <c r="BB440" s="470"/>
      <c r="BC440" s="470"/>
      <c r="BD440" s="470"/>
      <c r="BE440" s="470"/>
      <c r="BF440" s="470"/>
      <c r="BG440" s="470"/>
      <c r="BH440" s="470"/>
      <c r="BI440" s="470"/>
      <c r="BJ440" s="523">
        <f>SUM(Table1[[#This Row],[Pipa 63 mm2]:[Pipa 1,800 mm21]])</f>
        <v>0</v>
      </c>
      <c r="BK440" s="471"/>
      <c r="BL440" s="471"/>
      <c r="BM440" s="471"/>
      <c r="BN440" s="471"/>
      <c r="BO440" s="471"/>
      <c r="BP440" s="471"/>
      <c r="BQ440" s="471"/>
      <c r="BR440" s="471"/>
      <c r="BS440" s="471"/>
      <c r="BT440" s="471"/>
      <c r="BU440" s="471"/>
      <c r="BV440" s="471"/>
      <c r="BW440" s="471"/>
      <c r="BX440" s="471"/>
      <c r="BY440" s="471"/>
      <c r="BZ440" s="471"/>
      <c r="CA440" s="471"/>
      <c r="CB440" s="471"/>
      <c r="CC440" s="471"/>
      <c r="CD440" s="471"/>
      <c r="CE440" s="471"/>
      <c r="CF440" s="471"/>
      <c r="CG440" s="471"/>
      <c r="CH440" s="471"/>
      <c r="CI440" s="471"/>
      <c r="CJ440" s="471">
        <f>IF((Table1[[#This Row],["Volume
BA MC-0"]]-Table1[[#This Row],[Total Panjang Pipa Aktual
(Sum-&gt;)3]]-Table1[[#This Row],[Total Volume
tidak dapat dipasang]])&gt;=0,Table1[[#This Row],["Volume
BA MC-0"]]-Table1[[#This Row],[Total Panjang Pipa Aktual
(Sum-&gt;)3]]-Table1[[#This Row],[Total Volume
tidak dapat dipasang]],0)</f>
        <v>0</v>
      </c>
      <c r="CK440" s="47"/>
      <c r="CL440" s="472"/>
      <c r="CM440" s="475"/>
      <c r="CN440" s="472"/>
      <c r="CO440" s="472"/>
      <c r="CP440" s="32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440" s="465">
        <f>IFERROR(Table1[[#This Row],[Progres Keg. Umum
(%)]]*Table1[[#This Row],[Nilai RAB Jaringan
(file pa aji)]],0)</f>
        <v>0</v>
      </c>
      <c r="CR440" s="465">
        <f>IFERROR(Table1[[#This Row],[Progres MOS
(%)]]*Table1[[#This Row],[Nilai RAB Jaringan
(file pa aji)]],0)</f>
        <v>0</v>
      </c>
      <c r="CS440" s="465">
        <f>IFERROR(Table1[[#This Row],[Progres Pemasangan
(%)]]*Table1[[#This Row],[Nilai RAB Jaringan
(file pa aji)]],0)</f>
        <v>0</v>
      </c>
      <c r="CT440" s="465">
        <f>IFERROR(Table1[[#This Row],[Progres Perizinan
(%)]]*Table1[[#This Row],[Nilai RAB Jaringan
(file pa aji)]],0)</f>
        <v>0</v>
      </c>
      <c r="CU440" s="329"/>
      <c r="CV440" s="436"/>
      <c r="CW440" s="524"/>
      <c r="CX440" s="329"/>
      <c r="CY440" s="47"/>
      <c r="CZ440" s="331">
        <v>46048</v>
      </c>
      <c r="DA440" s="331">
        <v>46075</v>
      </c>
      <c r="DB440" s="420">
        <v>46098</v>
      </c>
      <c r="DC440" s="334" t="s">
        <v>3441</v>
      </c>
      <c r="DD440" s="525">
        <v>184579569</v>
      </c>
      <c r="DE44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40" s="420">
        <v>46127</v>
      </c>
      <c r="DG440" s="334" t="s">
        <v>3442</v>
      </c>
      <c r="DH440" s="525">
        <v>184579569</v>
      </c>
      <c r="DI440"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40" s="331">
        <v>46076</v>
      </c>
      <c r="DK440" s="331">
        <v>46173</v>
      </c>
      <c r="DL440" s="420">
        <v>46142</v>
      </c>
      <c r="DM440" s="334" t="s">
        <v>3443</v>
      </c>
      <c r="DN440"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40" s="420">
        <v>46160</v>
      </c>
      <c r="DP440" s="334" t="s">
        <v>3444</v>
      </c>
      <c r="DQ440" s="461" t="s">
        <v>312</v>
      </c>
      <c r="DR440"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40" s="331">
        <v>46076</v>
      </c>
      <c r="DT440" s="331">
        <v>46164</v>
      </c>
      <c r="DU440" s="331">
        <v>46117</v>
      </c>
      <c r="DV440" s="420">
        <v>46178</v>
      </c>
      <c r="DW440" s="420">
        <v>46149</v>
      </c>
      <c r="DX440" s="334" t="s">
        <v>3445</v>
      </c>
      <c r="DY440" s="334">
        <v>18</v>
      </c>
      <c r="DZ440" s="334">
        <v>18</v>
      </c>
      <c r="EA440"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40" s="420"/>
      <c r="EC440" s="335">
        <v>6</v>
      </c>
      <c r="ED440" s="335">
        <v>6</v>
      </c>
      <c r="EE440" s="527"/>
      <c r="EF440" s="337">
        <v>0.33333333333333331</v>
      </c>
      <c r="EG440" s="337">
        <f>Table1[[#This Row],[Line PO (kolom  bantu)2]]/Table1[[#This Row],[Line PR]]</f>
        <v>0.33333333333333331</v>
      </c>
      <c r="EH440" s="334" t="str">
        <f>IF(Table1[[#This Row],[PO Material Aktual 
(%)]]&gt;=100%,"Selesai PO = 100%",IF(Table1[[#This Row],[PO Material Aktual 
(%)]]&gt;=50%,"Proses PO &gt; 100%",IF(Table1[[#This Row],[PO Material Aktual 
(%)]]&gt;0%,"Proses PO &gt; 50%",IF(Table1[[#This Row],[PO Material Aktual 
(%)]]=0,"Belum PO = 0%"))))</f>
        <v>Proses PO &gt; 50%</v>
      </c>
      <c r="EI440" s="33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0" s="331"/>
      <c r="EK440" s="331">
        <v>46178</v>
      </c>
      <c r="EL440" s="331"/>
      <c r="EM440" s="420">
        <v>46193</v>
      </c>
      <c r="EN440" s="420"/>
      <c r="EO440" s="334">
        <v>0</v>
      </c>
      <c r="EP440" s="332">
        <v>0</v>
      </c>
      <c r="EQ440" s="475">
        <v>0</v>
      </c>
      <c r="ER440" s="337">
        <f>Table1[[#This Row],[Line MOS (kolom bantu)]]/Table1[[#This Row],[Line PR]]</f>
        <v>0</v>
      </c>
      <c r="ES440" s="334" t="str">
        <f>IF(Table1[[#This Row],[Progres MOS]]&gt;=100%,"Selesai MOS = 100%",IF(Table1[[#This Row],[Progres MOS]]&gt;=50%,"Proses MOS &gt; 100%",IF(Table1[[#This Row],[Progres MOS]]&gt;0%,"Proses MOS &gt; 50%",IF(Table1[[#This Row],[Progres MOS]]=0,"Belum MOS = 0%"))))</f>
        <v>Belum MOS = 0%</v>
      </c>
      <c r="ET44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0" s="47"/>
      <c r="EV440" s="420"/>
      <c r="EW440" s="420">
        <v>46159</v>
      </c>
      <c r="EX440" s="420"/>
      <c r="EY440" s="420">
        <v>46189</v>
      </c>
      <c r="EZ440" s="477" t="s">
        <v>2748</v>
      </c>
      <c r="FA440" s="409" t="s">
        <v>2748</v>
      </c>
      <c r="FB440" s="420" t="e">
        <v>#N/A</v>
      </c>
      <c r="FC440" s="330" t="e">
        <v>#N/A</v>
      </c>
      <c r="FD440" s="420" t="e">
        <v>#N/A</v>
      </c>
      <c r="FE440" s="420" t="e">
        <v>#N/A</v>
      </c>
      <c r="FF440" s="420" t="e">
        <v>#N/A</v>
      </c>
      <c r="FG440" s="420" t="e">
        <v>#N/A</v>
      </c>
      <c r="FH440" s="420" t="e">
        <v>#N/A</v>
      </c>
      <c r="FI440" s="420" t="e">
        <v>#N/A</v>
      </c>
      <c r="FJ440" s="420" t="e">
        <v>#N/A</v>
      </c>
      <c r="FK440" s="420" t="e">
        <v>#N/A</v>
      </c>
      <c r="FL440" s="477"/>
      <c r="FM440" s="477"/>
      <c r="FN440" s="461" t="str">
        <f>IF(Table1[[#This Row],[Tanggal Pengajuan Dokumen]]="","",Table1[[#This Row],[PLAN PERMIT
start]]-Table1[[#This Row],[Tanggal Pengajuan Dokumen]])</f>
        <v/>
      </c>
      <c r="FO440" s="477"/>
      <c r="FP440" s="334"/>
      <c r="FQ440" s="461"/>
      <c r="FR440" s="477"/>
      <c r="FS440" s="461"/>
      <c r="FT440"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0" s="476">
        <f ca="1">IF(Table1[[#This Row],[Status Izin]]="Selesai",Table1[[#This Row],[PLAN PERMIT
finish]]-Table1[[#This Row],[Tanggal Terbit/ Target Izin Terbit]],ROUNDUP(Table1[[#This Row],[PLAN PERMIT
finish]]-NOW(),0))</f>
        <v>-46191</v>
      </c>
      <c r="FV440"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0" s="476"/>
      <c r="FX440" s="47"/>
      <c r="FY440" s="513">
        <v>46160</v>
      </c>
      <c r="FZ440" s="565">
        <v>46121</v>
      </c>
      <c r="GA440" s="56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40" s="331">
        <v>46174</v>
      </c>
      <c r="GC440" s="477">
        <v>46120</v>
      </c>
      <c r="GD440"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40" s="331">
        <v>46181</v>
      </c>
      <c r="GF440" s="477">
        <v>46120</v>
      </c>
      <c r="GG440"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40" s="331">
        <v>46188</v>
      </c>
      <c r="GI440" s="331">
        <v>46194</v>
      </c>
      <c r="GJ440" s="477">
        <v>46127</v>
      </c>
      <c r="GK440"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40" s="331">
        <v>46202</v>
      </c>
      <c r="GM440" s="331">
        <v>46196</v>
      </c>
      <c r="GN440" s="331">
        <v>46222</v>
      </c>
      <c r="GO440" s="527">
        <v>46223</v>
      </c>
      <c r="GP440" s="334"/>
      <c r="GQ440"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40" s="420"/>
      <c r="GS440" s="420"/>
      <c r="GT440" s="419"/>
      <c r="GU440" s="476" t="str">
        <f>IF(Table1[[#This Row],[Hydro Tes Actual
(tanggal)]]&lt;&gt;"","Sudah","Belum")</f>
        <v>Belum</v>
      </c>
      <c r="GV440" s="527"/>
      <c r="GW440" s="527"/>
      <c r="GX440" s="420"/>
      <c r="GY440" s="476" t="str">
        <f>IF(Table1[[#This Row],[Interkoneksi Actual
(tanggal)]]&lt;&gt;"","Sudah","Belum")</f>
        <v>Belum</v>
      </c>
      <c r="GZ440" s="527"/>
      <c r="HA440" s="527"/>
      <c r="HB440" s="420"/>
      <c r="HC440" s="476" t="str">
        <f>IF(Table1[[#This Row],[Flushing Actual
(tanggal)]]&lt;&gt;"","Sudah","Belum")</f>
        <v>Belum</v>
      </c>
      <c r="HD440" s="331">
        <v>46225</v>
      </c>
      <c r="HE440" s="331">
        <v>46224</v>
      </c>
      <c r="HF440" s="331">
        <v>46230</v>
      </c>
      <c r="HG440" s="477"/>
      <c r="HH440"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40" s="527"/>
      <c r="HJ440" s="527"/>
      <c r="HK440" s="420"/>
      <c r="HL440" s="334"/>
      <c r="HM440" s="331">
        <v>46247</v>
      </c>
      <c r="HN440" s="331">
        <v>46247</v>
      </c>
      <c r="HO440" s="527">
        <v>46241</v>
      </c>
      <c r="HP440" s="420"/>
      <c r="HQ440"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OnSchedule</v>
      </c>
      <c r="HR440" s="331">
        <v>46255</v>
      </c>
      <c r="HS440" s="331"/>
      <c r="HT440" s="331">
        <v>46255</v>
      </c>
      <c r="HU440" s="420"/>
      <c r="HV440" s="420"/>
      <c r="HW440"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X440" s="47"/>
      <c r="HY440" s="477"/>
      <c r="HZ440" s="477"/>
      <c r="IB440" s="618">
        <f>IFERROR(ROUND((Table1[[#This Row],[PLAN TC
finish]]-Table1[[#This Row],[PLAN MC-0
start]])/30,2),"")</f>
        <v>1.4</v>
      </c>
      <c r="IC440">
        <f>DATEDIF(Table1[[#This Row],[PLAN MC-0
start]],Table1[[#This Row],[PLAN TC
finish]],"m")</f>
        <v>1</v>
      </c>
    </row>
    <row r="441" spans="2:261" customFormat="1" ht="15" hidden="1" customHeight="1" x14ac:dyDescent="0.2">
      <c r="B441" s="311">
        <f>SUBTOTAL(3,$D$5:D441)</f>
        <v>84</v>
      </c>
      <c r="C441" s="316">
        <v>435</v>
      </c>
      <c r="D441" s="460" t="s">
        <v>244</v>
      </c>
      <c r="E441" s="461" t="s">
        <v>3446</v>
      </c>
      <c r="F441" s="461" t="s">
        <v>3447</v>
      </c>
      <c r="G441" s="349">
        <v>46482</v>
      </c>
      <c r="H441" s="461" t="s">
        <v>247</v>
      </c>
      <c r="I441" s="461"/>
      <c r="J441" s="518"/>
      <c r="K441" s="461"/>
      <c r="L441" s="334"/>
      <c r="M441" s="479"/>
      <c r="N441" s="559">
        <v>21120</v>
      </c>
      <c r="O441" s="464" t="s">
        <v>252</v>
      </c>
      <c r="P441"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1" s="475"/>
      <c r="S441" s="560"/>
      <c r="T441" s="560">
        <f>Table1[[#This Row],[Progres Total Aktual
(%)]]</f>
        <v>0</v>
      </c>
      <c r="U441" s="561">
        <f>Table1[[#This Row],[Progres Aktual
(%)]]-Table1[[#This Row],[Target Progres
(%)]]</f>
        <v>0</v>
      </c>
      <c r="V441" s="562">
        <f>Table1[[#This Row],["Volume
BA MC-0"]]</f>
        <v>0</v>
      </c>
      <c r="W441" s="562">
        <f>Table1[[#This Row],[Total Panjang Pipa Aktual
(Sum-&gt;)3]]</f>
        <v>0</v>
      </c>
      <c r="X441" s="120"/>
      <c r="Y441" s="294"/>
      <c r="Z441" s="525"/>
      <c r="AA441" s="525">
        <f>ROUND((Table1[[#This Row],[Nilai RAB Jaringan
(Exclude Ppn)]]-Table1[[#This Row],[RAB Perizinan]])*1.11+Table1[[#This Row],[RAB Perizinan]],0)</f>
        <v>0</v>
      </c>
      <c r="AB441" s="465">
        <f>SUM(Table1[[#This Row],[RAB Kegiatan Umum]:[RAB Perizinan]])</f>
        <v>0</v>
      </c>
      <c r="AC441" s="465"/>
      <c r="AD441" s="465"/>
      <c r="AE441" s="465"/>
      <c r="AF441" s="465"/>
      <c r="AG441" s="465"/>
      <c r="AH441" s="563" t="e">
        <f>SUM(Table1[[#This Row],[Bobot Keg Umum]:[Bobot Perizinan]])</f>
        <v>#DIV/0!</v>
      </c>
      <c r="AI441" s="563" t="e">
        <f>Table1[[#This Row],[RAB Kegiatan Umum]]/Table1[[#This Row],[Nilai RAB Jaringan
(Exclude Ppn)]]</f>
        <v>#DIV/0!</v>
      </c>
      <c r="AJ441" s="563" t="e">
        <f>Table1[[#This Row],[RAB Pemasangan]]/Table1[[#This Row],[Nilai RAB Jaringan
(Exclude Ppn)]]</f>
        <v>#DIV/0!</v>
      </c>
      <c r="AK441" s="563" t="e">
        <f>Table1[[#This Row],[RAB Pengadaan]]/Table1[[#This Row],[Nilai RAB Jaringan
(Exclude Ppn)]]</f>
        <v>#DIV/0!</v>
      </c>
      <c r="AL441" s="475" t="e">
        <f>Table1[[#This Row],[RAB Perizinan]]/Table1[[#This Row],[Nilai RAB Jaringan
(Exclude Ppn)]]</f>
        <v>#DIV/0!</v>
      </c>
      <c r="AM441" s="47"/>
      <c r="AN441" s="470"/>
      <c r="AO441" s="470">
        <f>SUM(Table1[[#This Row],[Pipa 63 mm]:[Pipa 1,800 mm]])</f>
        <v>0</v>
      </c>
      <c r="AP441" s="470"/>
      <c r="AQ441" s="470"/>
      <c r="AR441" s="470"/>
      <c r="AS441" s="470"/>
      <c r="AT441" s="470"/>
      <c r="AU441" s="470"/>
      <c r="AV441" s="470"/>
      <c r="AW441" s="470"/>
      <c r="AX441" s="470"/>
      <c r="AY441" s="470"/>
      <c r="AZ441" s="470"/>
      <c r="BA441" s="470"/>
      <c r="BB441" s="470"/>
      <c r="BC441" s="470"/>
      <c r="BD441" s="470"/>
      <c r="BE441" s="470"/>
      <c r="BF441" s="470"/>
      <c r="BG441" s="470"/>
      <c r="BH441" s="470"/>
      <c r="BI441" s="470"/>
      <c r="BJ441" s="523">
        <f>SUM(Table1[[#This Row],[Pipa 63 mm2]:[Pipa 1,800 mm21]])</f>
        <v>0</v>
      </c>
      <c r="BK441" s="471"/>
      <c r="BL441" s="471"/>
      <c r="BM441" s="471"/>
      <c r="BN441" s="471"/>
      <c r="BO441" s="471"/>
      <c r="BP441" s="471"/>
      <c r="BQ441" s="471"/>
      <c r="BR441" s="471"/>
      <c r="BS441" s="471"/>
      <c r="BT441" s="471"/>
      <c r="BU441" s="471"/>
      <c r="BV441" s="471"/>
      <c r="BW441" s="471"/>
      <c r="BX441" s="471"/>
      <c r="BY441" s="471"/>
      <c r="BZ441" s="471"/>
      <c r="CA441" s="471"/>
      <c r="CB441" s="471"/>
      <c r="CC441" s="471"/>
      <c r="CD441" s="471"/>
      <c r="CE441" s="471"/>
      <c r="CF441" s="471"/>
      <c r="CG441" s="471"/>
      <c r="CH441" s="471"/>
      <c r="CI441" s="471"/>
      <c r="CJ441" s="471">
        <f>IF((Table1[[#This Row],["Volume
BA MC-0"]]-Table1[[#This Row],[Total Panjang Pipa Aktual
(Sum-&gt;)3]]-Table1[[#This Row],[Total Volume
tidak dapat dipasang]])&gt;=0,Table1[[#This Row],["Volume
BA MC-0"]]-Table1[[#This Row],[Total Panjang Pipa Aktual
(Sum-&gt;)3]]-Table1[[#This Row],[Total Volume
tidak dapat dipasang]],0)</f>
        <v>0</v>
      </c>
      <c r="CK441" s="47"/>
      <c r="CL441" s="472"/>
      <c r="CM441" s="475"/>
      <c r="CN441" s="472"/>
      <c r="CO441" s="472"/>
      <c r="CP441" s="334"/>
      <c r="CQ441" s="465">
        <f>IFERROR(Table1[[#This Row],[Progres Keg. Umum
(%)]]*Table1[[#This Row],[Nilai RAB Jaringan
(file pa aji)]],0)</f>
        <v>0</v>
      </c>
      <c r="CR441" s="465">
        <f>IFERROR(Table1[[#This Row],[Progres MOS
(%)]]*Table1[[#This Row],[Nilai RAB Jaringan
(file pa aji)]],0)</f>
        <v>0</v>
      </c>
      <c r="CS441" s="465">
        <f>IFERROR(Table1[[#This Row],[Progres Pemasangan
(%)]]*Table1[[#This Row],[Nilai RAB Jaringan
(file pa aji)]],0)</f>
        <v>0</v>
      </c>
      <c r="CT441" s="465">
        <f>IFERROR(Table1[[#This Row],[Progres Perizinan
(%)]]*Table1[[#This Row],[Nilai RAB Jaringan
(file pa aji)]],0)</f>
        <v>0</v>
      </c>
      <c r="CU441" s="329"/>
      <c r="CV441" s="567"/>
      <c r="CW441" s="524"/>
      <c r="CX441" s="329"/>
      <c r="CY441" s="47"/>
      <c r="CZ441" s="420"/>
      <c r="DA441" s="420"/>
      <c r="DB441" s="420"/>
      <c r="DC441" s="334"/>
      <c r="DD441" s="525"/>
      <c r="DE44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1" s="420"/>
      <c r="DG441" s="334"/>
      <c r="DH441" s="525"/>
      <c r="DI441"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1" s="420"/>
      <c r="DK441" s="420"/>
      <c r="DL441" s="420"/>
      <c r="DM441" s="334"/>
      <c r="DN441"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1" s="420"/>
      <c r="DP441" s="334"/>
      <c r="DQ441" s="461"/>
      <c r="DR441"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1" s="420"/>
      <c r="DT441" s="420" t="e">
        <v>#N/A</v>
      </c>
      <c r="DU441" s="420"/>
      <c r="DV441" s="420" t="e">
        <v>#N/A</v>
      </c>
      <c r="DW441" s="420"/>
      <c r="DX441" s="334"/>
      <c r="DY441" s="334">
        <v>17</v>
      </c>
      <c r="DZ441" s="334"/>
      <c r="EA441"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1" s="420"/>
      <c r="EC441" s="335"/>
      <c r="ED441" s="335"/>
      <c r="EE441" s="527"/>
      <c r="EF441" s="475"/>
      <c r="EG441" s="475"/>
      <c r="EH441" s="334" t="str">
        <f>IF(Table1[[#This Row],[PO Material Aktual 
(%)]]&gt;=100%,"Selesai PO = 100%",IF(Table1[[#This Row],[PO Material Aktual 
(%)]]&gt;=50%,"Proses PO &gt; 100%",IF(Table1[[#This Row],[PO Material Aktual 
(%)]]&gt;0%,"Proses PO &gt; 50%",IF(Table1[[#This Row],[PO Material Aktual 
(%)]]=0,"Belum PO = 0%"))))</f>
        <v>Belum PO = 0%</v>
      </c>
      <c r="EI441" s="33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1" s="420"/>
      <c r="EK441" s="420" t="e">
        <v>#N/A</v>
      </c>
      <c r="EL441" s="420"/>
      <c r="EM441" s="420" t="e">
        <v>#N/A</v>
      </c>
      <c r="EN441" s="420"/>
      <c r="EO441" s="334"/>
      <c r="EP441" s="335"/>
      <c r="EQ441" s="475"/>
      <c r="ER441" s="475"/>
      <c r="ES441" s="334" t="str">
        <f>IF(Table1[[#This Row],[Progres MOS]]&gt;=100%,"Selesai MOS = 100%",IF(Table1[[#This Row],[Progres MOS]]&gt;=50%,"Proses MOS &gt; 100%",IF(Table1[[#This Row],[Progres MOS]]&gt;0%,"Proses MOS &gt; 50%",IF(Table1[[#This Row],[Progres MOS]]=0,"Belum MOS = 0%"))))</f>
        <v>Belum MOS = 0%</v>
      </c>
      <c r="ET44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1" s="47"/>
      <c r="EV441" s="420"/>
      <c r="EW441" s="420" t="e">
        <v>#N/A</v>
      </c>
      <c r="EX441" s="420"/>
      <c r="EY441" s="420" t="e">
        <v>#N/A</v>
      </c>
      <c r="EZ441" s="477"/>
      <c r="FA441" s="384"/>
      <c r="FB441" s="420" t="e">
        <v>#N/A</v>
      </c>
      <c r="FC441" s="420" t="e">
        <v>#N/A</v>
      </c>
      <c r="FD441" s="420" t="e">
        <v>#N/A</v>
      </c>
      <c r="FE441" s="420" t="e">
        <v>#N/A</v>
      </c>
      <c r="FF441" s="420" t="e">
        <v>#N/A</v>
      </c>
      <c r="FG441" s="420" t="e">
        <v>#N/A</v>
      </c>
      <c r="FH441" s="420" t="e">
        <v>#N/A</v>
      </c>
      <c r="FI441" s="420" t="e">
        <v>#N/A</v>
      </c>
      <c r="FJ441" s="420" t="e">
        <v>#N/A</v>
      </c>
      <c r="FK441" s="420" t="e">
        <v>#N/A</v>
      </c>
      <c r="FL441" s="477"/>
      <c r="FM441" s="477"/>
      <c r="FN441" s="461" t="str">
        <f>IF(Table1[[#This Row],[Tanggal Pengajuan Dokumen]]="","",Table1[[#This Row],[PLAN PERMIT
start]]-Table1[[#This Row],[Tanggal Pengajuan Dokumen]])</f>
        <v/>
      </c>
      <c r="FO441" s="477"/>
      <c r="FP441" s="334"/>
      <c r="FQ441" s="461"/>
      <c r="FR441" s="477"/>
      <c r="FS441" s="461"/>
      <c r="FT441"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1" s="476">
        <f ca="1">IF(Table1[[#This Row],[Status Izin]]="Selesai",Table1[[#This Row],[PLAN PERMIT
finish]]-Table1[[#This Row],[Tanggal Terbit/ Target Izin Terbit]],ROUNDUP(Table1[[#This Row],[PLAN PERMIT
finish]]-NOW(),0))</f>
        <v>-46191</v>
      </c>
      <c r="FV441"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1" s="476"/>
      <c r="FX441" s="47"/>
      <c r="FY441" s="564"/>
      <c r="FZ441" s="565"/>
      <c r="GA441" s="56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1" s="420"/>
      <c r="GC441" s="477"/>
      <c r="GD441"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1" s="420"/>
      <c r="GF441" s="477"/>
      <c r="GG441"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1" s="420"/>
      <c r="GI441" s="420"/>
      <c r="GJ441" s="477"/>
      <c r="GK441"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1" s="420"/>
      <c r="GM441" s="420" t="e">
        <v>#N/A</v>
      </c>
      <c r="GN441" s="420"/>
      <c r="GO441" s="527" t="e">
        <v>#N/A</v>
      </c>
      <c r="GP441" s="334"/>
      <c r="GQ441"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1" s="420"/>
      <c r="GS441" s="420"/>
      <c r="GT441" s="419"/>
      <c r="GU441" s="476" t="str">
        <f>IF(Table1[[#This Row],[Hydro Tes Actual
(tanggal)]]&lt;&gt;"","Sudah","Belum")</f>
        <v>Belum</v>
      </c>
      <c r="GV441" s="527"/>
      <c r="GW441" s="527"/>
      <c r="GX441" s="420"/>
      <c r="GY441" s="476" t="str">
        <f>IF(Table1[[#This Row],[Interkoneksi Actual
(tanggal)]]&lt;&gt;"","Sudah","Belum")</f>
        <v>Belum</v>
      </c>
      <c r="GZ441" s="527"/>
      <c r="HA441" s="527"/>
      <c r="HB441" s="420"/>
      <c r="HC441" s="476" t="str">
        <f>IF(Table1[[#This Row],[Flushing Actual
(tanggal)]]&lt;&gt;"","Sudah","Belum")</f>
        <v>Belum</v>
      </c>
      <c r="HD441" s="420"/>
      <c r="HE441" s="420" t="e">
        <v>#N/A</v>
      </c>
      <c r="HF441" s="420"/>
      <c r="HG441" s="477"/>
      <c r="HH441"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1" s="527"/>
      <c r="HJ441" s="527"/>
      <c r="HK441" s="420"/>
      <c r="HL441" s="334"/>
      <c r="HM441" s="420"/>
      <c r="HN441" s="420"/>
      <c r="HO441" s="527" t="e">
        <v>#N/A</v>
      </c>
      <c r="HP441" s="420"/>
      <c r="HQ441"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41" s="477"/>
      <c r="HS441" s="477"/>
      <c r="HT441" s="477"/>
      <c r="HU441" s="477"/>
      <c r="HV441" s="420"/>
      <c r="HW441"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41" s="47"/>
      <c r="HY441" s="477"/>
      <c r="HZ441" s="477"/>
      <c r="IB441" s="618">
        <f>IFERROR(ROUND((Table1[[#This Row],[PLAN TC
finish]]-Table1[[#This Row],[PLAN MC-0
start]])/30,2),"")</f>
        <v>0</v>
      </c>
      <c r="IC441">
        <f>DATEDIF(Table1[[#This Row],[PLAN MC-0
start]],Table1[[#This Row],[PLAN TC
finish]],"m")</f>
        <v>0</v>
      </c>
    </row>
    <row r="442" spans="2:261" ht="15" hidden="1" customHeight="1" x14ac:dyDescent="0.2">
      <c r="B442" s="311">
        <f>SUBTOTAL(3,$D$5:D442)</f>
        <v>84</v>
      </c>
      <c r="C442" s="316">
        <v>436</v>
      </c>
      <c r="D442" s="460" t="s">
        <v>244</v>
      </c>
      <c r="E442" s="316" t="s">
        <v>3448</v>
      </c>
      <c r="F442" s="461" t="s">
        <v>3449</v>
      </c>
      <c r="G442" s="349">
        <v>46482</v>
      </c>
      <c r="H442" s="461" t="s">
        <v>247</v>
      </c>
      <c r="I442" s="338"/>
      <c r="J442" s="480"/>
      <c r="K442" s="338"/>
      <c r="L442" s="316"/>
      <c r="M442" s="355"/>
      <c r="N442" s="559">
        <v>10631</v>
      </c>
      <c r="O442" s="464" t="s">
        <v>252</v>
      </c>
      <c r="P44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2" s="337"/>
      <c r="S442" s="327"/>
      <c r="T442" s="327">
        <f>Table1[[#This Row],[Progres Total Aktual
(%)]]</f>
        <v>0</v>
      </c>
      <c r="U442" s="568">
        <f>Table1[[#This Row],[Progres Aktual
(%)]]-Table1[[#This Row],[Target Progres
(%)]]</f>
        <v>0</v>
      </c>
      <c r="V442" s="569">
        <f>Table1[[#This Row],["Volume
BA MC-0"]]</f>
        <v>0</v>
      </c>
      <c r="W442" s="569">
        <f>Table1[[#This Row],[Total Panjang Pipa Aktual
(Sum-&gt;)3]]</f>
        <v>0</v>
      </c>
      <c r="X442" s="117"/>
      <c r="Y442" s="295"/>
      <c r="Z442" s="508"/>
      <c r="AA442" s="508">
        <f>ROUND((Table1[[#This Row],[Nilai RAB Jaringan
(Exclude Ppn)]]-Table1[[#This Row],[RAB Perizinan]])*1.11+Table1[[#This Row],[RAB Perizinan]],0)</f>
        <v>0</v>
      </c>
      <c r="AB442" s="436">
        <f>SUM(Table1[[#This Row],[RAB Kegiatan Umum]:[RAB Perizinan]])</f>
        <v>0</v>
      </c>
      <c r="AC442" s="436"/>
      <c r="AD442" s="436"/>
      <c r="AE442" s="436"/>
      <c r="AF442" s="436"/>
      <c r="AG442" s="436"/>
      <c r="AH442" s="570" t="e">
        <f>SUM(Table1[[#This Row],[Bobot Keg Umum]:[Bobot Perizinan]])</f>
        <v>#DIV/0!</v>
      </c>
      <c r="AI442" s="570" t="e">
        <f>Table1[[#This Row],[RAB Kegiatan Umum]]/Table1[[#This Row],[Nilai RAB Jaringan
(Exclude Ppn)]]</f>
        <v>#DIV/0!</v>
      </c>
      <c r="AJ442" s="570" t="e">
        <f>Table1[[#This Row],[RAB Pemasangan]]/Table1[[#This Row],[Nilai RAB Jaringan
(Exclude Ppn)]]</f>
        <v>#DIV/0!</v>
      </c>
      <c r="AK442" s="570" t="e">
        <f>Table1[[#This Row],[RAB Pengadaan]]/Table1[[#This Row],[Nilai RAB Jaringan
(Exclude Ppn)]]</f>
        <v>#DIV/0!</v>
      </c>
      <c r="AL442" s="337" t="e">
        <f>Table1[[#This Row],[RAB Perizinan]]/Table1[[#This Row],[Nilai RAB Jaringan
(Exclude Ppn)]]</f>
        <v>#DIV/0!</v>
      </c>
      <c r="AM442" s="47"/>
      <c r="AN442" s="285"/>
      <c r="AO442" s="285">
        <f>SUM(Table1[[#This Row],[Pipa 63 mm]:[Pipa 1,800 mm]])</f>
        <v>0</v>
      </c>
      <c r="AP442" s="285"/>
      <c r="AQ442" s="285"/>
      <c r="AR442" s="285"/>
      <c r="AS442" s="285"/>
      <c r="AT442" s="285"/>
      <c r="AU442" s="285"/>
      <c r="AV442" s="285"/>
      <c r="AW442" s="285"/>
      <c r="AX442" s="285"/>
      <c r="AY442" s="285"/>
      <c r="AZ442" s="285"/>
      <c r="BA442" s="285"/>
      <c r="BB442" s="285"/>
      <c r="BC442" s="285"/>
      <c r="BD442" s="285"/>
      <c r="BE442" s="285"/>
      <c r="BF442" s="285"/>
      <c r="BG442" s="285"/>
      <c r="BH442" s="285"/>
      <c r="BI442" s="285"/>
      <c r="BJ442" s="36">
        <f>SUM(Table1[[#This Row],[Pipa 63 mm2]:[Pipa 1,800 mm21]])</f>
        <v>0</v>
      </c>
      <c r="BK442" s="32"/>
      <c r="BL442" s="32"/>
      <c r="BM442" s="32"/>
      <c r="BN442" s="32"/>
      <c r="BO442" s="32"/>
      <c r="BP442" s="32"/>
      <c r="BQ442" s="32"/>
      <c r="BR442" s="32"/>
      <c r="BS442" s="32"/>
      <c r="BT442" s="32"/>
      <c r="BU442" s="32"/>
      <c r="BV442" s="32"/>
      <c r="BW442" s="32"/>
      <c r="BX442" s="32"/>
      <c r="BY442" s="32"/>
      <c r="BZ442" s="32"/>
      <c r="CA442" s="32"/>
      <c r="CB442" s="32"/>
      <c r="CC442" s="32"/>
      <c r="CD442" s="32"/>
      <c r="CE442" s="32"/>
      <c r="CF442" s="32"/>
      <c r="CG442" s="32"/>
      <c r="CH442" s="32"/>
      <c r="CI442" s="32"/>
      <c r="CJ442" s="32">
        <f>IF((Table1[[#This Row],["Volume
BA MC-0"]]-Table1[[#This Row],[Total Panjang Pipa Aktual
(Sum-&gt;)3]]-Table1[[#This Row],[Total Volume
tidak dapat dipasang]])&gt;=0,Table1[[#This Row],["Volume
BA MC-0"]]-Table1[[#This Row],[Total Panjang Pipa Aktual
(Sum-&gt;)3]]-Table1[[#This Row],[Total Volume
tidak dapat dipasang]],0)</f>
        <v>0</v>
      </c>
      <c r="CK442" s="47"/>
      <c r="CL442" s="131"/>
      <c r="CM442" s="337"/>
      <c r="CN442" s="131"/>
      <c r="CO442" s="131"/>
      <c r="CP442" s="316"/>
      <c r="CQ442" s="436">
        <f>IFERROR(Table1[[#This Row],[Progres Keg. Umum
(%)]]*Table1[[#This Row],[Nilai RAB Jaringan
(file pa aji)]],0)</f>
        <v>0</v>
      </c>
      <c r="CR442" s="436">
        <f>IFERROR(Table1[[#This Row],[Progres MOS
(%)]]*Table1[[#This Row],[Nilai RAB Jaringan
(file pa aji)]],0)</f>
        <v>0</v>
      </c>
      <c r="CS442" s="436">
        <f>IFERROR(Table1[[#This Row],[Progres Pemasangan
(%)]]*Table1[[#This Row],[Nilai RAB Jaringan
(file pa aji)]],0)</f>
        <v>0</v>
      </c>
      <c r="CT442" s="436">
        <f>IFERROR(Table1[[#This Row],[Progres Perizinan
(%)]]*Table1[[#This Row],[Nilai RAB Jaringan
(file pa aji)]],0)</f>
        <v>0</v>
      </c>
      <c r="CU442" s="329"/>
      <c r="CV442" s="567"/>
      <c r="CW442" s="511"/>
      <c r="CX442" s="329"/>
      <c r="CY442" s="47"/>
      <c r="CZ442" s="331"/>
      <c r="DA442" s="331"/>
      <c r="DB442" s="331"/>
      <c r="DC442" s="316"/>
      <c r="DD442" s="508"/>
      <c r="DE44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2" s="331"/>
      <c r="DG442" s="316"/>
      <c r="DH442" s="508"/>
      <c r="DI44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2" s="331"/>
      <c r="DK442" s="331"/>
      <c r="DL442" s="331"/>
      <c r="DM442" s="316"/>
      <c r="DN442"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2" s="331"/>
      <c r="DP442" s="316"/>
      <c r="DQ442" s="338"/>
      <c r="DR442"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2" s="331"/>
      <c r="DT442" s="331" t="e">
        <v>#N/A</v>
      </c>
      <c r="DU442" s="331"/>
      <c r="DV442" s="331" t="e">
        <v>#N/A</v>
      </c>
      <c r="DW442" s="331"/>
      <c r="DX442" s="316"/>
      <c r="DY442" s="334"/>
      <c r="DZ442" s="334"/>
      <c r="EA442"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2" s="331"/>
      <c r="EC442" s="332"/>
      <c r="ED442" s="332"/>
      <c r="EE442" s="330"/>
      <c r="EF442" s="337"/>
      <c r="EG442" s="337"/>
      <c r="EH442" s="316" t="str">
        <f>IF(Table1[[#This Row],[PO Material Aktual 
(%)]]&gt;=100%,"Selesai PO = 100%",IF(Table1[[#This Row],[PO Material Aktual 
(%)]]&gt;=50%,"Proses PO &gt; 100%",IF(Table1[[#This Row],[PO Material Aktual 
(%)]]&gt;0%,"Proses PO &gt; 50%",IF(Table1[[#This Row],[PO Material Aktual 
(%)]]=0,"Belum PO = 0%"))))</f>
        <v>Belum PO = 0%</v>
      </c>
      <c r="EI44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2" s="331"/>
      <c r="EK442" s="331" t="e">
        <v>#N/A</v>
      </c>
      <c r="EL442" s="331"/>
      <c r="EM442" s="331" t="e">
        <v>#N/A</v>
      </c>
      <c r="EN442" s="331"/>
      <c r="EO442" s="316"/>
      <c r="EP442" s="335"/>
      <c r="EQ442" s="337"/>
      <c r="ER442" s="337"/>
      <c r="ES442" s="316" t="str">
        <f>IF(Table1[[#This Row],[Progres MOS]]&gt;=100%,"Selesai MOS = 100%",IF(Table1[[#This Row],[Progres MOS]]&gt;=50%,"Proses MOS &gt; 100%",IF(Table1[[#This Row],[Progres MOS]]&gt;0%,"Proses MOS &gt; 50%",IF(Table1[[#This Row],[Progres MOS]]=0,"Belum MOS = 0%"))))</f>
        <v>Belum MOS = 0%</v>
      </c>
      <c r="ET44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2" s="47"/>
      <c r="EV442" s="331"/>
      <c r="EW442" s="331" t="e">
        <v>#N/A</v>
      </c>
      <c r="EX442" s="331"/>
      <c r="EY442" s="331" t="e">
        <v>#N/A</v>
      </c>
      <c r="EZ442" s="352"/>
      <c r="FA442" s="384"/>
      <c r="FB442" s="331" t="e">
        <v>#N/A</v>
      </c>
      <c r="FC442" s="331" t="e">
        <v>#N/A</v>
      </c>
      <c r="FD442" s="331" t="e">
        <v>#N/A</v>
      </c>
      <c r="FE442" s="331" t="e">
        <v>#N/A</v>
      </c>
      <c r="FF442" s="331" t="e">
        <v>#N/A</v>
      </c>
      <c r="FG442" s="331" t="e">
        <v>#N/A</v>
      </c>
      <c r="FH442" s="331" t="e">
        <v>#N/A</v>
      </c>
      <c r="FI442" s="331" t="e">
        <v>#N/A</v>
      </c>
      <c r="FJ442" s="331" t="e">
        <v>#N/A</v>
      </c>
      <c r="FK442" s="331" t="e">
        <v>#N/A</v>
      </c>
      <c r="FL442" s="352"/>
      <c r="FM442" s="352"/>
      <c r="FN442" s="338" t="str">
        <f>IF(Table1[[#This Row],[Tanggal Pengajuan Dokumen]]="","",Table1[[#This Row],[PLAN PERMIT
start]]-Table1[[#This Row],[Tanggal Pengajuan Dokumen]])</f>
        <v/>
      </c>
      <c r="FO442" s="352"/>
      <c r="FP442" s="316"/>
      <c r="FQ442" s="338"/>
      <c r="FR442" s="352"/>
      <c r="FS442" s="338"/>
      <c r="FT44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2" s="344">
        <f ca="1">IF(Table1[[#This Row],[Status Izin]]="Selesai",Table1[[#This Row],[PLAN PERMIT
finish]]-Table1[[#This Row],[Tanggal Terbit/ Target Izin Terbit]],ROUNDUP(Table1[[#This Row],[PLAN PERMIT
finish]]-NOW(),0))</f>
        <v>-46191</v>
      </c>
      <c r="FV44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2" s="344"/>
      <c r="FX442" s="47"/>
      <c r="FY442" s="571"/>
      <c r="FZ442" s="572"/>
      <c r="GA442"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2" s="331"/>
      <c r="GC442" s="352"/>
      <c r="GD44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2" s="331"/>
      <c r="GF442" s="352"/>
      <c r="GG44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2" s="331"/>
      <c r="GI442" s="331"/>
      <c r="GJ442" s="352"/>
      <c r="GK44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2" s="331"/>
      <c r="GM442" s="331" t="e">
        <v>#N/A</v>
      </c>
      <c r="GN442" s="331"/>
      <c r="GO442" s="527" t="e">
        <v>#N/A</v>
      </c>
      <c r="GP442" s="316"/>
      <c r="GQ44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2" s="331"/>
      <c r="GS442" s="331"/>
      <c r="GT442" s="354"/>
      <c r="GU442" s="344" t="str">
        <f>IF(Table1[[#This Row],[Hydro Tes Actual
(tanggal)]]&lt;&gt;"","Sudah","Belum")</f>
        <v>Belum</v>
      </c>
      <c r="GV442" s="330"/>
      <c r="GW442" s="330"/>
      <c r="GX442" s="331"/>
      <c r="GY442" s="344" t="str">
        <f>IF(Table1[[#This Row],[Interkoneksi Actual
(tanggal)]]&lt;&gt;"","Sudah","Belum")</f>
        <v>Belum</v>
      </c>
      <c r="GZ442" s="330"/>
      <c r="HA442" s="330"/>
      <c r="HB442" s="331"/>
      <c r="HC442" s="344" t="str">
        <f>IF(Table1[[#This Row],[Flushing Actual
(tanggal)]]&lt;&gt;"","Sudah","Belum")</f>
        <v>Belum</v>
      </c>
      <c r="HD442" s="331"/>
      <c r="HE442" s="331" t="e">
        <v>#N/A</v>
      </c>
      <c r="HF442" s="331"/>
      <c r="HG442" s="352"/>
      <c r="HH44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2" s="330"/>
      <c r="HJ442" s="330"/>
      <c r="HK442" s="331"/>
      <c r="HL442" s="316"/>
      <c r="HM442" s="331"/>
      <c r="HN442" s="331"/>
      <c r="HO442" s="527" t="e">
        <v>#N/A</v>
      </c>
      <c r="HP442" s="331"/>
      <c r="HQ44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42" s="352"/>
      <c r="HS442" s="352"/>
      <c r="HT442" s="352"/>
      <c r="HU442" s="477"/>
      <c r="HV442" s="331"/>
      <c r="HW442"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42" s="47"/>
      <c r="HY442" s="352"/>
      <c r="HZ442" s="352"/>
      <c r="IA442"/>
      <c r="IB442" s="618">
        <f>IFERROR(ROUND((Table1[[#This Row],[PLAN TC
finish]]-Table1[[#This Row],[PLAN MC-0
start]])/30,2),"")</f>
        <v>0</v>
      </c>
      <c r="IC442">
        <f>DATEDIF(Table1[[#This Row],[PLAN MC-0
start]],Table1[[#This Row],[PLAN TC
finish]],"m")</f>
        <v>0</v>
      </c>
      <c r="ID442" s="8"/>
      <c r="IE442" s="8"/>
      <c r="IF442" s="4"/>
      <c r="IG442" s="6"/>
      <c r="IH442" s="72"/>
      <c r="II442" s="72"/>
      <c r="IJ442" s="8"/>
      <c r="IL442" s="6"/>
      <c r="IM442" s="6"/>
      <c r="IN442" s="72"/>
      <c r="IO442" s="8"/>
      <c r="IQ442" s="4"/>
      <c r="IR442" s="4"/>
      <c r="IS442" s="6"/>
      <c r="IT442" s="6"/>
      <c r="IW442" s="6"/>
      <c r="IX442" s="6"/>
      <c r="IZ442" s="6"/>
      <c r="JA442" s="6"/>
    </row>
    <row r="443" spans="2:261" ht="15" hidden="1" customHeight="1" x14ac:dyDescent="0.2">
      <c r="B443" s="311">
        <f>SUBTOTAL(3,$D$5:D443)</f>
        <v>84</v>
      </c>
      <c r="C443" s="316">
        <v>437</v>
      </c>
      <c r="D443" s="460" t="s">
        <v>244</v>
      </c>
      <c r="E443" s="316" t="s">
        <v>3450</v>
      </c>
      <c r="F443" s="461" t="s">
        <v>3451</v>
      </c>
      <c r="G443" s="349">
        <v>46482</v>
      </c>
      <c r="H443" s="461" t="s">
        <v>247</v>
      </c>
      <c r="I443" s="338"/>
      <c r="J443" s="480"/>
      <c r="K443" s="338"/>
      <c r="L443" s="316"/>
      <c r="M443" s="355"/>
      <c r="N443" s="559">
        <v>33168</v>
      </c>
      <c r="O443" s="464" t="s">
        <v>252</v>
      </c>
      <c r="P44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3" s="337"/>
      <c r="S443" s="327"/>
      <c r="T443" s="327">
        <f>Table1[[#This Row],[Progres Total Aktual
(%)]]</f>
        <v>0</v>
      </c>
      <c r="U443" s="568">
        <f>Table1[[#This Row],[Progres Aktual
(%)]]-Table1[[#This Row],[Target Progres
(%)]]</f>
        <v>0</v>
      </c>
      <c r="V443" s="569">
        <f>Table1[[#This Row],["Volume
BA MC-0"]]</f>
        <v>0</v>
      </c>
      <c r="W443" s="569">
        <f>Table1[[#This Row],[Total Panjang Pipa Aktual
(Sum-&gt;)3]]</f>
        <v>0</v>
      </c>
      <c r="X443" s="117"/>
      <c r="Y443" s="295"/>
      <c r="Z443" s="508"/>
      <c r="AA443" s="508">
        <f>ROUND((Table1[[#This Row],[Nilai RAB Jaringan
(Exclude Ppn)]]-Table1[[#This Row],[RAB Perizinan]])*1.11+Table1[[#This Row],[RAB Perizinan]],0)</f>
        <v>0</v>
      </c>
      <c r="AB443" s="436">
        <f>SUM(Table1[[#This Row],[RAB Kegiatan Umum]:[RAB Perizinan]])</f>
        <v>0</v>
      </c>
      <c r="AC443" s="436"/>
      <c r="AD443" s="436"/>
      <c r="AE443" s="436"/>
      <c r="AF443" s="436"/>
      <c r="AG443" s="436"/>
      <c r="AH443" s="570" t="e">
        <f>SUM(Table1[[#This Row],[Bobot Keg Umum]:[Bobot Perizinan]])</f>
        <v>#DIV/0!</v>
      </c>
      <c r="AI443" s="570" t="e">
        <f>Table1[[#This Row],[RAB Kegiatan Umum]]/Table1[[#This Row],[Nilai RAB Jaringan
(Exclude Ppn)]]</f>
        <v>#DIV/0!</v>
      </c>
      <c r="AJ443" s="570" t="e">
        <f>Table1[[#This Row],[RAB Pemasangan]]/Table1[[#This Row],[Nilai RAB Jaringan
(Exclude Ppn)]]</f>
        <v>#DIV/0!</v>
      </c>
      <c r="AK443" s="570" t="e">
        <f>Table1[[#This Row],[RAB Pengadaan]]/Table1[[#This Row],[Nilai RAB Jaringan
(Exclude Ppn)]]</f>
        <v>#DIV/0!</v>
      </c>
      <c r="AL443" s="337" t="e">
        <f>Table1[[#This Row],[RAB Perizinan]]/Table1[[#This Row],[Nilai RAB Jaringan
(Exclude Ppn)]]</f>
        <v>#DIV/0!</v>
      </c>
      <c r="AM443" s="47"/>
      <c r="AN443" s="285"/>
      <c r="AO443" s="285">
        <f>SUM(Table1[[#This Row],[Pipa 63 mm]:[Pipa 1,800 mm]])</f>
        <v>0</v>
      </c>
      <c r="AP443" s="285"/>
      <c r="AQ443" s="285"/>
      <c r="AR443" s="285"/>
      <c r="AS443" s="285"/>
      <c r="AT443" s="285"/>
      <c r="AU443" s="285"/>
      <c r="AV443" s="285"/>
      <c r="AW443" s="285"/>
      <c r="AX443" s="285"/>
      <c r="AY443" s="285"/>
      <c r="AZ443" s="285"/>
      <c r="BA443" s="285"/>
      <c r="BB443" s="285"/>
      <c r="BC443" s="285"/>
      <c r="BD443" s="285"/>
      <c r="BE443" s="285"/>
      <c r="BF443" s="285"/>
      <c r="BG443" s="285"/>
      <c r="BH443" s="285"/>
      <c r="BI443" s="285"/>
      <c r="BJ443" s="36">
        <f>SUM(Table1[[#This Row],[Pipa 63 mm2]:[Pipa 1,800 mm21]])</f>
        <v>0</v>
      </c>
      <c r="BK443" s="32"/>
      <c r="BL443" s="32"/>
      <c r="BM443" s="32"/>
      <c r="BN443" s="32"/>
      <c r="BO443" s="32"/>
      <c r="BP443" s="32"/>
      <c r="BQ443" s="32"/>
      <c r="BR443" s="32"/>
      <c r="BS443" s="32"/>
      <c r="BT443" s="32"/>
      <c r="BU443" s="32"/>
      <c r="BV443" s="32"/>
      <c r="BW443" s="32"/>
      <c r="BX443" s="32"/>
      <c r="BY443" s="32"/>
      <c r="BZ443" s="32"/>
      <c r="CA443" s="32"/>
      <c r="CB443" s="32"/>
      <c r="CC443" s="32"/>
      <c r="CD443" s="32"/>
      <c r="CE443" s="32"/>
      <c r="CF443" s="32"/>
      <c r="CG443" s="32"/>
      <c r="CH443" s="32"/>
      <c r="CI443" s="32"/>
      <c r="CJ443" s="32">
        <f>IF((Table1[[#This Row],["Volume
BA MC-0"]]-Table1[[#This Row],[Total Panjang Pipa Aktual
(Sum-&gt;)3]]-Table1[[#This Row],[Total Volume
tidak dapat dipasang]])&gt;=0,Table1[[#This Row],["Volume
BA MC-0"]]-Table1[[#This Row],[Total Panjang Pipa Aktual
(Sum-&gt;)3]]-Table1[[#This Row],[Total Volume
tidak dapat dipasang]],0)</f>
        <v>0</v>
      </c>
      <c r="CK443" s="47"/>
      <c r="CL443" s="131"/>
      <c r="CM443" s="337"/>
      <c r="CN443" s="131"/>
      <c r="CO443" s="131"/>
      <c r="CP443" s="316"/>
      <c r="CQ443" s="436">
        <f>IFERROR(Table1[[#This Row],[Progres Keg. Umum
(%)]]*Table1[[#This Row],[Nilai RAB Jaringan
(file pa aji)]],0)</f>
        <v>0</v>
      </c>
      <c r="CR443" s="436">
        <f>IFERROR(Table1[[#This Row],[Progres MOS
(%)]]*Table1[[#This Row],[Nilai RAB Jaringan
(file pa aji)]],0)</f>
        <v>0</v>
      </c>
      <c r="CS443" s="436">
        <f>IFERROR(Table1[[#This Row],[Progres Pemasangan
(%)]]*Table1[[#This Row],[Nilai RAB Jaringan
(file pa aji)]],0)</f>
        <v>0</v>
      </c>
      <c r="CT443" s="436">
        <f>IFERROR(Table1[[#This Row],[Progres Perizinan
(%)]]*Table1[[#This Row],[Nilai RAB Jaringan
(file pa aji)]],0)</f>
        <v>0</v>
      </c>
      <c r="CU443" s="329"/>
      <c r="CV443" s="558"/>
      <c r="CW443" s="511"/>
      <c r="CX443" s="329"/>
      <c r="CY443" s="47"/>
      <c r="CZ443" s="331"/>
      <c r="DA443" s="331"/>
      <c r="DB443" s="331"/>
      <c r="DC443" s="316"/>
      <c r="DD443" s="508"/>
      <c r="DE44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3" s="331"/>
      <c r="DG443" s="316"/>
      <c r="DH443" s="508"/>
      <c r="DI44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3" s="331"/>
      <c r="DK443" s="331"/>
      <c r="DL443" s="331"/>
      <c r="DM443" s="316"/>
      <c r="DN443"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3" s="331"/>
      <c r="DP443" s="316"/>
      <c r="DQ443" s="338"/>
      <c r="DR443"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3" s="331"/>
      <c r="DT443" s="331" t="e">
        <v>#N/A</v>
      </c>
      <c r="DU443" s="331"/>
      <c r="DV443" s="331" t="e">
        <v>#N/A</v>
      </c>
      <c r="DW443" s="331"/>
      <c r="DX443" s="316"/>
      <c r="DY443" s="335"/>
      <c r="DZ443" s="335"/>
      <c r="EA443"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3" s="331"/>
      <c r="EC443" s="332"/>
      <c r="ED443" s="332"/>
      <c r="EE443" s="330"/>
      <c r="EF443" s="337"/>
      <c r="EG443" s="337"/>
      <c r="EH443" s="316" t="str">
        <f>IF(Table1[[#This Row],[PO Material Aktual 
(%)]]&gt;=100%,"Selesai PO = 100%",IF(Table1[[#This Row],[PO Material Aktual 
(%)]]&gt;=50%,"Proses PO &gt; 100%",IF(Table1[[#This Row],[PO Material Aktual 
(%)]]&gt;0%,"Proses PO &gt; 50%",IF(Table1[[#This Row],[PO Material Aktual 
(%)]]=0,"Belum PO = 0%"))))</f>
        <v>Belum PO = 0%</v>
      </c>
      <c r="EI44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3" s="331"/>
      <c r="EK443" s="331" t="e">
        <v>#N/A</v>
      </c>
      <c r="EL443" s="331"/>
      <c r="EM443" s="331" t="e">
        <v>#N/A</v>
      </c>
      <c r="EN443" s="331"/>
      <c r="EO443" s="316"/>
      <c r="EP443" s="332"/>
      <c r="EQ443" s="337"/>
      <c r="ER443" s="337"/>
      <c r="ES443" s="316" t="str">
        <f>IF(Table1[[#This Row],[Progres MOS]]&gt;=100%,"Selesai MOS = 100%",IF(Table1[[#This Row],[Progres MOS]]&gt;=50%,"Proses MOS &gt; 100%",IF(Table1[[#This Row],[Progres MOS]]&gt;0%,"Proses MOS &gt; 50%",IF(Table1[[#This Row],[Progres MOS]]=0,"Belum MOS = 0%"))))</f>
        <v>Belum MOS = 0%</v>
      </c>
      <c r="ET44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3" s="47"/>
      <c r="EV443" s="331"/>
      <c r="EW443" s="331" t="e">
        <v>#N/A</v>
      </c>
      <c r="EX443" s="331"/>
      <c r="EY443" s="331" t="e">
        <v>#N/A</v>
      </c>
      <c r="EZ443" s="352"/>
      <c r="FA443" s="384"/>
      <c r="FB443" s="331" t="e">
        <v>#N/A</v>
      </c>
      <c r="FC443" s="331" t="e">
        <v>#N/A</v>
      </c>
      <c r="FD443" s="331" t="e">
        <v>#N/A</v>
      </c>
      <c r="FE443" s="331" t="e">
        <v>#N/A</v>
      </c>
      <c r="FF443" s="331" t="e">
        <v>#N/A</v>
      </c>
      <c r="FG443" s="331" t="e">
        <v>#N/A</v>
      </c>
      <c r="FH443" s="331" t="e">
        <v>#N/A</v>
      </c>
      <c r="FI443" s="331" t="e">
        <v>#N/A</v>
      </c>
      <c r="FJ443" s="331" t="e">
        <v>#N/A</v>
      </c>
      <c r="FK443" s="331" t="e">
        <v>#N/A</v>
      </c>
      <c r="FL443" s="352"/>
      <c r="FM443" s="352"/>
      <c r="FN443" s="338" t="str">
        <f>IF(Table1[[#This Row],[Tanggal Pengajuan Dokumen]]="","",Table1[[#This Row],[PLAN PERMIT
start]]-Table1[[#This Row],[Tanggal Pengajuan Dokumen]])</f>
        <v/>
      </c>
      <c r="FO443" s="352"/>
      <c r="FP443" s="316"/>
      <c r="FQ443" s="338"/>
      <c r="FR443" s="352"/>
      <c r="FS443" s="338"/>
      <c r="FT44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3" s="344">
        <f ca="1">IF(Table1[[#This Row],[Status Izin]]="Selesai",Table1[[#This Row],[PLAN PERMIT
finish]]-Table1[[#This Row],[Tanggal Terbit/ Target Izin Terbit]],ROUNDUP(Table1[[#This Row],[PLAN PERMIT
finish]]-NOW(),0))</f>
        <v>-46191</v>
      </c>
      <c r="FV44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3" s="344"/>
      <c r="FX443" s="47"/>
      <c r="FY443" s="571"/>
      <c r="FZ443" s="572"/>
      <c r="GA443"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3" s="331"/>
      <c r="GC443" s="352"/>
      <c r="GD44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3" s="331"/>
      <c r="GF443" s="352"/>
      <c r="GG44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3" s="331"/>
      <c r="GI443" s="331"/>
      <c r="GJ443" s="352"/>
      <c r="GK44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3" s="331"/>
      <c r="GM443" s="331" t="e">
        <v>#N/A</v>
      </c>
      <c r="GN443" s="331"/>
      <c r="GO443" s="330" t="e">
        <v>#N/A</v>
      </c>
      <c r="GP443" s="316"/>
      <c r="GQ44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3" s="331"/>
      <c r="GS443" s="331"/>
      <c r="GT443" s="354"/>
      <c r="GU443" s="344" t="str">
        <f>IF(Table1[[#This Row],[Hydro Tes Actual
(tanggal)]]&lt;&gt;"","Sudah","Belum")</f>
        <v>Belum</v>
      </c>
      <c r="GV443" s="330"/>
      <c r="GW443" s="330"/>
      <c r="GX443" s="331"/>
      <c r="GY443" s="344" t="str">
        <f>IF(Table1[[#This Row],[Interkoneksi Actual
(tanggal)]]&lt;&gt;"","Sudah","Belum")</f>
        <v>Belum</v>
      </c>
      <c r="GZ443" s="330"/>
      <c r="HA443" s="330"/>
      <c r="HB443" s="331"/>
      <c r="HC443" s="344" t="str">
        <f>IF(Table1[[#This Row],[Flushing Actual
(tanggal)]]&lt;&gt;"","Sudah","Belum")</f>
        <v>Belum</v>
      </c>
      <c r="HD443" s="331"/>
      <c r="HE443" s="331" t="e">
        <v>#N/A</v>
      </c>
      <c r="HF443" s="331"/>
      <c r="HG443" s="352"/>
      <c r="HH44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3" s="330"/>
      <c r="HJ443" s="330"/>
      <c r="HK443" s="331"/>
      <c r="HL443" s="316"/>
      <c r="HM443" s="331"/>
      <c r="HN443" s="331"/>
      <c r="HO443" s="330" t="e">
        <v>#N/A</v>
      </c>
      <c r="HP443" s="331"/>
      <c r="HQ44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43" s="352"/>
      <c r="HS443" s="352"/>
      <c r="HT443" s="352"/>
      <c r="HU443" s="474"/>
      <c r="HV443" s="331"/>
      <c r="HW443"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43" s="47"/>
      <c r="HY443" s="352"/>
      <c r="HZ443" s="352"/>
      <c r="IA443"/>
      <c r="IB443" s="618">
        <f>IFERROR(ROUND((Table1[[#This Row],[PLAN TC
finish]]-Table1[[#This Row],[PLAN MC-0
start]])/30,2),"")</f>
        <v>0</v>
      </c>
      <c r="IC443">
        <f>DATEDIF(Table1[[#This Row],[PLAN MC-0
start]],Table1[[#This Row],[PLAN TC
finish]],"m")</f>
        <v>0</v>
      </c>
      <c r="ID443" s="8"/>
      <c r="IE443" s="8"/>
      <c r="IF443" s="4"/>
      <c r="IG443" s="6"/>
      <c r="IH443" s="72"/>
      <c r="II443" s="72"/>
      <c r="IJ443" s="8"/>
      <c r="IL443" s="6"/>
      <c r="IM443" s="6"/>
      <c r="IN443" s="72"/>
      <c r="IO443" s="8"/>
      <c r="IQ443" s="4"/>
      <c r="IR443" s="4"/>
      <c r="IS443" s="6"/>
      <c r="IT443" s="6"/>
      <c r="IW443" s="6"/>
      <c r="IX443" s="6"/>
      <c r="IZ443" s="6"/>
      <c r="JA443" s="6"/>
    </row>
    <row r="444" spans="2:261" customFormat="1" ht="15" hidden="1" customHeight="1" x14ac:dyDescent="0.2">
      <c r="B444" s="311">
        <f>SUBTOTAL(3,$D$5:D444)</f>
        <v>84</v>
      </c>
      <c r="C444" s="316">
        <v>438</v>
      </c>
      <c r="D444" s="460" t="s">
        <v>244</v>
      </c>
      <c r="E444" s="461" t="s">
        <v>3452</v>
      </c>
      <c r="F444" s="461" t="s">
        <v>3453</v>
      </c>
      <c r="G444" s="349">
        <v>46482</v>
      </c>
      <c r="H444" s="461" t="s">
        <v>681</v>
      </c>
      <c r="I444" s="461"/>
      <c r="J444" s="518"/>
      <c r="K444" s="461"/>
      <c r="L444" s="334"/>
      <c r="M444" s="479"/>
      <c r="N444" s="559">
        <v>0</v>
      </c>
      <c r="O444" s="464" t="s">
        <v>252</v>
      </c>
      <c r="P444"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4" s="475"/>
      <c r="S444" s="560"/>
      <c r="T444" s="560">
        <f>Table1[[#This Row],[Progres Total Aktual
(%)]]</f>
        <v>0</v>
      </c>
      <c r="U444" s="561">
        <f>Table1[[#This Row],[Progres Aktual
(%)]]-Table1[[#This Row],[Target Progres
(%)]]</f>
        <v>0</v>
      </c>
      <c r="V444" s="562">
        <f>Table1[[#This Row],["Volume
BA MC-0"]]</f>
        <v>0</v>
      </c>
      <c r="W444" s="562">
        <f>Table1[[#This Row],[Total Panjang Pipa Aktual
(Sum-&gt;)3]]</f>
        <v>0</v>
      </c>
      <c r="X444" s="120"/>
      <c r="Y444" s="294"/>
      <c r="Z444" s="525"/>
      <c r="AA444" s="525">
        <f>ROUND((Table1[[#This Row],[Nilai RAB Jaringan
(Exclude Ppn)]]-Table1[[#This Row],[RAB Perizinan]])*1.11+Table1[[#This Row],[RAB Perizinan]],0)</f>
        <v>0</v>
      </c>
      <c r="AB444" s="465">
        <f>SUM(Table1[[#This Row],[RAB Kegiatan Umum]:[RAB Perizinan]])</f>
        <v>0</v>
      </c>
      <c r="AC444" s="465"/>
      <c r="AD444" s="465"/>
      <c r="AE444" s="465"/>
      <c r="AF444" s="465"/>
      <c r="AG444" s="465"/>
      <c r="AH444" s="563" t="e">
        <f>SUM(Table1[[#This Row],[Bobot Keg Umum]:[Bobot Perizinan]])</f>
        <v>#DIV/0!</v>
      </c>
      <c r="AI444" s="563" t="e">
        <f>Table1[[#This Row],[RAB Kegiatan Umum]]/Table1[[#This Row],[Nilai RAB Jaringan
(Exclude Ppn)]]</f>
        <v>#DIV/0!</v>
      </c>
      <c r="AJ444" s="563" t="e">
        <f>Table1[[#This Row],[RAB Pemasangan]]/Table1[[#This Row],[Nilai RAB Jaringan
(Exclude Ppn)]]</f>
        <v>#DIV/0!</v>
      </c>
      <c r="AK444" s="563" t="e">
        <f>Table1[[#This Row],[RAB Pengadaan]]/Table1[[#This Row],[Nilai RAB Jaringan
(Exclude Ppn)]]</f>
        <v>#DIV/0!</v>
      </c>
      <c r="AL444" s="475" t="e">
        <f>Table1[[#This Row],[RAB Perizinan]]/Table1[[#This Row],[Nilai RAB Jaringan
(Exclude Ppn)]]</f>
        <v>#DIV/0!</v>
      </c>
      <c r="AM444" s="47"/>
      <c r="AN444" s="461"/>
      <c r="AO444" s="574">
        <f>SUM(Table1[[#This Row],[Pipa 63 mm]:[Pipa 1,800 mm]])</f>
        <v>0</v>
      </c>
      <c r="AP444" s="461"/>
      <c r="AQ444" s="461"/>
      <c r="AR444" s="461"/>
      <c r="AS444" s="461"/>
      <c r="AT444" s="461"/>
      <c r="AU444" s="461"/>
      <c r="AV444" s="461"/>
      <c r="AW444" s="461"/>
      <c r="AX444" s="461"/>
      <c r="AY444" s="461"/>
      <c r="AZ444" s="461"/>
      <c r="BA444" s="461"/>
      <c r="BB444" s="461"/>
      <c r="BC444" s="461"/>
      <c r="BD444" s="461"/>
      <c r="BE444" s="461"/>
      <c r="BF444" s="461"/>
      <c r="BG444" s="461"/>
      <c r="BH444" s="461"/>
      <c r="BI444" s="461"/>
      <c r="BJ444" s="523">
        <f>SUM(Table1[[#This Row],[Pipa 63 mm2]:[Pipa 1,800 mm21]])</f>
        <v>0</v>
      </c>
      <c r="BK444" s="471"/>
      <c r="BL444" s="471"/>
      <c r="BM444" s="471"/>
      <c r="BN444" s="471"/>
      <c r="BO444" s="471"/>
      <c r="BP444" s="471"/>
      <c r="BQ444" s="471"/>
      <c r="BR444" s="471"/>
      <c r="BS444" s="471"/>
      <c r="BT444" s="471"/>
      <c r="BU444" s="471"/>
      <c r="BV444" s="471"/>
      <c r="BW444" s="471"/>
      <c r="BX444" s="471"/>
      <c r="BY444" s="471"/>
      <c r="BZ444" s="471"/>
      <c r="CA444" s="471"/>
      <c r="CB444" s="471"/>
      <c r="CC444" s="471"/>
      <c r="CD444" s="471"/>
      <c r="CE444" s="471"/>
      <c r="CF444" s="471"/>
      <c r="CG444" s="471"/>
      <c r="CH444" s="471"/>
      <c r="CI444" s="471"/>
      <c r="CJ444" s="471">
        <f>IF((Table1[[#This Row],["Volume
BA MC-0"]]-Table1[[#This Row],[Total Panjang Pipa Aktual
(Sum-&gt;)3]]-Table1[[#This Row],[Total Volume
tidak dapat dipasang]])&gt;=0,Table1[[#This Row],["Volume
BA MC-0"]]-Table1[[#This Row],[Total Panjang Pipa Aktual
(Sum-&gt;)3]]-Table1[[#This Row],[Total Volume
tidak dapat dipasang]],0)</f>
        <v>0</v>
      </c>
      <c r="CK444" s="47"/>
      <c r="CL444" s="472"/>
      <c r="CM444" s="475"/>
      <c r="CN444" s="472"/>
      <c r="CO444" s="472"/>
      <c r="CP444" s="334"/>
      <c r="CQ444" s="465">
        <f>IFERROR(Table1[[#This Row],[Progres Keg. Umum
(%)]]*Table1[[#This Row],[Nilai RAB Jaringan
(file pa aji)]],0)</f>
        <v>0</v>
      </c>
      <c r="CR444" s="465">
        <f>IFERROR(Table1[[#This Row],[Progres MOS
(%)]]*Table1[[#This Row],[Nilai RAB Jaringan
(file pa aji)]],0)</f>
        <v>0</v>
      </c>
      <c r="CS444" s="465">
        <f>IFERROR(Table1[[#This Row],[Progres Pemasangan
(%)]]*Table1[[#This Row],[Nilai RAB Jaringan
(file pa aji)]],0)</f>
        <v>0</v>
      </c>
      <c r="CT444" s="465">
        <f>IFERROR(Table1[[#This Row],[Progres Perizinan
(%)]]*Table1[[#This Row],[Nilai RAB Jaringan
(file pa aji)]],0)</f>
        <v>0</v>
      </c>
      <c r="CU444" s="329"/>
      <c r="CV444" s="567"/>
      <c r="CW444" s="524"/>
      <c r="CX444" s="329"/>
      <c r="CY444" s="47"/>
      <c r="CZ444" s="420"/>
      <c r="DA444" s="420"/>
      <c r="DB444" s="420"/>
      <c r="DC444" s="334"/>
      <c r="DD444" s="525"/>
      <c r="DE44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4" s="420"/>
      <c r="DG444" s="334"/>
      <c r="DH444" s="525"/>
      <c r="DI444"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4" s="420"/>
      <c r="DK444" s="420"/>
      <c r="DL444" s="420"/>
      <c r="DM444" s="334"/>
      <c r="DN444"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4" s="420"/>
      <c r="DP444" s="334"/>
      <c r="DQ444" s="461"/>
      <c r="DR444"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4" s="420"/>
      <c r="DT444" s="420" t="e">
        <v>#N/A</v>
      </c>
      <c r="DU444" s="420"/>
      <c r="DV444" s="420" t="e">
        <v>#N/A</v>
      </c>
      <c r="DW444" s="420"/>
      <c r="DX444" s="334"/>
      <c r="DY444" s="334"/>
      <c r="DZ444" s="334"/>
      <c r="EA444"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4" s="420"/>
      <c r="EC444" s="335"/>
      <c r="ED444" s="335"/>
      <c r="EE444" s="527"/>
      <c r="EF444" s="475"/>
      <c r="EG444" s="475"/>
      <c r="EH444" s="334" t="str">
        <f>IF(Table1[[#This Row],[PO Material Aktual 
(%)]]&gt;=100%,"Selesai PO = 100%",IF(Table1[[#This Row],[PO Material Aktual 
(%)]]&gt;=50%,"Proses PO &gt; 100%",IF(Table1[[#This Row],[PO Material Aktual 
(%)]]&gt;0%,"Proses PO &gt; 50%",IF(Table1[[#This Row],[PO Material Aktual 
(%)]]=0,"Belum PO = 0%"))))</f>
        <v>Belum PO = 0%</v>
      </c>
      <c r="EI444" s="33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4" s="420"/>
      <c r="EK444" s="420" t="e">
        <v>#N/A</v>
      </c>
      <c r="EL444" s="420"/>
      <c r="EM444" s="420" t="e">
        <v>#N/A</v>
      </c>
      <c r="EN444" s="420"/>
      <c r="EO444" s="334"/>
      <c r="EP444" s="335"/>
      <c r="EQ444" s="475"/>
      <c r="ER444" s="475"/>
      <c r="ES444" s="334" t="str">
        <f>IF(Table1[[#This Row],[Progres MOS]]&gt;=100%,"Selesai MOS = 100%",IF(Table1[[#This Row],[Progres MOS]]&gt;=50%,"Proses MOS &gt; 100%",IF(Table1[[#This Row],[Progres MOS]]&gt;0%,"Proses MOS &gt; 50%",IF(Table1[[#This Row],[Progres MOS]]=0,"Belum MOS = 0%"))))</f>
        <v>Belum MOS = 0%</v>
      </c>
      <c r="ET44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4" s="47"/>
      <c r="EV444" s="420"/>
      <c r="EW444" s="420" t="e">
        <v>#N/A</v>
      </c>
      <c r="EX444" s="420"/>
      <c r="EY444" s="420" t="e">
        <v>#N/A</v>
      </c>
      <c r="EZ444" s="477"/>
      <c r="FA444" s="384"/>
      <c r="FB444" s="420" t="e">
        <v>#N/A</v>
      </c>
      <c r="FC444" s="420" t="e">
        <v>#N/A</v>
      </c>
      <c r="FD444" s="420" t="e">
        <v>#N/A</v>
      </c>
      <c r="FE444" s="420" t="e">
        <v>#N/A</v>
      </c>
      <c r="FF444" s="420" t="e">
        <v>#N/A</v>
      </c>
      <c r="FG444" s="420" t="e">
        <v>#N/A</v>
      </c>
      <c r="FH444" s="420" t="e">
        <v>#N/A</v>
      </c>
      <c r="FI444" s="420" t="e">
        <v>#N/A</v>
      </c>
      <c r="FJ444" s="420" t="e">
        <v>#N/A</v>
      </c>
      <c r="FK444" s="420" t="e">
        <v>#N/A</v>
      </c>
      <c r="FL444" s="477"/>
      <c r="FM444" s="477"/>
      <c r="FN444" s="461" t="str">
        <f>IF(Table1[[#This Row],[Tanggal Pengajuan Dokumen]]="","",Table1[[#This Row],[PLAN PERMIT
start]]-Table1[[#This Row],[Tanggal Pengajuan Dokumen]])</f>
        <v/>
      </c>
      <c r="FO444" s="477"/>
      <c r="FP444" s="334"/>
      <c r="FQ444" s="461"/>
      <c r="FR444" s="477"/>
      <c r="FS444" s="461"/>
      <c r="FT444"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4" s="476">
        <f ca="1">IF(Table1[[#This Row],[Status Izin]]="Selesai",Table1[[#This Row],[PLAN PERMIT
finish]]-Table1[[#This Row],[Tanggal Terbit/ Target Izin Terbit]],ROUNDUP(Table1[[#This Row],[PLAN PERMIT
finish]]-NOW(),0))</f>
        <v>-46191</v>
      </c>
      <c r="FV444"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4" s="476"/>
      <c r="FX444" s="47"/>
      <c r="FY444" s="564"/>
      <c r="FZ444" s="565"/>
      <c r="GA444" s="56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4" s="420"/>
      <c r="GC444" s="477"/>
      <c r="GD444"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4" s="420"/>
      <c r="GF444" s="477"/>
      <c r="GG444"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4" s="420"/>
      <c r="GI444" s="420"/>
      <c r="GJ444" s="477"/>
      <c r="GK444"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4" s="420"/>
      <c r="GM444" s="420" t="e">
        <v>#N/A</v>
      </c>
      <c r="GN444" s="420"/>
      <c r="GO444" s="527" t="e">
        <v>#N/A</v>
      </c>
      <c r="GP444" s="334"/>
      <c r="GQ444"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4" s="420"/>
      <c r="GS444" s="420"/>
      <c r="GT444" s="419"/>
      <c r="GU444" s="476" t="str">
        <f>IF(Table1[[#This Row],[Hydro Tes Actual
(tanggal)]]&lt;&gt;"","Sudah","Belum")</f>
        <v>Belum</v>
      </c>
      <c r="GV444" s="527"/>
      <c r="GW444" s="527"/>
      <c r="GX444" s="420"/>
      <c r="GY444" s="476" t="str">
        <f>IF(Table1[[#This Row],[Interkoneksi Actual
(tanggal)]]&lt;&gt;"","Sudah","Belum")</f>
        <v>Belum</v>
      </c>
      <c r="GZ444" s="527"/>
      <c r="HA444" s="527"/>
      <c r="HB444" s="420"/>
      <c r="HC444" s="476" t="str">
        <f>IF(Table1[[#This Row],[Flushing Actual
(tanggal)]]&lt;&gt;"","Sudah","Belum")</f>
        <v>Belum</v>
      </c>
      <c r="HD444" s="420"/>
      <c r="HE444" s="420" t="e">
        <v>#N/A</v>
      </c>
      <c r="HF444" s="420"/>
      <c r="HG444" s="477"/>
      <c r="HH444"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4" s="527"/>
      <c r="HJ444" s="527"/>
      <c r="HK444" s="420"/>
      <c r="HL444" s="334"/>
      <c r="HM444" s="420"/>
      <c r="HN444" s="420"/>
      <c r="HO444" s="527" t="e">
        <v>#N/A</v>
      </c>
      <c r="HP444" s="420"/>
      <c r="HQ444"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44" s="477"/>
      <c r="HS444" s="477"/>
      <c r="HT444" s="477"/>
      <c r="HU444" s="477"/>
      <c r="HV444" s="420"/>
      <c r="HW444"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44" s="47"/>
      <c r="HY444" s="477"/>
      <c r="HZ444" s="477"/>
      <c r="IB444" s="618">
        <f>IFERROR(ROUND((Table1[[#This Row],[PLAN TC
finish]]-Table1[[#This Row],[PLAN MC-0
start]])/30,2),"")</f>
        <v>0</v>
      </c>
      <c r="IC444">
        <f>DATEDIF(Table1[[#This Row],[PLAN MC-0
start]],Table1[[#This Row],[PLAN TC
finish]],"m")</f>
        <v>0</v>
      </c>
    </row>
    <row r="445" spans="2:261" customFormat="1" ht="15" hidden="1" customHeight="1" x14ac:dyDescent="0.2">
      <c r="B445" s="311">
        <f>SUBTOTAL(3,$D$5:D445)</f>
        <v>84</v>
      </c>
      <c r="C445" s="316">
        <v>439</v>
      </c>
      <c r="D445" s="460" t="s">
        <v>244</v>
      </c>
      <c r="E445" s="461" t="s">
        <v>3454</v>
      </c>
      <c r="F445" s="461" t="s">
        <v>3455</v>
      </c>
      <c r="G445" s="349">
        <v>46482</v>
      </c>
      <c r="H445" s="461" t="s">
        <v>681</v>
      </c>
      <c r="I445" s="461"/>
      <c r="J445" s="518"/>
      <c r="K445" s="461"/>
      <c r="L445" s="334"/>
      <c r="M445" s="479"/>
      <c r="N445" s="559">
        <v>0</v>
      </c>
      <c r="O445" s="464" t="s">
        <v>252</v>
      </c>
      <c r="P445" s="46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45" s="475"/>
      <c r="S445" s="560"/>
      <c r="T445" s="560">
        <f>Table1[[#This Row],[Progres Total Aktual
(%)]]</f>
        <v>0</v>
      </c>
      <c r="U445" s="561">
        <f>Table1[[#This Row],[Progres Aktual
(%)]]-Table1[[#This Row],[Target Progres
(%)]]</f>
        <v>0</v>
      </c>
      <c r="V445" s="562">
        <f>Table1[[#This Row],["Volume
BA MC-0"]]</f>
        <v>0</v>
      </c>
      <c r="W445" s="562">
        <f>Table1[[#This Row],[Total Panjang Pipa Aktual
(Sum-&gt;)3]]</f>
        <v>213</v>
      </c>
      <c r="X445" s="120"/>
      <c r="Y445" s="294"/>
      <c r="Z445" s="525"/>
      <c r="AA445" s="525">
        <f>ROUND((Table1[[#This Row],[Nilai RAB Jaringan
(Exclude Ppn)]]-Table1[[#This Row],[RAB Perizinan]])*1.11+Table1[[#This Row],[RAB Perizinan]],0)</f>
        <v>0</v>
      </c>
      <c r="AB445" s="465">
        <f>SUM(Table1[[#This Row],[RAB Kegiatan Umum]:[RAB Perizinan]])</f>
        <v>0</v>
      </c>
      <c r="AC445" s="465"/>
      <c r="AD445" s="465"/>
      <c r="AE445" s="465"/>
      <c r="AF445" s="465"/>
      <c r="AG445" s="465"/>
      <c r="AH445" s="563" t="e">
        <f>SUM(Table1[[#This Row],[Bobot Keg Umum]:[Bobot Perizinan]])</f>
        <v>#DIV/0!</v>
      </c>
      <c r="AI445" s="563" t="e">
        <f>Table1[[#This Row],[RAB Kegiatan Umum]]/Table1[[#This Row],[Nilai RAB Jaringan
(Exclude Ppn)]]</f>
        <v>#DIV/0!</v>
      </c>
      <c r="AJ445" s="563" t="e">
        <f>Table1[[#This Row],[RAB Pemasangan]]/Table1[[#This Row],[Nilai RAB Jaringan
(Exclude Ppn)]]</f>
        <v>#DIV/0!</v>
      </c>
      <c r="AK445" s="563" t="e">
        <f>Table1[[#This Row],[RAB Pengadaan]]/Table1[[#This Row],[Nilai RAB Jaringan
(Exclude Ppn)]]</f>
        <v>#DIV/0!</v>
      </c>
      <c r="AL445" s="475" t="e">
        <f>Table1[[#This Row],[RAB Perizinan]]/Table1[[#This Row],[Nilai RAB Jaringan
(Exclude Ppn)]]</f>
        <v>#DIV/0!</v>
      </c>
      <c r="AM445" s="47"/>
      <c r="AN445" s="461"/>
      <c r="AO445" s="574">
        <f>SUM(Table1[[#This Row],[Pipa 63 mm]:[Pipa 1,800 mm]])</f>
        <v>0</v>
      </c>
      <c r="AP445" s="461"/>
      <c r="AQ445" s="461"/>
      <c r="AR445" s="461"/>
      <c r="AS445" s="461"/>
      <c r="AT445" s="461"/>
      <c r="AU445" s="461"/>
      <c r="AV445" s="461"/>
      <c r="AW445" s="461"/>
      <c r="AX445" s="461"/>
      <c r="AY445" s="461"/>
      <c r="AZ445" s="461"/>
      <c r="BA445" s="461"/>
      <c r="BB445" s="461"/>
      <c r="BC445" s="461"/>
      <c r="BD445" s="461"/>
      <c r="BE445" s="461"/>
      <c r="BF445" s="461"/>
      <c r="BG445" s="461"/>
      <c r="BH445" s="461"/>
      <c r="BI445" s="461"/>
      <c r="BJ445" s="523">
        <f>SUM(Table1[[#This Row],[Pipa 63 mm2]:[Pipa 1,800 mm21]])</f>
        <v>213</v>
      </c>
      <c r="BK445" s="471">
        <v>18</v>
      </c>
      <c r="BL445" s="471"/>
      <c r="BM445" s="471">
        <v>195</v>
      </c>
      <c r="BN445" s="471"/>
      <c r="BO445" s="471"/>
      <c r="BP445" s="471"/>
      <c r="BQ445" s="471"/>
      <c r="BR445" s="471"/>
      <c r="BS445" s="471"/>
      <c r="BT445" s="471"/>
      <c r="BU445" s="471"/>
      <c r="BV445" s="471"/>
      <c r="BW445" s="471"/>
      <c r="BX445" s="471"/>
      <c r="BY445" s="471"/>
      <c r="BZ445" s="471"/>
      <c r="CA445" s="471"/>
      <c r="CB445" s="471"/>
      <c r="CC445" s="471"/>
      <c r="CD445" s="471"/>
      <c r="CE445" s="471"/>
      <c r="CF445" s="471"/>
      <c r="CG445" s="471"/>
      <c r="CH445" s="471"/>
      <c r="CI445" s="471"/>
      <c r="CJ445" s="471">
        <f>IF((Table1[[#This Row],["Volume
BA MC-0"]]-Table1[[#This Row],[Total Panjang Pipa Aktual
(Sum-&gt;)3]]-Table1[[#This Row],[Total Volume
tidak dapat dipasang]])&gt;=0,Table1[[#This Row],["Volume
BA MC-0"]]-Table1[[#This Row],[Total Panjang Pipa Aktual
(Sum-&gt;)3]]-Table1[[#This Row],[Total Volume
tidak dapat dipasang]],0)</f>
        <v>0</v>
      </c>
      <c r="CK445" s="47"/>
      <c r="CL445" s="472"/>
      <c r="CM445" s="475"/>
      <c r="CN445" s="472"/>
      <c r="CO445" s="472"/>
      <c r="CP445" s="334"/>
      <c r="CQ445" s="465">
        <f>IFERROR(Table1[[#This Row],[Progres Keg. Umum
(%)]]*Table1[[#This Row],[Nilai RAB Jaringan
(file pa aji)]],0)</f>
        <v>0</v>
      </c>
      <c r="CR445" s="465">
        <f>IFERROR(Table1[[#This Row],[Progres MOS
(%)]]*Table1[[#This Row],[Nilai RAB Jaringan
(file pa aji)]],0)</f>
        <v>0</v>
      </c>
      <c r="CS445" s="465">
        <f>IFERROR(Table1[[#This Row],[Progres Pemasangan
(%)]]*Table1[[#This Row],[Nilai RAB Jaringan
(file pa aji)]],0)</f>
        <v>0</v>
      </c>
      <c r="CT445" s="465">
        <f>IFERROR(Table1[[#This Row],[Progres Perizinan
(%)]]*Table1[[#This Row],[Nilai RAB Jaringan
(file pa aji)]],0)</f>
        <v>0</v>
      </c>
      <c r="CU445" s="329"/>
      <c r="CV445" s="567"/>
      <c r="CW445" s="524"/>
      <c r="CX445" s="329"/>
      <c r="CY445" s="47"/>
      <c r="CZ445" s="420"/>
      <c r="DA445" s="420"/>
      <c r="DB445" s="420"/>
      <c r="DC445" s="334"/>
      <c r="DD445" s="525"/>
      <c r="DE44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5" s="420"/>
      <c r="DG445" s="334"/>
      <c r="DH445" s="525"/>
      <c r="DI445" s="33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5" s="420"/>
      <c r="DK445" s="420"/>
      <c r="DL445" s="420"/>
      <c r="DM445" s="334"/>
      <c r="DN445" s="33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5" s="420"/>
      <c r="DP445" s="334"/>
      <c r="DQ445" s="461"/>
      <c r="DR445" s="33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5" s="420"/>
      <c r="DT445" s="420" t="e">
        <v>#N/A</v>
      </c>
      <c r="DU445" s="420"/>
      <c r="DV445" s="420" t="e">
        <v>#N/A</v>
      </c>
      <c r="DW445" s="420"/>
      <c r="DX445" s="334"/>
      <c r="DY445" s="334"/>
      <c r="DZ445" s="334"/>
      <c r="EA445" s="33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5" s="420"/>
      <c r="EC445" s="335"/>
      <c r="ED445" s="335"/>
      <c r="EE445" s="527"/>
      <c r="EF445" s="475"/>
      <c r="EG445" s="475"/>
      <c r="EH445" s="334" t="str">
        <f>IF(Table1[[#This Row],[PO Material Aktual 
(%)]]&gt;=100%,"Selesai PO = 100%",IF(Table1[[#This Row],[PO Material Aktual 
(%)]]&gt;=50%,"Proses PO &gt; 100%",IF(Table1[[#This Row],[PO Material Aktual 
(%)]]&gt;0%,"Proses PO &gt; 50%",IF(Table1[[#This Row],[PO Material Aktual 
(%)]]=0,"Belum PO = 0%"))))</f>
        <v>Belum PO = 0%</v>
      </c>
      <c r="EI445" s="33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5" s="420"/>
      <c r="EK445" s="420" t="e">
        <v>#N/A</v>
      </c>
      <c r="EL445" s="420"/>
      <c r="EM445" s="420" t="e">
        <v>#N/A</v>
      </c>
      <c r="EN445" s="420"/>
      <c r="EO445" s="334"/>
      <c r="EP445" s="335"/>
      <c r="EQ445" s="475"/>
      <c r="ER445" s="475"/>
      <c r="ES445" s="334" t="str">
        <f>IF(Table1[[#This Row],[Progres MOS]]&gt;=100%,"Selesai MOS = 100%",IF(Table1[[#This Row],[Progres MOS]]&gt;=50%,"Proses MOS &gt; 100%",IF(Table1[[#This Row],[Progres MOS]]&gt;0%,"Proses MOS &gt; 50%",IF(Table1[[#This Row],[Progres MOS]]=0,"Belum MOS = 0%"))))</f>
        <v>Belum MOS = 0%</v>
      </c>
      <c r="ET44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5" s="47"/>
      <c r="EV445" s="420"/>
      <c r="EW445" s="420" t="e">
        <v>#N/A</v>
      </c>
      <c r="EX445" s="420"/>
      <c r="EY445" s="420" t="e">
        <v>#N/A</v>
      </c>
      <c r="EZ445" s="477"/>
      <c r="FA445" s="384"/>
      <c r="FB445" s="420" t="e">
        <v>#N/A</v>
      </c>
      <c r="FC445" s="420" t="e">
        <v>#N/A</v>
      </c>
      <c r="FD445" s="420" t="e">
        <v>#N/A</v>
      </c>
      <c r="FE445" s="420" t="e">
        <v>#N/A</v>
      </c>
      <c r="FF445" s="420" t="e">
        <v>#N/A</v>
      </c>
      <c r="FG445" s="420" t="e">
        <v>#N/A</v>
      </c>
      <c r="FH445" s="420" t="e">
        <v>#N/A</v>
      </c>
      <c r="FI445" s="420" t="e">
        <v>#N/A</v>
      </c>
      <c r="FJ445" s="420" t="e">
        <v>#N/A</v>
      </c>
      <c r="FK445" s="420" t="e">
        <v>#N/A</v>
      </c>
      <c r="FL445" s="477"/>
      <c r="FM445" s="477"/>
      <c r="FN445" s="461" t="str">
        <f>IF(Table1[[#This Row],[Tanggal Pengajuan Dokumen]]="","",Table1[[#This Row],[PLAN PERMIT
start]]-Table1[[#This Row],[Tanggal Pengajuan Dokumen]])</f>
        <v/>
      </c>
      <c r="FO445" s="477"/>
      <c r="FP445" s="334"/>
      <c r="FQ445" s="461"/>
      <c r="FR445" s="477"/>
      <c r="FS445" s="461"/>
      <c r="FT445" s="33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5" s="476">
        <f ca="1">IF(Table1[[#This Row],[Status Izin]]="Selesai",Table1[[#This Row],[PLAN PERMIT
finish]]-Table1[[#This Row],[Tanggal Terbit/ Target Izin Terbit]],ROUNDUP(Table1[[#This Row],[PLAN PERMIT
finish]]-NOW(),0))</f>
        <v>-46191</v>
      </c>
      <c r="FV445" s="47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5" s="476"/>
      <c r="FX445" s="47"/>
      <c r="FY445" s="564"/>
      <c r="FZ445" s="565"/>
      <c r="GA445" s="56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5" s="420"/>
      <c r="GC445" s="477">
        <v>46141</v>
      </c>
      <c r="GD445" s="33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45" s="420"/>
      <c r="GF445" s="477">
        <v>46141</v>
      </c>
      <c r="GG445" s="33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45" s="420"/>
      <c r="GI445" s="420"/>
      <c r="GJ445" s="477">
        <v>46142</v>
      </c>
      <c r="GK445" s="33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45" s="420"/>
      <c r="GM445" s="420" t="e">
        <v>#N/A</v>
      </c>
      <c r="GN445" s="420"/>
      <c r="GO445" s="527" t="e">
        <v>#N/A</v>
      </c>
      <c r="GP445" s="334"/>
      <c r="GQ445" s="33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5" s="420"/>
      <c r="GS445" s="420"/>
      <c r="GT445" s="419"/>
      <c r="GU445" s="476" t="str">
        <f>IF(Table1[[#This Row],[Hydro Tes Actual
(tanggal)]]&lt;&gt;"","Sudah","Belum")</f>
        <v>Belum</v>
      </c>
      <c r="GV445" s="527"/>
      <c r="GW445" s="527"/>
      <c r="GX445" s="420"/>
      <c r="GY445" s="476" t="str">
        <f>IF(Table1[[#This Row],[Interkoneksi Actual
(tanggal)]]&lt;&gt;"","Sudah","Belum")</f>
        <v>Belum</v>
      </c>
      <c r="GZ445" s="527"/>
      <c r="HA445" s="527"/>
      <c r="HB445" s="420"/>
      <c r="HC445" s="476" t="str">
        <f>IF(Table1[[#This Row],[Flushing Actual
(tanggal)]]&lt;&gt;"","Sudah","Belum")</f>
        <v>Belum</v>
      </c>
      <c r="HD445" s="420"/>
      <c r="HE445" s="420" t="e">
        <v>#N/A</v>
      </c>
      <c r="HF445" s="420"/>
      <c r="HG445" s="477"/>
      <c r="HH445" s="33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5" s="527"/>
      <c r="HJ445" s="527"/>
      <c r="HK445" s="420"/>
      <c r="HL445" s="334"/>
      <c r="HM445" s="420"/>
      <c r="HN445" s="420"/>
      <c r="HO445" s="527" t="e">
        <v>#N/A</v>
      </c>
      <c r="HP445" s="420"/>
      <c r="HQ445" s="479"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45" s="477"/>
      <c r="HS445" s="477"/>
      <c r="HT445" s="477"/>
      <c r="HU445" s="477"/>
      <c r="HV445" s="420"/>
      <c r="HW445" s="33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45" s="47"/>
      <c r="HY445" s="477"/>
      <c r="HZ445" s="477"/>
      <c r="IB445" s="618">
        <f>IFERROR(ROUND((Table1[[#This Row],[PLAN TC
finish]]-Table1[[#This Row],[PLAN MC-0
start]])/30,2),"")</f>
        <v>0</v>
      </c>
      <c r="IC445">
        <f>DATEDIF(Table1[[#This Row],[PLAN MC-0
start]],Table1[[#This Row],[PLAN TC
finish]],"m")</f>
        <v>0</v>
      </c>
    </row>
    <row r="446" spans="2:261" ht="15" hidden="1" customHeight="1" x14ac:dyDescent="0.2">
      <c r="B446" s="311">
        <f>SUBTOTAL(3,$D$5:D446)</f>
        <v>84</v>
      </c>
      <c r="C446" s="316">
        <v>458</v>
      </c>
      <c r="D446" s="460" t="s">
        <v>673</v>
      </c>
      <c r="E446" s="338" t="s">
        <v>3456</v>
      </c>
      <c r="F446" s="338" t="s">
        <v>3457</v>
      </c>
      <c r="G446" s="349">
        <v>46482</v>
      </c>
      <c r="H446" s="461" t="s">
        <v>247</v>
      </c>
      <c r="I446" s="338"/>
      <c r="J446" s="480"/>
      <c r="K446" s="338"/>
      <c r="L446" s="316"/>
      <c r="M446" s="355"/>
      <c r="N446" s="559">
        <v>0</v>
      </c>
      <c r="O446" s="464">
        <v>0</v>
      </c>
      <c r="P44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6" s="337"/>
      <c r="S446" s="327"/>
      <c r="T446" s="327">
        <f>Table1[[#This Row],[Progres Total Aktual
(%)]]</f>
        <v>0</v>
      </c>
      <c r="U446" s="568">
        <f>Table1[[#This Row],[Progres Aktual
(%)]]-Table1[[#This Row],[Target Progres
(%)]]</f>
        <v>0</v>
      </c>
      <c r="V446" s="569">
        <f>Table1[[#This Row],["Volume
BA MC-0"]]</f>
        <v>0</v>
      </c>
      <c r="W446" s="569">
        <f>Table1[[#This Row],[Total Panjang Pipa Aktual
(Sum-&gt;)3]]</f>
        <v>0</v>
      </c>
      <c r="X446" s="117"/>
      <c r="Y446" s="295"/>
      <c r="Z446" s="508"/>
      <c r="AA446" s="508">
        <f>ROUND((Table1[[#This Row],[Nilai RAB Jaringan
(Exclude Ppn)]]-Table1[[#This Row],[RAB Perizinan]])*1.11+Table1[[#This Row],[RAB Perizinan]],0)</f>
        <v>0</v>
      </c>
      <c r="AB446" s="436">
        <f>SUM(Table1[[#This Row],[RAB Kegiatan Umum]:[RAB Perizinan]])</f>
        <v>0</v>
      </c>
      <c r="AC446" s="436"/>
      <c r="AD446" s="436"/>
      <c r="AE446" s="436"/>
      <c r="AF446" s="436"/>
      <c r="AG446" s="436"/>
      <c r="AH446" s="570" t="e">
        <f>SUM(Table1[[#This Row],[Bobot Keg Umum]:[Bobot Perizinan]])</f>
        <v>#DIV/0!</v>
      </c>
      <c r="AI446" s="570" t="e">
        <f>Table1[[#This Row],[RAB Kegiatan Umum]]/Table1[[#This Row],[Nilai RAB Jaringan
(Exclude Ppn)]]</f>
        <v>#DIV/0!</v>
      </c>
      <c r="AJ446" s="570" t="e">
        <f>Table1[[#This Row],[RAB Pemasangan]]/Table1[[#This Row],[Nilai RAB Jaringan
(Exclude Ppn)]]</f>
        <v>#DIV/0!</v>
      </c>
      <c r="AK446" s="570" t="e">
        <f>Table1[[#This Row],[RAB Pengadaan]]/Table1[[#This Row],[Nilai RAB Jaringan
(Exclude Ppn)]]</f>
        <v>#DIV/0!</v>
      </c>
      <c r="AL446" s="337" t="e">
        <f>Table1[[#This Row],[RAB Perizinan]]/Table1[[#This Row],[Nilai RAB Jaringan
(Exclude Ppn)]]</f>
        <v>#DIV/0!</v>
      </c>
      <c r="AM446" s="47"/>
      <c r="AN446" s="338"/>
      <c r="AO446" s="514">
        <f>SUM(Table1[[#This Row],[Pipa 63 mm]:[Pipa 1,800 mm]])</f>
        <v>0</v>
      </c>
      <c r="AP446" s="338"/>
      <c r="AQ446" s="338"/>
      <c r="AR446" s="338"/>
      <c r="AS446" s="338"/>
      <c r="AT446" s="338"/>
      <c r="AU446" s="338"/>
      <c r="AV446" s="338"/>
      <c r="AW446" s="338"/>
      <c r="AX446" s="338"/>
      <c r="AY446" s="338"/>
      <c r="AZ446" s="338"/>
      <c r="BA446" s="338"/>
      <c r="BB446" s="338"/>
      <c r="BC446" s="338"/>
      <c r="BD446" s="338"/>
      <c r="BE446" s="338"/>
      <c r="BF446" s="338"/>
      <c r="BG446" s="338"/>
      <c r="BH446" s="338"/>
      <c r="BI446" s="338"/>
      <c r="BJ446" s="36">
        <f>SUM(Table1[[#This Row],[Pipa 63 mm2]:[Pipa 1,800 mm21]])</f>
        <v>0</v>
      </c>
      <c r="BK446" s="32"/>
      <c r="BL446" s="32"/>
      <c r="BM446" s="32"/>
      <c r="BN446" s="32"/>
      <c r="BO446" s="32"/>
      <c r="BP446" s="32"/>
      <c r="BQ446" s="32"/>
      <c r="BR446" s="32"/>
      <c r="BS446" s="32"/>
      <c r="BT446" s="32"/>
      <c r="BU446" s="32"/>
      <c r="BV446" s="32"/>
      <c r="BW446" s="32"/>
      <c r="BX446" s="32"/>
      <c r="BY446" s="32"/>
      <c r="BZ446" s="32"/>
      <c r="CA446" s="32"/>
      <c r="CB446" s="32"/>
      <c r="CC446" s="32"/>
      <c r="CD446" s="32"/>
      <c r="CE446" s="32"/>
      <c r="CF446" s="32"/>
      <c r="CG446" s="32"/>
      <c r="CH446" s="32"/>
      <c r="CI446" s="32"/>
      <c r="CJ446" s="32">
        <f>IF((Table1[[#This Row],["Volume
BA MC-0"]]-Table1[[#This Row],[Total Panjang Pipa Aktual
(Sum-&gt;)3]]-Table1[[#This Row],[Total Volume
tidak dapat dipasang]])&gt;=0,Table1[[#This Row],["Volume
BA MC-0"]]-Table1[[#This Row],[Total Panjang Pipa Aktual
(Sum-&gt;)3]]-Table1[[#This Row],[Total Volume
tidak dapat dipasang]],0)</f>
        <v>0</v>
      </c>
      <c r="CK446" s="47"/>
      <c r="CL446" s="131"/>
      <c r="CM446" s="337"/>
      <c r="CN446" s="131"/>
      <c r="CO446" s="131"/>
      <c r="CP446" s="316"/>
      <c r="CQ446" s="436">
        <f>IFERROR(Table1[[#This Row],[Progres Keg. Umum
(%)]]*Table1[[#This Row],[Nilai RAB Jaringan
(file pa aji)]],0)</f>
        <v>0</v>
      </c>
      <c r="CR446" s="436">
        <f>IFERROR(Table1[[#This Row],[Progres MOS
(%)]]*Table1[[#This Row],[Nilai RAB Jaringan
(file pa aji)]],0)</f>
        <v>0</v>
      </c>
      <c r="CS446" s="436">
        <f>IFERROR(Table1[[#This Row],[Progres Pemasangan
(%)]]*Table1[[#This Row],[Nilai RAB Jaringan
(file pa aji)]],0)</f>
        <v>0</v>
      </c>
      <c r="CT446" s="436">
        <f>IFERROR(Table1[[#This Row],[Progres Perizinan
(%)]]*Table1[[#This Row],[Nilai RAB Jaringan
(file pa aji)]],0)</f>
        <v>0</v>
      </c>
      <c r="CU446" s="329"/>
      <c r="CV446" s="558"/>
      <c r="CW446" s="511"/>
      <c r="CX446" s="329"/>
      <c r="CY446" s="47"/>
      <c r="CZ446" s="331"/>
      <c r="DA446" s="331"/>
      <c r="DB446" s="331"/>
      <c r="DC446" s="316"/>
      <c r="DD446" s="508"/>
      <c r="DE44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6" s="331"/>
      <c r="DG446" s="316"/>
      <c r="DH446" s="508"/>
      <c r="DI44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6" s="331"/>
      <c r="DK446" s="331"/>
      <c r="DL446" s="331"/>
      <c r="DM446" s="316"/>
      <c r="DN446"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6" s="331"/>
      <c r="DP446" s="316"/>
      <c r="DQ446" s="338"/>
      <c r="DR446"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6" s="331"/>
      <c r="DT446" s="331" t="e">
        <v>#N/A</v>
      </c>
      <c r="DU446" s="331"/>
      <c r="DV446" s="331" t="e">
        <v>#N/A</v>
      </c>
      <c r="DW446" s="331"/>
      <c r="DX446" s="316"/>
      <c r="DY446" s="334"/>
      <c r="DZ446" s="334"/>
      <c r="EA446"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6" s="331"/>
      <c r="EC446" s="332"/>
      <c r="ED446" s="332"/>
      <c r="EE446" s="330"/>
      <c r="EF446" s="337"/>
      <c r="EG446" s="337"/>
      <c r="EH446" s="316" t="str">
        <f>IF(Table1[[#This Row],[PO Material Aktual 
(%)]]&gt;=100%,"Selesai PO = 100%",IF(Table1[[#This Row],[PO Material Aktual 
(%)]]&gt;=50%,"Proses PO &gt; 100%",IF(Table1[[#This Row],[PO Material Aktual 
(%)]]&gt;0%,"Proses PO &gt; 50%",IF(Table1[[#This Row],[PO Material Aktual 
(%)]]=0,"Belum PO = 0%"))))</f>
        <v>Belum PO = 0%</v>
      </c>
      <c r="EI44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6" s="331"/>
      <c r="EK446" s="331" t="e">
        <v>#N/A</v>
      </c>
      <c r="EL446" s="331"/>
      <c r="EM446" s="331" t="e">
        <v>#N/A</v>
      </c>
      <c r="EN446" s="331"/>
      <c r="EO446" s="316"/>
      <c r="EP446" s="332"/>
      <c r="EQ446" s="337"/>
      <c r="ER446" s="337"/>
      <c r="ES446" s="316" t="str">
        <f>IF(Table1[[#This Row],[Progres MOS]]&gt;=100%,"Selesai MOS = 100%",IF(Table1[[#This Row],[Progres MOS]]&gt;=50%,"Proses MOS &gt; 100%",IF(Table1[[#This Row],[Progres MOS]]&gt;0%,"Proses MOS &gt; 50%",IF(Table1[[#This Row],[Progres MOS]]=0,"Belum MOS = 0%"))))</f>
        <v>Belum MOS = 0%</v>
      </c>
      <c r="ET44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6" s="47"/>
      <c r="EV446" s="331"/>
      <c r="EW446" s="331" t="e">
        <v>#N/A</v>
      </c>
      <c r="EX446" s="331"/>
      <c r="EY446" s="331" t="e">
        <v>#N/A</v>
      </c>
      <c r="EZ446" s="352"/>
      <c r="FA446" s="384"/>
      <c r="FB446" s="331" t="e">
        <v>#N/A</v>
      </c>
      <c r="FC446" s="331" t="e">
        <v>#N/A</v>
      </c>
      <c r="FD446" s="331" t="e">
        <v>#N/A</v>
      </c>
      <c r="FE446" s="331" t="e">
        <v>#N/A</v>
      </c>
      <c r="FF446" s="331" t="e">
        <v>#N/A</v>
      </c>
      <c r="FG446" s="331" t="e">
        <v>#N/A</v>
      </c>
      <c r="FH446" s="331" t="e">
        <v>#N/A</v>
      </c>
      <c r="FI446" s="331" t="e">
        <v>#N/A</v>
      </c>
      <c r="FJ446" s="331" t="e">
        <v>#N/A</v>
      </c>
      <c r="FK446" s="331" t="e">
        <v>#N/A</v>
      </c>
      <c r="FL446" s="352"/>
      <c r="FM446" s="352"/>
      <c r="FN446" s="338" t="str">
        <f>IF(Table1[[#This Row],[Tanggal Pengajuan Dokumen]]="","",Table1[[#This Row],[PLAN PERMIT
start]]-Table1[[#This Row],[Tanggal Pengajuan Dokumen]])</f>
        <v/>
      </c>
      <c r="FO446" s="352"/>
      <c r="FP446" s="316"/>
      <c r="FQ446" s="338"/>
      <c r="FR446" s="352"/>
      <c r="FS446" s="338"/>
      <c r="FT44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6" s="344">
        <f ca="1">IF(Table1[[#This Row],[Status Izin]]="Selesai",Table1[[#This Row],[PLAN PERMIT
finish]]-Table1[[#This Row],[Tanggal Terbit/ Target Izin Terbit]],ROUNDUP(Table1[[#This Row],[PLAN PERMIT
finish]]-NOW(),0))</f>
        <v>-46191</v>
      </c>
      <c r="FV44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6" s="344"/>
      <c r="FX446" s="47"/>
      <c r="FY446" s="571"/>
      <c r="FZ446" s="572"/>
      <c r="GA446"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6" s="331"/>
      <c r="GC446" s="352"/>
      <c r="GD44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6" s="331"/>
      <c r="GF446" s="352"/>
      <c r="GG44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6" s="331"/>
      <c r="GI446" s="331"/>
      <c r="GJ446" s="352"/>
      <c r="GK44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6" s="331"/>
      <c r="GM446" s="331" t="e">
        <v>#N/A</v>
      </c>
      <c r="GN446" s="331"/>
      <c r="GO446" s="330" t="e">
        <v>#N/A</v>
      </c>
      <c r="GP446" s="316"/>
      <c r="GQ44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6" s="331"/>
      <c r="GS446" s="331"/>
      <c r="GT446" s="354"/>
      <c r="GU446" s="344" t="str">
        <f>IF(Table1[[#This Row],[Hydro Tes Actual
(tanggal)]]&lt;&gt;"","Sudah","Belum")</f>
        <v>Belum</v>
      </c>
      <c r="GV446" s="330"/>
      <c r="GW446" s="330"/>
      <c r="GX446" s="331"/>
      <c r="GY446" s="344" t="str">
        <f>IF(Table1[[#This Row],[Interkoneksi Actual
(tanggal)]]&lt;&gt;"","Sudah","Belum")</f>
        <v>Belum</v>
      </c>
      <c r="GZ446" s="330"/>
      <c r="HA446" s="330"/>
      <c r="HB446" s="331"/>
      <c r="HC446" s="344" t="str">
        <f>IF(Table1[[#This Row],[Flushing Actual
(tanggal)]]&lt;&gt;"","Sudah","Belum")</f>
        <v>Belum</v>
      </c>
      <c r="HD446" s="331"/>
      <c r="HE446" s="331" t="e">
        <v>#N/A</v>
      </c>
      <c r="HF446" s="331"/>
      <c r="HG446" s="352"/>
      <c r="HH44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6" s="330"/>
      <c r="HJ446" s="330"/>
      <c r="HK446" s="331"/>
      <c r="HL446" s="316"/>
      <c r="HM446" s="331"/>
      <c r="HN446" s="331"/>
      <c r="HO446" s="330" t="e">
        <v>#N/A</v>
      </c>
      <c r="HP446" s="331"/>
      <c r="HQ44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46" s="352"/>
      <c r="HS446" s="352"/>
      <c r="HT446" s="352"/>
      <c r="HU446" s="477"/>
      <c r="HV446" s="331"/>
      <c r="HW44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46" s="47"/>
      <c r="HY446" s="352"/>
      <c r="HZ446" s="352"/>
      <c r="IA446"/>
      <c r="IB446" s="618">
        <f>IFERROR(ROUND((Table1[[#This Row],[PLAN TC
finish]]-Table1[[#This Row],[PLAN MC-0
start]])/30,2),"")</f>
        <v>0</v>
      </c>
      <c r="IC446">
        <f>DATEDIF(Table1[[#This Row],[PLAN MC-0
start]],Table1[[#This Row],[PLAN TC
finish]],"m")</f>
        <v>0</v>
      </c>
      <c r="ID446" s="8"/>
      <c r="IE446" s="8"/>
      <c r="IF446" s="4"/>
      <c r="IG446" s="6"/>
      <c r="IH446" s="72"/>
      <c r="II446" s="72"/>
      <c r="IJ446" s="8"/>
      <c r="IL446" s="6"/>
      <c r="IM446" s="6"/>
      <c r="IN446" s="72"/>
      <c r="IO446" s="8"/>
      <c r="IQ446" s="4"/>
      <c r="IR446" s="4"/>
      <c r="IS446" s="6"/>
      <c r="IT446" s="6"/>
      <c r="IW446" s="6"/>
      <c r="IX446" s="6"/>
      <c r="IZ446" s="6"/>
      <c r="JA446" s="6"/>
    </row>
    <row r="447" spans="2:261" ht="15" hidden="1" customHeight="1" x14ac:dyDescent="0.2">
      <c r="B447" s="311">
        <f>SUBTOTAL(3,$D$5:D447)</f>
        <v>84</v>
      </c>
      <c r="C447" s="316">
        <v>459</v>
      </c>
      <c r="D447" s="460" t="s">
        <v>673</v>
      </c>
      <c r="E447" s="338" t="s">
        <v>3458</v>
      </c>
      <c r="F447" s="338" t="s">
        <v>3459</v>
      </c>
      <c r="G447" s="349">
        <v>46482</v>
      </c>
      <c r="H447" s="461" t="s">
        <v>247</v>
      </c>
      <c r="I447" s="338"/>
      <c r="J447" s="480"/>
      <c r="K447" s="338"/>
      <c r="L447" s="316"/>
      <c r="M447" s="355"/>
      <c r="N447" s="559">
        <v>0</v>
      </c>
      <c r="O447" s="464">
        <v>0</v>
      </c>
      <c r="P44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7" s="337"/>
      <c r="S447" s="327"/>
      <c r="T447" s="327">
        <f>Table1[[#This Row],[Progres Total Aktual
(%)]]</f>
        <v>0</v>
      </c>
      <c r="U447" s="568">
        <f>Table1[[#This Row],[Progres Aktual
(%)]]-Table1[[#This Row],[Target Progres
(%)]]</f>
        <v>0</v>
      </c>
      <c r="V447" s="569">
        <f>Table1[[#This Row],["Volume
BA MC-0"]]</f>
        <v>0</v>
      </c>
      <c r="W447" s="569">
        <f>Table1[[#This Row],[Total Panjang Pipa Aktual
(Sum-&gt;)3]]</f>
        <v>0</v>
      </c>
      <c r="X447" s="117"/>
      <c r="Y447" s="295"/>
      <c r="Z447" s="508"/>
      <c r="AA447" s="508">
        <f>ROUND((Table1[[#This Row],[Nilai RAB Jaringan
(Exclude Ppn)]]-Table1[[#This Row],[RAB Perizinan]])*1.11+Table1[[#This Row],[RAB Perizinan]],0)</f>
        <v>0</v>
      </c>
      <c r="AB447" s="436">
        <f>SUM(Table1[[#This Row],[RAB Kegiatan Umum]:[RAB Perizinan]])</f>
        <v>0</v>
      </c>
      <c r="AC447" s="436"/>
      <c r="AD447" s="436"/>
      <c r="AE447" s="436"/>
      <c r="AF447" s="436"/>
      <c r="AG447" s="436"/>
      <c r="AH447" s="570" t="e">
        <f>SUM(Table1[[#This Row],[Bobot Keg Umum]:[Bobot Perizinan]])</f>
        <v>#DIV/0!</v>
      </c>
      <c r="AI447" s="570" t="e">
        <f>Table1[[#This Row],[RAB Kegiatan Umum]]/Table1[[#This Row],[Nilai RAB Jaringan
(Exclude Ppn)]]</f>
        <v>#DIV/0!</v>
      </c>
      <c r="AJ447" s="570" t="e">
        <f>Table1[[#This Row],[RAB Pemasangan]]/Table1[[#This Row],[Nilai RAB Jaringan
(Exclude Ppn)]]</f>
        <v>#DIV/0!</v>
      </c>
      <c r="AK447" s="570" t="e">
        <f>Table1[[#This Row],[RAB Pengadaan]]/Table1[[#This Row],[Nilai RAB Jaringan
(Exclude Ppn)]]</f>
        <v>#DIV/0!</v>
      </c>
      <c r="AL447" s="337" t="e">
        <f>Table1[[#This Row],[RAB Perizinan]]/Table1[[#This Row],[Nilai RAB Jaringan
(Exclude Ppn)]]</f>
        <v>#DIV/0!</v>
      </c>
      <c r="AM447" s="47"/>
      <c r="AN447" s="338"/>
      <c r="AO447" s="514">
        <f>SUM(Table1[[#This Row],[Pipa 63 mm]:[Pipa 1,800 mm]])</f>
        <v>0</v>
      </c>
      <c r="AP447" s="338"/>
      <c r="AQ447" s="338"/>
      <c r="AR447" s="338"/>
      <c r="AS447" s="338"/>
      <c r="AT447" s="338"/>
      <c r="AU447" s="338"/>
      <c r="AV447" s="338"/>
      <c r="AW447" s="338"/>
      <c r="AX447" s="338"/>
      <c r="AY447" s="338"/>
      <c r="AZ447" s="338"/>
      <c r="BA447" s="338"/>
      <c r="BB447" s="338"/>
      <c r="BC447" s="338"/>
      <c r="BD447" s="338"/>
      <c r="BE447" s="338"/>
      <c r="BF447" s="338"/>
      <c r="BG447" s="338"/>
      <c r="BH447" s="338"/>
      <c r="BI447" s="338"/>
      <c r="BJ447" s="36">
        <f>SUM(Table1[[#This Row],[Pipa 63 mm2]:[Pipa 1,800 mm21]])</f>
        <v>0</v>
      </c>
      <c r="BK447" s="32"/>
      <c r="BL447" s="32"/>
      <c r="BM447" s="32"/>
      <c r="BN447" s="32"/>
      <c r="BO447" s="32"/>
      <c r="BP447" s="32"/>
      <c r="BQ447" s="32"/>
      <c r="BR447" s="32"/>
      <c r="BS447" s="32"/>
      <c r="BT447" s="32"/>
      <c r="BU447" s="32"/>
      <c r="BV447" s="32"/>
      <c r="BW447" s="32"/>
      <c r="BX447" s="32"/>
      <c r="BY447" s="32"/>
      <c r="BZ447" s="32"/>
      <c r="CA447" s="32"/>
      <c r="CB447" s="32"/>
      <c r="CC447" s="32"/>
      <c r="CD447" s="32"/>
      <c r="CE447" s="32"/>
      <c r="CF447" s="32"/>
      <c r="CG447" s="32"/>
      <c r="CH447" s="32"/>
      <c r="CI447" s="32"/>
      <c r="CJ447" s="32">
        <f>IF((Table1[[#This Row],["Volume
BA MC-0"]]-Table1[[#This Row],[Total Panjang Pipa Aktual
(Sum-&gt;)3]]-Table1[[#This Row],[Total Volume
tidak dapat dipasang]])&gt;=0,Table1[[#This Row],["Volume
BA MC-0"]]-Table1[[#This Row],[Total Panjang Pipa Aktual
(Sum-&gt;)3]]-Table1[[#This Row],[Total Volume
tidak dapat dipasang]],0)</f>
        <v>0</v>
      </c>
      <c r="CK447" s="47"/>
      <c r="CL447" s="131"/>
      <c r="CM447" s="337"/>
      <c r="CN447" s="131"/>
      <c r="CO447" s="131"/>
      <c r="CP447" s="316"/>
      <c r="CQ447" s="436">
        <f>IFERROR(Table1[[#This Row],[Progres Keg. Umum
(%)]]*Table1[[#This Row],[Nilai RAB Jaringan
(file pa aji)]],0)</f>
        <v>0</v>
      </c>
      <c r="CR447" s="436">
        <f>IFERROR(Table1[[#This Row],[Progres MOS
(%)]]*Table1[[#This Row],[Nilai RAB Jaringan
(file pa aji)]],0)</f>
        <v>0</v>
      </c>
      <c r="CS447" s="436">
        <f>IFERROR(Table1[[#This Row],[Progres Pemasangan
(%)]]*Table1[[#This Row],[Nilai RAB Jaringan
(file pa aji)]],0)</f>
        <v>0</v>
      </c>
      <c r="CT447" s="436">
        <f>IFERROR(Table1[[#This Row],[Progres Perizinan
(%)]]*Table1[[#This Row],[Nilai RAB Jaringan
(file pa aji)]],0)</f>
        <v>0</v>
      </c>
      <c r="CU447" s="329"/>
      <c r="CV447" s="558"/>
      <c r="CW447" s="511"/>
      <c r="CX447" s="329"/>
      <c r="CY447" s="47"/>
      <c r="CZ447" s="331"/>
      <c r="DA447" s="331"/>
      <c r="DB447" s="331"/>
      <c r="DC447" s="316"/>
      <c r="DD447" s="508"/>
      <c r="DE44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7" s="331"/>
      <c r="DG447" s="316"/>
      <c r="DH447" s="508"/>
      <c r="DI44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7" s="331"/>
      <c r="DK447" s="331"/>
      <c r="DL447" s="331"/>
      <c r="DM447" s="316"/>
      <c r="DN447"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7" s="331"/>
      <c r="DP447" s="316"/>
      <c r="DQ447" s="338"/>
      <c r="DR447"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7" s="331"/>
      <c r="DT447" s="331" t="e">
        <v>#N/A</v>
      </c>
      <c r="DU447" s="331"/>
      <c r="DV447" s="331" t="e">
        <v>#N/A</v>
      </c>
      <c r="DW447" s="331"/>
      <c r="DX447" s="316"/>
      <c r="DY447" s="334"/>
      <c r="DZ447" s="334"/>
      <c r="EA447"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7" s="331"/>
      <c r="EC447" s="332"/>
      <c r="ED447" s="332"/>
      <c r="EE447" s="330"/>
      <c r="EF447" s="337"/>
      <c r="EG447" s="337"/>
      <c r="EH447" s="316" t="str">
        <f>IF(Table1[[#This Row],[PO Material Aktual 
(%)]]&gt;=100%,"Selesai PO = 100%",IF(Table1[[#This Row],[PO Material Aktual 
(%)]]&gt;=50%,"Proses PO &gt; 100%",IF(Table1[[#This Row],[PO Material Aktual 
(%)]]&gt;0%,"Proses PO &gt; 50%",IF(Table1[[#This Row],[PO Material Aktual 
(%)]]=0,"Belum PO = 0%"))))</f>
        <v>Belum PO = 0%</v>
      </c>
      <c r="EI44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7" s="331"/>
      <c r="EK447" s="331" t="e">
        <v>#N/A</v>
      </c>
      <c r="EL447" s="331"/>
      <c r="EM447" s="331" t="e">
        <v>#N/A</v>
      </c>
      <c r="EN447" s="331"/>
      <c r="EO447" s="316"/>
      <c r="EP447" s="332"/>
      <c r="EQ447" s="337"/>
      <c r="ER447" s="337"/>
      <c r="ES447" s="316" t="str">
        <f>IF(Table1[[#This Row],[Progres MOS]]&gt;=100%,"Selesai MOS = 100%",IF(Table1[[#This Row],[Progres MOS]]&gt;=50%,"Proses MOS &gt; 100%",IF(Table1[[#This Row],[Progres MOS]]&gt;0%,"Proses MOS &gt; 50%",IF(Table1[[#This Row],[Progres MOS]]=0,"Belum MOS = 0%"))))</f>
        <v>Belum MOS = 0%</v>
      </c>
      <c r="ET44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7" s="47"/>
      <c r="EV447" s="331"/>
      <c r="EW447" s="331" t="e">
        <v>#N/A</v>
      </c>
      <c r="EX447" s="331"/>
      <c r="EY447" s="331" t="e">
        <v>#N/A</v>
      </c>
      <c r="EZ447" s="352"/>
      <c r="FA447" s="384"/>
      <c r="FB447" s="331" t="e">
        <v>#N/A</v>
      </c>
      <c r="FC447" s="331" t="e">
        <v>#N/A</v>
      </c>
      <c r="FD447" s="331" t="e">
        <v>#N/A</v>
      </c>
      <c r="FE447" s="331" t="e">
        <v>#N/A</v>
      </c>
      <c r="FF447" s="331" t="e">
        <v>#N/A</v>
      </c>
      <c r="FG447" s="331" t="e">
        <v>#N/A</v>
      </c>
      <c r="FH447" s="331" t="e">
        <v>#N/A</v>
      </c>
      <c r="FI447" s="331" t="e">
        <v>#N/A</v>
      </c>
      <c r="FJ447" s="331" t="e">
        <v>#N/A</v>
      </c>
      <c r="FK447" s="331" t="e">
        <v>#N/A</v>
      </c>
      <c r="FL447" s="352"/>
      <c r="FM447" s="352"/>
      <c r="FN447" s="338" t="str">
        <f>IF(Table1[[#This Row],[Tanggal Pengajuan Dokumen]]="","",Table1[[#This Row],[PLAN PERMIT
start]]-Table1[[#This Row],[Tanggal Pengajuan Dokumen]])</f>
        <v/>
      </c>
      <c r="FO447" s="352"/>
      <c r="FP447" s="316"/>
      <c r="FQ447" s="338"/>
      <c r="FR447" s="352"/>
      <c r="FS447" s="338"/>
      <c r="FT44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7" s="344">
        <f ca="1">IF(Table1[[#This Row],[Status Izin]]="Selesai",Table1[[#This Row],[PLAN PERMIT
finish]]-Table1[[#This Row],[Tanggal Terbit/ Target Izin Terbit]],ROUNDUP(Table1[[#This Row],[PLAN PERMIT
finish]]-NOW(),0))</f>
        <v>-46191</v>
      </c>
      <c r="FV44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7" s="344"/>
      <c r="FX447" s="47"/>
      <c r="FY447" s="571"/>
      <c r="FZ447" s="572"/>
      <c r="GA447"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7" s="331"/>
      <c r="GC447" s="352"/>
      <c r="GD44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7" s="331"/>
      <c r="GF447" s="352"/>
      <c r="GG44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7" s="331"/>
      <c r="GI447" s="331"/>
      <c r="GJ447" s="352"/>
      <c r="GK44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7" s="331"/>
      <c r="GM447" s="331" t="e">
        <v>#N/A</v>
      </c>
      <c r="GN447" s="331"/>
      <c r="GO447" s="330" t="e">
        <v>#N/A</v>
      </c>
      <c r="GP447" s="316"/>
      <c r="GQ44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7" s="331"/>
      <c r="GS447" s="331"/>
      <c r="GT447" s="354"/>
      <c r="GU447" s="344" t="str">
        <f>IF(Table1[[#This Row],[Hydro Tes Actual
(tanggal)]]&lt;&gt;"","Sudah","Belum")</f>
        <v>Belum</v>
      </c>
      <c r="GV447" s="330"/>
      <c r="GW447" s="330"/>
      <c r="GX447" s="331"/>
      <c r="GY447" s="344" t="str">
        <f>IF(Table1[[#This Row],[Interkoneksi Actual
(tanggal)]]&lt;&gt;"","Sudah","Belum")</f>
        <v>Belum</v>
      </c>
      <c r="GZ447" s="330"/>
      <c r="HA447" s="330"/>
      <c r="HB447" s="331"/>
      <c r="HC447" s="344" t="str">
        <f>IF(Table1[[#This Row],[Flushing Actual
(tanggal)]]&lt;&gt;"","Sudah","Belum")</f>
        <v>Belum</v>
      </c>
      <c r="HD447" s="331"/>
      <c r="HE447" s="331" t="e">
        <v>#N/A</v>
      </c>
      <c r="HF447" s="331"/>
      <c r="HG447" s="352"/>
      <c r="HH44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7" s="330"/>
      <c r="HJ447" s="330"/>
      <c r="HK447" s="331"/>
      <c r="HL447" s="316"/>
      <c r="HM447" s="331"/>
      <c r="HN447" s="331"/>
      <c r="HO447" s="330" t="e">
        <v>#N/A</v>
      </c>
      <c r="HP447" s="331"/>
      <c r="HQ44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47" s="352"/>
      <c r="HS447" s="352"/>
      <c r="HT447" s="352"/>
      <c r="HU447" s="477"/>
      <c r="HV447" s="331"/>
      <c r="HW447"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47" s="47"/>
      <c r="HY447" s="352"/>
      <c r="HZ447" s="352"/>
      <c r="IA447"/>
      <c r="IB447" s="618">
        <f>IFERROR(ROUND((Table1[[#This Row],[PLAN TC
finish]]-Table1[[#This Row],[PLAN MC-0
start]])/30,2),"")</f>
        <v>0</v>
      </c>
      <c r="IC447">
        <f>DATEDIF(Table1[[#This Row],[PLAN MC-0
start]],Table1[[#This Row],[PLAN TC
finish]],"m")</f>
        <v>0</v>
      </c>
      <c r="ID447" s="8"/>
      <c r="IE447" s="8"/>
      <c r="IF447" s="4"/>
      <c r="IG447" s="6"/>
      <c r="IH447" s="72"/>
      <c r="II447" s="72"/>
      <c r="IJ447" s="8"/>
      <c r="IL447" s="6"/>
      <c r="IM447" s="6"/>
      <c r="IN447" s="72"/>
      <c r="IO447" s="8"/>
      <c r="IQ447" s="4"/>
      <c r="IR447" s="4"/>
      <c r="IS447" s="6"/>
      <c r="IT447" s="6"/>
      <c r="IW447" s="6"/>
      <c r="IX447" s="6"/>
      <c r="IZ447" s="6"/>
      <c r="JA447" s="6"/>
    </row>
    <row r="448" spans="2:261" ht="15" hidden="1" customHeight="1" x14ac:dyDescent="0.2">
      <c r="B448" s="311">
        <f>SUBTOTAL(3,$D$5:D448)</f>
        <v>84</v>
      </c>
      <c r="C448" s="316">
        <v>460</v>
      </c>
      <c r="D448" s="460" t="s">
        <v>673</v>
      </c>
      <c r="E448" s="338" t="s">
        <v>3460</v>
      </c>
      <c r="F448" s="461" t="s">
        <v>3461</v>
      </c>
      <c r="G448" s="349">
        <v>46482</v>
      </c>
      <c r="H448" s="461" t="s">
        <v>681</v>
      </c>
      <c r="I448" s="338"/>
      <c r="J448" s="480"/>
      <c r="K448" s="338"/>
      <c r="L448" s="316"/>
      <c r="M448" s="355"/>
      <c r="N448" s="559">
        <v>29275</v>
      </c>
      <c r="O448" s="464" t="s">
        <v>252</v>
      </c>
      <c r="P44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48" s="337"/>
      <c r="S448" s="327"/>
      <c r="T448" s="327">
        <f>Table1[[#This Row],[Progres Total Aktual
(%)]]</f>
        <v>0</v>
      </c>
      <c r="U448" s="568">
        <f>Table1[[#This Row],[Progres Aktual
(%)]]-Table1[[#This Row],[Target Progres
(%)]]</f>
        <v>0</v>
      </c>
      <c r="V448" s="569">
        <f>Table1[[#This Row],["Volume
BA MC-0"]]</f>
        <v>0</v>
      </c>
      <c r="W448" s="569">
        <f>Table1[[#This Row],[Total Panjang Pipa Aktual
(Sum-&gt;)3]]</f>
        <v>0</v>
      </c>
      <c r="X448" s="117"/>
      <c r="Y448" s="295"/>
      <c r="Z448" s="508"/>
      <c r="AA448" s="508">
        <f>ROUND((Table1[[#This Row],[Nilai RAB Jaringan
(Exclude Ppn)]]-Table1[[#This Row],[RAB Perizinan]])*1.11+Table1[[#This Row],[RAB Perizinan]],0)</f>
        <v>0</v>
      </c>
      <c r="AB448" s="436">
        <f>SUM(Table1[[#This Row],[RAB Kegiatan Umum]:[RAB Perizinan]])</f>
        <v>0</v>
      </c>
      <c r="AC448" s="436"/>
      <c r="AD448" s="436"/>
      <c r="AE448" s="436"/>
      <c r="AF448" s="436"/>
      <c r="AG448" s="436"/>
      <c r="AH448" s="570" t="e">
        <f>SUM(Table1[[#This Row],[Bobot Keg Umum]:[Bobot Perizinan]])</f>
        <v>#DIV/0!</v>
      </c>
      <c r="AI448" s="570" t="e">
        <f>Table1[[#This Row],[RAB Kegiatan Umum]]/Table1[[#This Row],[Nilai RAB Jaringan
(Exclude Ppn)]]</f>
        <v>#DIV/0!</v>
      </c>
      <c r="AJ448" s="570" t="e">
        <f>Table1[[#This Row],[RAB Pemasangan]]/Table1[[#This Row],[Nilai RAB Jaringan
(Exclude Ppn)]]</f>
        <v>#DIV/0!</v>
      </c>
      <c r="AK448" s="570" t="e">
        <f>Table1[[#This Row],[RAB Pengadaan]]/Table1[[#This Row],[Nilai RAB Jaringan
(Exclude Ppn)]]</f>
        <v>#DIV/0!</v>
      </c>
      <c r="AL448" s="337" t="e">
        <f>Table1[[#This Row],[RAB Perizinan]]/Table1[[#This Row],[Nilai RAB Jaringan
(Exclude Ppn)]]</f>
        <v>#DIV/0!</v>
      </c>
      <c r="AM448" s="47"/>
      <c r="AN448" s="338"/>
      <c r="AO448" s="514">
        <f>SUM(Table1[[#This Row],[Pipa 63 mm]:[Pipa 1,800 mm]])</f>
        <v>0</v>
      </c>
      <c r="AP448" s="338"/>
      <c r="AQ448" s="338"/>
      <c r="AR448" s="338"/>
      <c r="AS448" s="338"/>
      <c r="AT448" s="338"/>
      <c r="AU448" s="338"/>
      <c r="AV448" s="338"/>
      <c r="AW448" s="338"/>
      <c r="AX448" s="338"/>
      <c r="AY448" s="338"/>
      <c r="AZ448" s="338"/>
      <c r="BA448" s="338"/>
      <c r="BB448" s="338"/>
      <c r="BC448" s="338"/>
      <c r="BD448" s="338"/>
      <c r="BE448" s="338"/>
      <c r="BF448" s="338"/>
      <c r="BG448" s="338"/>
      <c r="BH448" s="338"/>
      <c r="BI448" s="338"/>
      <c r="BJ448" s="36">
        <f>SUM(Table1[[#This Row],[Pipa 63 mm2]:[Pipa 1,800 mm21]])</f>
        <v>0</v>
      </c>
      <c r="BK448" s="32"/>
      <c r="BL448" s="32"/>
      <c r="BM448" s="32"/>
      <c r="BN448" s="32"/>
      <c r="BO448" s="32"/>
      <c r="BP448" s="32"/>
      <c r="BQ448" s="32"/>
      <c r="BR448" s="32"/>
      <c r="BS448" s="32"/>
      <c r="BT448" s="32"/>
      <c r="BU448" s="32"/>
      <c r="BV448" s="32"/>
      <c r="BW448" s="32"/>
      <c r="BX448" s="32"/>
      <c r="BY448" s="32"/>
      <c r="BZ448" s="32"/>
      <c r="CA448" s="32"/>
      <c r="CB448" s="32"/>
      <c r="CC448" s="32"/>
      <c r="CD448" s="32"/>
      <c r="CE448" s="32"/>
      <c r="CF448" s="32"/>
      <c r="CG448" s="32"/>
      <c r="CH448" s="32"/>
      <c r="CI448" s="32"/>
      <c r="CJ448" s="32">
        <f>IF((Table1[[#This Row],["Volume
BA MC-0"]]-Table1[[#This Row],[Total Panjang Pipa Aktual
(Sum-&gt;)3]]-Table1[[#This Row],[Total Volume
tidak dapat dipasang]])&gt;=0,Table1[[#This Row],["Volume
BA MC-0"]]-Table1[[#This Row],[Total Panjang Pipa Aktual
(Sum-&gt;)3]]-Table1[[#This Row],[Total Volume
tidak dapat dipasang]],0)</f>
        <v>0</v>
      </c>
      <c r="CK448" s="47"/>
      <c r="CL448" s="131"/>
      <c r="CM448" s="337"/>
      <c r="CN448" s="131"/>
      <c r="CO448" s="131"/>
      <c r="CP448" s="316"/>
      <c r="CQ448" s="436">
        <f>IFERROR(Table1[[#This Row],[Progres Keg. Umum
(%)]]*Table1[[#This Row],[Nilai RAB Jaringan
(file pa aji)]],0)</f>
        <v>0</v>
      </c>
      <c r="CR448" s="436">
        <f>IFERROR(Table1[[#This Row],[Progres MOS
(%)]]*Table1[[#This Row],[Nilai RAB Jaringan
(file pa aji)]],0)</f>
        <v>0</v>
      </c>
      <c r="CS448" s="436">
        <f>IFERROR(Table1[[#This Row],[Progres Pemasangan
(%)]]*Table1[[#This Row],[Nilai RAB Jaringan
(file pa aji)]],0)</f>
        <v>0</v>
      </c>
      <c r="CT448" s="436">
        <f>IFERROR(Table1[[#This Row],[Progres Perizinan
(%)]]*Table1[[#This Row],[Nilai RAB Jaringan
(file pa aji)]],0)</f>
        <v>0</v>
      </c>
      <c r="CU448" s="329"/>
      <c r="CV448" s="567"/>
      <c r="CW448" s="511"/>
      <c r="CX448" s="329"/>
      <c r="CY448" s="47"/>
      <c r="CZ448" s="331"/>
      <c r="DA448" s="331"/>
      <c r="DB448" s="331"/>
      <c r="DC448" s="316"/>
      <c r="DD448" s="508"/>
      <c r="DE44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8" s="331"/>
      <c r="DG448" s="316"/>
      <c r="DH448" s="508"/>
      <c r="DI44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8" s="331"/>
      <c r="DK448" s="331"/>
      <c r="DL448" s="331"/>
      <c r="DM448" s="316"/>
      <c r="DN448"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8" s="331"/>
      <c r="DP448" s="316"/>
      <c r="DQ448" s="338"/>
      <c r="DR448"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8" s="331"/>
      <c r="DT448" s="331" t="e">
        <v>#N/A</v>
      </c>
      <c r="DU448" s="331"/>
      <c r="DV448" s="331" t="e">
        <v>#N/A</v>
      </c>
      <c r="DW448" s="331"/>
      <c r="DX448" s="316"/>
      <c r="DY448" s="334"/>
      <c r="DZ448" s="334"/>
      <c r="EA448"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8" s="331"/>
      <c r="EC448" s="332"/>
      <c r="ED448" s="332"/>
      <c r="EE448" s="330"/>
      <c r="EF448" s="337"/>
      <c r="EG448" s="337"/>
      <c r="EH448" s="316" t="str">
        <f>IF(Table1[[#This Row],[PO Material Aktual 
(%)]]&gt;=100%,"Selesai PO = 100%",IF(Table1[[#This Row],[PO Material Aktual 
(%)]]&gt;=50%,"Proses PO &gt; 100%",IF(Table1[[#This Row],[PO Material Aktual 
(%)]]&gt;0%,"Proses PO &gt; 50%",IF(Table1[[#This Row],[PO Material Aktual 
(%)]]=0,"Belum PO = 0%"))))</f>
        <v>Belum PO = 0%</v>
      </c>
      <c r="EI44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8" s="331"/>
      <c r="EK448" s="331" t="e">
        <v>#N/A</v>
      </c>
      <c r="EL448" s="331"/>
      <c r="EM448" s="331" t="e">
        <v>#N/A</v>
      </c>
      <c r="EN448" s="331"/>
      <c r="EO448" s="316"/>
      <c r="EP448" s="335"/>
      <c r="EQ448" s="337"/>
      <c r="ER448" s="337"/>
      <c r="ES448" s="316" t="str">
        <f>IF(Table1[[#This Row],[Progres MOS]]&gt;=100%,"Selesai MOS = 100%",IF(Table1[[#This Row],[Progres MOS]]&gt;=50%,"Proses MOS &gt; 100%",IF(Table1[[#This Row],[Progres MOS]]&gt;0%,"Proses MOS &gt; 50%",IF(Table1[[#This Row],[Progres MOS]]=0,"Belum MOS = 0%"))))</f>
        <v>Belum MOS = 0%</v>
      </c>
      <c r="ET44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8" s="47"/>
      <c r="EV448" s="331"/>
      <c r="EW448" s="331" t="e">
        <v>#N/A</v>
      </c>
      <c r="EX448" s="331"/>
      <c r="EY448" s="331" t="e">
        <v>#N/A</v>
      </c>
      <c r="EZ448" s="352"/>
      <c r="FA448" s="384"/>
      <c r="FB448" s="331" t="e">
        <v>#N/A</v>
      </c>
      <c r="FC448" s="331" t="e">
        <v>#N/A</v>
      </c>
      <c r="FD448" s="331" t="e">
        <v>#N/A</v>
      </c>
      <c r="FE448" s="331" t="e">
        <v>#N/A</v>
      </c>
      <c r="FF448" s="331" t="e">
        <v>#N/A</v>
      </c>
      <c r="FG448" s="331" t="e">
        <v>#N/A</v>
      </c>
      <c r="FH448" s="331" t="e">
        <v>#N/A</v>
      </c>
      <c r="FI448" s="331" t="e">
        <v>#N/A</v>
      </c>
      <c r="FJ448" s="331" t="e">
        <v>#N/A</v>
      </c>
      <c r="FK448" s="331" t="e">
        <v>#N/A</v>
      </c>
      <c r="FL448" s="352"/>
      <c r="FM448" s="352"/>
      <c r="FN448" s="338" t="str">
        <f>IF(Table1[[#This Row],[Tanggal Pengajuan Dokumen]]="","",Table1[[#This Row],[PLAN PERMIT
start]]-Table1[[#This Row],[Tanggal Pengajuan Dokumen]])</f>
        <v/>
      </c>
      <c r="FO448" s="352"/>
      <c r="FP448" s="316"/>
      <c r="FQ448" s="338"/>
      <c r="FR448" s="352"/>
      <c r="FS448" s="338"/>
      <c r="FT44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8" s="344">
        <f ca="1">IF(Table1[[#This Row],[Status Izin]]="Selesai",Table1[[#This Row],[PLAN PERMIT
finish]]-Table1[[#This Row],[Tanggal Terbit/ Target Izin Terbit]],ROUNDUP(Table1[[#This Row],[PLAN PERMIT
finish]]-NOW(),0))</f>
        <v>-46191</v>
      </c>
      <c r="FV44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8" s="344"/>
      <c r="FX448" s="47"/>
      <c r="FY448" s="571"/>
      <c r="FZ448" s="572"/>
      <c r="GA448"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8" s="331"/>
      <c r="GC448" s="352"/>
      <c r="GD44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8" s="331"/>
      <c r="GF448" s="352"/>
      <c r="GG44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8" s="331"/>
      <c r="GI448" s="331"/>
      <c r="GJ448" s="352">
        <v>46121</v>
      </c>
      <c r="GK44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48" s="331"/>
      <c r="GM448" s="331" t="e">
        <v>#N/A</v>
      </c>
      <c r="GN448" s="331"/>
      <c r="GO448" s="527" t="e">
        <v>#N/A</v>
      </c>
      <c r="GP448" s="316"/>
      <c r="GQ44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8" s="331"/>
      <c r="GS448" s="331"/>
      <c r="GT448" s="354"/>
      <c r="GU448" s="344" t="str">
        <f>IF(Table1[[#This Row],[Hydro Tes Actual
(tanggal)]]&lt;&gt;"","Sudah","Belum")</f>
        <v>Belum</v>
      </c>
      <c r="GV448" s="330"/>
      <c r="GW448" s="330"/>
      <c r="GX448" s="331"/>
      <c r="GY448" s="344" t="str">
        <f>IF(Table1[[#This Row],[Interkoneksi Actual
(tanggal)]]&lt;&gt;"","Sudah","Belum")</f>
        <v>Belum</v>
      </c>
      <c r="GZ448" s="330"/>
      <c r="HA448" s="330"/>
      <c r="HB448" s="331"/>
      <c r="HC448" s="344" t="str">
        <f>IF(Table1[[#This Row],[Flushing Actual
(tanggal)]]&lt;&gt;"","Sudah","Belum")</f>
        <v>Belum</v>
      </c>
      <c r="HD448" s="331"/>
      <c r="HE448" s="331" t="e">
        <v>#N/A</v>
      </c>
      <c r="HF448" s="331"/>
      <c r="HG448" s="352"/>
      <c r="HH44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8" s="330"/>
      <c r="HJ448" s="330"/>
      <c r="HK448" s="331"/>
      <c r="HL448" s="316"/>
      <c r="HM448" s="331"/>
      <c r="HN448" s="331"/>
      <c r="HO448" s="527" t="e">
        <v>#N/A</v>
      </c>
      <c r="HP448" s="331"/>
      <c r="HQ44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48" s="352"/>
      <c r="HS448" s="352"/>
      <c r="HT448" s="352"/>
      <c r="HU448" s="477"/>
      <c r="HV448" s="331"/>
      <c r="HW44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48" s="47"/>
      <c r="HY448" s="352"/>
      <c r="HZ448" s="352"/>
      <c r="IA448"/>
      <c r="IB448" s="618">
        <f>IFERROR(ROUND((Table1[[#This Row],[PLAN TC
finish]]-Table1[[#This Row],[PLAN MC-0
start]])/30,2),"")</f>
        <v>0</v>
      </c>
      <c r="IC448">
        <f>DATEDIF(Table1[[#This Row],[PLAN MC-0
start]],Table1[[#This Row],[PLAN TC
finish]],"m")</f>
        <v>0</v>
      </c>
      <c r="ID448" s="8"/>
      <c r="IE448" s="8"/>
      <c r="IF448" s="4"/>
      <c r="IG448" s="6"/>
      <c r="IH448" s="72"/>
      <c r="II448" s="72"/>
      <c r="IJ448" s="8"/>
      <c r="IL448" s="6"/>
      <c r="IM448" s="6"/>
      <c r="IN448" s="72"/>
      <c r="IO448" s="8"/>
      <c r="IQ448" s="4"/>
      <c r="IR448" s="4"/>
      <c r="IS448" s="6"/>
      <c r="IT448" s="6"/>
      <c r="IW448" s="6"/>
      <c r="IX448" s="6"/>
      <c r="IZ448" s="6"/>
      <c r="JA448" s="6"/>
    </row>
    <row r="449" spans="2:261" ht="15" hidden="1" customHeight="1" x14ac:dyDescent="0.2">
      <c r="B449" s="311">
        <f>SUBTOTAL(3,$D$5:D449)</f>
        <v>84</v>
      </c>
      <c r="C449" s="316">
        <v>461</v>
      </c>
      <c r="D449" s="460" t="s">
        <v>673</v>
      </c>
      <c r="E449" s="338" t="s">
        <v>3462</v>
      </c>
      <c r="F449" s="461" t="s">
        <v>3463</v>
      </c>
      <c r="G449" s="349">
        <v>46482</v>
      </c>
      <c r="H449" s="461" t="s">
        <v>681</v>
      </c>
      <c r="I449" s="338"/>
      <c r="J449" s="480"/>
      <c r="K449" s="338"/>
      <c r="L449" s="316"/>
      <c r="M449" s="355"/>
      <c r="N449" s="559">
        <v>1587</v>
      </c>
      <c r="O449" s="464" t="s">
        <v>252</v>
      </c>
      <c r="P44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9" s="337"/>
      <c r="S449" s="327"/>
      <c r="T449" s="327">
        <f>Table1[[#This Row],[Progres Total Aktual
(%)]]</f>
        <v>0</v>
      </c>
      <c r="U449" s="568">
        <f>Table1[[#This Row],[Progres Aktual
(%)]]-Table1[[#This Row],[Target Progres
(%)]]</f>
        <v>0</v>
      </c>
      <c r="V449" s="569">
        <f>Table1[[#This Row],["Volume
BA MC-0"]]</f>
        <v>0</v>
      </c>
      <c r="W449" s="569">
        <f>Table1[[#This Row],[Total Panjang Pipa Aktual
(Sum-&gt;)3]]</f>
        <v>0</v>
      </c>
      <c r="X449" s="117"/>
      <c r="Y449" s="295"/>
      <c r="Z449" s="508"/>
      <c r="AA449" s="508">
        <f>ROUND((Table1[[#This Row],[Nilai RAB Jaringan
(Exclude Ppn)]]-Table1[[#This Row],[RAB Perizinan]])*1.11+Table1[[#This Row],[RAB Perizinan]],0)</f>
        <v>0</v>
      </c>
      <c r="AB449" s="436">
        <f>SUM(Table1[[#This Row],[RAB Kegiatan Umum]:[RAB Perizinan]])</f>
        <v>0</v>
      </c>
      <c r="AC449" s="436"/>
      <c r="AD449" s="436"/>
      <c r="AE449" s="436"/>
      <c r="AF449" s="436"/>
      <c r="AG449" s="436"/>
      <c r="AH449" s="570" t="e">
        <f>SUM(Table1[[#This Row],[Bobot Keg Umum]:[Bobot Perizinan]])</f>
        <v>#DIV/0!</v>
      </c>
      <c r="AI449" s="570" t="e">
        <f>Table1[[#This Row],[RAB Kegiatan Umum]]/Table1[[#This Row],[Nilai RAB Jaringan
(Exclude Ppn)]]</f>
        <v>#DIV/0!</v>
      </c>
      <c r="AJ449" s="570" t="e">
        <f>Table1[[#This Row],[RAB Pemasangan]]/Table1[[#This Row],[Nilai RAB Jaringan
(Exclude Ppn)]]</f>
        <v>#DIV/0!</v>
      </c>
      <c r="AK449" s="570" t="e">
        <f>Table1[[#This Row],[RAB Pengadaan]]/Table1[[#This Row],[Nilai RAB Jaringan
(Exclude Ppn)]]</f>
        <v>#DIV/0!</v>
      </c>
      <c r="AL449" s="337" t="e">
        <f>Table1[[#This Row],[RAB Perizinan]]/Table1[[#This Row],[Nilai RAB Jaringan
(Exclude Ppn)]]</f>
        <v>#DIV/0!</v>
      </c>
      <c r="AM449" s="47"/>
      <c r="AN449" s="338"/>
      <c r="AO449" s="514">
        <f>SUM(Table1[[#This Row],[Pipa 63 mm]:[Pipa 1,800 mm]])</f>
        <v>0</v>
      </c>
      <c r="AP449" s="338"/>
      <c r="AQ449" s="338"/>
      <c r="AR449" s="338"/>
      <c r="AS449" s="338"/>
      <c r="AT449" s="338"/>
      <c r="AU449" s="338"/>
      <c r="AV449" s="338"/>
      <c r="AW449" s="338"/>
      <c r="AX449" s="338"/>
      <c r="AY449" s="338"/>
      <c r="AZ449" s="338"/>
      <c r="BA449" s="338"/>
      <c r="BB449" s="338"/>
      <c r="BC449" s="338"/>
      <c r="BD449" s="338"/>
      <c r="BE449" s="338"/>
      <c r="BF449" s="338"/>
      <c r="BG449" s="338"/>
      <c r="BH449" s="338"/>
      <c r="BI449" s="338"/>
      <c r="BJ449" s="36">
        <f>SUM(Table1[[#This Row],[Pipa 63 mm2]:[Pipa 1,800 mm21]])</f>
        <v>0</v>
      </c>
      <c r="BK449" s="32"/>
      <c r="BL449" s="32"/>
      <c r="BM449" s="32"/>
      <c r="BN449" s="32"/>
      <c r="BO449" s="32"/>
      <c r="BP449" s="32"/>
      <c r="BQ449" s="32"/>
      <c r="BR449" s="32"/>
      <c r="BS449" s="32"/>
      <c r="BT449" s="32"/>
      <c r="BU449" s="32"/>
      <c r="BV449" s="32"/>
      <c r="BW449" s="32"/>
      <c r="BX449" s="32"/>
      <c r="BY449" s="32"/>
      <c r="BZ449" s="32"/>
      <c r="CA449" s="32"/>
      <c r="CB449" s="32"/>
      <c r="CC449" s="32"/>
      <c r="CD449" s="32"/>
      <c r="CE449" s="32"/>
      <c r="CF449" s="32"/>
      <c r="CG449" s="32"/>
      <c r="CH449" s="32"/>
      <c r="CI449" s="32"/>
      <c r="CJ449" s="32">
        <f>IF((Table1[[#This Row],["Volume
BA MC-0"]]-Table1[[#This Row],[Total Panjang Pipa Aktual
(Sum-&gt;)3]]-Table1[[#This Row],[Total Volume
tidak dapat dipasang]])&gt;=0,Table1[[#This Row],["Volume
BA MC-0"]]-Table1[[#This Row],[Total Panjang Pipa Aktual
(Sum-&gt;)3]]-Table1[[#This Row],[Total Volume
tidak dapat dipasang]],0)</f>
        <v>0</v>
      </c>
      <c r="CK449" s="47"/>
      <c r="CL449" s="131"/>
      <c r="CM449" s="337"/>
      <c r="CN449" s="131"/>
      <c r="CO449" s="131"/>
      <c r="CP449" s="316"/>
      <c r="CQ449" s="436">
        <f>IFERROR(Table1[[#This Row],[Progres Keg. Umum
(%)]]*Table1[[#This Row],[Nilai RAB Jaringan
(file pa aji)]],0)</f>
        <v>0</v>
      </c>
      <c r="CR449" s="436">
        <f>IFERROR(Table1[[#This Row],[Progres MOS
(%)]]*Table1[[#This Row],[Nilai RAB Jaringan
(file pa aji)]],0)</f>
        <v>0</v>
      </c>
      <c r="CS449" s="436">
        <f>IFERROR(Table1[[#This Row],[Progres Pemasangan
(%)]]*Table1[[#This Row],[Nilai RAB Jaringan
(file pa aji)]],0)</f>
        <v>0</v>
      </c>
      <c r="CT449" s="436">
        <f>IFERROR(Table1[[#This Row],[Progres Perizinan
(%)]]*Table1[[#This Row],[Nilai RAB Jaringan
(file pa aji)]],0)</f>
        <v>0</v>
      </c>
      <c r="CU449" s="329"/>
      <c r="CV449" s="567"/>
      <c r="CW449" s="511"/>
      <c r="CX449" s="329"/>
      <c r="CY449" s="47"/>
      <c r="CZ449" s="331"/>
      <c r="DA449" s="331"/>
      <c r="DB449" s="331"/>
      <c r="DC449" s="316"/>
      <c r="DD449" s="508"/>
      <c r="DE44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9" s="331"/>
      <c r="DG449" s="316"/>
      <c r="DH449" s="508"/>
      <c r="DI44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9" s="331"/>
      <c r="DK449" s="331"/>
      <c r="DL449" s="331"/>
      <c r="DM449" s="316"/>
      <c r="DN449"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9" s="331"/>
      <c r="DP449" s="316"/>
      <c r="DQ449" s="338"/>
      <c r="DR449"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9" s="331"/>
      <c r="DT449" s="331" t="e">
        <v>#N/A</v>
      </c>
      <c r="DU449" s="331"/>
      <c r="DV449" s="331" t="e">
        <v>#N/A</v>
      </c>
      <c r="DW449" s="331"/>
      <c r="DX449" s="316"/>
      <c r="DY449" s="335"/>
      <c r="DZ449" s="335"/>
      <c r="EA449"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9" s="331"/>
      <c r="EC449" s="332"/>
      <c r="ED449" s="332"/>
      <c r="EE449" s="330"/>
      <c r="EF449" s="337"/>
      <c r="EG449" s="337"/>
      <c r="EH449" s="316" t="str">
        <f>IF(Table1[[#This Row],[PO Material Aktual 
(%)]]&gt;=100%,"Selesai PO = 100%",IF(Table1[[#This Row],[PO Material Aktual 
(%)]]&gt;=50%,"Proses PO &gt; 100%",IF(Table1[[#This Row],[PO Material Aktual 
(%)]]&gt;0%,"Proses PO &gt; 50%",IF(Table1[[#This Row],[PO Material Aktual 
(%)]]=0,"Belum PO = 0%"))))</f>
        <v>Belum PO = 0%</v>
      </c>
      <c r="EI44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9" s="331"/>
      <c r="EK449" s="331" t="e">
        <v>#N/A</v>
      </c>
      <c r="EL449" s="331"/>
      <c r="EM449" s="331" t="e">
        <v>#N/A</v>
      </c>
      <c r="EN449" s="331"/>
      <c r="EO449" s="316"/>
      <c r="EP449" s="335"/>
      <c r="EQ449" s="337"/>
      <c r="ER449" s="337"/>
      <c r="ES449" s="316" t="str">
        <f>IF(Table1[[#This Row],[Progres MOS]]&gt;=100%,"Selesai MOS = 100%",IF(Table1[[#This Row],[Progres MOS]]&gt;=50%,"Proses MOS &gt; 100%",IF(Table1[[#This Row],[Progres MOS]]&gt;0%,"Proses MOS &gt; 50%",IF(Table1[[#This Row],[Progres MOS]]=0,"Belum MOS = 0%"))))</f>
        <v>Belum MOS = 0%</v>
      </c>
      <c r="ET44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9" s="47"/>
      <c r="EV449" s="331"/>
      <c r="EW449" s="331" t="e">
        <v>#N/A</v>
      </c>
      <c r="EX449" s="331"/>
      <c r="EY449" s="331" t="e">
        <v>#N/A</v>
      </c>
      <c r="EZ449" s="352"/>
      <c r="FA449" s="384"/>
      <c r="FB449" s="331" t="e">
        <v>#N/A</v>
      </c>
      <c r="FC449" s="331" t="e">
        <v>#N/A</v>
      </c>
      <c r="FD449" s="331" t="e">
        <v>#N/A</v>
      </c>
      <c r="FE449" s="331" t="e">
        <v>#N/A</v>
      </c>
      <c r="FF449" s="331" t="e">
        <v>#N/A</v>
      </c>
      <c r="FG449" s="331" t="e">
        <v>#N/A</v>
      </c>
      <c r="FH449" s="331" t="e">
        <v>#N/A</v>
      </c>
      <c r="FI449" s="331" t="e">
        <v>#N/A</v>
      </c>
      <c r="FJ449" s="331" t="e">
        <v>#N/A</v>
      </c>
      <c r="FK449" s="331" t="e">
        <v>#N/A</v>
      </c>
      <c r="FL449" s="352"/>
      <c r="FM449" s="352"/>
      <c r="FN449" s="338" t="str">
        <f>IF(Table1[[#This Row],[Tanggal Pengajuan Dokumen]]="","",Table1[[#This Row],[PLAN PERMIT
start]]-Table1[[#This Row],[Tanggal Pengajuan Dokumen]])</f>
        <v/>
      </c>
      <c r="FO449" s="352"/>
      <c r="FP449" s="316"/>
      <c r="FQ449" s="338"/>
      <c r="FR449" s="352"/>
      <c r="FS449" s="338"/>
      <c r="FT44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9" s="344">
        <f ca="1">IF(Table1[[#This Row],[Status Izin]]="Selesai",Table1[[#This Row],[PLAN PERMIT
finish]]-Table1[[#This Row],[Tanggal Terbit/ Target Izin Terbit]],ROUNDUP(Table1[[#This Row],[PLAN PERMIT
finish]]-NOW(),0))</f>
        <v>-46191</v>
      </c>
      <c r="FV44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9" s="344"/>
      <c r="FX449" s="47"/>
      <c r="FY449" s="571"/>
      <c r="FZ449" s="572"/>
      <c r="GA449"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9" s="331"/>
      <c r="GC449" s="352"/>
      <c r="GD44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9" s="331"/>
      <c r="GF449" s="352"/>
      <c r="GG44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9" s="331"/>
      <c r="GI449" s="331"/>
      <c r="GJ449" s="352"/>
      <c r="GK44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9" s="331"/>
      <c r="GM449" s="331" t="e">
        <v>#N/A</v>
      </c>
      <c r="GN449" s="331"/>
      <c r="GO449" s="527" t="e">
        <v>#N/A</v>
      </c>
      <c r="GP449" s="316"/>
      <c r="GQ44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9" s="331"/>
      <c r="GS449" s="331"/>
      <c r="GT449" s="354"/>
      <c r="GU449" s="344" t="str">
        <f>IF(Table1[[#This Row],[Hydro Tes Actual
(tanggal)]]&lt;&gt;"","Sudah","Belum")</f>
        <v>Belum</v>
      </c>
      <c r="GV449" s="330"/>
      <c r="GW449" s="330"/>
      <c r="GX449" s="331"/>
      <c r="GY449" s="344" t="str">
        <f>IF(Table1[[#This Row],[Interkoneksi Actual
(tanggal)]]&lt;&gt;"","Sudah","Belum")</f>
        <v>Belum</v>
      </c>
      <c r="GZ449" s="330"/>
      <c r="HA449" s="330"/>
      <c r="HB449" s="331"/>
      <c r="HC449" s="344" t="str">
        <f>IF(Table1[[#This Row],[Flushing Actual
(tanggal)]]&lt;&gt;"","Sudah","Belum")</f>
        <v>Belum</v>
      </c>
      <c r="HD449" s="331"/>
      <c r="HE449" s="331" t="e">
        <v>#N/A</v>
      </c>
      <c r="HF449" s="331"/>
      <c r="HG449" s="352"/>
      <c r="HH44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9" s="330"/>
      <c r="HJ449" s="330"/>
      <c r="HK449" s="331"/>
      <c r="HL449" s="316"/>
      <c r="HM449" s="331"/>
      <c r="HN449" s="331"/>
      <c r="HO449" s="527" t="e">
        <v>#N/A</v>
      </c>
      <c r="HP449" s="331"/>
      <c r="HQ44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49" s="352"/>
      <c r="HS449" s="352"/>
      <c r="HT449" s="352"/>
      <c r="HU449" s="474"/>
      <c r="HV449" s="331"/>
      <c r="HW449"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49" s="47"/>
      <c r="HY449" s="352"/>
      <c r="HZ449" s="352"/>
      <c r="IA449"/>
      <c r="IB449" s="618">
        <f>IFERROR(ROUND((Table1[[#This Row],[PLAN TC
finish]]-Table1[[#This Row],[PLAN MC-0
start]])/30,2),"")</f>
        <v>0</v>
      </c>
      <c r="IC449">
        <f>DATEDIF(Table1[[#This Row],[PLAN MC-0
start]],Table1[[#This Row],[PLAN TC
finish]],"m")</f>
        <v>0</v>
      </c>
      <c r="ID449" s="8"/>
      <c r="IE449" s="8"/>
      <c r="IF449" s="4"/>
      <c r="IG449" s="6"/>
      <c r="IH449" s="72"/>
      <c r="II449" s="72"/>
      <c r="IJ449" s="8"/>
      <c r="IL449" s="6"/>
      <c r="IM449" s="6"/>
      <c r="IN449" s="72"/>
      <c r="IO449" s="8"/>
      <c r="IQ449" s="4"/>
      <c r="IR449" s="4"/>
      <c r="IS449" s="6"/>
      <c r="IT449" s="6"/>
      <c r="IW449" s="6"/>
      <c r="IX449" s="6"/>
      <c r="IZ449" s="6"/>
      <c r="JA449" s="6"/>
    </row>
    <row r="450" spans="2:261" ht="15" hidden="1" customHeight="1" x14ac:dyDescent="0.2">
      <c r="B450" s="311">
        <f>SUBTOTAL(3,$D$5:D450)</f>
        <v>84</v>
      </c>
      <c r="C450" s="316">
        <v>462</v>
      </c>
      <c r="D450" s="460" t="s">
        <v>673</v>
      </c>
      <c r="E450" s="338" t="s">
        <v>3464</v>
      </c>
      <c r="F450" s="461" t="s">
        <v>3465</v>
      </c>
      <c r="G450" s="349">
        <v>46482</v>
      </c>
      <c r="H450" s="461" t="s">
        <v>681</v>
      </c>
      <c r="I450" s="338"/>
      <c r="J450" s="480"/>
      <c r="K450" s="338"/>
      <c r="L450" s="316"/>
      <c r="M450" s="355"/>
      <c r="N450" s="559">
        <v>532</v>
      </c>
      <c r="O450" s="464" t="s">
        <v>252</v>
      </c>
      <c r="P45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0" s="337"/>
      <c r="S450" s="327"/>
      <c r="T450" s="327">
        <f>Table1[[#This Row],[Progres Total Aktual
(%)]]</f>
        <v>0</v>
      </c>
      <c r="U450" s="568">
        <f>Table1[[#This Row],[Progres Aktual
(%)]]-Table1[[#This Row],[Target Progres
(%)]]</f>
        <v>0</v>
      </c>
      <c r="V450" s="569">
        <f>Table1[[#This Row],["Volume
BA MC-0"]]</f>
        <v>0</v>
      </c>
      <c r="W450" s="569">
        <f>Table1[[#This Row],[Total Panjang Pipa Aktual
(Sum-&gt;)3]]</f>
        <v>0</v>
      </c>
      <c r="X450" s="117"/>
      <c r="Y450" s="295"/>
      <c r="Z450" s="508"/>
      <c r="AA450" s="508">
        <f>ROUND((Table1[[#This Row],[Nilai RAB Jaringan
(Exclude Ppn)]]-Table1[[#This Row],[RAB Perizinan]])*1.11+Table1[[#This Row],[RAB Perizinan]],0)</f>
        <v>0</v>
      </c>
      <c r="AB450" s="436">
        <f>SUM(Table1[[#This Row],[RAB Kegiatan Umum]:[RAB Perizinan]])</f>
        <v>0</v>
      </c>
      <c r="AC450" s="436"/>
      <c r="AD450" s="436"/>
      <c r="AE450" s="436"/>
      <c r="AF450" s="436"/>
      <c r="AG450" s="436"/>
      <c r="AH450" s="570" t="e">
        <f>SUM(Table1[[#This Row],[Bobot Keg Umum]:[Bobot Perizinan]])</f>
        <v>#DIV/0!</v>
      </c>
      <c r="AI450" s="570" t="e">
        <f>Table1[[#This Row],[RAB Kegiatan Umum]]/Table1[[#This Row],[Nilai RAB Jaringan
(Exclude Ppn)]]</f>
        <v>#DIV/0!</v>
      </c>
      <c r="AJ450" s="570" t="e">
        <f>Table1[[#This Row],[RAB Pemasangan]]/Table1[[#This Row],[Nilai RAB Jaringan
(Exclude Ppn)]]</f>
        <v>#DIV/0!</v>
      </c>
      <c r="AK450" s="570" t="e">
        <f>Table1[[#This Row],[RAB Pengadaan]]/Table1[[#This Row],[Nilai RAB Jaringan
(Exclude Ppn)]]</f>
        <v>#DIV/0!</v>
      </c>
      <c r="AL450" s="337" t="e">
        <f>Table1[[#This Row],[RAB Perizinan]]/Table1[[#This Row],[Nilai RAB Jaringan
(Exclude Ppn)]]</f>
        <v>#DIV/0!</v>
      </c>
      <c r="AM450" s="47"/>
      <c r="AN450" s="338"/>
      <c r="AO450" s="514">
        <f>SUM(Table1[[#This Row],[Pipa 63 mm]:[Pipa 1,800 mm]])</f>
        <v>0</v>
      </c>
      <c r="AP450" s="338"/>
      <c r="AQ450" s="338"/>
      <c r="AR450" s="338"/>
      <c r="AS450" s="338"/>
      <c r="AT450" s="338"/>
      <c r="AU450" s="338"/>
      <c r="AV450" s="338"/>
      <c r="AW450" s="338"/>
      <c r="AX450" s="338"/>
      <c r="AY450" s="338"/>
      <c r="AZ450" s="338"/>
      <c r="BA450" s="338"/>
      <c r="BB450" s="338"/>
      <c r="BC450" s="338"/>
      <c r="BD450" s="338"/>
      <c r="BE450" s="338"/>
      <c r="BF450" s="338"/>
      <c r="BG450" s="338"/>
      <c r="BH450" s="338"/>
      <c r="BI450" s="338"/>
      <c r="BJ450" s="36">
        <f>SUM(Table1[[#This Row],[Pipa 63 mm2]:[Pipa 1,800 mm21]])</f>
        <v>0</v>
      </c>
      <c r="BK450" s="32"/>
      <c r="BL450" s="32"/>
      <c r="BM450" s="32"/>
      <c r="BN450" s="32"/>
      <c r="BO450" s="32"/>
      <c r="BP450" s="32"/>
      <c r="BQ450" s="32"/>
      <c r="BR450" s="32"/>
      <c r="BS450" s="32"/>
      <c r="BT450" s="32"/>
      <c r="BU450" s="32"/>
      <c r="BV450" s="32"/>
      <c r="BW450" s="32"/>
      <c r="BX450" s="32"/>
      <c r="BY450" s="32"/>
      <c r="BZ450" s="32"/>
      <c r="CA450" s="32"/>
      <c r="CB450" s="32"/>
      <c r="CC450" s="32"/>
      <c r="CD450" s="32"/>
      <c r="CE450" s="32"/>
      <c r="CF450" s="32"/>
      <c r="CG450" s="32"/>
      <c r="CH450" s="32"/>
      <c r="CI450" s="32"/>
      <c r="CJ450" s="32">
        <f>IF((Table1[[#This Row],["Volume
BA MC-0"]]-Table1[[#This Row],[Total Panjang Pipa Aktual
(Sum-&gt;)3]]-Table1[[#This Row],[Total Volume
tidak dapat dipasang]])&gt;=0,Table1[[#This Row],["Volume
BA MC-0"]]-Table1[[#This Row],[Total Panjang Pipa Aktual
(Sum-&gt;)3]]-Table1[[#This Row],[Total Volume
tidak dapat dipasang]],0)</f>
        <v>0</v>
      </c>
      <c r="CK450" s="47"/>
      <c r="CL450" s="131"/>
      <c r="CM450" s="337"/>
      <c r="CN450" s="131"/>
      <c r="CO450" s="131"/>
      <c r="CP450" s="316"/>
      <c r="CQ450" s="436">
        <f>IFERROR(Table1[[#This Row],[Progres Keg. Umum
(%)]]*Table1[[#This Row],[Nilai RAB Jaringan
(file pa aji)]],0)</f>
        <v>0</v>
      </c>
      <c r="CR450" s="436">
        <f>IFERROR(Table1[[#This Row],[Progres MOS
(%)]]*Table1[[#This Row],[Nilai RAB Jaringan
(file pa aji)]],0)</f>
        <v>0</v>
      </c>
      <c r="CS450" s="436">
        <f>IFERROR(Table1[[#This Row],[Progres Pemasangan
(%)]]*Table1[[#This Row],[Nilai RAB Jaringan
(file pa aji)]],0)</f>
        <v>0</v>
      </c>
      <c r="CT450" s="436">
        <f>IFERROR(Table1[[#This Row],[Progres Perizinan
(%)]]*Table1[[#This Row],[Nilai RAB Jaringan
(file pa aji)]],0)</f>
        <v>0</v>
      </c>
      <c r="CU450" s="329"/>
      <c r="CV450" s="567"/>
      <c r="CW450" s="511"/>
      <c r="CX450" s="329"/>
      <c r="CY450" s="47"/>
      <c r="CZ450" s="331"/>
      <c r="DA450" s="331"/>
      <c r="DB450" s="331"/>
      <c r="DC450" s="316"/>
      <c r="DD450" s="508"/>
      <c r="DE45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0" s="331"/>
      <c r="DG450" s="316"/>
      <c r="DH450" s="508"/>
      <c r="DI45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0" s="331"/>
      <c r="DK450" s="331"/>
      <c r="DL450" s="331"/>
      <c r="DM450" s="316"/>
      <c r="DN450"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0" s="331"/>
      <c r="DP450" s="316"/>
      <c r="DQ450" s="338"/>
      <c r="DR450"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0" s="331"/>
      <c r="DT450" s="331" t="e">
        <v>#N/A</v>
      </c>
      <c r="DU450" s="331"/>
      <c r="DV450" s="331" t="e">
        <v>#N/A</v>
      </c>
      <c r="DW450" s="331"/>
      <c r="DX450" s="316"/>
      <c r="DY450" s="335"/>
      <c r="DZ450" s="335"/>
      <c r="EA450"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0" s="331"/>
      <c r="EC450" s="332"/>
      <c r="ED450" s="332"/>
      <c r="EE450" s="330"/>
      <c r="EF450" s="337"/>
      <c r="EG450" s="337"/>
      <c r="EH450" s="316" t="str">
        <f>IF(Table1[[#This Row],[PO Material Aktual 
(%)]]&gt;=100%,"Selesai PO = 100%",IF(Table1[[#This Row],[PO Material Aktual 
(%)]]&gt;=50%,"Proses PO &gt; 100%",IF(Table1[[#This Row],[PO Material Aktual 
(%)]]&gt;0%,"Proses PO &gt; 50%",IF(Table1[[#This Row],[PO Material Aktual 
(%)]]=0,"Belum PO = 0%"))))</f>
        <v>Belum PO = 0%</v>
      </c>
      <c r="EI45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0" s="331"/>
      <c r="EK450" s="331" t="e">
        <v>#N/A</v>
      </c>
      <c r="EL450" s="331"/>
      <c r="EM450" s="331" t="e">
        <v>#N/A</v>
      </c>
      <c r="EN450" s="331"/>
      <c r="EO450" s="316"/>
      <c r="EP450" s="335"/>
      <c r="EQ450" s="337"/>
      <c r="ER450" s="337"/>
      <c r="ES450" s="316" t="str">
        <f>IF(Table1[[#This Row],[Progres MOS]]&gt;=100%,"Selesai MOS = 100%",IF(Table1[[#This Row],[Progres MOS]]&gt;=50%,"Proses MOS &gt; 100%",IF(Table1[[#This Row],[Progres MOS]]&gt;0%,"Proses MOS &gt; 50%",IF(Table1[[#This Row],[Progres MOS]]=0,"Belum MOS = 0%"))))</f>
        <v>Belum MOS = 0%</v>
      </c>
      <c r="ET45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0" s="47"/>
      <c r="EV450" s="331"/>
      <c r="EW450" s="331" t="e">
        <v>#N/A</v>
      </c>
      <c r="EX450" s="331"/>
      <c r="EY450" s="331" t="e">
        <v>#N/A</v>
      </c>
      <c r="EZ450" s="352"/>
      <c r="FA450" s="384"/>
      <c r="FB450" s="331" t="e">
        <v>#N/A</v>
      </c>
      <c r="FC450" s="331" t="e">
        <v>#N/A</v>
      </c>
      <c r="FD450" s="331" t="e">
        <v>#N/A</v>
      </c>
      <c r="FE450" s="331" t="e">
        <v>#N/A</v>
      </c>
      <c r="FF450" s="331" t="e">
        <v>#N/A</v>
      </c>
      <c r="FG450" s="331" t="e">
        <v>#N/A</v>
      </c>
      <c r="FH450" s="331" t="e">
        <v>#N/A</v>
      </c>
      <c r="FI450" s="331" t="e">
        <v>#N/A</v>
      </c>
      <c r="FJ450" s="331" t="e">
        <v>#N/A</v>
      </c>
      <c r="FK450" s="331" t="e">
        <v>#N/A</v>
      </c>
      <c r="FL450" s="352"/>
      <c r="FM450" s="352"/>
      <c r="FN450" s="338" t="str">
        <f>IF(Table1[[#This Row],[Tanggal Pengajuan Dokumen]]="","",Table1[[#This Row],[PLAN PERMIT
start]]-Table1[[#This Row],[Tanggal Pengajuan Dokumen]])</f>
        <v/>
      </c>
      <c r="FO450" s="352"/>
      <c r="FP450" s="316"/>
      <c r="FQ450" s="338"/>
      <c r="FR450" s="352"/>
      <c r="FS450" s="338"/>
      <c r="FT45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0" s="344">
        <f ca="1">IF(Table1[[#This Row],[Status Izin]]="Selesai",Table1[[#This Row],[PLAN PERMIT
finish]]-Table1[[#This Row],[Tanggal Terbit/ Target Izin Terbit]],ROUNDUP(Table1[[#This Row],[PLAN PERMIT
finish]]-NOW(),0))</f>
        <v>-46191</v>
      </c>
      <c r="FV45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0" s="344"/>
      <c r="FX450" s="47"/>
      <c r="FY450" s="571"/>
      <c r="FZ450" s="572"/>
      <c r="GA450"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0" s="331"/>
      <c r="GC450" s="352"/>
      <c r="GD45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0" s="331"/>
      <c r="GF450" s="352"/>
      <c r="GG45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0" s="331"/>
      <c r="GI450" s="331"/>
      <c r="GJ450" s="352"/>
      <c r="GK45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0" s="331"/>
      <c r="GM450" s="331" t="e">
        <v>#N/A</v>
      </c>
      <c r="GN450" s="331"/>
      <c r="GO450" s="527" t="e">
        <v>#N/A</v>
      </c>
      <c r="GP450" s="316"/>
      <c r="GQ45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0" s="331"/>
      <c r="GS450" s="331"/>
      <c r="GT450" s="354"/>
      <c r="GU450" s="344" t="str">
        <f>IF(Table1[[#This Row],[Hydro Tes Actual
(tanggal)]]&lt;&gt;"","Sudah","Belum")</f>
        <v>Belum</v>
      </c>
      <c r="GV450" s="330"/>
      <c r="GW450" s="330"/>
      <c r="GX450" s="331"/>
      <c r="GY450" s="344" t="str">
        <f>IF(Table1[[#This Row],[Interkoneksi Actual
(tanggal)]]&lt;&gt;"","Sudah","Belum")</f>
        <v>Belum</v>
      </c>
      <c r="GZ450" s="330"/>
      <c r="HA450" s="330"/>
      <c r="HB450" s="331"/>
      <c r="HC450" s="344" t="str">
        <f>IF(Table1[[#This Row],[Flushing Actual
(tanggal)]]&lt;&gt;"","Sudah","Belum")</f>
        <v>Belum</v>
      </c>
      <c r="HD450" s="331"/>
      <c r="HE450" s="331" t="e">
        <v>#N/A</v>
      </c>
      <c r="HF450" s="331"/>
      <c r="HG450" s="352"/>
      <c r="HH45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0" s="330"/>
      <c r="HJ450" s="330"/>
      <c r="HK450" s="331"/>
      <c r="HL450" s="316"/>
      <c r="HM450" s="331"/>
      <c r="HN450" s="331"/>
      <c r="HO450" s="527" t="e">
        <v>#N/A</v>
      </c>
      <c r="HP450" s="331"/>
      <c r="HQ45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50" s="352"/>
      <c r="HS450" s="352"/>
      <c r="HT450" s="352"/>
      <c r="HU450" s="474"/>
      <c r="HV450" s="331"/>
      <c r="HW450"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50" s="47"/>
      <c r="HY450" s="352"/>
      <c r="HZ450" s="352"/>
      <c r="IA450"/>
      <c r="IB450" s="618">
        <f>IFERROR(ROUND((Table1[[#This Row],[PLAN TC
finish]]-Table1[[#This Row],[PLAN MC-0
start]])/30,2),"")</f>
        <v>0</v>
      </c>
      <c r="IC450">
        <f>DATEDIF(Table1[[#This Row],[PLAN MC-0
start]],Table1[[#This Row],[PLAN TC
finish]],"m")</f>
        <v>0</v>
      </c>
      <c r="ID450" s="8"/>
      <c r="IE450" s="8"/>
      <c r="IF450" s="4"/>
      <c r="IG450" s="6"/>
      <c r="IH450" s="72"/>
      <c r="II450" s="72"/>
      <c r="IJ450" s="8"/>
      <c r="IL450" s="6"/>
      <c r="IM450" s="6"/>
      <c r="IN450" s="72"/>
      <c r="IO450" s="8"/>
      <c r="IQ450" s="4"/>
      <c r="IR450" s="4"/>
      <c r="IS450" s="6"/>
      <c r="IT450" s="6"/>
      <c r="IW450" s="6"/>
      <c r="IX450" s="6"/>
      <c r="IZ450" s="6"/>
      <c r="JA450" s="6"/>
    </row>
    <row r="451" spans="2:261" ht="15" hidden="1" customHeight="1" x14ac:dyDescent="0.2">
      <c r="B451" s="311">
        <f>SUBTOTAL(3,$D$5:D451)</f>
        <v>84</v>
      </c>
      <c r="C451" s="316">
        <v>463</v>
      </c>
      <c r="D451" s="460" t="s">
        <v>673</v>
      </c>
      <c r="E451" s="338" t="s">
        <v>3466</v>
      </c>
      <c r="F451" s="461" t="s">
        <v>3467</v>
      </c>
      <c r="G451" s="349">
        <v>46482</v>
      </c>
      <c r="H451" s="461" t="s">
        <v>681</v>
      </c>
      <c r="I451" s="338"/>
      <c r="J451" s="480"/>
      <c r="K451" s="338"/>
      <c r="L451" s="316"/>
      <c r="M451" s="355"/>
      <c r="N451" s="559">
        <v>0</v>
      </c>
      <c r="O451" s="464" t="s">
        <v>252</v>
      </c>
      <c r="P45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1" s="337"/>
      <c r="S451" s="327"/>
      <c r="T451" s="327">
        <f>Table1[[#This Row],[Progres Total Aktual
(%)]]</f>
        <v>0</v>
      </c>
      <c r="U451" s="568">
        <f>Table1[[#This Row],[Progres Aktual
(%)]]-Table1[[#This Row],[Target Progres
(%)]]</f>
        <v>0</v>
      </c>
      <c r="V451" s="569">
        <f>Table1[[#This Row],["Volume
BA MC-0"]]</f>
        <v>0</v>
      </c>
      <c r="W451" s="569">
        <f>Table1[[#This Row],[Total Panjang Pipa Aktual
(Sum-&gt;)3]]</f>
        <v>0</v>
      </c>
      <c r="X451" s="117"/>
      <c r="Y451" s="295"/>
      <c r="Z451" s="508"/>
      <c r="AA451" s="508">
        <f>ROUND((Table1[[#This Row],[Nilai RAB Jaringan
(Exclude Ppn)]]-Table1[[#This Row],[RAB Perizinan]])*1.11+Table1[[#This Row],[RAB Perizinan]],0)</f>
        <v>0</v>
      </c>
      <c r="AB451" s="436">
        <f>SUM(Table1[[#This Row],[RAB Kegiatan Umum]:[RAB Perizinan]])</f>
        <v>0</v>
      </c>
      <c r="AC451" s="436"/>
      <c r="AD451" s="436"/>
      <c r="AE451" s="436"/>
      <c r="AF451" s="436"/>
      <c r="AG451" s="436"/>
      <c r="AH451" s="570" t="e">
        <f>SUM(Table1[[#This Row],[Bobot Keg Umum]:[Bobot Perizinan]])</f>
        <v>#DIV/0!</v>
      </c>
      <c r="AI451" s="570" t="e">
        <f>Table1[[#This Row],[RAB Kegiatan Umum]]/Table1[[#This Row],[Nilai RAB Jaringan
(Exclude Ppn)]]</f>
        <v>#DIV/0!</v>
      </c>
      <c r="AJ451" s="570" t="e">
        <f>Table1[[#This Row],[RAB Pemasangan]]/Table1[[#This Row],[Nilai RAB Jaringan
(Exclude Ppn)]]</f>
        <v>#DIV/0!</v>
      </c>
      <c r="AK451" s="570" t="e">
        <f>Table1[[#This Row],[RAB Pengadaan]]/Table1[[#This Row],[Nilai RAB Jaringan
(Exclude Ppn)]]</f>
        <v>#DIV/0!</v>
      </c>
      <c r="AL451" s="337" t="e">
        <f>Table1[[#This Row],[RAB Perizinan]]/Table1[[#This Row],[Nilai RAB Jaringan
(Exclude Ppn)]]</f>
        <v>#DIV/0!</v>
      </c>
      <c r="AM451" s="47"/>
      <c r="AN451" s="338"/>
      <c r="AO451" s="514">
        <f>SUM(Table1[[#This Row],[Pipa 63 mm]:[Pipa 1,800 mm]])</f>
        <v>0</v>
      </c>
      <c r="AP451" s="338"/>
      <c r="AQ451" s="338"/>
      <c r="AR451" s="338"/>
      <c r="AS451" s="338"/>
      <c r="AT451" s="338"/>
      <c r="AU451" s="338"/>
      <c r="AV451" s="338"/>
      <c r="AW451" s="338"/>
      <c r="AX451" s="338"/>
      <c r="AY451" s="338"/>
      <c r="AZ451" s="338"/>
      <c r="BA451" s="338"/>
      <c r="BB451" s="338"/>
      <c r="BC451" s="338"/>
      <c r="BD451" s="338"/>
      <c r="BE451" s="338"/>
      <c r="BF451" s="338"/>
      <c r="BG451" s="338"/>
      <c r="BH451" s="338"/>
      <c r="BI451" s="338"/>
      <c r="BJ451" s="36">
        <f>SUM(Table1[[#This Row],[Pipa 63 mm2]:[Pipa 1,800 mm21]])</f>
        <v>0</v>
      </c>
      <c r="BK451" s="32"/>
      <c r="BL451" s="32"/>
      <c r="BM451" s="32"/>
      <c r="BN451" s="32"/>
      <c r="BO451" s="32"/>
      <c r="BP451" s="32"/>
      <c r="BQ451" s="32"/>
      <c r="BR451" s="32"/>
      <c r="BS451" s="32"/>
      <c r="BT451" s="32"/>
      <c r="BU451" s="32"/>
      <c r="BV451" s="32"/>
      <c r="BW451" s="32"/>
      <c r="BX451" s="32"/>
      <c r="BY451" s="32"/>
      <c r="BZ451" s="32"/>
      <c r="CA451" s="32"/>
      <c r="CB451" s="32"/>
      <c r="CC451" s="32"/>
      <c r="CD451" s="32"/>
      <c r="CE451" s="32"/>
      <c r="CF451" s="32"/>
      <c r="CG451" s="32"/>
      <c r="CH451" s="32"/>
      <c r="CI451" s="32"/>
      <c r="CJ451" s="32">
        <f>IF((Table1[[#This Row],["Volume
BA MC-0"]]-Table1[[#This Row],[Total Panjang Pipa Aktual
(Sum-&gt;)3]]-Table1[[#This Row],[Total Volume
tidak dapat dipasang]])&gt;=0,Table1[[#This Row],["Volume
BA MC-0"]]-Table1[[#This Row],[Total Panjang Pipa Aktual
(Sum-&gt;)3]]-Table1[[#This Row],[Total Volume
tidak dapat dipasang]],0)</f>
        <v>0</v>
      </c>
      <c r="CK451" s="47"/>
      <c r="CL451" s="131"/>
      <c r="CM451" s="337"/>
      <c r="CN451" s="131"/>
      <c r="CO451" s="131"/>
      <c r="CP451" s="316"/>
      <c r="CQ451" s="436">
        <f>IFERROR(Table1[[#This Row],[Progres Keg. Umum
(%)]]*Table1[[#This Row],[Nilai RAB Jaringan
(file pa aji)]],0)</f>
        <v>0</v>
      </c>
      <c r="CR451" s="436">
        <f>IFERROR(Table1[[#This Row],[Progres MOS
(%)]]*Table1[[#This Row],[Nilai RAB Jaringan
(file pa aji)]],0)</f>
        <v>0</v>
      </c>
      <c r="CS451" s="436">
        <f>IFERROR(Table1[[#This Row],[Progres Pemasangan
(%)]]*Table1[[#This Row],[Nilai RAB Jaringan
(file pa aji)]],0)</f>
        <v>0</v>
      </c>
      <c r="CT451" s="436">
        <f>IFERROR(Table1[[#This Row],[Progres Perizinan
(%)]]*Table1[[#This Row],[Nilai RAB Jaringan
(file pa aji)]],0)</f>
        <v>0</v>
      </c>
      <c r="CU451" s="329"/>
      <c r="CV451" s="567"/>
      <c r="CW451" s="511"/>
      <c r="CX451" s="329"/>
      <c r="CY451" s="47"/>
      <c r="CZ451" s="331"/>
      <c r="DA451" s="331"/>
      <c r="DB451" s="331"/>
      <c r="DC451" s="316"/>
      <c r="DD451" s="508"/>
      <c r="DE45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1" s="331"/>
      <c r="DG451" s="316"/>
      <c r="DH451" s="508"/>
      <c r="DI45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1" s="331"/>
      <c r="DK451" s="331"/>
      <c r="DL451" s="331"/>
      <c r="DM451" s="316"/>
      <c r="DN451"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1" s="331"/>
      <c r="DP451" s="316"/>
      <c r="DQ451" s="338"/>
      <c r="DR451"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1" s="331"/>
      <c r="DT451" s="331" t="e">
        <v>#N/A</v>
      </c>
      <c r="DU451" s="331"/>
      <c r="DV451" s="331" t="e">
        <v>#N/A</v>
      </c>
      <c r="DW451" s="331"/>
      <c r="DX451" s="316"/>
      <c r="DY451" s="335"/>
      <c r="DZ451" s="335"/>
      <c r="EA451"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1" s="331"/>
      <c r="EC451" s="332"/>
      <c r="ED451" s="332"/>
      <c r="EE451" s="330"/>
      <c r="EF451" s="337"/>
      <c r="EG451" s="337"/>
      <c r="EH451" s="316" t="str">
        <f>IF(Table1[[#This Row],[PO Material Aktual 
(%)]]&gt;=100%,"Selesai PO = 100%",IF(Table1[[#This Row],[PO Material Aktual 
(%)]]&gt;=50%,"Proses PO &gt; 100%",IF(Table1[[#This Row],[PO Material Aktual 
(%)]]&gt;0%,"Proses PO &gt; 50%",IF(Table1[[#This Row],[PO Material Aktual 
(%)]]=0,"Belum PO = 0%"))))</f>
        <v>Belum PO = 0%</v>
      </c>
      <c r="EI45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1" s="331"/>
      <c r="EK451" s="331" t="e">
        <v>#N/A</v>
      </c>
      <c r="EL451" s="331"/>
      <c r="EM451" s="331" t="e">
        <v>#N/A</v>
      </c>
      <c r="EN451" s="331"/>
      <c r="EO451" s="316"/>
      <c r="EP451" s="335"/>
      <c r="EQ451" s="337"/>
      <c r="ER451" s="337"/>
      <c r="ES451" s="316" t="str">
        <f>IF(Table1[[#This Row],[Progres MOS]]&gt;=100%,"Selesai MOS = 100%",IF(Table1[[#This Row],[Progres MOS]]&gt;=50%,"Proses MOS &gt; 100%",IF(Table1[[#This Row],[Progres MOS]]&gt;0%,"Proses MOS &gt; 50%",IF(Table1[[#This Row],[Progres MOS]]=0,"Belum MOS = 0%"))))</f>
        <v>Belum MOS = 0%</v>
      </c>
      <c r="ET45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1" s="47"/>
      <c r="EV451" s="331"/>
      <c r="EW451" s="331" t="e">
        <v>#N/A</v>
      </c>
      <c r="EX451" s="331"/>
      <c r="EY451" s="331" t="e">
        <v>#N/A</v>
      </c>
      <c r="EZ451" s="352"/>
      <c r="FA451" s="384"/>
      <c r="FB451" s="331" t="e">
        <v>#N/A</v>
      </c>
      <c r="FC451" s="331" t="e">
        <v>#N/A</v>
      </c>
      <c r="FD451" s="331" t="e">
        <v>#N/A</v>
      </c>
      <c r="FE451" s="331" t="e">
        <v>#N/A</v>
      </c>
      <c r="FF451" s="331" t="e">
        <v>#N/A</v>
      </c>
      <c r="FG451" s="331" t="e">
        <v>#N/A</v>
      </c>
      <c r="FH451" s="331" t="e">
        <v>#N/A</v>
      </c>
      <c r="FI451" s="331" t="e">
        <v>#N/A</v>
      </c>
      <c r="FJ451" s="331" t="e">
        <v>#N/A</v>
      </c>
      <c r="FK451" s="331" t="e">
        <v>#N/A</v>
      </c>
      <c r="FL451" s="352"/>
      <c r="FM451" s="352"/>
      <c r="FN451" s="338" t="str">
        <f>IF(Table1[[#This Row],[Tanggal Pengajuan Dokumen]]="","",Table1[[#This Row],[PLAN PERMIT
start]]-Table1[[#This Row],[Tanggal Pengajuan Dokumen]])</f>
        <v/>
      </c>
      <c r="FO451" s="352"/>
      <c r="FP451" s="316"/>
      <c r="FQ451" s="338"/>
      <c r="FR451" s="352"/>
      <c r="FS451" s="338"/>
      <c r="FT45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1" s="344">
        <f ca="1">IF(Table1[[#This Row],[Status Izin]]="Selesai",Table1[[#This Row],[PLAN PERMIT
finish]]-Table1[[#This Row],[Tanggal Terbit/ Target Izin Terbit]],ROUNDUP(Table1[[#This Row],[PLAN PERMIT
finish]]-NOW(),0))</f>
        <v>-46191</v>
      </c>
      <c r="FV45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1" s="344"/>
      <c r="FX451" s="47"/>
      <c r="FY451" s="571"/>
      <c r="FZ451" s="572"/>
      <c r="GA451"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1" s="331"/>
      <c r="GC451" s="352"/>
      <c r="GD45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1" s="331"/>
      <c r="GF451" s="352"/>
      <c r="GG45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1" s="331"/>
      <c r="GI451" s="331"/>
      <c r="GJ451" s="352"/>
      <c r="GK45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1" s="331"/>
      <c r="GM451" s="331" t="e">
        <v>#N/A</v>
      </c>
      <c r="GN451" s="331"/>
      <c r="GO451" s="527" t="e">
        <v>#N/A</v>
      </c>
      <c r="GP451" s="316"/>
      <c r="GQ45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1" s="331"/>
      <c r="GS451" s="331"/>
      <c r="GT451" s="354"/>
      <c r="GU451" s="344" t="str">
        <f>IF(Table1[[#This Row],[Hydro Tes Actual
(tanggal)]]&lt;&gt;"","Sudah","Belum")</f>
        <v>Belum</v>
      </c>
      <c r="GV451" s="330"/>
      <c r="GW451" s="330"/>
      <c r="GX451" s="331"/>
      <c r="GY451" s="344" t="str">
        <f>IF(Table1[[#This Row],[Interkoneksi Actual
(tanggal)]]&lt;&gt;"","Sudah","Belum")</f>
        <v>Belum</v>
      </c>
      <c r="GZ451" s="330"/>
      <c r="HA451" s="330"/>
      <c r="HB451" s="331"/>
      <c r="HC451" s="344" t="str">
        <f>IF(Table1[[#This Row],[Flushing Actual
(tanggal)]]&lt;&gt;"","Sudah","Belum")</f>
        <v>Belum</v>
      </c>
      <c r="HD451" s="331"/>
      <c r="HE451" s="331" t="e">
        <v>#N/A</v>
      </c>
      <c r="HF451" s="331"/>
      <c r="HG451" s="352"/>
      <c r="HH45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1" s="330"/>
      <c r="HJ451" s="330"/>
      <c r="HK451" s="331"/>
      <c r="HL451" s="316"/>
      <c r="HM451" s="331"/>
      <c r="HN451" s="331"/>
      <c r="HO451" s="527" t="e">
        <v>#N/A</v>
      </c>
      <c r="HP451" s="331"/>
      <c r="HQ45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51" s="352"/>
      <c r="HS451" s="352"/>
      <c r="HT451" s="352"/>
      <c r="HU451" s="474"/>
      <c r="HV451" s="331"/>
      <c r="HW451"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51" s="47"/>
      <c r="HY451" s="352"/>
      <c r="HZ451" s="352"/>
      <c r="IA451"/>
      <c r="IB451" s="618">
        <f>IFERROR(ROUND((Table1[[#This Row],[PLAN TC
finish]]-Table1[[#This Row],[PLAN MC-0
start]])/30,2),"")</f>
        <v>0</v>
      </c>
      <c r="IC451">
        <f>DATEDIF(Table1[[#This Row],[PLAN MC-0
start]],Table1[[#This Row],[PLAN TC
finish]],"m")</f>
        <v>0</v>
      </c>
      <c r="ID451" s="8"/>
      <c r="IE451" s="8"/>
      <c r="IF451" s="4"/>
      <c r="IG451" s="6"/>
      <c r="IH451" s="72"/>
      <c r="II451" s="72"/>
      <c r="IJ451" s="8"/>
      <c r="IL451" s="6"/>
      <c r="IM451" s="6"/>
      <c r="IN451" s="72"/>
      <c r="IO451" s="8"/>
      <c r="IQ451" s="4"/>
      <c r="IR451" s="4"/>
      <c r="IS451" s="6"/>
      <c r="IT451" s="6"/>
      <c r="IW451" s="6"/>
      <c r="IX451" s="6"/>
      <c r="IZ451" s="6"/>
      <c r="JA451" s="6"/>
    </row>
    <row r="452" spans="2:261" ht="15" hidden="1" customHeight="1" x14ac:dyDescent="0.2">
      <c r="B452" s="311">
        <f>SUBTOTAL(3,$D$5:D452)</f>
        <v>84</v>
      </c>
      <c r="C452" s="316"/>
      <c r="D452" s="460" t="s">
        <v>673</v>
      </c>
      <c r="E452" s="338" t="s">
        <v>3468</v>
      </c>
      <c r="F452" s="461" t="s">
        <v>3469</v>
      </c>
      <c r="G452" s="349">
        <v>46482</v>
      </c>
      <c r="H452" s="461" t="s">
        <v>681</v>
      </c>
      <c r="I452" s="338"/>
      <c r="J452" s="480"/>
      <c r="K452" s="338"/>
      <c r="L452" s="316"/>
      <c r="M452" s="355"/>
      <c r="N452" s="559"/>
      <c r="O452" s="464" t="s">
        <v>252</v>
      </c>
      <c r="P45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2" s="32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2" s="337"/>
      <c r="S452" s="327"/>
      <c r="T452" s="327">
        <f>Table1[[#This Row],[Progres Total Aktual
(%)]]</f>
        <v>0</v>
      </c>
      <c r="U452" s="568">
        <f>Table1[[#This Row],[Progres Aktual
(%)]]-Table1[[#This Row],[Target Progres
(%)]]</f>
        <v>0</v>
      </c>
      <c r="V452" s="569">
        <f>Table1[[#This Row],["Volume
BA MC-0"]]</f>
        <v>0</v>
      </c>
      <c r="W452" s="569">
        <f>Table1[[#This Row],[Total Panjang Pipa Aktual
(Sum-&gt;)3]]</f>
        <v>0</v>
      </c>
      <c r="X452" s="117"/>
      <c r="Y452" s="295"/>
      <c r="Z452" s="508"/>
      <c r="AA452" s="508">
        <f>ROUND((Table1[[#This Row],[Nilai RAB Jaringan
(Exclude Ppn)]]-Table1[[#This Row],[RAB Perizinan]])*1.11+Table1[[#This Row],[RAB Perizinan]],0)</f>
        <v>0</v>
      </c>
      <c r="AB452" s="436">
        <f>SUM(Table1[[#This Row],[RAB Kegiatan Umum]:[RAB Perizinan]])</f>
        <v>0</v>
      </c>
      <c r="AC452" s="436"/>
      <c r="AD452" s="436"/>
      <c r="AE452" s="436"/>
      <c r="AF452" s="436"/>
      <c r="AG452" s="436"/>
      <c r="AH452" s="570" t="e">
        <f>SUM(Table1[[#This Row],[Bobot Keg Umum]:[Bobot Perizinan]])</f>
        <v>#DIV/0!</v>
      </c>
      <c r="AI452" s="570" t="e">
        <f>Table1[[#This Row],[RAB Kegiatan Umum]]/Table1[[#This Row],[Nilai RAB Jaringan
(Exclude Ppn)]]</f>
        <v>#DIV/0!</v>
      </c>
      <c r="AJ452" s="570" t="e">
        <f>Table1[[#This Row],[RAB Pemasangan]]/Table1[[#This Row],[Nilai RAB Jaringan
(Exclude Ppn)]]</f>
        <v>#DIV/0!</v>
      </c>
      <c r="AK452" s="570" t="e">
        <f>Table1[[#This Row],[RAB Pengadaan]]/Table1[[#This Row],[Nilai RAB Jaringan
(Exclude Ppn)]]</f>
        <v>#DIV/0!</v>
      </c>
      <c r="AL452" s="337" t="e">
        <f>Table1[[#This Row],[RAB Perizinan]]/Table1[[#This Row],[Nilai RAB Jaringan
(Exclude Ppn)]]</f>
        <v>#DIV/0!</v>
      </c>
      <c r="AM452" s="47"/>
      <c r="AN452" s="338"/>
      <c r="AO452" s="514">
        <f>SUM(Table1[[#This Row],[Pipa 63 mm]:[Pipa 1,800 mm]])</f>
        <v>0</v>
      </c>
      <c r="AP452" s="338"/>
      <c r="AQ452" s="338"/>
      <c r="AR452" s="338"/>
      <c r="AS452" s="338"/>
      <c r="AT452" s="338"/>
      <c r="AU452" s="338"/>
      <c r="AV452" s="338"/>
      <c r="AW452" s="338"/>
      <c r="AX452" s="338"/>
      <c r="AY452" s="338"/>
      <c r="AZ452" s="338"/>
      <c r="BA452" s="338"/>
      <c r="BB452" s="338"/>
      <c r="BC452" s="338"/>
      <c r="BD452" s="338"/>
      <c r="BE452" s="338"/>
      <c r="BF452" s="338"/>
      <c r="BG452" s="338"/>
      <c r="BH452" s="338"/>
      <c r="BI452" s="338"/>
      <c r="BJ452" s="36">
        <f>SUM(Table1[[#This Row],[Pipa 63 mm2]:[Pipa 1,800 mm21]])</f>
        <v>0</v>
      </c>
      <c r="BK452" s="32"/>
      <c r="BL452" s="32"/>
      <c r="BM452" s="32"/>
      <c r="BN452" s="32"/>
      <c r="BO452" s="32"/>
      <c r="BP452" s="32"/>
      <c r="BQ452" s="32"/>
      <c r="BR452" s="32"/>
      <c r="BS452" s="32"/>
      <c r="BT452" s="32"/>
      <c r="BU452" s="32"/>
      <c r="BV452" s="32"/>
      <c r="BW452" s="32"/>
      <c r="BX452" s="32"/>
      <c r="BY452" s="32"/>
      <c r="BZ452" s="32"/>
      <c r="CA452" s="32"/>
      <c r="CB452" s="32"/>
      <c r="CC452" s="32"/>
      <c r="CD452" s="32"/>
      <c r="CE452" s="32"/>
      <c r="CF452" s="32"/>
      <c r="CG452" s="32"/>
      <c r="CH452" s="32"/>
      <c r="CI452" s="32"/>
      <c r="CJ452" s="32">
        <f>IF((Table1[[#This Row],["Volume
BA MC-0"]]-Table1[[#This Row],[Total Panjang Pipa Aktual
(Sum-&gt;)3]]-Table1[[#This Row],[Total Volume
tidak dapat dipasang]])&gt;=0,Table1[[#This Row],["Volume
BA MC-0"]]-Table1[[#This Row],[Total Panjang Pipa Aktual
(Sum-&gt;)3]]-Table1[[#This Row],[Total Volume
tidak dapat dipasang]],0)</f>
        <v>0</v>
      </c>
      <c r="CK452" s="47"/>
      <c r="CL452" s="131"/>
      <c r="CM452" s="337"/>
      <c r="CN452" s="131"/>
      <c r="CO452" s="131"/>
      <c r="CP452" s="316"/>
      <c r="CQ452" s="436">
        <f>IFERROR(Table1[[#This Row],[Progres Keg. Umum
(%)]]*Table1[[#This Row],[Nilai RAB Jaringan
(file pa aji)]],0)</f>
        <v>0</v>
      </c>
      <c r="CR452" s="436">
        <f>IFERROR(Table1[[#This Row],[Progres MOS
(%)]]*Table1[[#This Row],[Nilai RAB Jaringan
(file pa aji)]],0)</f>
        <v>0</v>
      </c>
      <c r="CS452" s="436">
        <f>IFERROR(Table1[[#This Row],[Progres Pemasangan
(%)]]*Table1[[#This Row],[Nilai RAB Jaringan
(file pa aji)]],0)</f>
        <v>0</v>
      </c>
      <c r="CT452" s="436">
        <f>IFERROR(Table1[[#This Row],[Progres Perizinan
(%)]]*Table1[[#This Row],[Nilai RAB Jaringan
(file pa aji)]],0)</f>
        <v>0</v>
      </c>
      <c r="CU452" s="329"/>
      <c r="CV452" s="567"/>
      <c r="CW452" s="511"/>
      <c r="CX452" s="329"/>
      <c r="CY452" s="47"/>
      <c r="CZ452" s="331"/>
      <c r="DA452" s="331"/>
      <c r="DB452" s="331"/>
      <c r="DC452" s="316"/>
      <c r="DD452" s="508"/>
      <c r="DE45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2" s="331"/>
      <c r="DG452" s="316"/>
      <c r="DH452" s="508"/>
      <c r="DI45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2" s="331"/>
      <c r="DK452" s="331"/>
      <c r="DL452" s="331"/>
      <c r="DM452" s="316"/>
      <c r="DN452"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2" s="331"/>
      <c r="DP452" s="316"/>
      <c r="DQ452" s="338"/>
      <c r="DR452"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2" s="331"/>
      <c r="DT452" s="331" t="e">
        <v>#N/A</v>
      </c>
      <c r="DU452" s="331"/>
      <c r="DV452" s="331" t="e">
        <v>#N/A</v>
      </c>
      <c r="DW452" s="331"/>
      <c r="DX452" s="316"/>
      <c r="DY452" s="335"/>
      <c r="DZ452" s="335"/>
      <c r="EA452"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2" s="331"/>
      <c r="EC452" s="332"/>
      <c r="ED452" s="332"/>
      <c r="EE452" s="330"/>
      <c r="EF452" s="337"/>
      <c r="EG452" s="337"/>
      <c r="EH452" s="316" t="str">
        <f>IF(Table1[[#This Row],[PO Material Aktual 
(%)]]&gt;=100%,"Selesai PO = 100%",IF(Table1[[#This Row],[PO Material Aktual 
(%)]]&gt;=50%,"Proses PO &gt; 100%",IF(Table1[[#This Row],[PO Material Aktual 
(%)]]&gt;0%,"Proses PO &gt; 50%",IF(Table1[[#This Row],[PO Material Aktual 
(%)]]=0,"Belum PO = 0%"))))</f>
        <v>Belum PO = 0%</v>
      </c>
      <c r="EI45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2" s="331"/>
      <c r="EK452" s="331" t="e">
        <v>#N/A</v>
      </c>
      <c r="EL452" s="331"/>
      <c r="EM452" s="331" t="e">
        <v>#N/A</v>
      </c>
      <c r="EN452" s="331"/>
      <c r="EO452" s="316"/>
      <c r="EP452" s="335"/>
      <c r="EQ452" s="337"/>
      <c r="ER452" s="337"/>
      <c r="ES452" s="316" t="str">
        <f>IF(Table1[[#This Row],[Progres MOS]]&gt;=100%,"Selesai MOS = 100%",IF(Table1[[#This Row],[Progres MOS]]&gt;=50%,"Proses MOS &gt; 100%",IF(Table1[[#This Row],[Progres MOS]]&gt;0%,"Proses MOS &gt; 50%",IF(Table1[[#This Row],[Progres MOS]]=0,"Belum MOS = 0%"))))</f>
        <v>Belum MOS = 0%</v>
      </c>
      <c r="ET45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2" s="47"/>
      <c r="EV452" s="331"/>
      <c r="EW452" s="331" t="e">
        <v>#N/A</v>
      </c>
      <c r="EX452" s="331"/>
      <c r="EY452" s="331" t="e">
        <v>#N/A</v>
      </c>
      <c r="EZ452" s="352"/>
      <c r="FA452" s="384"/>
      <c r="FB452" s="331"/>
      <c r="FC452" s="331"/>
      <c r="FD452" s="331"/>
      <c r="FE452" s="331"/>
      <c r="FF452" s="331"/>
      <c r="FG452" s="331"/>
      <c r="FH452" s="331"/>
      <c r="FI452" s="331"/>
      <c r="FJ452" s="331"/>
      <c r="FK452" s="331"/>
      <c r="FL452" s="352"/>
      <c r="FM452" s="352"/>
      <c r="FN452" s="338" t="str">
        <f>IF(Table1[[#This Row],[Tanggal Pengajuan Dokumen]]="","",Table1[[#This Row],[PLAN PERMIT
start]]-Table1[[#This Row],[Tanggal Pengajuan Dokumen]])</f>
        <v/>
      </c>
      <c r="FO452" s="352"/>
      <c r="FP452" s="316"/>
      <c r="FQ452" s="338"/>
      <c r="FR452" s="352"/>
      <c r="FS452" s="338"/>
      <c r="FT45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2" s="344">
        <f ca="1">IF(Table1[[#This Row],[Status Izin]]="Selesai",Table1[[#This Row],[PLAN PERMIT
finish]]-Table1[[#This Row],[Tanggal Terbit/ Target Izin Terbit]],ROUNDUP(Table1[[#This Row],[PLAN PERMIT
finish]]-NOW(),0))</f>
        <v>-46191</v>
      </c>
      <c r="FV45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2" s="344"/>
      <c r="FX452" s="47"/>
      <c r="FY452" s="571"/>
      <c r="FZ452" s="572"/>
      <c r="GA452"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2" s="331"/>
      <c r="GC452" s="352"/>
      <c r="GD45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2" s="331"/>
      <c r="GF452" s="352"/>
      <c r="GG45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2" s="331"/>
      <c r="GI452" s="331"/>
      <c r="GJ452" s="352"/>
      <c r="GK45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2" s="331"/>
      <c r="GM452" s="331" t="e">
        <v>#N/A</v>
      </c>
      <c r="GN452" s="331"/>
      <c r="GO452" s="527" t="e">
        <v>#N/A</v>
      </c>
      <c r="GP452" s="316"/>
      <c r="GQ45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2" s="331"/>
      <c r="GS452" s="331"/>
      <c r="GT452" s="354"/>
      <c r="GU452" s="344" t="str">
        <f>IF(Table1[[#This Row],[Hydro Tes Actual
(tanggal)]]&lt;&gt;"","Sudah","Belum")</f>
        <v>Belum</v>
      </c>
      <c r="GV452" s="330"/>
      <c r="GW452" s="330"/>
      <c r="GX452" s="331"/>
      <c r="GY452" s="344" t="str">
        <f>IF(Table1[[#This Row],[Interkoneksi Actual
(tanggal)]]&lt;&gt;"","Sudah","Belum")</f>
        <v>Belum</v>
      </c>
      <c r="GZ452" s="330"/>
      <c r="HA452" s="330"/>
      <c r="HB452" s="331"/>
      <c r="HC452" s="344" t="str">
        <f>IF(Table1[[#This Row],[Flushing Actual
(tanggal)]]&lt;&gt;"","Sudah","Belum")</f>
        <v>Belum</v>
      </c>
      <c r="HD452" s="331"/>
      <c r="HE452" s="331" t="e">
        <v>#N/A</v>
      </c>
      <c r="HF452" s="331"/>
      <c r="HG452" s="352"/>
      <c r="HH45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2" s="330"/>
      <c r="HJ452" s="330"/>
      <c r="HK452" s="331"/>
      <c r="HL452" s="316"/>
      <c r="HM452" s="331"/>
      <c r="HN452" s="331"/>
      <c r="HO452" s="527" t="e">
        <v>#N/A</v>
      </c>
      <c r="HP452" s="331"/>
      <c r="HQ45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52" s="352"/>
      <c r="HS452" s="352"/>
      <c r="HT452" s="352"/>
      <c r="HU452" s="474"/>
      <c r="HV452" s="331"/>
      <c r="HW452"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52" s="47"/>
      <c r="HY452" s="352"/>
      <c r="HZ452" s="352"/>
      <c r="IA452"/>
      <c r="IB452" s="618">
        <f>IFERROR(ROUND((Table1[[#This Row],[PLAN TC
finish]]-Table1[[#This Row],[PLAN MC-0
start]])/30,2),"")</f>
        <v>0</v>
      </c>
      <c r="IC452">
        <f>DATEDIF(Table1[[#This Row],[PLAN MC-0
start]],Table1[[#This Row],[PLAN TC
finish]],"m")</f>
        <v>0</v>
      </c>
      <c r="ID452" s="8"/>
      <c r="IE452" s="8"/>
      <c r="IF452" s="4"/>
      <c r="IG452" s="6"/>
      <c r="IH452" s="72"/>
      <c r="II452" s="72"/>
      <c r="IJ452" s="8"/>
      <c r="IL452" s="6"/>
      <c r="IM452" s="6"/>
      <c r="IN452" s="72"/>
      <c r="IO452" s="8"/>
      <c r="IQ452" s="4"/>
      <c r="IR452" s="4"/>
      <c r="IS452" s="6"/>
      <c r="IT452" s="6"/>
      <c r="IW452" s="6"/>
      <c r="IX452" s="6"/>
      <c r="IZ452" s="6"/>
      <c r="JA452" s="6"/>
    </row>
    <row r="453" spans="2:261" ht="15" hidden="1" customHeight="1" x14ac:dyDescent="0.2">
      <c r="B453" s="311">
        <f>SUBTOTAL(3,$D$5:D453)</f>
        <v>84</v>
      </c>
      <c r="C453" s="316"/>
      <c r="D453" s="460" t="s">
        <v>673</v>
      </c>
      <c r="E453" s="338" t="s">
        <v>3470</v>
      </c>
      <c r="F453" s="461" t="s">
        <v>3471</v>
      </c>
      <c r="G453" s="349">
        <v>46482</v>
      </c>
      <c r="H453" s="461" t="s">
        <v>681</v>
      </c>
      <c r="I453" s="338"/>
      <c r="J453" s="480"/>
      <c r="K453" s="338"/>
      <c r="L453" s="316"/>
      <c r="M453" s="355"/>
      <c r="N453" s="559"/>
      <c r="O453" s="464" t="s">
        <v>252</v>
      </c>
      <c r="P45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3" s="32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53" s="337"/>
      <c r="S453" s="327"/>
      <c r="T453" s="327">
        <f>Table1[[#This Row],[Progres Total Aktual
(%)]]</f>
        <v>0</v>
      </c>
      <c r="U453" s="568">
        <f>Table1[[#This Row],[Progres Aktual
(%)]]-Table1[[#This Row],[Target Progres
(%)]]</f>
        <v>0</v>
      </c>
      <c r="V453" s="569">
        <f>Table1[[#This Row],["Volume
BA MC-0"]]</f>
        <v>0</v>
      </c>
      <c r="W453" s="569">
        <f>Table1[[#This Row],[Total Panjang Pipa Aktual
(Sum-&gt;)3]]</f>
        <v>0</v>
      </c>
      <c r="X453" s="117"/>
      <c r="Y453" s="295"/>
      <c r="Z453" s="508"/>
      <c r="AA453" s="508">
        <f>ROUND((Table1[[#This Row],[Nilai RAB Jaringan
(Exclude Ppn)]]-Table1[[#This Row],[RAB Perizinan]])*1.11+Table1[[#This Row],[RAB Perizinan]],0)</f>
        <v>0</v>
      </c>
      <c r="AB453" s="436">
        <f>SUM(Table1[[#This Row],[RAB Kegiatan Umum]:[RAB Perizinan]])</f>
        <v>0</v>
      </c>
      <c r="AC453" s="436"/>
      <c r="AD453" s="436"/>
      <c r="AE453" s="436"/>
      <c r="AF453" s="436"/>
      <c r="AG453" s="436"/>
      <c r="AH453" s="570" t="e">
        <f>SUM(Table1[[#This Row],[Bobot Keg Umum]:[Bobot Perizinan]])</f>
        <v>#DIV/0!</v>
      </c>
      <c r="AI453" s="570" t="e">
        <f>Table1[[#This Row],[RAB Kegiatan Umum]]/Table1[[#This Row],[Nilai RAB Jaringan
(Exclude Ppn)]]</f>
        <v>#DIV/0!</v>
      </c>
      <c r="AJ453" s="570" t="e">
        <f>Table1[[#This Row],[RAB Pemasangan]]/Table1[[#This Row],[Nilai RAB Jaringan
(Exclude Ppn)]]</f>
        <v>#DIV/0!</v>
      </c>
      <c r="AK453" s="570" t="e">
        <f>Table1[[#This Row],[RAB Pengadaan]]/Table1[[#This Row],[Nilai RAB Jaringan
(Exclude Ppn)]]</f>
        <v>#DIV/0!</v>
      </c>
      <c r="AL453" s="337" t="e">
        <f>Table1[[#This Row],[RAB Perizinan]]/Table1[[#This Row],[Nilai RAB Jaringan
(Exclude Ppn)]]</f>
        <v>#DIV/0!</v>
      </c>
      <c r="AM453" s="47"/>
      <c r="AN453" s="338"/>
      <c r="AO453" s="514">
        <f>SUM(Table1[[#This Row],[Pipa 63 mm]:[Pipa 1,800 mm]])</f>
        <v>0</v>
      </c>
      <c r="AP453" s="338"/>
      <c r="AQ453" s="338"/>
      <c r="AR453" s="338"/>
      <c r="AS453" s="338"/>
      <c r="AT453" s="338"/>
      <c r="AU453" s="338"/>
      <c r="AV453" s="338"/>
      <c r="AW453" s="338"/>
      <c r="AX453" s="338"/>
      <c r="AY453" s="338"/>
      <c r="AZ453" s="338"/>
      <c r="BA453" s="338"/>
      <c r="BB453" s="338"/>
      <c r="BC453" s="338"/>
      <c r="BD453" s="338"/>
      <c r="BE453" s="338"/>
      <c r="BF453" s="338"/>
      <c r="BG453" s="338"/>
      <c r="BH453" s="338"/>
      <c r="BI453" s="338"/>
      <c r="BJ453" s="36">
        <f>SUM(Table1[[#This Row],[Pipa 63 mm2]:[Pipa 1,800 mm21]])</f>
        <v>0</v>
      </c>
      <c r="BK453" s="32"/>
      <c r="BL453" s="32"/>
      <c r="BM453" s="32"/>
      <c r="BN453" s="32"/>
      <c r="BO453" s="32"/>
      <c r="BP453" s="32"/>
      <c r="BQ453" s="32"/>
      <c r="BR453" s="32"/>
      <c r="BS453" s="32"/>
      <c r="BT453" s="32"/>
      <c r="BU453" s="32"/>
      <c r="BV453" s="32"/>
      <c r="BW453" s="32"/>
      <c r="BX453" s="32"/>
      <c r="BY453" s="32"/>
      <c r="BZ453" s="32"/>
      <c r="CA453" s="32"/>
      <c r="CB453" s="32"/>
      <c r="CC453" s="32"/>
      <c r="CD453" s="32"/>
      <c r="CE453" s="32"/>
      <c r="CF453" s="32"/>
      <c r="CG453" s="32"/>
      <c r="CH453" s="32"/>
      <c r="CI453" s="32"/>
      <c r="CJ453" s="32">
        <f>IF((Table1[[#This Row],["Volume
BA MC-0"]]-Table1[[#This Row],[Total Panjang Pipa Aktual
(Sum-&gt;)3]]-Table1[[#This Row],[Total Volume
tidak dapat dipasang]])&gt;=0,Table1[[#This Row],["Volume
BA MC-0"]]-Table1[[#This Row],[Total Panjang Pipa Aktual
(Sum-&gt;)3]]-Table1[[#This Row],[Total Volume
tidak dapat dipasang]],0)</f>
        <v>0</v>
      </c>
      <c r="CK453" s="47"/>
      <c r="CL453" s="131"/>
      <c r="CM453" s="337"/>
      <c r="CN453" s="131"/>
      <c r="CO453" s="131"/>
      <c r="CP453" s="316"/>
      <c r="CQ453" s="436">
        <f>IFERROR(Table1[[#This Row],[Progres Keg. Umum
(%)]]*Table1[[#This Row],[Nilai RAB Jaringan
(file pa aji)]],0)</f>
        <v>0</v>
      </c>
      <c r="CR453" s="436">
        <f>IFERROR(Table1[[#This Row],[Progres MOS
(%)]]*Table1[[#This Row],[Nilai RAB Jaringan
(file pa aji)]],0)</f>
        <v>0</v>
      </c>
      <c r="CS453" s="436">
        <f>IFERROR(Table1[[#This Row],[Progres Pemasangan
(%)]]*Table1[[#This Row],[Nilai RAB Jaringan
(file pa aji)]],0)</f>
        <v>0</v>
      </c>
      <c r="CT453" s="436">
        <f>IFERROR(Table1[[#This Row],[Progres Perizinan
(%)]]*Table1[[#This Row],[Nilai RAB Jaringan
(file pa aji)]],0)</f>
        <v>0</v>
      </c>
      <c r="CU453" s="329"/>
      <c r="CV453" s="567"/>
      <c r="CW453" s="511"/>
      <c r="CX453" s="329"/>
      <c r="CY453" s="47"/>
      <c r="CZ453" s="331"/>
      <c r="DA453" s="331"/>
      <c r="DB453" s="331"/>
      <c r="DC453" s="316"/>
      <c r="DD453" s="508"/>
      <c r="DE45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3" s="331"/>
      <c r="DG453" s="316"/>
      <c r="DH453" s="508"/>
      <c r="DI45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3" s="331"/>
      <c r="DK453" s="331"/>
      <c r="DL453" s="331"/>
      <c r="DM453" s="316"/>
      <c r="DN453"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3" s="331"/>
      <c r="DP453" s="316"/>
      <c r="DQ453" s="338"/>
      <c r="DR453"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3" s="331"/>
      <c r="DT453" s="331" t="e">
        <v>#N/A</v>
      </c>
      <c r="DU453" s="331"/>
      <c r="DV453" s="331" t="e">
        <v>#N/A</v>
      </c>
      <c r="DW453" s="331"/>
      <c r="DX453" s="316"/>
      <c r="DY453" s="335"/>
      <c r="DZ453" s="335"/>
      <c r="EA453"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3" s="331"/>
      <c r="EC453" s="332"/>
      <c r="ED453" s="332"/>
      <c r="EE453" s="330"/>
      <c r="EF453" s="337"/>
      <c r="EG453" s="337"/>
      <c r="EH453" s="316" t="str">
        <f>IF(Table1[[#This Row],[PO Material Aktual 
(%)]]&gt;=100%,"Selesai PO = 100%",IF(Table1[[#This Row],[PO Material Aktual 
(%)]]&gt;=50%,"Proses PO &gt; 100%",IF(Table1[[#This Row],[PO Material Aktual 
(%)]]&gt;0%,"Proses PO &gt; 50%",IF(Table1[[#This Row],[PO Material Aktual 
(%)]]=0,"Belum PO = 0%"))))</f>
        <v>Belum PO = 0%</v>
      </c>
      <c r="EI45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3" s="331"/>
      <c r="EK453" s="331" t="e">
        <v>#N/A</v>
      </c>
      <c r="EL453" s="331"/>
      <c r="EM453" s="331" t="e">
        <v>#N/A</v>
      </c>
      <c r="EN453" s="331"/>
      <c r="EO453" s="316"/>
      <c r="EP453" s="335"/>
      <c r="EQ453" s="337"/>
      <c r="ER453" s="337"/>
      <c r="ES453" s="316" t="str">
        <f>IF(Table1[[#This Row],[Progres MOS]]&gt;=100%,"Selesai MOS = 100%",IF(Table1[[#This Row],[Progres MOS]]&gt;=50%,"Proses MOS &gt; 100%",IF(Table1[[#This Row],[Progres MOS]]&gt;0%,"Proses MOS &gt; 50%",IF(Table1[[#This Row],[Progres MOS]]=0,"Belum MOS = 0%"))))</f>
        <v>Belum MOS = 0%</v>
      </c>
      <c r="ET45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3" s="47"/>
      <c r="EV453" s="331"/>
      <c r="EW453" s="331" t="e">
        <v>#N/A</v>
      </c>
      <c r="EX453" s="331"/>
      <c r="EY453" s="331" t="e">
        <v>#N/A</v>
      </c>
      <c r="EZ453" s="352"/>
      <c r="FA453" s="384"/>
      <c r="FB453" s="331"/>
      <c r="FC453" s="331"/>
      <c r="FD453" s="331"/>
      <c r="FE453" s="331"/>
      <c r="FF453" s="331"/>
      <c r="FG453" s="331"/>
      <c r="FH453" s="331"/>
      <c r="FI453" s="331"/>
      <c r="FJ453" s="331"/>
      <c r="FK453" s="331"/>
      <c r="FL453" s="352"/>
      <c r="FM453" s="352"/>
      <c r="FN453" s="338" t="str">
        <f>IF(Table1[[#This Row],[Tanggal Pengajuan Dokumen]]="","",Table1[[#This Row],[PLAN PERMIT
start]]-Table1[[#This Row],[Tanggal Pengajuan Dokumen]])</f>
        <v/>
      </c>
      <c r="FO453" s="352"/>
      <c r="FP453" s="316"/>
      <c r="FQ453" s="338"/>
      <c r="FR453" s="352"/>
      <c r="FS453" s="338"/>
      <c r="FT45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3" s="344">
        <f ca="1">IF(Table1[[#This Row],[Status Izin]]="Selesai",Table1[[#This Row],[PLAN PERMIT
finish]]-Table1[[#This Row],[Tanggal Terbit/ Target Izin Terbit]],ROUNDUP(Table1[[#This Row],[PLAN PERMIT
finish]]-NOW(),0))</f>
        <v>-46191</v>
      </c>
      <c r="FV45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3" s="344"/>
      <c r="FX453" s="47"/>
      <c r="FY453" s="571"/>
      <c r="FZ453" s="572"/>
      <c r="GA453"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3" s="331"/>
      <c r="GC453" s="352"/>
      <c r="GD45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3" s="331"/>
      <c r="GF453" s="352">
        <v>46112</v>
      </c>
      <c r="GG45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3" s="331"/>
      <c r="GI453" s="331"/>
      <c r="GJ453" s="352">
        <v>46150</v>
      </c>
      <c r="GK45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3" s="331"/>
      <c r="GM453" s="331" t="e">
        <v>#N/A</v>
      </c>
      <c r="GN453" s="331"/>
      <c r="GO453" s="527" t="e">
        <v>#N/A</v>
      </c>
      <c r="GP453" s="316"/>
      <c r="GQ45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3" s="331"/>
      <c r="GS453" s="331"/>
      <c r="GT453" s="354"/>
      <c r="GU453" s="344" t="str">
        <f>IF(Table1[[#This Row],[Hydro Tes Actual
(tanggal)]]&lt;&gt;"","Sudah","Belum")</f>
        <v>Belum</v>
      </c>
      <c r="GV453" s="330"/>
      <c r="GW453" s="330"/>
      <c r="GX453" s="331"/>
      <c r="GY453" s="344" t="str">
        <f>IF(Table1[[#This Row],[Interkoneksi Actual
(tanggal)]]&lt;&gt;"","Sudah","Belum")</f>
        <v>Belum</v>
      </c>
      <c r="GZ453" s="330"/>
      <c r="HA453" s="330"/>
      <c r="HB453" s="331"/>
      <c r="HC453" s="344" t="str">
        <f>IF(Table1[[#This Row],[Flushing Actual
(tanggal)]]&lt;&gt;"","Sudah","Belum")</f>
        <v>Belum</v>
      </c>
      <c r="HD453" s="331"/>
      <c r="HE453" s="331" t="e">
        <v>#N/A</v>
      </c>
      <c r="HF453" s="331"/>
      <c r="HG453" s="352"/>
      <c r="HH45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3" s="330"/>
      <c r="HJ453" s="330"/>
      <c r="HK453" s="331"/>
      <c r="HL453" s="316"/>
      <c r="HM453" s="331"/>
      <c r="HN453" s="331"/>
      <c r="HO453" s="527" t="e">
        <v>#N/A</v>
      </c>
      <c r="HP453" s="331"/>
      <c r="HQ45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53" s="352"/>
      <c r="HS453" s="352"/>
      <c r="HT453" s="352"/>
      <c r="HU453" s="474"/>
      <c r="HV453" s="331"/>
      <c r="HW453"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53" s="47"/>
      <c r="HY453" s="352"/>
      <c r="HZ453" s="352"/>
      <c r="IA453"/>
      <c r="IB453" s="618">
        <f>IFERROR(ROUND((Table1[[#This Row],[PLAN TC
finish]]-Table1[[#This Row],[PLAN MC-0
start]])/30,2),"")</f>
        <v>0</v>
      </c>
      <c r="IC453">
        <f>DATEDIF(Table1[[#This Row],[PLAN MC-0
start]],Table1[[#This Row],[PLAN TC
finish]],"m")</f>
        <v>0</v>
      </c>
      <c r="ID453" s="8"/>
      <c r="IE453" s="8"/>
      <c r="IF453" s="4"/>
      <c r="IG453" s="6"/>
      <c r="IH453" s="72"/>
      <c r="II453" s="72"/>
      <c r="IJ453" s="8"/>
      <c r="IL453" s="6"/>
      <c r="IM453" s="6"/>
      <c r="IN453" s="72"/>
      <c r="IO453" s="8"/>
      <c r="IQ453" s="4"/>
      <c r="IR453" s="4"/>
      <c r="IS453" s="6"/>
      <c r="IT453" s="6"/>
      <c r="IW453" s="6"/>
      <c r="IX453" s="6"/>
      <c r="IZ453" s="6"/>
      <c r="JA453" s="6"/>
    </row>
    <row r="454" spans="2:261" ht="15" hidden="1" customHeight="1" x14ac:dyDescent="0.2">
      <c r="B454" s="311">
        <f>SUBTOTAL(3,$D$5:D454)</f>
        <v>84</v>
      </c>
      <c r="C454" s="316">
        <v>464</v>
      </c>
      <c r="D454" s="460" t="s">
        <v>673</v>
      </c>
      <c r="E454" s="338" t="s">
        <v>3472</v>
      </c>
      <c r="F454" s="461" t="s">
        <v>3473</v>
      </c>
      <c r="G454" s="349">
        <v>46482</v>
      </c>
      <c r="H454" s="461" t="s">
        <v>681</v>
      </c>
      <c r="I454" s="338"/>
      <c r="J454" s="480"/>
      <c r="K454" s="338"/>
      <c r="L454" s="316"/>
      <c r="M454" s="355"/>
      <c r="N454" s="559">
        <v>0</v>
      </c>
      <c r="O454" s="464" t="s">
        <v>252</v>
      </c>
      <c r="P45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54" s="337"/>
      <c r="S454" s="327"/>
      <c r="T454" s="327">
        <f>Table1[[#This Row],[Progres Total Aktual
(%)]]</f>
        <v>0</v>
      </c>
      <c r="U454" s="568">
        <f>Table1[[#This Row],[Progres Aktual
(%)]]-Table1[[#This Row],[Target Progres
(%)]]</f>
        <v>0</v>
      </c>
      <c r="V454" s="569">
        <f>Table1[[#This Row],["Volume
BA MC-0"]]</f>
        <v>0</v>
      </c>
      <c r="W454" s="569">
        <f>Table1[[#This Row],[Total Panjang Pipa Aktual
(Sum-&gt;)3]]</f>
        <v>0</v>
      </c>
      <c r="X454" s="117"/>
      <c r="Y454" s="295"/>
      <c r="Z454" s="508"/>
      <c r="AA454" s="508">
        <f>ROUND((Table1[[#This Row],[Nilai RAB Jaringan
(Exclude Ppn)]]-Table1[[#This Row],[RAB Perizinan]])*1.11+Table1[[#This Row],[RAB Perizinan]],0)</f>
        <v>0</v>
      </c>
      <c r="AB454" s="436">
        <f>SUM(Table1[[#This Row],[RAB Kegiatan Umum]:[RAB Perizinan]])</f>
        <v>0</v>
      </c>
      <c r="AC454" s="436"/>
      <c r="AD454" s="436"/>
      <c r="AE454" s="436"/>
      <c r="AF454" s="436"/>
      <c r="AG454" s="436"/>
      <c r="AH454" s="570" t="e">
        <f>SUM(Table1[[#This Row],[Bobot Keg Umum]:[Bobot Perizinan]])</f>
        <v>#DIV/0!</v>
      </c>
      <c r="AI454" s="570" t="e">
        <f>Table1[[#This Row],[RAB Kegiatan Umum]]/Table1[[#This Row],[Nilai RAB Jaringan
(Exclude Ppn)]]</f>
        <v>#DIV/0!</v>
      </c>
      <c r="AJ454" s="570" t="e">
        <f>Table1[[#This Row],[RAB Pemasangan]]/Table1[[#This Row],[Nilai RAB Jaringan
(Exclude Ppn)]]</f>
        <v>#DIV/0!</v>
      </c>
      <c r="AK454" s="570" t="e">
        <f>Table1[[#This Row],[RAB Pengadaan]]/Table1[[#This Row],[Nilai RAB Jaringan
(Exclude Ppn)]]</f>
        <v>#DIV/0!</v>
      </c>
      <c r="AL454" s="337" t="e">
        <f>Table1[[#This Row],[RAB Perizinan]]/Table1[[#This Row],[Nilai RAB Jaringan
(Exclude Ppn)]]</f>
        <v>#DIV/0!</v>
      </c>
      <c r="AM454" s="47"/>
      <c r="AN454" s="338"/>
      <c r="AO454" s="514">
        <f>SUM(Table1[[#This Row],[Pipa 63 mm]:[Pipa 1,800 mm]])</f>
        <v>0</v>
      </c>
      <c r="AP454" s="338"/>
      <c r="AQ454" s="338"/>
      <c r="AR454" s="338"/>
      <c r="AS454" s="338"/>
      <c r="AT454" s="338"/>
      <c r="AU454" s="338"/>
      <c r="AV454" s="338"/>
      <c r="AW454" s="338"/>
      <c r="AX454" s="338"/>
      <c r="AY454" s="338"/>
      <c r="AZ454" s="338"/>
      <c r="BA454" s="338"/>
      <c r="BB454" s="338"/>
      <c r="BC454" s="338"/>
      <c r="BD454" s="338"/>
      <c r="BE454" s="338"/>
      <c r="BF454" s="338"/>
      <c r="BG454" s="338"/>
      <c r="BH454" s="338"/>
      <c r="BI454" s="338"/>
      <c r="BJ454" s="36">
        <f>SUM(Table1[[#This Row],[Pipa 63 mm2]:[Pipa 1,800 mm21]])</f>
        <v>0</v>
      </c>
      <c r="BK454" s="32"/>
      <c r="BL454" s="32"/>
      <c r="BM454" s="32"/>
      <c r="BN454" s="32"/>
      <c r="BO454" s="32"/>
      <c r="BP454" s="32"/>
      <c r="BQ454" s="32"/>
      <c r="BR454" s="32"/>
      <c r="BS454" s="32"/>
      <c r="BT454" s="32"/>
      <c r="BU454" s="32"/>
      <c r="BV454" s="32"/>
      <c r="BW454" s="32"/>
      <c r="BX454" s="32"/>
      <c r="BY454" s="32"/>
      <c r="BZ454" s="32"/>
      <c r="CA454" s="32"/>
      <c r="CB454" s="32"/>
      <c r="CC454" s="32"/>
      <c r="CD454" s="32"/>
      <c r="CE454" s="32"/>
      <c r="CF454" s="32"/>
      <c r="CG454" s="32"/>
      <c r="CH454" s="32"/>
      <c r="CI454" s="32"/>
      <c r="CJ454" s="32">
        <f>IF((Table1[[#This Row],["Volume
BA MC-0"]]-Table1[[#This Row],[Total Panjang Pipa Aktual
(Sum-&gt;)3]]-Table1[[#This Row],[Total Volume
tidak dapat dipasang]])&gt;=0,Table1[[#This Row],["Volume
BA MC-0"]]-Table1[[#This Row],[Total Panjang Pipa Aktual
(Sum-&gt;)3]]-Table1[[#This Row],[Total Volume
tidak dapat dipasang]],0)</f>
        <v>0</v>
      </c>
      <c r="CK454" s="47"/>
      <c r="CL454" s="131"/>
      <c r="CM454" s="337"/>
      <c r="CN454" s="131"/>
      <c r="CO454" s="131"/>
      <c r="CP454" s="316"/>
      <c r="CQ454" s="436">
        <f>IFERROR(Table1[[#This Row],[Progres Keg. Umum
(%)]]*Table1[[#This Row],[Nilai RAB Jaringan
(file pa aji)]],0)</f>
        <v>0</v>
      </c>
      <c r="CR454" s="436">
        <f>IFERROR(Table1[[#This Row],[Progres MOS
(%)]]*Table1[[#This Row],[Nilai RAB Jaringan
(file pa aji)]],0)</f>
        <v>0</v>
      </c>
      <c r="CS454" s="436">
        <f>IFERROR(Table1[[#This Row],[Progres Pemasangan
(%)]]*Table1[[#This Row],[Nilai RAB Jaringan
(file pa aji)]],0)</f>
        <v>0</v>
      </c>
      <c r="CT454" s="436">
        <f>IFERROR(Table1[[#This Row],[Progres Perizinan
(%)]]*Table1[[#This Row],[Nilai RAB Jaringan
(file pa aji)]],0)</f>
        <v>0</v>
      </c>
      <c r="CU454" s="329"/>
      <c r="CV454" s="558"/>
      <c r="CW454" s="511"/>
      <c r="CX454" s="329"/>
      <c r="CY454" s="47"/>
      <c r="CZ454" s="331"/>
      <c r="DA454" s="331"/>
      <c r="DB454" s="331"/>
      <c r="DC454" s="316"/>
      <c r="DD454" s="508"/>
      <c r="DE45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4" s="331"/>
      <c r="DG454" s="316"/>
      <c r="DH454" s="508"/>
      <c r="DI45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4" s="331"/>
      <c r="DK454" s="331"/>
      <c r="DL454" s="331"/>
      <c r="DM454" s="316"/>
      <c r="DN454"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4" s="331"/>
      <c r="DP454" s="316"/>
      <c r="DQ454" s="338"/>
      <c r="DR454"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4" s="331"/>
      <c r="DT454" s="331" t="e">
        <v>#N/A</v>
      </c>
      <c r="DU454" s="331"/>
      <c r="DV454" s="331" t="e">
        <v>#N/A</v>
      </c>
      <c r="DW454" s="331"/>
      <c r="DX454" s="316"/>
      <c r="DY454" s="335"/>
      <c r="DZ454" s="335"/>
      <c r="EA454"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4" s="331"/>
      <c r="EC454" s="332"/>
      <c r="ED454" s="332"/>
      <c r="EE454" s="330"/>
      <c r="EF454" s="337"/>
      <c r="EG454" s="337"/>
      <c r="EH454" s="316" t="str">
        <f>IF(Table1[[#This Row],[PO Material Aktual 
(%)]]&gt;=100%,"Selesai PO = 100%",IF(Table1[[#This Row],[PO Material Aktual 
(%)]]&gt;=50%,"Proses PO &gt; 100%",IF(Table1[[#This Row],[PO Material Aktual 
(%)]]&gt;0%,"Proses PO &gt; 50%",IF(Table1[[#This Row],[PO Material Aktual 
(%)]]=0,"Belum PO = 0%"))))</f>
        <v>Belum PO = 0%</v>
      </c>
      <c r="EI45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4" s="331"/>
      <c r="EK454" s="331" t="e">
        <v>#N/A</v>
      </c>
      <c r="EL454" s="331"/>
      <c r="EM454" s="331" t="e">
        <v>#N/A</v>
      </c>
      <c r="EN454" s="331"/>
      <c r="EO454" s="316"/>
      <c r="EP454" s="332"/>
      <c r="EQ454" s="337"/>
      <c r="ER454" s="337"/>
      <c r="ES454" s="316" t="str">
        <f>IF(Table1[[#This Row],[Progres MOS]]&gt;=100%,"Selesai MOS = 100%",IF(Table1[[#This Row],[Progres MOS]]&gt;=50%,"Proses MOS &gt; 100%",IF(Table1[[#This Row],[Progres MOS]]&gt;0%,"Proses MOS &gt; 50%",IF(Table1[[#This Row],[Progres MOS]]=0,"Belum MOS = 0%"))))</f>
        <v>Belum MOS = 0%</v>
      </c>
      <c r="ET45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4" s="47"/>
      <c r="EV454" s="331"/>
      <c r="EW454" s="331" t="e">
        <v>#N/A</v>
      </c>
      <c r="EX454" s="331"/>
      <c r="EY454" s="331" t="e">
        <v>#N/A</v>
      </c>
      <c r="EZ454" s="352"/>
      <c r="FA454" s="384"/>
      <c r="FB454" s="331" t="e">
        <v>#N/A</v>
      </c>
      <c r="FC454" s="331" t="e">
        <v>#N/A</v>
      </c>
      <c r="FD454" s="331" t="e">
        <v>#N/A</v>
      </c>
      <c r="FE454" s="331" t="e">
        <v>#N/A</v>
      </c>
      <c r="FF454" s="331" t="e">
        <v>#N/A</v>
      </c>
      <c r="FG454" s="331" t="e">
        <v>#N/A</v>
      </c>
      <c r="FH454" s="331" t="e">
        <v>#N/A</v>
      </c>
      <c r="FI454" s="331" t="e">
        <v>#N/A</v>
      </c>
      <c r="FJ454" s="331" t="e">
        <v>#N/A</v>
      </c>
      <c r="FK454" s="331" t="e">
        <v>#N/A</v>
      </c>
      <c r="FL454" s="352"/>
      <c r="FM454" s="352"/>
      <c r="FN454" s="338" t="str">
        <f>IF(Table1[[#This Row],[Tanggal Pengajuan Dokumen]]="","",Table1[[#This Row],[PLAN PERMIT
start]]-Table1[[#This Row],[Tanggal Pengajuan Dokumen]])</f>
        <v/>
      </c>
      <c r="FO454" s="352"/>
      <c r="FP454" s="316"/>
      <c r="FQ454" s="338"/>
      <c r="FR454" s="352"/>
      <c r="FS454" s="338"/>
      <c r="FT45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4" s="344">
        <f ca="1">IF(Table1[[#This Row],[Status Izin]]="Selesai",Table1[[#This Row],[PLAN PERMIT
finish]]-Table1[[#This Row],[Tanggal Terbit/ Target Izin Terbit]],ROUNDUP(Table1[[#This Row],[PLAN PERMIT
finish]]-NOW(),0))</f>
        <v>-46191</v>
      </c>
      <c r="FV45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4" s="344"/>
      <c r="FX454" s="47"/>
      <c r="FY454" s="571"/>
      <c r="FZ454" s="572"/>
      <c r="GA454"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4" s="331"/>
      <c r="GC454" s="352">
        <v>46161</v>
      </c>
      <c r="GD45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54" s="331"/>
      <c r="GF454" s="352">
        <v>46161</v>
      </c>
      <c r="GG45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4" s="331"/>
      <c r="GI454" s="331"/>
      <c r="GJ454" s="352">
        <v>46163</v>
      </c>
      <c r="GK45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4" s="331"/>
      <c r="GM454" s="331" t="e">
        <v>#N/A</v>
      </c>
      <c r="GN454" s="331"/>
      <c r="GO454" s="330" t="e">
        <v>#N/A</v>
      </c>
      <c r="GP454" s="316"/>
      <c r="GQ45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4" s="331"/>
      <c r="GS454" s="331"/>
      <c r="GT454" s="354"/>
      <c r="GU454" s="344" t="str">
        <f>IF(Table1[[#This Row],[Hydro Tes Actual
(tanggal)]]&lt;&gt;"","Sudah","Belum")</f>
        <v>Belum</v>
      </c>
      <c r="GV454" s="330"/>
      <c r="GW454" s="330"/>
      <c r="GX454" s="331"/>
      <c r="GY454" s="344" t="str">
        <f>IF(Table1[[#This Row],[Interkoneksi Actual
(tanggal)]]&lt;&gt;"","Sudah","Belum")</f>
        <v>Belum</v>
      </c>
      <c r="GZ454" s="330"/>
      <c r="HA454" s="330"/>
      <c r="HB454" s="331"/>
      <c r="HC454" s="344" t="str">
        <f>IF(Table1[[#This Row],[Flushing Actual
(tanggal)]]&lt;&gt;"","Sudah","Belum")</f>
        <v>Belum</v>
      </c>
      <c r="HD454" s="331"/>
      <c r="HE454" s="331" t="e">
        <v>#N/A</v>
      </c>
      <c r="HF454" s="331"/>
      <c r="HG454" s="352"/>
      <c r="HH45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4" s="330"/>
      <c r="HJ454" s="330"/>
      <c r="HK454" s="331"/>
      <c r="HL454" s="316"/>
      <c r="HM454" s="331"/>
      <c r="HN454" s="331"/>
      <c r="HO454" s="330" t="e">
        <v>#N/A</v>
      </c>
      <c r="HP454" s="331"/>
      <c r="HQ45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54" s="352"/>
      <c r="HS454" s="352"/>
      <c r="HT454" s="352"/>
      <c r="HU454" s="474"/>
      <c r="HV454" s="331"/>
      <c r="HW454"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54" s="47"/>
      <c r="HY454" s="352"/>
      <c r="HZ454" s="352"/>
      <c r="IA454"/>
      <c r="IB454" s="618">
        <f>IFERROR(ROUND((Table1[[#This Row],[PLAN TC
finish]]-Table1[[#This Row],[PLAN MC-0
start]])/30,2),"")</f>
        <v>0</v>
      </c>
      <c r="IC454">
        <f>DATEDIF(Table1[[#This Row],[PLAN MC-0
start]],Table1[[#This Row],[PLAN TC
finish]],"m")</f>
        <v>0</v>
      </c>
      <c r="ID454" s="8"/>
      <c r="IE454" s="8"/>
      <c r="IF454" s="4"/>
      <c r="IG454" s="6"/>
      <c r="IH454" s="72"/>
      <c r="II454" s="72"/>
      <c r="IJ454" s="8"/>
      <c r="IL454" s="6"/>
      <c r="IM454" s="6"/>
      <c r="IN454" s="72"/>
      <c r="IO454" s="8"/>
      <c r="IQ454" s="4"/>
      <c r="IR454" s="4"/>
      <c r="IS454" s="6"/>
      <c r="IT454" s="6"/>
      <c r="IW454" s="6"/>
      <c r="IX454" s="6"/>
      <c r="IZ454" s="6"/>
      <c r="JA454" s="6"/>
    </row>
    <row r="455" spans="2:261" ht="15" hidden="1" customHeight="1" x14ac:dyDescent="0.2">
      <c r="B455" s="311">
        <f>SUBTOTAL(3,$D$5:D455)</f>
        <v>84</v>
      </c>
      <c r="C455" s="316">
        <v>465</v>
      </c>
      <c r="D455" s="460" t="s">
        <v>629</v>
      </c>
      <c r="E455" s="338" t="s">
        <v>3474</v>
      </c>
      <c r="F455" s="338" t="s">
        <v>3475</v>
      </c>
      <c r="G455" s="349">
        <v>46482</v>
      </c>
      <c r="H455" s="461" t="s">
        <v>247</v>
      </c>
      <c r="I455" s="338"/>
      <c r="J455" s="480"/>
      <c r="K455" s="338"/>
      <c r="L455" s="316"/>
      <c r="M455" s="355"/>
      <c r="N455" s="559">
        <v>2948</v>
      </c>
      <c r="O455" s="464" t="s">
        <v>252</v>
      </c>
      <c r="P45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5" s="320" t="s">
        <v>1819</v>
      </c>
      <c r="R455" s="337"/>
      <c r="S455" s="327">
        <v>0.99999999999999989</v>
      </c>
      <c r="T455" s="327">
        <f>Table1[[#This Row],[Progres Total Aktual
(%)]]</f>
        <v>0</v>
      </c>
      <c r="U455" s="568">
        <f>Table1[[#This Row],[Progres Aktual
(%)]]-Table1[[#This Row],[Target Progres
(%)]]</f>
        <v>-0.99999999999999989</v>
      </c>
      <c r="V455" s="569">
        <f>Table1[[#This Row],["Volume
BA MC-0"]]</f>
        <v>2725</v>
      </c>
      <c r="W455" s="569">
        <f>Table1[[#This Row],[Total Panjang Pipa Aktual
(Sum-&gt;)3]]</f>
        <v>0</v>
      </c>
      <c r="X455" s="117"/>
      <c r="Y455" s="295"/>
      <c r="Z455" s="508"/>
      <c r="AA455" s="508">
        <f>ROUND((Table1[[#This Row],[Nilai RAB Jaringan
(Exclude Ppn)]]-Table1[[#This Row],[RAB Perizinan]])*1.11+Table1[[#This Row],[RAB Perizinan]],0)</f>
        <v>0</v>
      </c>
      <c r="AB455" s="436">
        <f>SUM(Table1[[#This Row],[RAB Kegiatan Umum]:[RAB Perizinan]])</f>
        <v>0</v>
      </c>
      <c r="AC455" s="436"/>
      <c r="AD455" s="436"/>
      <c r="AE455" s="436"/>
      <c r="AF455" s="436"/>
      <c r="AG455" s="436"/>
      <c r="AH455" s="570" t="e">
        <f>SUM(Table1[[#This Row],[Bobot Keg Umum]:[Bobot Perizinan]])</f>
        <v>#DIV/0!</v>
      </c>
      <c r="AI455" s="570" t="e">
        <f>Table1[[#This Row],[RAB Kegiatan Umum]]/Table1[[#This Row],[Nilai RAB Jaringan
(Exclude Ppn)]]</f>
        <v>#DIV/0!</v>
      </c>
      <c r="AJ455" s="570" t="e">
        <f>Table1[[#This Row],[RAB Pemasangan]]/Table1[[#This Row],[Nilai RAB Jaringan
(Exclude Ppn)]]</f>
        <v>#DIV/0!</v>
      </c>
      <c r="AK455" s="570" t="e">
        <f>Table1[[#This Row],[RAB Pengadaan]]/Table1[[#This Row],[Nilai RAB Jaringan
(Exclude Ppn)]]</f>
        <v>#DIV/0!</v>
      </c>
      <c r="AL455" s="337" t="e">
        <f>Table1[[#This Row],[RAB Perizinan]]/Table1[[#This Row],[Nilai RAB Jaringan
(Exclude Ppn)]]</f>
        <v>#DIV/0!</v>
      </c>
      <c r="AM455" s="47"/>
      <c r="AN455" s="338">
        <v>2725</v>
      </c>
      <c r="AO455" s="514">
        <f>SUM(Table1[[#This Row],[Pipa 63 mm]:[Pipa 1,800 mm]])</f>
        <v>2725</v>
      </c>
      <c r="AP455" s="338"/>
      <c r="AQ455" s="338"/>
      <c r="AR455" s="338"/>
      <c r="AS455" s="338"/>
      <c r="AT455" s="338"/>
      <c r="AU455" s="338"/>
      <c r="AV455" s="338"/>
      <c r="AW455" s="338"/>
      <c r="AX455" s="338"/>
      <c r="AY455" s="338"/>
      <c r="AZ455" s="338"/>
      <c r="BA455" s="338"/>
      <c r="BB455" s="338"/>
      <c r="BC455" s="338"/>
      <c r="BD455" s="338">
        <v>2725</v>
      </c>
      <c r="BE455" s="338"/>
      <c r="BF455" s="338"/>
      <c r="BG455" s="338"/>
      <c r="BH455" s="338"/>
      <c r="BI455" s="338"/>
      <c r="BJ455" s="36">
        <f>SUM(Table1[[#This Row],[Pipa 63 mm2]:[Pipa 1,800 mm21]])</f>
        <v>0</v>
      </c>
      <c r="BK455" s="32"/>
      <c r="BL455" s="32"/>
      <c r="BM455" s="32"/>
      <c r="BN455" s="32"/>
      <c r="BO455" s="32"/>
      <c r="BP455" s="32"/>
      <c r="BQ455" s="32"/>
      <c r="BR455" s="32"/>
      <c r="BS455" s="32"/>
      <c r="BT455" s="32"/>
      <c r="BU455" s="32"/>
      <c r="BV455" s="32"/>
      <c r="BW455" s="32"/>
      <c r="BX455" s="32"/>
      <c r="BY455" s="32"/>
      <c r="BZ455" s="32"/>
      <c r="CA455" s="32"/>
      <c r="CB455" s="32"/>
      <c r="CC455" s="32"/>
      <c r="CD455" s="32"/>
      <c r="CE455" s="32"/>
      <c r="CF455" s="32"/>
      <c r="CG455" s="32"/>
      <c r="CH455" s="32"/>
      <c r="CI455" s="32"/>
      <c r="CJ455" s="32">
        <f>IF((Table1[[#This Row],["Volume
BA MC-0"]]-Table1[[#This Row],[Total Panjang Pipa Aktual
(Sum-&gt;)3]]-Table1[[#This Row],[Total Volume
tidak dapat dipasang]])&gt;=0,Table1[[#This Row],["Volume
BA MC-0"]]-Table1[[#This Row],[Total Panjang Pipa Aktual
(Sum-&gt;)3]]-Table1[[#This Row],[Total Volume
tidak dapat dipasang]],0)</f>
        <v>2725</v>
      </c>
      <c r="CK455" s="47"/>
      <c r="CL455" s="131"/>
      <c r="CM455" s="337"/>
      <c r="CN455" s="131"/>
      <c r="CO455" s="131"/>
      <c r="CP455" s="316"/>
      <c r="CQ455" s="436">
        <f>IFERROR(Table1[[#This Row],[Progres Keg. Umum
(%)]]*Table1[[#This Row],[Nilai RAB Jaringan
(file pa aji)]],0)</f>
        <v>0</v>
      </c>
      <c r="CR455" s="436">
        <f>IFERROR(Table1[[#This Row],[Progres MOS
(%)]]*Table1[[#This Row],[Nilai RAB Jaringan
(file pa aji)]],0)</f>
        <v>0</v>
      </c>
      <c r="CS455" s="436">
        <f>IFERROR(Table1[[#This Row],[Progres Pemasangan
(%)]]*Table1[[#This Row],[Nilai RAB Jaringan
(file pa aji)]],0)</f>
        <v>0</v>
      </c>
      <c r="CT455" s="436">
        <f>IFERROR(Table1[[#This Row],[Progres Perizinan
(%)]]*Table1[[#This Row],[Nilai RAB Jaringan
(file pa aji)]],0)</f>
        <v>0</v>
      </c>
      <c r="CU455" s="329"/>
      <c r="CV455" s="558"/>
      <c r="CW455" s="511"/>
      <c r="CX455" s="329"/>
      <c r="CY455" s="47"/>
      <c r="CZ455" s="331"/>
      <c r="DA455" s="331"/>
      <c r="DB455" s="331"/>
      <c r="DC455" s="316"/>
      <c r="DD455" s="508"/>
      <c r="DE45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5" s="331"/>
      <c r="DG455" s="316"/>
      <c r="DH455" s="508"/>
      <c r="DI45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5" s="331"/>
      <c r="DK455" s="331"/>
      <c r="DL455" s="331"/>
      <c r="DM455" s="316"/>
      <c r="DN455"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5" s="331"/>
      <c r="DP455" s="316"/>
      <c r="DQ455" s="338"/>
      <c r="DR455"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5" s="331"/>
      <c r="DT455" s="331" t="e">
        <v>#N/A</v>
      </c>
      <c r="DU455" s="331"/>
      <c r="DV455" s="331" t="e">
        <v>#N/A</v>
      </c>
      <c r="DW455" s="331"/>
      <c r="DX455" s="316"/>
      <c r="DY455" s="334"/>
      <c r="DZ455" s="334"/>
      <c r="EA455"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5" s="331"/>
      <c r="EC455" s="332"/>
      <c r="ED455" s="332"/>
      <c r="EE455" s="330"/>
      <c r="EF455" s="337"/>
      <c r="EG455" s="337"/>
      <c r="EH455" s="316" t="str">
        <f>IF(Table1[[#This Row],[PO Material Aktual 
(%)]]&gt;=100%,"Selesai PO = 100%",IF(Table1[[#This Row],[PO Material Aktual 
(%)]]&gt;=50%,"Proses PO &gt; 100%",IF(Table1[[#This Row],[PO Material Aktual 
(%)]]&gt;0%,"Proses PO &gt; 50%",IF(Table1[[#This Row],[PO Material Aktual 
(%)]]=0,"Belum PO = 0%"))))</f>
        <v>Belum PO = 0%</v>
      </c>
      <c r="EI45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5" s="331"/>
      <c r="EK455" s="331" t="e">
        <v>#N/A</v>
      </c>
      <c r="EL455" s="331"/>
      <c r="EM455" s="331" t="e">
        <v>#N/A</v>
      </c>
      <c r="EN455" s="331"/>
      <c r="EO455" s="316"/>
      <c r="EP455" s="332"/>
      <c r="EQ455" s="337"/>
      <c r="ER455" s="337"/>
      <c r="ES455" s="316" t="str">
        <f>IF(Table1[[#This Row],[Progres MOS]]&gt;=100%,"Selesai MOS = 100%",IF(Table1[[#This Row],[Progres MOS]]&gt;=50%,"Proses MOS &gt; 100%",IF(Table1[[#This Row],[Progres MOS]]&gt;0%,"Proses MOS &gt; 50%",IF(Table1[[#This Row],[Progres MOS]]=0,"Belum MOS = 0%"))))</f>
        <v>Belum MOS = 0%</v>
      </c>
      <c r="ET45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5" s="47"/>
      <c r="EV455" s="331"/>
      <c r="EW455" s="331" t="e">
        <v>#N/A</v>
      </c>
      <c r="EX455" s="331"/>
      <c r="EY455" s="331" t="e">
        <v>#N/A</v>
      </c>
      <c r="EZ455" s="352"/>
      <c r="FA455" s="384"/>
      <c r="FB455" s="331" t="e">
        <v>#N/A</v>
      </c>
      <c r="FC455" s="331" t="e">
        <v>#N/A</v>
      </c>
      <c r="FD455" s="331" t="e">
        <v>#N/A</v>
      </c>
      <c r="FE455" s="331" t="e">
        <v>#N/A</v>
      </c>
      <c r="FF455" s="331" t="e">
        <v>#N/A</v>
      </c>
      <c r="FG455" s="331" t="e">
        <v>#N/A</v>
      </c>
      <c r="FH455" s="331" t="e">
        <v>#N/A</v>
      </c>
      <c r="FI455" s="331" t="e">
        <v>#N/A</v>
      </c>
      <c r="FJ455" s="331" t="e">
        <v>#N/A</v>
      </c>
      <c r="FK455" s="331" t="e">
        <v>#N/A</v>
      </c>
      <c r="FL455" s="352"/>
      <c r="FM455" s="352"/>
      <c r="FN455" s="338" t="str">
        <f>IF(Table1[[#This Row],[Tanggal Pengajuan Dokumen]]="","",Table1[[#This Row],[PLAN PERMIT
start]]-Table1[[#This Row],[Tanggal Pengajuan Dokumen]])</f>
        <v/>
      </c>
      <c r="FO455" s="352"/>
      <c r="FP455" s="316"/>
      <c r="FQ455" s="338"/>
      <c r="FR455" s="352"/>
      <c r="FS455" s="338"/>
      <c r="FT45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5" s="344">
        <f ca="1">IF(Table1[[#This Row],[Status Izin]]="Selesai",Table1[[#This Row],[PLAN PERMIT
finish]]-Table1[[#This Row],[Tanggal Terbit/ Target Izin Terbit]],ROUNDUP(Table1[[#This Row],[PLAN PERMIT
finish]]-NOW(),0))</f>
        <v>-46191</v>
      </c>
      <c r="FV45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5" s="344"/>
      <c r="FX455" s="47"/>
      <c r="FY455" s="571"/>
      <c r="FZ455" s="572"/>
      <c r="GA455"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5" s="331"/>
      <c r="GC455" s="352"/>
      <c r="GD45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5" s="331"/>
      <c r="GF455" s="352">
        <v>46148</v>
      </c>
      <c r="GG45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5" s="331"/>
      <c r="GI455" s="331"/>
      <c r="GJ455" s="352">
        <v>46155</v>
      </c>
      <c r="GK45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5" s="331"/>
      <c r="GM455" s="331" t="e">
        <v>#N/A</v>
      </c>
      <c r="GN455" s="331"/>
      <c r="GO455" s="330" t="e">
        <v>#N/A</v>
      </c>
      <c r="GP455" s="316"/>
      <c r="GQ45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5" s="331"/>
      <c r="GS455" s="331"/>
      <c r="GT455" s="354"/>
      <c r="GU455" s="344" t="str">
        <f>IF(Table1[[#This Row],[Hydro Tes Actual
(tanggal)]]&lt;&gt;"","Sudah","Belum")</f>
        <v>Belum</v>
      </c>
      <c r="GV455" s="330"/>
      <c r="GW455" s="330"/>
      <c r="GX455" s="331"/>
      <c r="GY455" s="344" t="str">
        <f>IF(Table1[[#This Row],[Interkoneksi Actual
(tanggal)]]&lt;&gt;"","Sudah","Belum")</f>
        <v>Belum</v>
      </c>
      <c r="GZ455" s="330"/>
      <c r="HA455" s="330"/>
      <c r="HB455" s="331"/>
      <c r="HC455" s="344" t="str">
        <f>IF(Table1[[#This Row],[Flushing Actual
(tanggal)]]&lt;&gt;"","Sudah","Belum")</f>
        <v>Belum</v>
      </c>
      <c r="HD455" s="331"/>
      <c r="HE455" s="331" t="e">
        <v>#N/A</v>
      </c>
      <c r="HF455" s="331"/>
      <c r="HG455" s="352"/>
      <c r="HH45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5" s="330"/>
      <c r="HJ455" s="330"/>
      <c r="HK455" s="331"/>
      <c r="HL455" s="316"/>
      <c r="HM455" s="331"/>
      <c r="HN455" s="331"/>
      <c r="HO455" s="330" t="e">
        <v>#N/A</v>
      </c>
      <c r="HP455" s="331"/>
      <c r="HQ45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55" s="352"/>
      <c r="HS455" s="352"/>
      <c r="HT455" s="352"/>
      <c r="HU455" s="477"/>
      <c r="HV455" s="331"/>
      <c r="HW45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55" s="47"/>
      <c r="HY455" s="352"/>
      <c r="HZ455" s="352"/>
      <c r="IA455"/>
      <c r="IB455" s="618">
        <f>IFERROR(ROUND((Table1[[#This Row],[PLAN TC
finish]]-Table1[[#This Row],[PLAN MC-0
start]])/30,2),"")</f>
        <v>0</v>
      </c>
      <c r="IC455">
        <f>DATEDIF(Table1[[#This Row],[PLAN MC-0
start]],Table1[[#This Row],[PLAN TC
finish]],"m")</f>
        <v>0</v>
      </c>
      <c r="ID455" s="8"/>
      <c r="IE455" s="8"/>
      <c r="IF455" s="4"/>
      <c r="IG455" s="6"/>
      <c r="IH455" s="72"/>
      <c r="II455" s="72"/>
      <c r="IJ455" s="8"/>
      <c r="IL455" s="6"/>
      <c r="IM455" s="6"/>
      <c r="IN455" s="72"/>
      <c r="IO455" s="8"/>
      <c r="IQ455" s="4"/>
      <c r="IR455" s="4"/>
      <c r="IS455" s="6"/>
      <c r="IT455" s="6"/>
      <c r="IW455" s="6"/>
      <c r="IX455" s="6"/>
      <c r="IZ455" s="6"/>
      <c r="JA455" s="6"/>
    </row>
    <row r="456" spans="2:261" ht="15" hidden="1" customHeight="1" x14ac:dyDescent="0.2">
      <c r="B456" s="311">
        <f>SUBTOTAL(3,$D$5:D456)</f>
        <v>84</v>
      </c>
      <c r="C456" s="316">
        <v>466</v>
      </c>
      <c r="D456" s="460" t="s">
        <v>629</v>
      </c>
      <c r="E456" s="338" t="s">
        <v>3476</v>
      </c>
      <c r="F456" s="338" t="s">
        <v>3477</v>
      </c>
      <c r="G456" s="349">
        <v>46482</v>
      </c>
      <c r="H456" s="461" t="s">
        <v>247</v>
      </c>
      <c r="I456" s="338"/>
      <c r="J456" s="480"/>
      <c r="K456" s="338"/>
      <c r="L456" s="316"/>
      <c r="M456" s="355"/>
      <c r="N456" s="559">
        <v>200</v>
      </c>
      <c r="O456" s="464" t="s">
        <v>252</v>
      </c>
      <c r="P45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6" s="337"/>
      <c r="S456" s="327">
        <v>0.99999999999999989</v>
      </c>
      <c r="T456" s="327">
        <f>Table1[[#This Row],[Progres Total Aktual
(%)]]</f>
        <v>0</v>
      </c>
      <c r="U456" s="568">
        <f>Table1[[#This Row],[Progres Aktual
(%)]]-Table1[[#This Row],[Target Progres
(%)]]</f>
        <v>-0.99999999999999989</v>
      </c>
      <c r="V456" s="569">
        <f>Table1[[#This Row],["Volume
BA MC-0"]]</f>
        <v>0</v>
      </c>
      <c r="W456" s="569">
        <f>Table1[[#This Row],[Total Panjang Pipa Aktual
(Sum-&gt;)3]]</f>
        <v>0</v>
      </c>
      <c r="X456" s="117"/>
      <c r="Y456" s="295"/>
      <c r="Z456" s="508"/>
      <c r="AA456" s="508">
        <f>ROUND((Table1[[#This Row],[Nilai RAB Jaringan
(Exclude Ppn)]]-Table1[[#This Row],[RAB Perizinan]])*1.11+Table1[[#This Row],[RAB Perizinan]],0)</f>
        <v>0</v>
      </c>
      <c r="AB456" s="436">
        <f>SUM(Table1[[#This Row],[RAB Kegiatan Umum]:[RAB Perizinan]])</f>
        <v>0</v>
      </c>
      <c r="AC456" s="436"/>
      <c r="AD456" s="436"/>
      <c r="AE456" s="436"/>
      <c r="AF456" s="436"/>
      <c r="AG456" s="436"/>
      <c r="AH456" s="570" t="e">
        <f>SUM(Table1[[#This Row],[Bobot Keg Umum]:[Bobot Perizinan]])</f>
        <v>#DIV/0!</v>
      </c>
      <c r="AI456" s="570" t="e">
        <f>Table1[[#This Row],[RAB Kegiatan Umum]]/Table1[[#This Row],[Nilai RAB Jaringan
(Exclude Ppn)]]</f>
        <v>#DIV/0!</v>
      </c>
      <c r="AJ456" s="570" t="e">
        <f>Table1[[#This Row],[RAB Pemasangan]]/Table1[[#This Row],[Nilai RAB Jaringan
(Exclude Ppn)]]</f>
        <v>#DIV/0!</v>
      </c>
      <c r="AK456" s="570" t="e">
        <f>Table1[[#This Row],[RAB Pengadaan]]/Table1[[#This Row],[Nilai RAB Jaringan
(Exclude Ppn)]]</f>
        <v>#DIV/0!</v>
      </c>
      <c r="AL456" s="337" t="e">
        <f>Table1[[#This Row],[RAB Perizinan]]/Table1[[#This Row],[Nilai RAB Jaringan
(Exclude Ppn)]]</f>
        <v>#DIV/0!</v>
      </c>
      <c r="AM456" s="47"/>
      <c r="AN456" s="338"/>
      <c r="AO456" s="514">
        <f>SUM(Table1[[#This Row],[Pipa 63 mm]:[Pipa 1,800 mm]])</f>
        <v>0</v>
      </c>
      <c r="AP456" s="338"/>
      <c r="AQ456" s="338"/>
      <c r="AR456" s="338"/>
      <c r="AS456" s="338"/>
      <c r="AT456" s="338"/>
      <c r="AU456" s="338"/>
      <c r="AV456" s="338"/>
      <c r="AW456" s="338"/>
      <c r="AX456" s="338"/>
      <c r="AY456" s="338"/>
      <c r="AZ456" s="338"/>
      <c r="BA456" s="338"/>
      <c r="BB456" s="338"/>
      <c r="BC456" s="338"/>
      <c r="BD456" s="338"/>
      <c r="BE456" s="338"/>
      <c r="BF456" s="338"/>
      <c r="BG456" s="338"/>
      <c r="BH456" s="338"/>
      <c r="BI456" s="338"/>
      <c r="BJ456" s="36">
        <f>SUM(Table1[[#This Row],[Pipa 63 mm2]:[Pipa 1,800 mm21]])</f>
        <v>0</v>
      </c>
      <c r="BK456" s="32"/>
      <c r="BL456" s="32"/>
      <c r="BM456" s="32"/>
      <c r="BN456" s="32"/>
      <c r="BO456" s="32"/>
      <c r="BP456" s="32"/>
      <c r="BQ456" s="32"/>
      <c r="BR456" s="32"/>
      <c r="BS456" s="32"/>
      <c r="BT456" s="32"/>
      <c r="BU456" s="32"/>
      <c r="BV456" s="32"/>
      <c r="BW456" s="32"/>
      <c r="BX456" s="32"/>
      <c r="BY456" s="32"/>
      <c r="BZ456" s="32"/>
      <c r="CA456" s="32"/>
      <c r="CB456" s="32"/>
      <c r="CC456" s="32"/>
      <c r="CD456" s="32"/>
      <c r="CE456" s="32"/>
      <c r="CF456" s="32"/>
      <c r="CG456" s="32"/>
      <c r="CH456" s="32"/>
      <c r="CI456" s="32"/>
      <c r="CJ456" s="32">
        <f>IF((Table1[[#This Row],["Volume
BA MC-0"]]-Table1[[#This Row],[Total Panjang Pipa Aktual
(Sum-&gt;)3]]-Table1[[#This Row],[Total Volume
tidak dapat dipasang]])&gt;=0,Table1[[#This Row],["Volume
BA MC-0"]]-Table1[[#This Row],[Total Panjang Pipa Aktual
(Sum-&gt;)3]]-Table1[[#This Row],[Total Volume
tidak dapat dipasang]],0)</f>
        <v>0</v>
      </c>
      <c r="CK456" s="47"/>
      <c r="CL456" s="131"/>
      <c r="CM456" s="337"/>
      <c r="CN456" s="131"/>
      <c r="CO456" s="131"/>
      <c r="CP456" s="316"/>
      <c r="CQ456" s="436">
        <f>IFERROR(Table1[[#This Row],[Progres Keg. Umum
(%)]]*Table1[[#This Row],[Nilai RAB Jaringan
(file pa aji)]],0)</f>
        <v>0</v>
      </c>
      <c r="CR456" s="436">
        <f>IFERROR(Table1[[#This Row],[Progres MOS
(%)]]*Table1[[#This Row],[Nilai RAB Jaringan
(file pa aji)]],0)</f>
        <v>0</v>
      </c>
      <c r="CS456" s="436">
        <f>IFERROR(Table1[[#This Row],[Progres Pemasangan
(%)]]*Table1[[#This Row],[Nilai RAB Jaringan
(file pa aji)]],0)</f>
        <v>0</v>
      </c>
      <c r="CT456" s="436">
        <f>IFERROR(Table1[[#This Row],[Progres Perizinan
(%)]]*Table1[[#This Row],[Nilai RAB Jaringan
(file pa aji)]],0)</f>
        <v>0</v>
      </c>
      <c r="CU456" s="329"/>
      <c r="CV456" s="567"/>
      <c r="CW456" s="511"/>
      <c r="CX456" s="329"/>
      <c r="CY456" s="47"/>
      <c r="CZ456" s="331"/>
      <c r="DA456" s="331"/>
      <c r="DB456" s="331"/>
      <c r="DC456" s="316"/>
      <c r="DD456" s="508"/>
      <c r="DE45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6" s="331"/>
      <c r="DG456" s="316"/>
      <c r="DH456" s="508"/>
      <c r="DI45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6" s="331"/>
      <c r="DK456" s="331"/>
      <c r="DL456" s="331"/>
      <c r="DM456" s="316"/>
      <c r="DN456"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6" s="331"/>
      <c r="DP456" s="316"/>
      <c r="DQ456" s="338"/>
      <c r="DR456"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6" s="331"/>
      <c r="DT456" s="331" t="e">
        <v>#N/A</v>
      </c>
      <c r="DU456" s="331"/>
      <c r="DV456" s="331" t="e">
        <v>#N/A</v>
      </c>
      <c r="DW456" s="331"/>
      <c r="DX456" s="316"/>
      <c r="DY456" s="334"/>
      <c r="DZ456" s="334"/>
      <c r="EA456"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6" s="331"/>
      <c r="EC456" s="332"/>
      <c r="ED456" s="332"/>
      <c r="EE456" s="330"/>
      <c r="EF456" s="337"/>
      <c r="EG456" s="337"/>
      <c r="EH456" s="316" t="str">
        <f>IF(Table1[[#This Row],[PO Material Aktual 
(%)]]&gt;=100%,"Selesai PO = 100%",IF(Table1[[#This Row],[PO Material Aktual 
(%)]]&gt;=50%,"Proses PO &gt; 100%",IF(Table1[[#This Row],[PO Material Aktual 
(%)]]&gt;0%,"Proses PO &gt; 50%",IF(Table1[[#This Row],[PO Material Aktual 
(%)]]=0,"Belum PO = 0%"))))</f>
        <v>Belum PO = 0%</v>
      </c>
      <c r="EI45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6" s="331"/>
      <c r="EK456" s="331" t="e">
        <v>#N/A</v>
      </c>
      <c r="EL456" s="331"/>
      <c r="EM456" s="331" t="e">
        <v>#N/A</v>
      </c>
      <c r="EN456" s="331"/>
      <c r="EO456" s="316"/>
      <c r="EP456" s="335"/>
      <c r="EQ456" s="337"/>
      <c r="ER456" s="337"/>
      <c r="ES456" s="316" t="str">
        <f>IF(Table1[[#This Row],[Progres MOS]]&gt;=100%,"Selesai MOS = 100%",IF(Table1[[#This Row],[Progres MOS]]&gt;=50%,"Proses MOS &gt; 100%",IF(Table1[[#This Row],[Progres MOS]]&gt;0%,"Proses MOS &gt; 50%",IF(Table1[[#This Row],[Progres MOS]]=0,"Belum MOS = 0%"))))</f>
        <v>Belum MOS = 0%</v>
      </c>
      <c r="ET45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6" s="47"/>
      <c r="EV456" s="331"/>
      <c r="EW456" s="331" t="e">
        <v>#N/A</v>
      </c>
      <c r="EX456" s="331"/>
      <c r="EY456" s="331" t="e">
        <v>#N/A</v>
      </c>
      <c r="EZ456" s="352"/>
      <c r="FA456" s="384"/>
      <c r="FB456" s="331" t="e">
        <v>#N/A</v>
      </c>
      <c r="FC456" s="331" t="e">
        <v>#N/A</v>
      </c>
      <c r="FD456" s="331" t="e">
        <v>#N/A</v>
      </c>
      <c r="FE456" s="331" t="e">
        <v>#N/A</v>
      </c>
      <c r="FF456" s="331" t="e">
        <v>#N/A</v>
      </c>
      <c r="FG456" s="331" t="e">
        <v>#N/A</v>
      </c>
      <c r="FH456" s="331" t="e">
        <v>#N/A</v>
      </c>
      <c r="FI456" s="331" t="e">
        <v>#N/A</v>
      </c>
      <c r="FJ456" s="331" t="e">
        <v>#N/A</v>
      </c>
      <c r="FK456" s="331" t="e">
        <v>#N/A</v>
      </c>
      <c r="FL456" s="352"/>
      <c r="FM456" s="352"/>
      <c r="FN456" s="338" t="str">
        <f>IF(Table1[[#This Row],[Tanggal Pengajuan Dokumen]]="","",Table1[[#This Row],[PLAN PERMIT
start]]-Table1[[#This Row],[Tanggal Pengajuan Dokumen]])</f>
        <v/>
      </c>
      <c r="FO456" s="352"/>
      <c r="FP456" s="316"/>
      <c r="FQ456" s="338"/>
      <c r="FR456" s="352"/>
      <c r="FS456" s="338"/>
      <c r="FT45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6" s="344">
        <f ca="1">IF(Table1[[#This Row],[Status Izin]]="Selesai",Table1[[#This Row],[PLAN PERMIT
finish]]-Table1[[#This Row],[Tanggal Terbit/ Target Izin Terbit]],ROUNDUP(Table1[[#This Row],[PLAN PERMIT
finish]]-NOW(),0))</f>
        <v>-46191</v>
      </c>
      <c r="FV45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6" s="344"/>
      <c r="FX456" s="47"/>
      <c r="FY456" s="571"/>
      <c r="FZ456" s="572"/>
      <c r="GA456"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6" s="331"/>
      <c r="GC456" s="352"/>
      <c r="GD45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6" s="331"/>
      <c r="GF456" s="352"/>
      <c r="GG45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6" s="331"/>
      <c r="GI456" s="331"/>
      <c r="GJ456" s="352"/>
      <c r="GK45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6" s="331"/>
      <c r="GM456" s="331" t="e">
        <v>#N/A</v>
      </c>
      <c r="GN456" s="331"/>
      <c r="GO456" s="527" t="e">
        <v>#N/A</v>
      </c>
      <c r="GP456" s="316"/>
      <c r="GQ45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6" s="331"/>
      <c r="GS456" s="331"/>
      <c r="GT456" s="354"/>
      <c r="GU456" s="344" t="str">
        <f>IF(Table1[[#This Row],[Hydro Tes Actual
(tanggal)]]&lt;&gt;"","Sudah","Belum")</f>
        <v>Belum</v>
      </c>
      <c r="GV456" s="330"/>
      <c r="GW456" s="330"/>
      <c r="GX456" s="331"/>
      <c r="GY456" s="344" t="str">
        <f>IF(Table1[[#This Row],[Interkoneksi Actual
(tanggal)]]&lt;&gt;"","Sudah","Belum")</f>
        <v>Belum</v>
      </c>
      <c r="GZ456" s="330"/>
      <c r="HA456" s="330"/>
      <c r="HB456" s="331"/>
      <c r="HC456" s="344" t="str">
        <f>IF(Table1[[#This Row],[Flushing Actual
(tanggal)]]&lt;&gt;"","Sudah","Belum")</f>
        <v>Belum</v>
      </c>
      <c r="HD456" s="331"/>
      <c r="HE456" s="331" t="e">
        <v>#N/A</v>
      </c>
      <c r="HF456" s="331"/>
      <c r="HG456" s="352"/>
      <c r="HH45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6" s="330"/>
      <c r="HJ456" s="330"/>
      <c r="HK456" s="331"/>
      <c r="HL456" s="316"/>
      <c r="HM456" s="331"/>
      <c r="HN456" s="331"/>
      <c r="HO456" s="527" t="e">
        <v>#N/A</v>
      </c>
      <c r="HP456" s="331"/>
      <c r="HQ45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56" s="352"/>
      <c r="HS456" s="352"/>
      <c r="HT456" s="352"/>
      <c r="HU456" s="477"/>
      <c r="HV456" s="331"/>
      <c r="HW45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56" s="47"/>
      <c r="HY456" s="352"/>
      <c r="HZ456" s="352"/>
      <c r="IA456"/>
      <c r="IB456" s="618">
        <f>IFERROR(ROUND((Table1[[#This Row],[PLAN TC
finish]]-Table1[[#This Row],[PLAN MC-0
start]])/30,2),"")</f>
        <v>0</v>
      </c>
      <c r="IC456">
        <f>DATEDIF(Table1[[#This Row],[PLAN MC-0
start]],Table1[[#This Row],[PLAN TC
finish]],"m")</f>
        <v>0</v>
      </c>
      <c r="ID456" s="8"/>
      <c r="IE456" s="8"/>
      <c r="IF456" s="4"/>
      <c r="IG456" s="6"/>
      <c r="IH456" s="72"/>
      <c r="II456" s="72"/>
      <c r="IJ456" s="8"/>
      <c r="IL456" s="6"/>
      <c r="IM456" s="6"/>
      <c r="IN456" s="72"/>
      <c r="IO456" s="8"/>
      <c r="IQ456" s="4"/>
      <c r="IR456" s="4"/>
      <c r="IS456" s="6"/>
      <c r="IT456" s="6"/>
      <c r="IW456" s="6"/>
      <c r="IX456" s="6"/>
      <c r="IZ456" s="6"/>
      <c r="JA456" s="6"/>
    </row>
    <row r="457" spans="2:261" ht="15" hidden="1" customHeight="1" x14ac:dyDescent="0.2">
      <c r="B457" s="311">
        <f>SUBTOTAL(3,$D$5:D457)</f>
        <v>84</v>
      </c>
      <c r="C457" s="316">
        <v>467</v>
      </c>
      <c r="D457" s="460" t="s">
        <v>629</v>
      </c>
      <c r="E457" s="338" t="s">
        <v>3478</v>
      </c>
      <c r="F457" s="338" t="s">
        <v>3479</v>
      </c>
      <c r="G457" s="349">
        <v>46482</v>
      </c>
      <c r="H457" s="461" t="s">
        <v>247</v>
      </c>
      <c r="I457" s="338"/>
      <c r="J457" s="480"/>
      <c r="K457" s="338"/>
      <c r="L457" s="316"/>
      <c r="M457" s="355"/>
      <c r="N457" s="559">
        <v>2658</v>
      </c>
      <c r="O457" s="464" t="s">
        <v>252</v>
      </c>
      <c r="P45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7" s="320" t="s">
        <v>1819</v>
      </c>
      <c r="R457" s="337"/>
      <c r="S457" s="327">
        <v>0.99999999999999989</v>
      </c>
      <c r="T457" s="327">
        <f>Table1[[#This Row],[Progres Total Aktual
(%)]]</f>
        <v>0</v>
      </c>
      <c r="U457" s="568">
        <f>Table1[[#This Row],[Progres Aktual
(%)]]-Table1[[#This Row],[Target Progres
(%)]]</f>
        <v>-0.99999999999999989</v>
      </c>
      <c r="V457" s="569">
        <f>Table1[[#This Row],["Volume
BA MC-0"]]</f>
        <v>2382</v>
      </c>
      <c r="W457" s="569">
        <f>Table1[[#This Row],[Total Panjang Pipa Aktual
(Sum-&gt;)3]]</f>
        <v>0</v>
      </c>
      <c r="X457" s="117"/>
      <c r="Y457" s="295"/>
      <c r="Z457" s="508"/>
      <c r="AA457" s="508">
        <f>ROUND((Table1[[#This Row],[Nilai RAB Jaringan
(Exclude Ppn)]]-Table1[[#This Row],[RAB Perizinan]])*1.11+Table1[[#This Row],[RAB Perizinan]],0)</f>
        <v>0</v>
      </c>
      <c r="AB457" s="436">
        <f>SUM(Table1[[#This Row],[RAB Kegiatan Umum]:[RAB Perizinan]])</f>
        <v>0</v>
      </c>
      <c r="AC457" s="436"/>
      <c r="AD457" s="436"/>
      <c r="AE457" s="436"/>
      <c r="AF457" s="436"/>
      <c r="AG457" s="436"/>
      <c r="AH457" s="570" t="e">
        <f>SUM(Table1[[#This Row],[Bobot Keg Umum]:[Bobot Perizinan]])</f>
        <v>#DIV/0!</v>
      </c>
      <c r="AI457" s="570" t="e">
        <f>Table1[[#This Row],[RAB Kegiatan Umum]]/Table1[[#This Row],[Nilai RAB Jaringan
(Exclude Ppn)]]</f>
        <v>#DIV/0!</v>
      </c>
      <c r="AJ457" s="570" t="e">
        <f>Table1[[#This Row],[RAB Pemasangan]]/Table1[[#This Row],[Nilai RAB Jaringan
(Exclude Ppn)]]</f>
        <v>#DIV/0!</v>
      </c>
      <c r="AK457" s="570" t="e">
        <f>Table1[[#This Row],[RAB Pengadaan]]/Table1[[#This Row],[Nilai RAB Jaringan
(Exclude Ppn)]]</f>
        <v>#DIV/0!</v>
      </c>
      <c r="AL457" s="337" t="e">
        <f>Table1[[#This Row],[RAB Perizinan]]/Table1[[#This Row],[Nilai RAB Jaringan
(Exclude Ppn)]]</f>
        <v>#DIV/0!</v>
      </c>
      <c r="AM457" s="47"/>
      <c r="AN457" s="338">
        <v>2382</v>
      </c>
      <c r="AO457" s="514">
        <f>SUM(Table1[[#This Row],[Pipa 63 mm]:[Pipa 1,800 mm]])</f>
        <v>2382</v>
      </c>
      <c r="AP457" s="338"/>
      <c r="AQ457" s="338"/>
      <c r="AR457" s="338"/>
      <c r="AS457" s="338"/>
      <c r="AT457" s="338"/>
      <c r="AU457" s="338"/>
      <c r="AV457" s="338"/>
      <c r="AW457" s="338"/>
      <c r="AX457" s="338"/>
      <c r="AY457" s="338"/>
      <c r="AZ457" s="338"/>
      <c r="BA457" s="338"/>
      <c r="BB457" s="338">
        <v>2382</v>
      </c>
      <c r="BC457" s="338"/>
      <c r="BD457" s="338"/>
      <c r="BE457" s="338"/>
      <c r="BF457" s="338"/>
      <c r="BG457" s="338"/>
      <c r="BH457" s="338"/>
      <c r="BI457" s="338"/>
      <c r="BJ457" s="36">
        <f>SUM(Table1[[#This Row],[Pipa 63 mm2]:[Pipa 1,800 mm21]])</f>
        <v>0</v>
      </c>
      <c r="BK457" s="32"/>
      <c r="BL457" s="32"/>
      <c r="BM457" s="32"/>
      <c r="BN457" s="32"/>
      <c r="BO457" s="32"/>
      <c r="BP457" s="32"/>
      <c r="BQ457" s="32"/>
      <c r="BR457" s="32"/>
      <c r="BS457" s="32"/>
      <c r="BT457" s="32"/>
      <c r="BU457" s="32"/>
      <c r="BV457" s="32"/>
      <c r="BW457" s="32"/>
      <c r="BX457" s="32"/>
      <c r="BY457" s="32"/>
      <c r="BZ457" s="32"/>
      <c r="CA457" s="32"/>
      <c r="CB457" s="32"/>
      <c r="CC457" s="32"/>
      <c r="CD457" s="32"/>
      <c r="CE457" s="32"/>
      <c r="CF457" s="32"/>
      <c r="CG457" s="32"/>
      <c r="CH457" s="32"/>
      <c r="CI457" s="32"/>
      <c r="CJ457" s="32">
        <f>IF((Table1[[#This Row],["Volume
BA MC-0"]]-Table1[[#This Row],[Total Panjang Pipa Aktual
(Sum-&gt;)3]]-Table1[[#This Row],[Total Volume
tidak dapat dipasang]])&gt;=0,Table1[[#This Row],["Volume
BA MC-0"]]-Table1[[#This Row],[Total Panjang Pipa Aktual
(Sum-&gt;)3]]-Table1[[#This Row],[Total Volume
tidak dapat dipasang]],0)</f>
        <v>2382</v>
      </c>
      <c r="CK457" s="47"/>
      <c r="CL457" s="131"/>
      <c r="CM457" s="337"/>
      <c r="CN457" s="131"/>
      <c r="CO457" s="131"/>
      <c r="CP457" s="316"/>
      <c r="CQ457" s="436">
        <f>IFERROR(Table1[[#This Row],[Progres Keg. Umum
(%)]]*Table1[[#This Row],[Nilai RAB Jaringan
(file pa aji)]],0)</f>
        <v>0</v>
      </c>
      <c r="CR457" s="436">
        <f>IFERROR(Table1[[#This Row],[Progres MOS
(%)]]*Table1[[#This Row],[Nilai RAB Jaringan
(file pa aji)]],0)</f>
        <v>0</v>
      </c>
      <c r="CS457" s="436">
        <f>IFERROR(Table1[[#This Row],[Progres Pemasangan
(%)]]*Table1[[#This Row],[Nilai RAB Jaringan
(file pa aji)]],0)</f>
        <v>0</v>
      </c>
      <c r="CT457" s="436">
        <f>IFERROR(Table1[[#This Row],[Progres Perizinan
(%)]]*Table1[[#This Row],[Nilai RAB Jaringan
(file pa aji)]],0)</f>
        <v>0</v>
      </c>
      <c r="CU457" s="329"/>
      <c r="CV457" s="567"/>
      <c r="CW457" s="511"/>
      <c r="CX457" s="329"/>
      <c r="CY457" s="47"/>
      <c r="CZ457" s="331"/>
      <c r="DA457" s="331"/>
      <c r="DB457" s="331"/>
      <c r="DC457" s="316"/>
      <c r="DD457" s="508"/>
      <c r="DE45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7" s="331"/>
      <c r="DG457" s="316"/>
      <c r="DH457" s="508"/>
      <c r="DI45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7" s="331"/>
      <c r="DK457" s="331"/>
      <c r="DL457" s="331"/>
      <c r="DM457" s="316"/>
      <c r="DN457"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7" s="331"/>
      <c r="DP457" s="316"/>
      <c r="DQ457" s="338"/>
      <c r="DR457"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7" s="331"/>
      <c r="DT457" s="331" t="e">
        <v>#N/A</v>
      </c>
      <c r="DU457" s="331"/>
      <c r="DV457" s="331" t="e">
        <v>#N/A</v>
      </c>
      <c r="DW457" s="331"/>
      <c r="DX457" s="316"/>
      <c r="DY457" s="335"/>
      <c r="DZ457" s="335"/>
      <c r="EA457"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7" s="331"/>
      <c r="EC457" s="332"/>
      <c r="ED457" s="332"/>
      <c r="EE457" s="330"/>
      <c r="EF457" s="337"/>
      <c r="EG457" s="337"/>
      <c r="EH457" s="316" t="str">
        <f>IF(Table1[[#This Row],[PO Material Aktual 
(%)]]&gt;=100%,"Selesai PO = 100%",IF(Table1[[#This Row],[PO Material Aktual 
(%)]]&gt;=50%,"Proses PO &gt; 100%",IF(Table1[[#This Row],[PO Material Aktual 
(%)]]&gt;0%,"Proses PO &gt; 50%",IF(Table1[[#This Row],[PO Material Aktual 
(%)]]=0,"Belum PO = 0%"))))</f>
        <v>Belum PO = 0%</v>
      </c>
      <c r="EI45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7" s="331"/>
      <c r="EK457" s="331" t="e">
        <v>#N/A</v>
      </c>
      <c r="EL457" s="331"/>
      <c r="EM457" s="331" t="e">
        <v>#N/A</v>
      </c>
      <c r="EN457" s="331"/>
      <c r="EO457" s="316"/>
      <c r="EP457" s="335"/>
      <c r="EQ457" s="337"/>
      <c r="ER457" s="337"/>
      <c r="ES457" s="316" t="str">
        <f>IF(Table1[[#This Row],[Progres MOS]]&gt;=100%,"Selesai MOS = 100%",IF(Table1[[#This Row],[Progres MOS]]&gt;=50%,"Proses MOS &gt; 100%",IF(Table1[[#This Row],[Progres MOS]]&gt;0%,"Proses MOS &gt; 50%",IF(Table1[[#This Row],[Progres MOS]]=0,"Belum MOS = 0%"))))</f>
        <v>Belum MOS = 0%</v>
      </c>
      <c r="ET45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7" s="47"/>
      <c r="EV457" s="331"/>
      <c r="EW457" s="331" t="e">
        <v>#N/A</v>
      </c>
      <c r="EX457" s="331"/>
      <c r="EY457" s="331" t="e">
        <v>#N/A</v>
      </c>
      <c r="EZ457" s="352"/>
      <c r="FA457" s="384"/>
      <c r="FB457" s="331" t="e">
        <v>#N/A</v>
      </c>
      <c r="FC457" s="331" t="e">
        <v>#N/A</v>
      </c>
      <c r="FD457" s="331" t="e">
        <v>#N/A</v>
      </c>
      <c r="FE457" s="331" t="e">
        <v>#N/A</v>
      </c>
      <c r="FF457" s="331" t="e">
        <v>#N/A</v>
      </c>
      <c r="FG457" s="331" t="e">
        <v>#N/A</v>
      </c>
      <c r="FH457" s="331" t="e">
        <v>#N/A</v>
      </c>
      <c r="FI457" s="331" t="e">
        <v>#N/A</v>
      </c>
      <c r="FJ457" s="331" t="e">
        <v>#N/A</v>
      </c>
      <c r="FK457" s="331" t="e">
        <v>#N/A</v>
      </c>
      <c r="FL457" s="352"/>
      <c r="FM457" s="352"/>
      <c r="FN457" s="338" t="str">
        <f>IF(Table1[[#This Row],[Tanggal Pengajuan Dokumen]]="","",Table1[[#This Row],[PLAN PERMIT
start]]-Table1[[#This Row],[Tanggal Pengajuan Dokumen]])</f>
        <v/>
      </c>
      <c r="FO457" s="352"/>
      <c r="FP457" s="316"/>
      <c r="FQ457" s="338"/>
      <c r="FR457" s="352"/>
      <c r="FS457" s="338"/>
      <c r="FT45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7" s="344">
        <f ca="1">IF(Table1[[#This Row],[Status Izin]]="Selesai",Table1[[#This Row],[PLAN PERMIT
finish]]-Table1[[#This Row],[Tanggal Terbit/ Target Izin Terbit]],ROUNDUP(Table1[[#This Row],[PLAN PERMIT
finish]]-NOW(),0))</f>
        <v>-46191</v>
      </c>
      <c r="FV45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7" s="344"/>
      <c r="FX457" s="47"/>
      <c r="FY457" s="571"/>
      <c r="FZ457" s="572"/>
      <c r="GA457"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7" s="331"/>
      <c r="GC457" s="352"/>
      <c r="GD45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7" s="331"/>
      <c r="GF457" s="352">
        <v>46148</v>
      </c>
      <c r="GG45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7" s="331"/>
      <c r="GI457" s="331"/>
      <c r="GJ457" s="352">
        <v>46155</v>
      </c>
      <c r="GK45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7" s="331"/>
      <c r="GM457" s="331" t="e">
        <v>#N/A</v>
      </c>
      <c r="GN457" s="331"/>
      <c r="GO457" s="527" t="e">
        <v>#N/A</v>
      </c>
      <c r="GP457" s="316"/>
      <c r="GQ45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7" s="331"/>
      <c r="GS457" s="331"/>
      <c r="GT457" s="354"/>
      <c r="GU457" s="344" t="str">
        <f>IF(Table1[[#This Row],[Hydro Tes Actual
(tanggal)]]&lt;&gt;"","Sudah","Belum")</f>
        <v>Belum</v>
      </c>
      <c r="GV457" s="330"/>
      <c r="GW457" s="330"/>
      <c r="GX457" s="331"/>
      <c r="GY457" s="344" t="str">
        <f>IF(Table1[[#This Row],[Interkoneksi Actual
(tanggal)]]&lt;&gt;"","Sudah","Belum")</f>
        <v>Belum</v>
      </c>
      <c r="GZ457" s="330"/>
      <c r="HA457" s="330"/>
      <c r="HB457" s="331"/>
      <c r="HC457" s="344" t="str">
        <f>IF(Table1[[#This Row],[Flushing Actual
(tanggal)]]&lt;&gt;"","Sudah","Belum")</f>
        <v>Belum</v>
      </c>
      <c r="HD457" s="331"/>
      <c r="HE457" s="331" t="e">
        <v>#N/A</v>
      </c>
      <c r="HF457" s="331"/>
      <c r="HG457" s="352"/>
      <c r="HH45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7" s="330"/>
      <c r="HJ457" s="330"/>
      <c r="HK457" s="331"/>
      <c r="HL457" s="316"/>
      <c r="HM457" s="331"/>
      <c r="HN457" s="331"/>
      <c r="HO457" s="527" t="e">
        <v>#N/A</v>
      </c>
      <c r="HP457" s="331"/>
      <c r="HQ45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57" s="352"/>
      <c r="HS457" s="352"/>
      <c r="HT457" s="352"/>
      <c r="HU457" s="474"/>
      <c r="HV457" s="331"/>
      <c r="HW457"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57" s="47"/>
      <c r="HY457" s="352"/>
      <c r="HZ457" s="352"/>
      <c r="IA457"/>
      <c r="IB457" s="618">
        <f>IFERROR(ROUND((Table1[[#This Row],[PLAN TC
finish]]-Table1[[#This Row],[PLAN MC-0
start]])/30,2),"")</f>
        <v>0</v>
      </c>
      <c r="IC457">
        <f>DATEDIF(Table1[[#This Row],[PLAN MC-0
start]],Table1[[#This Row],[PLAN TC
finish]],"m")</f>
        <v>0</v>
      </c>
      <c r="ID457" s="8"/>
      <c r="IE457" s="8"/>
      <c r="IF457" s="4"/>
      <c r="IG457" s="6"/>
      <c r="IH457" s="72"/>
      <c r="II457" s="72"/>
      <c r="IJ457" s="8"/>
      <c r="IL457" s="6"/>
      <c r="IM457" s="6"/>
      <c r="IN457" s="72"/>
      <c r="IO457" s="8"/>
      <c r="IQ457" s="4"/>
      <c r="IR457" s="4"/>
      <c r="IS457" s="6"/>
      <c r="IT457" s="6"/>
      <c r="IW457" s="6"/>
      <c r="IX457" s="6"/>
      <c r="IZ457" s="6"/>
      <c r="JA457" s="6"/>
    </row>
    <row r="458" spans="2:261" ht="15" hidden="1" customHeight="1" x14ac:dyDescent="0.2">
      <c r="B458" s="311">
        <f>SUBTOTAL(3,$D$5:D458)</f>
        <v>84</v>
      </c>
      <c r="C458" s="316">
        <v>468</v>
      </c>
      <c r="D458" s="460" t="s">
        <v>629</v>
      </c>
      <c r="E458" s="338" t="s">
        <v>3480</v>
      </c>
      <c r="F458" s="338" t="s">
        <v>3481</v>
      </c>
      <c r="G458" s="349">
        <v>46482</v>
      </c>
      <c r="H458" s="461" t="s">
        <v>247</v>
      </c>
      <c r="I458" s="338"/>
      <c r="J458" s="480"/>
      <c r="K458" s="338"/>
      <c r="L458" s="316"/>
      <c r="M458" s="355"/>
      <c r="N458" s="559">
        <v>2900</v>
      </c>
      <c r="O458" s="464" t="s">
        <v>252</v>
      </c>
      <c r="P45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8" s="337"/>
      <c r="S458" s="327">
        <v>0.99999999999999989</v>
      </c>
      <c r="T458" s="327">
        <f>Table1[[#This Row],[Progres Total Aktual
(%)]]</f>
        <v>0</v>
      </c>
      <c r="U458" s="568">
        <f>Table1[[#This Row],[Progres Aktual
(%)]]-Table1[[#This Row],[Target Progres
(%)]]</f>
        <v>-0.99999999999999989</v>
      </c>
      <c r="V458" s="569">
        <f>Table1[[#This Row],["Volume
BA MC-0"]]</f>
        <v>0</v>
      </c>
      <c r="W458" s="569">
        <f>Table1[[#This Row],[Total Panjang Pipa Aktual
(Sum-&gt;)3]]</f>
        <v>0</v>
      </c>
      <c r="X458" s="117"/>
      <c r="Y458" s="295"/>
      <c r="Z458" s="508"/>
      <c r="AA458" s="508">
        <f>ROUND((Table1[[#This Row],[Nilai RAB Jaringan
(Exclude Ppn)]]-Table1[[#This Row],[RAB Perizinan]])*1.11+Table1[[#This Row],[RAB Perizinan]],0)</f>
        <v>0</v>
      </c>
      <c r="AB458" s="436">
        <f>SUM(Table1[[#This Row],[RAB Kegiatan Umum]:[RAB Perizinan]])</f>
        <v>0</v>
      </c>
      <c r="AC458" s="436"/>
      <c r="AD458" s="436"/>
      <c r="AE458" s="436"/>
      <c r="AF458" s="436"/>
      <c r="AG458" s="436"/>
      <c r="AH458" s="570" t="e">
        <f>SUM(Table1[[#This Row],[Bobot Keg Umum]:[Bobot Perizinan]])</f>
        <v>#DIV/0!</v>
      </c>
      <c r="AI458" s="570" t="e">
        <f>Table1[[#This Row],[RAB Kegiatan Umum]]/Table1[[#This Row],[Nilai RAB Jaringan
(Exclude Ppn)]]</f>
        <v>#DIV/0!</v>
      </c>
      <c r="AJ458" s="570" t="e">
        <f>Table1[[#This Row],[RAB Pemasangan]]/Table1[[#This Row],[Nilai RAB Jaringan
(Exclude Ppn)]]</f>
        <v>#DIV/0!</v>
      </c>
      <c r="AK458" s="570" t="e">
        <f>Table1[[#This Row],[RAB Pengadaan]]/Table1[[#This Row],[Nilai RAB Jaringan
(Exclude Ppn)]]</f>
        <v>#DIV/0!</v>
      </c>
      <c r="AL458" s="337" t="e">
        <f>Table1[[#This Row],[RAB Perizinan]]/Table1[[#This Row],[Nilai RAB Jaringan
(Exclude Ppn)]]</f>
        <v>#DIV/0!</v>
      </c>
      <c r="AM458" s="47"/>
      <c r="AN458" s="338"/>
      <c r="AO458" s="514">
        <f>SUM(Table1[[#This Row],[Pipa 63 mm]:[Pipa 1,800 mm]])</f>
        <v>0</v>
      </c>
      <c r="AP458" s="338"/>
      <c r="AQ458" s="338"/>
      <c r="AR458" s="338"/>
      <c r="AS458" s="338"/>
      <c r="AT458" s="338"/>
      <c r="AU458" s="338"/>
      <c r="AV458" s="338"/>
      <c r="AW458" s="338"/>
      <c r="AX458" s="338"/>
      <c r="AY458" s="338"/>
      <c r="AZ458" s="338"/>
      <c r="BA458" s="338"/>
      <c r="BB458" s="338"/>
      <c r="BC458" s="338"/>
      <c r="BD458" s="338"/>
      <c r="BE458" s="338"/>
      <c r="BF458" s="338"/>
      <c r="BG458" s="338"/>
      <c r="BH458" s="338"/>
      <c r="BI458" s="338"/>
      <c r="BJ458" s="36">
        <f>SUM(Table1[[#This Row],[Pipa 63 mm2]:[Pipa 1,800 mm21]])</f>
        <v>0</v>
      </c>
      <c r="BK458" s="32"/>
      <c r="BL458" s="32"/>
      <c r="BM458" s="32"/>
      <c r="BN458" s="32"/>
      <c r="BO458" s="32"/>
      <c r="BP458" s="32"/>
      <c r="BQ458" s="32"/>
      <c r="BR458" s="32"/>
      <c r="BS458" s="32"/>
      <c r="BT458" s="32"/>
      <c r="BU458" s="32"/>
      <c r="BV458" s="32"/>
      <c r="BW458" s="32"/>
      <c r="BX458" s="32"/>
      <c r="BY458" s="32"/>
      <c r="BZ458" s="32"/>
      <c r="CA458" s="32"/>
      <c r="CB458" s="32"/>
      <c r="CC458" s="32"/>
      <c r="CD458" s="32"/>
      <c r="CE458" s="32"/>
      <c r="CF458" s="32"/>
      <c r="CG458" s="32"/>
      <c r="CH458" s="32"/>
      <c r="CI458" s="32"/>
      <c r="CJ458" s="32">
        <f>IF((Table1[[#This Row],["Volume
BA MC-0"]]-Table1[[#This Row],[Total Panjang Pipa Aktual
(Sum-&gt;)3]]-Table1[[#This Row],[Total Volume
tidak dapat dipasang]])&gt;=0,Table1[[#This Row],["Volume
BA MC-0"]]-Table1[[#This Row],[Total Panjang Pipa Aktual
(Sum-&gt;)3]]-Table1[[#This Row],[Total Volume
tidak dapat dipasang]],0)</f>
        <v>0</v>
      </c>
      <c r="CK458" s="47"/>
      <c r="CL458" s="131"/>
      <c r="CM458" s="337"/>
      <c r="CN458" s="131"/>
      <c r="CO458" s="131"/>
      <c r="CP458" s="316"/>
      <c r="CQ458" s="436">
        <f>IFERROR(Table1[[#This Row],[Progres Keg. Umum
(%)]]*Table1[[#This Row],[Nilai RAB Jaringan
(file pa aji)]],0)</f>
        <v>0</v>
      </c>
      <c r="CR458" s="436">
        <f>IFERROR(Table1[[#This Row],[Progres MOS
(%)]]*Table1[[#This Row],[Nilai RAB Jaringan
(file pa aji)]],0)</f>
        <v>0</v>
      </c>
      <c r="CS458" s="436">
        <f>IFERROR(Table1[[#This Row],[Progres Pemasangan
(%)]]*Table1[[#This Row],[Nilai RAB Jaringan
(file pa aji)]],0)</f>
        <v>0</v>
      </c>
      <c r="CT458" s="436">
        <f>IFERROR(Table1[[#This Row],[Progres Perizinan
(%)]]*Table1[[#This Row],[Nilai RAB Jaringan
(file pa aji)]],0)</f>
        <v>0</v>
      </c>
      <c r="CU458" s="329"/>
      <c r="CV458" s="567"/>
      <c r="CW458" s="511"/>
      <c r="CX458" s="329"/>
      <c r="CY458" s="47"/>
      <c r="CZ458" s="331"/>
      <c r="DA458" s="331"/>
      <c r="DB458" s="331"/>
      <c r="DC458" s="316"/>
      <c r="DD458" s="508"/>
      <c r="DE45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8" s="331"/>
      <c r="DG458" s="316"/>
      <c r="DH458" s="508"/>
      <c r="DI45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8" s="331"/>
      <c r="DK458" s="331"/>
      <c r="DL458" s="331"/>
      <c r="DM458" s="316"/>
      <c r="DN458"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8" s="331"/>
      <c r="DP458" s="316"/>
      <c r="DQ458" s="338"/>
      <c r="DR458"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8" s="331"/>
      <c r="DT458" s="331" t="e">
        <v>#N/A</v>
      </c>
      <c r="DU458" s="331"/>
      <c r="DV458" s="331" t="e">
        <v>#N/A</v>
      </c>
      <c r="DW458" s="331"/>
      <c r="DX458" s="316"/>
      <c r="DY458" s="335"/>
      <c r="DZ458" s="335"/>
      <c r="EA458"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8" s="331"/>
      <c r="EC458" s="332"/>
      <c r="ED458" s="332"/>
      <c r="EE458" s="330"/>
      <c r="EF458" s="337"/>
      <c r="EG458" s="337"/>
      <c r="EH458" s="316" t="str">
        <f>IF(Table1[[#This Row],[PO Material Aktual 
(%)]]&gt;=100%,"Selesai PO = 100%",IF(Table1[[#This Row],[PO Material Aktual 
(%)]]&gt;=50%,"Proses PO &gt; 100%",IF(Table1[[#This Row],[PO Material Aktual 
(%)]]&gt;0%,"Proses PO &gt; 50%",IF(Table1[[#This Row],[PO Material Aktual 
(%)]]=0,"Belum PO = 0%"))))</f>
        <v>Belum PO = 0%</v>
      </c>
      <c r="EI45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8" s="331"/>
      <c r="EK458" s="331" t="e">
        <v>#N/A</v>
      </c>
      <c r="EL458" s="331"/>
      <c r="EM458" s="331" t="e">
        <v>#N/A</v>
      </c>
      <c r="EN458" s="331"/>
      <c r="EO458" s="316"/>
      <c r="EP458" s="335"/>
      <c r="EQ458" s="337"/>
      <c r="ER458" s="337"/>
      <c r="ES458" s="316" t="str">
        <f>IF(Table1[[#This Row],[Progres MOS]]&gt;=100%,"Selesai MOS = 100%",IF(Table1[[#This Row],[Progres MOS]]&gt;=50%,"Proses MOS &gt; 100%",IF(Table1[[#This Row],[Progres MOS]]&gt;0%,"Proses MOS &gt; 50%",IF(Table1[[#This Row],[Progres MOS]]=0,"Belum MOS = 0%"))))</f>
        <v>Belum MOS = 0%</v>
      </c>
      <c r="ET45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8" s="47"/>
      <c r="EV458" s="331"/>
      <c r="EW458" s="331" t="e">
        <v>#N/A</v>
      </c>
      <c r="EX458" s="331"/>
      <c r="EY458" s="331" t="e">
        <v>#N/A</v>
      </c>
      <c r="EZ458" s="352"/>
      <c r="FA458" s="384"/>
      <c r="FB458" s="331" t="e">
        <v>#N/A</v>
      </c>
      <c r="FC458" s="331" t="e">
        <v>#N/A</v>
      </c>
      <c r="FD458" s="331" t="e">
        <v>#N/A</v>
      </c>
      <c r="FE458" s="331" t="e">
        <v>#N/A</v>
      </c>
      <c r="FF458" s="331" t="e">
        <v>#N/A</v>
      </c>
      <c r="FG458" s="331" t="e">
        <v>#N/A</v>
      </c>
      <c r="FH458" s="331" t="e">
        <v>#N/A</v>
      </c>
      <c r="FI458" s="331" t="e">
        <v>#N/A</v>
      </c>
      <c r="FJ458" s="331" t="e">
        <v>#N/A</v>
      </c>
      <c r="FK458" s="331" t="e">
        <v>#N/A</v>
      </c>
      <c r="FL458" s="352"/>
      <c r="FM458" s="352"/>
      <c r="FN458" s="338" t="str">
        <f>IF(Table1[[#This Row],[Tanggal Pengajuan Dokumen]]="","",Table1[[#This Row],[PLAN PERMIT
start]]-Table1[[#This Row],[Tanggal Pengajuan Dokumen]])</f>
        <v/>
      </c>
      <c r="FO458" s="352"/>
      <c r="FP458" s="316"/>
      <c r="FQ458" s="338"/>
      <c r="FR458" s="352"/>
      <c r="FS458" s="338"/>
      <c r="FT45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8" s="344">
        <f ca="1">IF(Table1[[#This Row],[Status Izin]]="Selesai",Table1[[#This Row],[PLAN PERMIT
finish]]-Table1[[#This Row],[Tanggal Terbit/ Target Izin Terbit]],ROUNDUP(Table1[[#This Row],[PLAN PERMIT
finish]]-NOW(),0))</f>
        <v>-46191</v>
      </c>
      <c r="FV45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8" s="344"/>
      <c r="FX458" s="47"/>
      <c r="FY458" s="571"/>
      <c r="FZ458" s="572"/>
      <c r="GA458"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8" s="331"/>
      <c r="GC458" s="352"/>
      <c r="GD45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8" s="331"/>
      <c r="GF458" s="352"/>
      <c r="GG45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8" s="331"/>
      <c r="GI458" s="331"/>
      <c r="GJ458" s="352"/>
      <c r="GK45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8" s="331"/>
      <c r="GM458" s="331" t="e">
        <v>#N/A</v>
      </c>
      <c r="GN458" s="331"/>
      <c r="GO458" s="527" t="e">
        <v>#N/A</v>
      </c>
      <c r="GP458" s="316"/>
      <c r="GQ45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8" s="331"/>
      <c r="GS458" s="331"/>
      <c r="GT458" s="354"/>
      <c r="GU458" s="344" t="str">
        <f>IF(Table1[[#This Row],[Hydro Tes Actual
(tanggal)]]&lt;&gt;"","Sudah","Belum")</f>
        <v>Belum</v>
      </c>
      <c r="GV458" s="330"/>
      <c r="GW458" s="330"/>
      <c r="GX458" s="331"/>
      <c r="GY458" s="344" t="str">
        <f>IF(Table1[[#This Row],[Interkoneksi Actual
(tanggal)]]&lt;&gt;"","Sudah","Belum")</f>
        <v>Belum</v>
      </c>
      <c r="GZ458" s="330"/>
      <c r="HA458" s="330"/>
      <c r="HB458" s="331"/>
      <c r="HC458" s="344" t="str">
        <f>IF(Table1[[#This Row],[Flushing Actual
(tanggal)]]&lt;&gt;"","Sudah","Belum")</f>
        <v>Belum</v>
      </c>
      <c r="HD458" s="331"/>
      <c r="HE458" s="331" t="e">
        <v>#N/A</v>
      </c>
      <c r="HF458" s="331"/>
      <c r="HG458" s="352"/>
      <c r="HH45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8" s="330"/>
      <c r="HJ458" s="330"/>
      <c r="HK458" s="331"/>
      <c r="HL458" s="316"/>
      <c r="HM458" s="331"/>
      <c r="HN458" s="331"/>
      <c r="HO458" s="527" t="e">
        <v>#N/A</v>
      </c>
      <c r="HP458" s="331"/>
      <c r="HQ45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58" s="352"/>
      <c r="HS458" s="352"/>
      <c r="HT458" s="352"/>
      <c r="HU458" s="474"/>
      <c r="HV458" s="331"/>
      <c r="HW45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58" s="47"/>
      <c r="HY458" s="352"/>
      <c r="HZ458" s="352"/>
      <c r="IA458"/>
      <c r="IB458" s="618">
        <f>IFERROR(ROUND((Table1[[#This Row],[PLAN TC
finish]]-Table1[[#This Row],[PLAN MC-0
start]])/30,2),"")</f>
        <v>0</v>
      </c>
      <c r="IC458">
        <f>DATEDIF(Table1[[#This Row],[PLAN MC-0
start]],Table1[[#This Row],[PLAN TC
finish]],"m")</f>
        <v>0</v>
      </c>
      <c r="ID458" s="8"/>
      <c r="IE458" s="8"/>
      <c r="IF458" s="4"/>
      <c r="IG458" s="6"/>
      <c r="IH458" s="72"/>
      <c r="II458" s="72"/>
      <c r="IJ458" s="8"/>
      <c r="IL458" s="6"/>
      <c r="IM458" s="6"/>
      <c r="IN458" s="72"/>
      <c r="IO458" s="8"/>
      <c r="IQ458" s="4"/>
      <c r="IR458" s="4"/>
      <c r="IS458" s="6"/>
      <c r="IT458" s="6"/>
      <c r="IW458" s="6"/>
      <c r="IX458" s="6"/>
      <c r="IZ458" s="6"/>
      <c r="JA458" s="6"/>
    </row>
    <row r="459" spans="2:261" ht="15" hidden="1" customHeight="1" x14ac:dyDescent="0.2">
      <c r="B459" s="311">
        <f>SUBTOTAL(3,$D$5:D459)</f>
        <v>84</v>
      </c>
      <c r="C459" s="316">
        <v>469</v>
      </c>
      <c r="D459" s="460" t="s">
        <v>629</v>
      </c>
      <c r="E459" s="338" t="s">
        <v>3482</v>
      </c>
      <c r="F459" s="338" t="s">
        <v>3483</v>
      </c>
      <c r="G459" s="349">
        <v>46482</v>
      </c>
      <c r="H459" s="461" t="s">
        <v>247</v>
      </c>
      <c r="I459" s="338"/>
      <c r="J459" s="480"/>
      <c r="K459" s="338"/>
      <c r="L459" s="316"/>
      <c r="M459" s="355"/>
      <c r="N459" s="559">
        <v>3000</v>
      </c>
      <c r="O459" s="464" t="s">
        <v>2751</v>
      </c>
      <c r="P45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9"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9" s="337"/>
      <c r="S459" s="327">
        <v>0.99999999999999989</v>
      </c>
      <c r="T459" s="327">
        <f>Table1[[#This Row],[Progres Total Aktual
(%)]]</f>
        <v>0</v>
      </c>
      <c r="U459" s="568">
        <f>Table1[[#This Row],[Progres Aktual
(%)]]-Table1[[#This Row],[Target Progres
(%)]]</f>
        <v>-0.99999999999999989</v>
      </c>
      <c r="V459" s="569">
        <f>Table1[[#This Row],["Volume
BA MC-0"]]</f>
        <v>0</v>
      </c>
      <c r="W459" s="569">
        <f>Table1[[#This Row],[Total Panjang Pipa Aktual
(Sum-&gt;)3]]</f>
        <v>0</v>
      </c>
      <c r="X459" s="117"/>
      <c r="Y459" s="295"/>
      <c r="Z459" s="508"/>
      <c r="AA459" s="508">
        <f>ROUND((Table1[[#This Row],[Nilai RAB Jaringan
(Exclude Ppn)]]-Table1[[#This Row],[RAB Perizinan]])*1.11+Table1[[#This Row],[RAB Perizinan]],0)</f>
        <v>0</v>
      </c>
      <c r="AB459" s="436">
        <f>SUM(Table1[[#This Row],[RAB Kegiatan Umum]:[RAB Perizinan]])</f>
        <v>0</v>
      </c>
      <c r="AC459" s="436"/>
      <c r="AD459" s="436"/>
      <c r="AE459" s="436"/>
      <c r="AF459" s="436"/>
      <c r="AG459" s="436"/>
      <c r="AH459" s="570" t="e">
        <f>SUM(Table1[[#This Row],[Bobot Keg Umum]:[Bobot Perizinan]])</f>
        <v>#DIV/0!</v>
      </c>
      <c r="AI459" s="570" t="e">
        <f>Table1[[#This Row],[RAB Kegiatan Umum]]/Table1[[#This Row],[Nilai RAB Jaringan
(Exclude Ppn)]]</f>
        <v>#DIV/0!</v>
      </c>
      <c r="AJ459" s="570" t="e">
        <f>Table1[[#This Row],[RAB Pemasangan]]/Table1[[#This Row],[Nilai RAB Jaringan
(Exclude Ppn)]]</f>
        <v>#DIV/0!</v>
      </c>
      <c r="AK459" s="570" t="e">
        <f>Table1[[#This Row],[RAB Pengadaan]]/Table1[[#This Row],[Nilai RAB Jaringan
(Exclude Ppn)]]</f>
        <v>#DIV/0!</v>
      </c>
      <c r="AL459" s="337" t="e">
        <f>Table1[[#This Row],[RAB Perizinan]]/Table1[[#This Row],[Nilai RAB Jaringan
(Exclude Ppn)]]</f>
        <v>#DIV/0!</v>
      </c>
      <c r="AM459" s="47"/>
      <c r="AN459" s="338"/>
      <c r="AO459" s="514">
        <f>SUM(Table1[[#This Row],[Pipa 63 mm]:[Pipa 1,800 mm]])</f>
        <v>0</v>
      </c>
      <c r="AP459" s="338"/>
      <c r="AQ459" s="338"/>
      <c r="AR459" s="338"/>
      <c r="AS459" s="338"/>
      <c r="AT459" s="338"/>
      <c r="AU459" s="338"/>
      <c r="AV459" s="338"/>
      <c r="AW459" s="338"/>
      <c r="AX459" s="338"/>
      <c r="AY459" s="338"/>
      <c r="AZ459" s="338"/>
      <c r="BA459" s="338"/>
      <c r="BB459" s="338"/>
      <c r="BC459" s="338"/>
      <c r="BD459" s="338"/>
      <c r="BE459" s="338"/>
      <c r="BF459" s="338"/>
      <c r="BG459" s="338"/>
      <c r="BH459" s="338"/>
      <c r="BI459" s="338"/>
      <c r="BJ459" s="36">
        <f>SUM(Table1[[#This Row],[Pipa 63 mm2]:[Pipa 1,800 mm21]])</f>
        <v>0</v>
      </c>
      <c r="BK459" s="32"/>
      <c r="BL459" s="32"/>
      <c r="BM459" s="32"/>
      <c r="BN459" s="32"/>
      <c r="BO459" s="32"/>
      <c r="BP459" s="32"/>
      <c r="BQ459" s="32"/>
      <c r="BR459" s="32"/>
      <c r="BS459" s="32"/>
      <c r="BT459" s="32"/>
      <c r="BU459" s="32"/>
      <c r="BV459" s="32"/>
      <c r="BW459" s="32"/>
      <c r="BX459" s="32"/>
      <c r="BY459" s="32"/>
      <c r="BZ459" s="32"/>
      <c r="CA459" s="32"/>
      <c r="CB459" s="32"/>
      <c r="CC459" s="32"/>
      <c r="CD459" s="32"/>
      <c r="CE459" s="32"/>
      <c r="CF459" s="32"/>
      <c r="CG459" s="32"/>
      <c r="CH459" s="32"/>
      <c r="CI459" s="32"/>
      <c r="CJ459" s="32">
        <f>IF((Table1[[#This Row],["Volume
BA MC-0"]]-Table1[[#This Row],[Total Panjang Pipa Aktual
(Sum-&gt;)3]]-Table1[[#This Row],[Total Volume
tidak dapat dipasang]])&gt;=0,Table1[[#This Row],["Volume
BA MC-0"]]-Table1[[#This Row],[Total Panjang Pipa Aktual
(Sum-&gt;)3]]-Table1[[#This Row],[Total Volume
tidak dapat dipasang]],0)</f>
        <v>0</v>
      </c>
      <c r="CK459" s="47"/>
      <c r="CL459" s="131"/>
      <c r="CM459" s="337"/>
      <c r="CN459" s="131"/>
      <c r="CO459" s="131"/>
      <c r="CP459" s="316"/>
      <c r="CQ459" s="436">
        <f>IFERROR(Table1[[#This Row],[Progres Keg. Umum
(%)]]*Table1[[#This Row],[Nilai RAB Jaringan
(file pa aji)]],0)</f>
        <v>0</v>
      </c>
      <c r="CR459" s="436">
        <f>IFERROR(Table1[[#This Row],[Progres MOS
(%)]]*Table1[[#This Row],[Nilai RAB Jaringan
(file pa aji)]],0)</f>
        <v>0</v>
      </c>
      <c r="CS459" s="436">
        <f>IFERROR(Table1[[#This Row],[Progres Pemasangan
(%)]]*Table1[[#This Row],[Nilai RAB Jaringan
(file pa aji)]],0)</f>
        <v>0</v>
      </c>
      <c r="CT459" s="436">
        <f>IFERROR(Table1[[#This Row],[Progres Perizinan
(%)]]*Table1[[#This Row],[Nilai RAB Jaringan
(file pa aji)]],0)</f>
        <v>0</v>
      </c>
      <c r="CU459" s="329"/>
      <c r="CV459" s="567"/>
      <c r="CW459" s="511"/>
      <c r="CX459" s="329"/>
      <c r="CY459" s="47"/>
      <c r="CZ459" s="331"/>
      <c r="DA459" s="331"/>
      <c r="DB459" s="331"/>
      <c r="DC459" s="316"/>
      <c r="DD459" s="508"/>
      <c r="DE459"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9" s="331"/>
      <c r="DG459" s="316"/>
      <c r="DH459" s="508"/>
      <c r="DI459"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9" s="331"/>
      <c r="DK459" s="331"/>
      <c r="DL459" s="331"/>
      <c r="DM459" s="316"/>
      <c r="DN459"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9" s="331"/>
      <c r="DP459" s="316"/>
      <c r="DQ459" s="338"/>
      <c r="DR459"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9" s="331"/>
      <c r="DT459" s="331" t="e">
        <v>#N/A</v>
      </c>
      <c r="DU459" s="331"/>
      <c r="DV459" s="331" t="e">
        <v>#N/A</v>
      </c>
      <c r="DW459" s="331"/>
      <c r="DX459" s="316"/>
      <c r="DY459" s="335"/>
      <c r="DZ459" s="335"/>
      <c r="EA459"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9" s="331"/>
      <c r="EC459" s="332"/>
      <c r="ED459" s="332"/>
      <c r="EE459" s="330"/>
      <c r="EF459" s="337"/>
      <c r="EG459" s="337"/>
      <c r="EH459" s="316" t="str">
        <f>IF(Table1[[#This Row],[PO Material Aktual 
(%)]]&gt;=100%,"Selesai PO = 100%",IF(Table1[[#This Row],[PO Material Aktual 
(%)]]&gt;=50%,"Proses PO &gt; 100%",IF(Table1[[#This Row],[PO Material Aktual 
(%)]]&gt;0%,"Proses PO &gt; 50%",IF(Table1[[#This Row],[PO Material Aktual 
(%)]]=0,"Belum PO = 0%"))))</f>
        <v>Belum PO = 0%</v>
      </c>
      <c r="EI459"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9" s="331"/>
      <c r="EK459" s="331" t="e">
        <v>#N/A</v>
      </c>
      <c r="EL459" s="331"/>
      <c r="EM459" s="331" t="e">
        <v>#N/A</v>
      </c>
      <c r="EN459" s="331"/>
      <c r="EO459" s="316"/>
      <c r="EP459" s="335"/>
      <c r="EQ459" s="337"/>
      <c r="ER459" s="337"/>
      <c r="ES459" s="316" t="str">
        <f>IF(Table1[[#This Row],[Progres MOS]]&gt;=100%,"Selesai MOS = 100%",IF(Table1[[#This Row],[Progres MOS]]&gt;=50%,"Proses MOS &gt; 100%",IF(Table1[[#This Row],[Progres MOS]]&gt;0%,"Proses MOS &gt; 50%",IF(Table1[[#This Row],[Progres MOS]]=0,"Belum MOS = 0%"))))</f>
        <v>Belum MOS = 0%</v>
      </c>
      <c r="ET459"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9" s="47"/>
      <c r="EV459" s="331"/>
      <c r="EW459" s="331" t="e">
        <v>#N/A</v>
      </c>
      <c r="EX459" s="331"/>
      <c r="EY459" s="331" t="e">
        <v>#N/A</v>
      </c>
      <c r="EZ459" s="352"/>
      <c r="FA459" s="384"/>
      <c r="FB459" s="331" t="e">
        <v>#N/A</v>
      </c>
      <c r="FC459" s="331" t="e">
        <v>#N/A</v>
      </c>
      <c r="FD459" s="331" t="e">
        <v>#N/A</v>
      </c>
      <c r="FE459" s="331" t="e">
        <v>#N/A</v>
      </c>
      <c r="FF459" s="331" t="e">
        <v>#N/A</v>
      </c>
      <c r="FG459" s="331" t="e">
        <v>#N/A</v>
      </c>
      <c r="FH459" s="331" t="e">
        <v>#N/A</v>
      </c>
      <c r="FI459" s="331" t="e">
        <v>#N/A</v>
      </c>
      <c r="FJ459" s="331" t="e">
        <v>#N/A</v>
      </c>
      <c r="FK459" s="331" t="e">
        <v>#N/A</v>
      </c>
      <c r="FL459" s="352"/>
      <c r="FM459" s="352"/>
      <c r="FN459" s="338" t="str">
        <f>IF(Table1[[#This Row],[Tanggal Pengajuan Dokumen]]="","",Table1[[#This Row],[PLAN PERMIT
start]]-Table1[[#This Row],[Tanggal Pengajuan Dokumen]])</f>
        <v/>
      </c>
      <c r="FO459" s="352"/>
      <c r="FP459" s="316"/>
      <c r="FQ459" s="338"/>
      <c r="FR459" s="352"/>
      <c r="FS459" s="338"/>
      <c r="FT459"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9" s="344">
        <f ca="1">IF(Table1[[#This Row],[Status Izin]]="Selesai",Table1[[#This Row],[PLAN PERMIT
finish]]-Table1[[#This Row],[Tanggal Terbit/ Target Izin Terbit]],ROUNDUP(Table1[[#This Row],[PLAN PERMIT
finish]]-NOW(),0))</f>
        <v>-46191</v>
      </c>
      <c r="FV459"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9" s="344"/>
      <c r="FX459" s="47"/>
      <c r="FY459" s="571"/>
      <c r="FZ459" s="572"/>
      <c r="GA459"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9" s="331"/>
      <c r="GC459" s="352"/>
      <c r="GD459"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9" s="331"/>
      <c r="GF459" s="352"/>
      <c r="GG459"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9" s="331"/>
      <c r="GI459" s="331"/>
      <c r="GJ459" s="352"/>
      <c r="GK459"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9" s="331"/>
      <c r="GM459" s="331" t="e">
        <v>#N/A</v>
      </c>
      <c r="GN459" s="331"/>
      <c r="GO459" s="527" t="e">
        <v>#N/A</v>
      </c>
      <c r="GP459" s="316"/>
      <c r="GQ459"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9" s="331"/>
      <c r="GS459" s="331"/>
      <c r="GT459" s="354"/>
      <c r="GU459" s="344" t="str">
        <f>IF(Table1[[#This Row],[Hydro Tes Actual
(tanggal)]]&lt;&gt;"","Sudah","Belum")</f>
        <v>Belum</v>
      </c>
      <c r="GV459" s="330"/>
      <c r="GW459" s="330"/>
      <c r="GX459" s="331"/>
      <c r="GY459" s="344" t="str">
        <f>IF(Table1[[#This Row],[Interkoneksi Actual
(tanggal)]]&lt;&gt;"","Sudah","Belum")</f>
        <v>Belum</v>
      </c>
      <c r="GZ459" s="330"/>
      <c r="HA459" s="330"/>
      <c r="HB459" s="331"/>
      <c r="HC459" s="344" t="str">
        <f>IF(Table1[[#This Row],[Flushing Actual
(tanggal)]]&lt;&gt;"","Sudah","Belum")</f>
        <v>Belum</v>
      </c>
      <c r="HD459" s="331"/>
      <c r="HE459" s="331" t="e">
        <v>#N/A</v>
      </c>
      <c r="HF459" s="331"/>
      <c r="HG459" s="352"/>
      <c r="HH459"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9" s="330"/>
      <c r="HJ459" s="330"/>
      <c r="HK459" s="331"/>
      <c r="HL459" s="316"/>
      <c r="HM459" s="331"/>
      <c r="HN459" s="331"/>
      <c r="HO459" s="527" t="e">
        <v>#N/A</v>
      </c>
      <c r="HP459" s="331"/>
      <c r="HQ459"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59" s="352"/>
      <c r="HS459" s="352"/>
      <c r="HT459" s="352"/>
      <c r="HU459" s="474"/>
      <c r="HV459" s="331"/>
      <c r="HW459"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59" s="47"/>
      <c r="HY459" s="352"/>
      <c r="HZ459" s="352"/>
      <c r="IA459"/>
      <c r="IB459" s="618">
        <f>IFERROR(ROUND((Table1[[#This Row],[PLAN TC
finish]]-Table1[[#This Row],[PLAN MC-0
start]])/30,2),"")</f>
        <v>0</v>
      </c>
      <c r="IC459">
        <f>DATEDIF(Table1[[#This Row],[PLAN MC-0
start]],Table1[[#This Row],[PLAN TC
finish]],"m")</f>
        <v>0</v>
      </c>
      <c r="ID459" s="8"/>
      <c r="IE459" s="8"/>
      <c r="IF459" s="4"/>
      <c r="IG459" s="6"/>
      <c r="IH459" s="72"/>
      <c r="II459" s="72"/>
      <c r="IJ459" s="8"/>
      <c r="IL459" s="6"/>
      <c r="IM459" s="6"/>
      <c r="IN459" s="72"/>
      <c r="IO459" s="8"/>
      <c r="IQ459" s="4"/>
      <c r="IR459" s="4"/>
      <c r="IS459" s="6"/>
      <c r="IT459" s="6"/>
      <c r="IW459" s="6"/>
      <c r="IX459" s="6"/>
      <c r="IZ459" s="6"/>
      <c r="JA459" s="6"/>
    </row>
    <row r="460" spans="2:261" ht="15" hidden="1" customHeight="1" x14ac:dyDescent="0.2">
      <c r="B460" s="311">
        <f>SUBTOTAL(3,$D$5:D460)</f>
        <v>84</v>
      </c>
      <c r="C460" s="316">
        <v>470</v>
      </c>
      <c r="D460" s="460" t="s">
        <v>629</v>
      </c>
      <c r="E460" s="338" t="s">
        <v>3484</v>
      </c>
      <c r="F460" s="338" t="s">
        <v>3485</v>
      </c>
      <c r="G460" s="349">
        <v>46482</v>
      </c>
      <c r="H460" s="461" t="s">
        <v>247</v>
      </c>
      <c r="I460" s="338"/>
      <c r="J460" s="480"/>
      <c r="K460" s="338"/>
      <c r="L460" s="316"/>
      <c r="M460" s="355"/>
      <c r="N460" s="559">
        <v>11954</v>
      </c>
      <c r="O460" s="464" t="s">
        <v>252</v>
      </c>
      <c r="P46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0"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0" s="337"/>
      <c r="S460" s="327">
        <v>0.99999999999999989</v>
      </c>
      <c r="T460" s="327">
        <f>Table1[[#This Row],[Progres Total Aktual
(%)]]</f>
        <v>0</v>
      </c>
      <c r="U460" s="568">
        <f>Table1[[#This Row],[Progres Aktual
(%)]]-Table1[[#This Row],[Target Progres
(%)]]</f>
        <v>-0.99999999999999989</v>
      </c>
      <c r="V460" s="569">
        <f>Table1[[#This Row],["Volume
BA MC-0"]]</f>
        <v>0</v>
      </c>
      <c r="W460" s="569">
        <f>Table1[[#This Row],[Total Panjang Pipa Aktual
(Sum-&gt;)3]]</f>
        <v>0</v>
      </c>
      <c r="X460" s="117"/>
      <c r="Y460" s="295"/>
      <c r="Z460" s="508"/>
      <c r="AA460" s="508">
        <f>ROUND((Table1[[#This Row],[Nilai RAB Jaringan
(Exclude Ppn)]]-Table1[[#This Row],[RAB Perizinan]])*1.11+Table1[[#This Row],[RAB Perizinan]],0)</f>
        <v>0</v>
      </c>
      <c r="AB460" s="436">
        <f>SUM(Table1[[#This Row],[RAB Kegiatan Umum]:[RAB Perizinan]])</f>
        <v>0</v>
      </c>
      <c r="AC460" s="436"/>
      <c r="AD460" s="436"/>
      <c r="AE460" s="436"/>
      <c r="AF460" s="436"/>
      <c r="AG460" s="436"/>
      <c r="AH460" s="570" t="e">
        <f>SUM(Table1[[#This Row],[Bobot Keg Umum]:[Bobot Perizinan]])</f>
        <v>#DIV/0!</v>
      </c>
      <c r="AI460" s="570" t="e">
        <f>Table1[[#This Row],[RAB Kegiatan Umum]]/Table1[[#This Row],[Nilai RAB Jaringan
(Exclude Ppn)]]</f>
        <v>#DIV/0!</v>
      </c>
      <c r="AJ460" s="570" t="e">
        <f>Table1[[#This Row],[RAB Pemasangan]]/Table1[[#This Row],[Nilai RAB Jaringan
(Exclude Ppn)]]</f>
        <v>#DIV/0!</v>
      </c>
      <c r="AK460" s="570" t="e">
        <f>Table1[[#This Row],[RAB Pengadaan]]/Table1[[#This Row],[Nilai RAB Jaringan
(Exclude Ppn)]]</f>
        <v>#DIV/0!</v>
      </c>
      <c r="AL460" s="337" t="e">
        <f>Table1[[#This Row],[RAB Perizinan]]/Table1[[#This Row],[Nilai RAB Jaringan
(Exclude Ppn)]]</f>
        <v>#DIV/0!</v>
      </c>
      <c r="AM460" s="47"/>
      <c r="AN460" s="338"/>
      <c r="AO460" s="514">
        <f>SUM(Table1[[#This Row],[Pipa 63 mm]:[Pipa 1,800 mm]])</f>
        <v>0</v>
      </c>
      <c r="AP460" s="338"/>
      <c r="AQ460" s="338"/>
      <c r="AR460" s="338"/>
      <c r="AS460" s="338"/>
      <c r="AT460" s="338"/>
      <c r="AU460" s="338"/>
      <c r="AV460" s="338"/>
      <c r="AW460" s="338"/>
      <c r="AX460" s="338"/>
      <c r="AY460" s="338"/>
      <c r="AZ460" s="338"/>
      <c r="BA460" s="338"/>
      <c r="BB460" s="338"/>
      <c r="BC460" s="338"/>
      <c r="BD460" s="338"/>
      <c r="BE460" s="338"/>
      <c r="BF460" s="338"/>
      <c r="BG460" s="338"/>
      <c r="BH460" s="338"/>
      <c r="BI460" s="338"/>
      <c r="BJ460" s="36">
        <f>SUM(Table1[[#This Row],[Pipa 63 mm2]:[Pipa 1,800 mm21]])</f>
        <v>0</v>
      </c>
      <c r="BK460" s="32"/>
      <c r="BL460" s="32"/>
      <c r="BM460" s="32"/>
      <c r="BN460" s="32"/>
      <c r="BO460" s="32"/>
      <c r="BP460" s="32"/>
      <c r="BQ460" s="32"/>
      <c r="BR460" s="32"/>
      <c r="BS460" s="32"/>
      <c r="BT460" s="32"/>
      <c r="BU460" s="32"/>
      <c r="BV460" s="32"/>
      <c r="BW460" s="32"/>
      <c r="BX460" s="32"/>
      <c r="BY460" s="32"/>
      <c r="BZ460" s="32"/>
      <c r="CA460" s="32"/>
      <c r="CB460" s="32"/>
      <c r="CC460" s="32"/>
      <c r="CD460" s="32"/>
      <c r="CE460" s="32"/>
      <c r="CF460" s="32"/>
      <c r="CG460" s="32"/>
      <c r="CH460" s="32"/>
      <c r="CI460" s="32"/>
      <c r="CJ460" s="32">
        <f>IF((Table1[[#This Row],["Volume
BA MC-0"]]-Table1[[#This Row],[Total Panjang Pipa Aktual
(Sum-&gt;)3]]-Table1[[#This Row],[Total Volume
tidak dapat dipasang]])&gt;=0,Table1[[#This Row],["Volume
BA MC-0"]]-Table1[[#This Row],[Total Panjang Pipa Aktual
(Sum-&gt;)3]]-Table1[[#This Row],[Total Volume
tidak dapat dipasang]],0)</f>
        <v>0</v>
      </c>
      <c r="CK460" s="47"/>
      <c r="CL460" s="131"/>
      <c r="CM460" s="337"/>
      <c r="CN460" s="131"/>
      <c r="CO460" s="131"/>
      <c r="CP460" s="316"/>
      <c r="CQ460" s="436">
        <f>IFERROR(Table1[[#This Row],[Progres Keg. Umum
(%)]]*Table1[[#This Row],[Nilai RAB Jaringan
(file pa aji)]],0)</f>
        <v>0</v>
      </c>
      <c r="CR460" s="436">
        <f>IFERROR(Table1[[#This Row],[Progres MOS
(%)]]*Table1[[#This Row],[Nilai RAB Jaringan
(file pa aji)]],0)</f>
        <v>0</v>
      </c>
      <c r="CS460" s="436">
        <f>IFERROR(Table1[[#This Row],[Progres Pemasangan
(%)]]*Table1[[#This Row],[Nilai RAB Jaringan
(file pa aji)]],0)</f>
        <v>0</v>
      </c>
      <c r="CT460" s="436">
        <f>IFERROR(Table1[[#This Row],[Progres Perizinan
(%)]]*Table1[[#This Row],[Nilai RAB Jaringan
(file pa aji)]],0)</f>
        <v>0</v>
      </c>
      <c r="CU460" s="329"/>
      <c r="CV460" s="567"/>
      <c r="CW460" s="511"/>
      <c r="CX460" s="329"/>
      <c r="CY460" s="47"/>
      <c r="CZ460" s="331"/>
      <c r="DA460" s="331"/>
      <c r="DB460" s="331"/>
      <c r="DC460" s="316"/>
      <c r="DD460" s="508"/>
      <c r="DE460"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0" s="331"/>
      <c r="DG460" s="316"/>
      <c r="DH460" s="508"/>
      <c r="DI460"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0" s="331"/>
      <c r="DK460" s="331"/>
      <c r="DL460" s="331"/>
      <c r="DM460" s="316"/>
      <c r="DN460"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0" s="331"/>
      <c r="DP460" s="316"/>
      <c r="DQ460" s="338"/>
      <c r="DR460"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0" s="331"/>
      <c r="DT460" s="331" t="e">
        <v>#N/A</v>
      </c>
      <c r="DU460" s="331"/>
      <c r="DV460" s="331" t="e">
        <v>#N/A</v>
      </c>
      <c r="DW460" s="331"/>
      <c r="DX460" s="316"/>
      <c r="DY460" s="335"/>
      <c r="DZ460" s="335"/>
      <c r="EA460"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0" s="331"/>
      <c r="EC460" s="332"/>
      <c r="ED460" s="332"/>
      <c r="EE460" s="330"/>
      <c r="EF460" s="337"/>
      <c r="EG460" s="337"/>
      <c r="EH460" s="316" t="str">
        <f>IF(Table1[[#This Row],[PO Material Aktual 
(%)]]&gt;=100%,"Selesai PO = 100%",IF(Table1[[#This Row],[PO Material Aktual 
(%)]]&gt;=50%,"Proses PO &gt; 100%",IF(Table1[[#This Row],[PO Material Aktual 
(%)]]&gt;0%,"Proses PO &gt; 50%",IF(Table1[[#This Row],[PO Material Aktual 
(%)]]=0,"Belum PO = 0%"))))</f>
        <v>Belum PO = 0%</v>
      </c>
      <c r="EI460"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0" s="331"/>
      <c r="EK460" s="331" t="e">
        <v>#N/A</v>
      </c>
      <c r="EL460" s="331"/>
      <c r="EM460" s="331" t="e">
        <v>#N/A</v>
      </c>
      <c r="EN460" s="331"/>
      <c r="EO460" s="316"/>
      <c r="EP460" s="335"/>
      <c r="EQ460" s="337"/>
      <c r="ER460" s="337"/>
      <c r="ES460" s="316" t="str">
        <f>IF(Table1[[#This Row],[Progres MOS]]&gt;=100%,"Selesai MOS = 100%",IF(Table1[[#This Row],[Progres MOS]]&gt;=50%,"Proses MOS &gt; 100%",IF(Table1[[#This Row],[Progres MOS]]&gt;0%,"Proses MOS &gt; 50%",IF(Table1[[#This Row],[Progres MOS]]=0,"Belum MOS = 0%"))))</f>
        <v>Belum MOS = 0%</v>
      </c>
      <c r="ET460"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0" s="47"/>
      <c r="EV460" s="331"/>
      <c r="EW460" s="331" t="e">
        <v>#N/A</v>
      </c>
      <c r="EX460" s="331"/>
      <c r="EY460" s="331" t="e">
        <v>#N/A</v>
      </c>
      <c r="EZ460" s="352"/>
      <c r="FA460" s="384"/>
      <c r="FB460" s="331" t="e">
        <v>#N/A</v>
      </c>
      <c r="FC460" s="331" t="e">
        <v>#N/A</v>
      </c>
      <c r="FD460" s="331" t="e">
        <v>#N/A</v>
      </c>
      <c r="FE460" s="331" t="e">
        <v>#N/A</v>
      </c>
      <c r="FF460" s="331" t="e">
        <v>#N/A</v>
      </c>
      <c r="FG460" s="331" t="e">
        <v>#N/A</v>
      </c>
      <c r="FH460" s="331" t="e">
        <v>#N/A</v>
      </c>
      <c r="FI460" s="331" t="e">
        <v>#N/A</v>
      </c>
      <c r="FJ460" s="331" t="e">
        <v>#N/A</v>
      </c>
      <c r="FK460" s="331" t="e">
        <v>#N/A</v>
      </c>
      <c r="FL460" s="352"/>
      <c r="FM460" s="352"/>
      <c r="FN460" s="338" t="str">
        <f>IF(Table1[[#This Row],[Tanggal Pengajuan Dokumen]]="","",Table1[[#This Row],[PLAN PERMIT
start]]-Table1[[#This Row],[Tanggal Pengajuan Dokumen]])</f>
        <v/>
      </c>
      <c r="FO460" s="352"/>
      <c r="FP460" s="316"/>
      <c r="FQ460" s="338"/>
      <c r="FR460" s="352"/>
      <c r="FS460" s="338"/>
      <c r="FT460"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0" s="344">
        <f ca="1">IF(Table1[[#This Row],[Status Izin]]="Selesai",Table1[[#This Row],[PLAN PERMIT
finish]]-Table1[[#This Row],[Tanggal Terbit/ Target Izin Terbit]],ROUNDUP(Table1[[#This Row],[PLAN PERMIT
finish]]-NOW(),0))</f>
        <v>-46191</v>
      </c>
      <c r="FV460"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0" s="344"/>
      <c r="FX460" s="47"/>
      <c r="FY460" s="571"/>
      <c r="FZ460" s="572"/>
      <c r="GA460"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0" s="331"/>
      <c r="GC460" s="352"/>
      <c r="GD460"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0" s="331"/>
      <c r="GF460" s="352"/>
      <c r="GG460"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0" s="331"/>
      <c r="GI460" s="331"/>
      <c r="GJ460" s="352"/>
      <c r="GK460"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0" s="331"/>
      <c r="GM460" s="331" t="e">
        <v>#N/A</v>
      </c>
      <c r="GN460" s="331"/>
      <c r="GO460" s="527" t="e">
        <v>#N/A</v>
      </c>
      <c r="GP460" s="316"/>
      <c r="GQ460"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0" s="331"/>
      <c r="GS460" s="331"/>
      <c r="GT460" s="354"/>
      <c r="GU460" s="344" t="str">
        <f>IF(Table1[[#This Row],[Hydro Tes Actual
(tanggal)]]&lt;&gt;"","Sudah","Belum")</f>
        <v>Belum</v>
      </c>
      <c r="GV460" s="330"/>
      <c r="GW460" s="330"/>
      <c r="GX460" s="331"/>
      <c r="GY460" s="344" t="str">
        <f>IF(Table1[[#This Row],[Interkoneksi Actual
(tanggal)]]&lt;&gt;"","Sudah","Belum")</f>
        <v>Belum</v>
      </c>
      <c r="GZ460" s="330"/>
      <c r="HA460" s="330"/>
      <c r="HB460" s="331"/>
      <c r="HC460" s="344" t="str">
        <f>IF(Table1[[#This Row],[Flushing Actual
(tanggal)]]&lt;&gt;"","Sudah","Belum")</f>
        <v>Belum</v>
      </c>
      <c r="HD460" s="331"/>
      <c r="HE460" s="331" t="e">
        <v>#N/A</v>
      </c>
      <c r="HF460" s="331"/>
      <c r="HG460" s="352"/>
      <c r="HH460"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0" s="330"/>
      <c r="HJ460" s="330"/>
      <c r="HK460" s="331"/>
      <c r="HL460" s="316"/>
      <c r="HM460" s="331"/>
      <c r="HN460" s="331"/>
      <c r="HO460" s="527" t="e">
        <v>#N/A</v>
      </c>
      <c r="HP460" s="331"/>
      <c r="HQ460"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60" s="352"/>
      <c r="HS460" s="352"/>
      <c r="HT460" s="352"/>
      <c r="HU460" s="474"/>
      <c r="HV460" s="331"/>
      <c r="HW460"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60" s="47"/>
      <c r="HY460" s="352"/>
      <c r="HZ460" s="352"/>
      <c r="IA460"/>
      <c r="IB460" s="618">
        <f>IFERROR(ROUND((Table1[[#This Row],[PLAN TC
finish]]-Table1[[#This Row],[PLAN MC-0
start]])/30,2),"")</f>
        <v>0</v>
      </c>
      <c r="IC460">
        <f>DATEDIF(Table1[[#This Row],[PLAN MC-0
start]],Table1[[#This Row],[PLAN TC
finish]],"m")</f>
        <v>0</v>
      </c>
      <c r="ID460" s="8"/>
      <c r="IE460" s="8"/>
      <c r="IF460" s="4"/>
      <c r="IG460" s="6"/>
      <c r="IH460" s="72"/>
      <c r="II460" s="72"/>
      <c r="IJ460" s="8"/>
      <c r="IL460" s="6"/>
      <c r="IM460" s="6"/>
      <c r="IN460" s="72"/>
      <c r="IO460" s="8"/>
      <c r="IQ460" s="4"/>
      <c r="IR460" s="4"/>
      <c r="IS460" s="6"/>
      <c r="IT460" s="6"/>
      <c r="IW460" s="6"/>
      <c r="IX460" s="6"/>
      <c r="IZ460" s="6"/>
      <c r="JA460" s="6"/>
    </row>
    <row r="461" spans="2:261" ht="15" hidden="1" customHeight="1" x14ac:dyDescent="0.2">
      <c r="B461" s="311">
        <f>SUBTOTAL(3,$D$5:D461)</f>
        <v>84</v>
      </c>
      <c r="C461" s="316">
        <v>471</v>
      </c>
      <c r="D461" s="460" t="s">
        <v>629</v>
      </c>
      <c r="E461" s="338" t="s">
        <v>3486</v>
      </c>
      <c r="F461" s="338" t="s">
        <v>3487</v>
      </c>
      <c r="G461" s="349">
        <v>46482</v>
      </c>
      <c r="H461" s="461" t="s">
        <v>247</v>
      </c>
      <c r="I461" s="338"/>
      <c r="J461" s="480"/>
      <c r="K461" s="338"/>
      <c r="L461" s="316"/>
      <c r="M461" s="355"/>
      <c r="N461" s="559">
        <v>16859</v>
      </c>
      <c r="O461" s="464" t="s">
        <v>252</v>
      </c>
      <c r="P46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1"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1" s="337"/>
      <c r="S461" s="327">
        <v>0.99999999999999989</v>
      </c>
      <c r="T461" s="327">
        <f>Table1[[#This Row],[Progres Total Aktual
(%)]]</f>
        <v>0</v>
      </c>
      <c r="U461" s="568">
        <f>Table1[[#This Row],[Progres Aktual
(%)]]-Table1[[#This Row],[Target Progres
(%)]]</f>
        <v>-0.99999999999999989</v>
      </c>
      <c r="V461" s="569">
        <f>Table1[[#This Row],["Volume
BA MC-0"]]</f>
        <v>0</v>
      </c>
      <c r="W461" s="569">
        <f>Table1[[#This Row],[Total Panjang Pipa Aktual
(Sum-&gt;)3]]</f>
        <v>0</v>
      </c>
      <c r="X461" s="117"/>
      <c r="Y461" s="295"/>
      <c r="Z461" s="508"/>
      <c r="AA461" s="508">
        <f>ROUND((Table1[[#This Row],[Nilai RAB Jaringan
(Exclude Ppn)]]-Table1[[#This Row],[RAB Perizinan]])*1.11+Table1[[#This Row],[RAB Perizinan]],0)</f>
        <v>0</v>
      </c>
      <c r="AB461" s="436">
        <f>SUM(Table1[[#This Row],[RAB Kegiatan Umum]:[RAB Perizinan]])</f>
        <v>0</v>
      </c>
      <c r="AC461" s="436"/>
      <c r="AD461" s="436"/>
      <c r="AE461" s="436"/>
      <c r="AF461" s="436"/>
      <c r="AG461" s="436"/>
      <c r="AH461" s="570" t="e">
        <f>SUM(Table1[[#This Row],[Bobot Keg Umum]:[Bobot Perizinan]])</f>
        <v>#DIV/0!</v>
      </c>
      <c r="AI461" s="570" t="e">
        <f>Table1[[#This Row],[RAB Kegiatan Umum]]/Table1[[#This Row],[Nilai RAB Jaringan
(Exclude Ppn)]]</f>
        <v>#DIV/0!</v>
      </c>
      <c r="AJ461" s="570" t="e">
        <f>Table1[[#This Row],[RAB Pemasangan]]/Table1[[#This Row],[Nilai RAB Jaringan
(Exclude Ppn)]]</f>
        <v>#DIV/0!</v>
      </c>
      <c r="AK461" s="570" t="e">
        <f>Table1[[#This Row],[RAB Pengadaan]]/Table1[[#This Row],[Nilai RAB Jaringan
(Exclude Ppn)]]</f>
        <v>#DIV/0!</v>
      </c>
      <c r="AL461" s="337" t="e">
        <f>Table1[[#This Row],[RAB Perizinan]]/Table1[[#This Row],[Nilai RAB Jaringan
(Exclude Ppn)]]</f>
        <v>#DIV/0!</v>
      </c>
      <c r="AM461" s="47"/>
      <c r="AN461" s="338"/>
      <c r="AO461" s="514">
        <f>SUM(Table1[[#This Row],[Pipa 63 mm]:[Pipa 1,800 mm]])</f>
        <v>0</v>
      </c>
      <c r="AP461" s="338"/>
      <c r="AQ461" s="338"/>
      <c r="AR461" s="338"/>
      <c r="AS461" s="338"/>
      <c r="AT461" s="338"/>
      <c r="AU461" s="338"/>
      <c r="AV461" s="338"/>
      <c r="AW461" s="338"/>
      <c r="AX461" s="338"/>
      <c r="AY461" s="338"/>
      <c r="AZ461" s="338"/>
      <c r="BA461" s="338"/>
      <c r="BB461" s="338"/>
      <c r="BC461" s="338"/>
      <c r="BD461" s="338"/>
      <c r="BE461" s="338"/>
      <c r="BF461" s="338"/>
      <c r="BG461" s="338"/>
      <c r="BH461" s="338"/>
      <c r="BI461" s="338"/>
      <c r="BJ461" s="36">
        <f>SUM(Table1[[#This Row],[Pipa 63 mm2]:[Pipa 1,800 mm21]])</f>
        <v>0</v>
      </c>
      <c r="BK461" s="32"/>
      <c r="BL461" s="32"/>
      <c r="BM461" s="32"/>
      <c r="BN461" s="32"/>
      <c r="BO461" s="32"/>
      <c r="BP461" s="32"/>
      <c r="BQ461" s="32"/>
      <c r="BR461" s="32"/>
      <c r="BS461" s="32"/>
      <c r="BT461" s="32"/>
      <c r="BU461" s="32"/>
      <c r="BV461" s="32"/>
      <c r="BW461" s="32"/>
      <c r="BX461" s="32"/>
      <c r="BY461" s="32"/>
      <c r="BZ461" s="32"/>
      <c r="CA461" s="32"/>
      <c r="CB461" s="32"/>
      <c r="CC461" s="32"/>
      <c r="CD461" s="32"/>
      <c r="CE461" s="32"/>
      <c r="CF461" s="32"/>
      <c r="CG461" s="32"/>
      <c r="CH461" s="32"/>
      <c r="CI461" s="32"/>
      <c r="CJ461" s="32">
        <f>IF((Table1[[#This Row],["Volume
BA MC-0"]]-Table1[[#This Row],[Total Panjang Pipa Aktual
(Sum-&gt;)3]]-Table1[[#This Row],[Total Volume
tidak dapat dipasang]])&gt;=0,Table1[[#This Row],["Volume
BA MC-0"]]-Table1[[#This Row],[Total Panjang Pipa Aktual
(Sum-&gt;)3]]-Table1[[#This Row],[Total Volume
tidak dapat dipasang]],0)</f>
        <v>0</v>
      </c>
      <c r="CK461" s="47"/>
      <c r="CL461" s="131"/>
      <c r="CM461" s="337"/>
      <c r="CN461" s="131"/>
      <c r="CO461" s="131"/>
      <c r="CP461" s="316"/>
      <c r="CQ461" s="436">
        <f>IFERROR(Table1[[#This Row],[Progres Keg. Umum
(%)]]*Table1[[#This Row],[Nilai RAB Jaringan
(file pa aji)]],0)</f>
        <v>0</v>
      </c>
      <c r="CR461" s="436">
        <f>IFERROR(Table1[[#This Row],[Progres MOS
(%)]]*Table1[[#This Row],[Nilai RAB Jaringan
(file pa aji)]],0)</f>
        <v>0</v>
      </c>
      <c r="CS461" s="436">
        <f>IFERROR(Table1[[#This Row],[Progres Pemasangan
(%)]]*Table1[[#This Row],[Nilai RAB Jaringan
(file pa aji)]],0)</f>
        <v>0</v>
      </c>
      <c r="CT461" s="436">
        <f>IFERROR(Table1[[#This Row],[Progres Perizinan
(%)]]*Table1[[#This Row],[Nilai RAB Jaringan
(file pa aji)]],0)</f>
        <v>0</v>
      </c>
      <c r="CU461" s="329"/>
      <c r="CV461" s="567"/>
      <c r="CW461" s="511"/>
      <c r="CX461" s="329"/>
      <c r="CY461" s="47"/>
      <c r="CZ461" s="331"/>
      <c r="DA461" s="331"/>
      <c r="DB461" s="331"/>
      <c r="DC461" s="316"/>
      <c r="DD461" s="508"/>
      <c r="DE461"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1" s="331"/>
      <c r="DG461" s="316"/>
      <c r="DH461" s="508"/>
      <c r="DI461"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1" s="331"/>
      <c r="DK461" s="331"/>
      <c r="DL461" s="331"/>
      <c r="DM461" s="316"/>
      <c r="DN461"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1" s="331"/>
      <c r="DP461" s="316"/>
      <c r="DQ461" s="338"/>
      <c r="DR461"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1" s="331"/>
      <c r="DT461" s="331" t="e">
        <v>#N/A</v>
      </c>
      <c r="DU461" s="331"/>
      <c r="DV461" s="331" t="e">
        <v>#N/A</v>
      </c>
      <c r="DW461" s="331"/>
      <c r="DX461" s="316"/>
      <c r="DY461" s="335"/>
      <c r="DZ461" s="335"/>
      <c r="EA461"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1" s="331"/>
      <c r="EC461" s="332"/>
      <c r="ED461" s="332"/>
      <c r="EE461" s="330"/>
      <c r="EF461" s="337"/>
      <c r="EG461" s="337"/>
      <c r="EH461" s="316" t="str">
        <f>IF(Table1[[#This Row],[PO Material Aktual 
(%)]]&gt;=100%,"Selesai PO = 100%",IF(Table1[[#This Row],[PO Material Aktual 
(%)]]&gt;=50%,"Proses PO &gt; 100%",IF(Table1[[#This Row],[PO Material Aktual 
(%)]]&gt;0%,"Proses PO &gt; 50%",IF(Table1[[#This Row],[PO Material Aktual 
(%)]]=0,"Belum PO = 0%"))))</f>
        <v>Belum PO = 0%</v>
      </c>
      <c r="EI461"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1" s="331"/>
      <c r="EK461" s="331" t="e">
        <v>#N/A</v>
      </c>
      <c r="EL461" s="331"/>
      <c r="EM461" s="331" t="e">
        <v>#N/A</v>
      </c>
      <c r="EN461" s="331"/>
      <c r="EO461" s="316"/>
      <c r="EP461" s="335"/>
      <c r="EQ461" s="337"/>
      <c r="ER461" s="337"/>
      <c r="ES461" s="316" t="str">
        <f>IF(Table1[[#This Row],[Progres MOS]]&gt;=100%,"Selesai MOS = 100%",IF(Table1[[#This Row],[Progres MOS]]&gt;=50%,"Proses MOS &gt; 100%",IF(Table1[[#This Row],[Progres MOS]]&gt;0%,"Proses MOS &gt; 50%",IF(Table1[[#This Row],[Progres MOS]]=0,"Belum MOS = 0%"))))</f>
        <v>Belum MOS = 0%</v>
      </c>
      <c r="ET461"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1" s="47"/>
      <c r="EV461" s="331"/>
      <c r="EW461" s="331" t="e">
        <v>#N/A</v>
      </c>
      <c r="EX461" s="331"/>
      <c r="EY461" s="331" t="e">
        <v>#N/A</v>
      </c>
      <c r="EZ461" s="352"/>
      <c r="FA461" s="384"/>
      <c r="FB461" s="331" t="e">
        <v>#N/A</v>
      </c>
      <c r="FC461" s="331" t="e">
        <v>#N/A</v>
      </c>
      <c r="FD461" s="331" t="e">
        <v>#N/A</v>
      </c>
      <c r="FE461" s="331" t="e">
        <v>#N/A</v>
      </c>
      <c r="FF461" s="331" t="e">
        <v>#N/A</v>
      </c>
      <c r="FG461" s="331" t="e">
        <v>#N/A</v>
      </c>
      <c r="FH461" s="331" t="e">
        <v>#N/A</v>
      </c>
      <c r="FI461" s="331" t="e">
        <v>#N/A</v>
      </c>
      <c r="FJ461" s="331" t="e">
        <v>#N/A</v>
      </c>
      <c r="FK461" s="331" t="e">
        <v>#N/A</v>
      </c>
      <c r="FL461" s="352"/>
      <c r="FM461" s="352"/>
      <c r="FN461" s="338" t="str">
        <f>IF(Table1[[#This Row],[Tanggal Pengajuan Dokumen]]="","",Table1[[#This Row],[PLAN PERMIT
start]]-Table1[[#This Row],[Tanggal Pengajuan Dokumen]])</f>
        <v/>
      </c>
      <c r="FO461" s="352"/>
      <c r="FP461" s="316"/>
      <c r="FQ461" s="338"/>
      <c r="FR461" s="352"/>
      <c r="FS461" s="338"/>
      <c r="FT461"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1" s="344">
        <f ca="1">IF(Table1[[#This Row],[Status Izin]]="Selesai",Table1[[#This Row],[PLAN PERMIT
finish]]-Table1[[#This Row],[Tanggal Terbit/ Target Izin Terbit]],ROUNDUP(Table1[[#This Row],[PLAN PERMIT
finish]]-NOW(),0))</f>
        <v>-46191</v>
      </c>
      <c r="FV461"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1" s="344"/>
      <c r="FX461" s="47"/>
      <c r="FY461" s="571"/>
      <c r="FZ461" s="572"/>
      <c r="GA461"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1" s="331"/>
      <c r="GC461" s="352"/>
      <c r="GD461"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1" s="331"/>
      <c r="GF461" s="352"/>
      <c r="GG461"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1" s="331"/>
      <c r="GI461" s="331"/>
      <c r="GJ461" s="352"/>
      <c r="GK461"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1" s="331"/>
      <c r="GM461" s="331" t="e">
        <v>#N/A</v>
      </c>
      <c r="GN461" s="331"/>
      <c r="GO461" s="527" t="e">
        <v>#N/A</v>
      </c>
      <c r="GP461" s="316"/>
      <c r="GQ461"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1" s="331"/>
      <c r="GS461" s="331"/>
      <c r="GT461" s="354"/>
      <c r="GU461" s="344" t="str">
        <f>IF(Table1[[#This Row],[Hydro Tes Actual
(tanggal)]]&lt;&gt;"","Sudah","Belum")</f>
        <v>Belum</v>
      </c>
      <c r="GV461" s="330"/>
      <c r="GW461" s="330"/>
      <c r="GX461" s="331"/>
      <c r="GY461" s="344" t="str">
        <f>IF(Table1[[#This Row],[Interkoneksi Actual
(tanggal)]]&lt;&gt;"","Sudah","Belum")</f>
        <v>Belum</v>
      </c>
      <c r="GZ461" s="330"/>
      <c r="HA461" s="330"/>
      <c r="HB461" s="331"/>
      <c r="HC461" s="344" t="str">
        <f>IF(Table1[[#This Row],[Flushing Actual
(tanggal)]]&lt;&gt;"","Sudah","Belum")</f>
        <v>Belum</v>
      </c>
      <c r="HD461" s="331"/>
      <c r="HE461" s="331" t="e">
        <v>#N/A</v>
      </c>
      <c r="HF461" s="331"/>
      <c r="HG461" s="352"/>
      <c r="HH461"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1" s="330"/>
      <c r="HJ461" s="330"/>
      <c r="HK461" s="331"/>
      <c r="HL461" s="316"/>
      <c r="HM461" s="331"/>
      <c r="HN461" s="331"/>
      <c r="HO461" s="527" t="e">
        <v>#N/A</v>
      </c>
      <c r="HP461" s="331"/>
      <c r="HQ461"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61" s="352"/>
      <c r="HS461" s="352"/>
      <c r="HT461" s="352"/>
      <c r="HU461" s="474"/>
      <c r="HV461" s="331"/>
      <c r="HW461"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61" s="47"/>
      <c r="HY461" s="352"/>
      <c r="HZ461" s="352"/>
      <c r="IA461"/>
      <c r="IB461" s="618">
        <f>IFERROR(ROUND((Table1[[#This Row],[PLAN TC
finish]]-Table1[[#This Row],[PLAN MC-0
start]])/30,2),"")</f>
        <v>0</v>
      </c>
      <c r="IC461">
        <f>DATEDIF(Table1[[#This Row],[PLAN MC-0
start]],Table1[[#This Row],[PLAN TC
finish]],"m")</f>
        <v>0</v>
      </c>
      <c r="ID461" s="8"/>
      <c r="IE461" s="8"/>
      <c r="IF461" s="4"/>
      <c r="IG461" s="6"/>
      <c r="IH461" s="72"/>
      <c r="II461" s="72"/>
      <c r="IJ461" s="8"/>
      <c r="IL461" s="6"/>
      <c r="IM461" s="6"/>
      <c r="IN461" s="72"/>
      <c r="IO461" s="8"/>
      <c r="IQ461" s="4"/>
      <c r="IR461" s="4"/>
      <c r="IS461" s="6"/>
      <c r="IT461" s="6"/>
      <c r="IW461" s="6"/>
      <c r="IX461" s="6"/>
      <c r="IZ461" s="6"/>
      <c r="JA461" s="6"/>
    </row>
    <row r="462" spans="2:261" ht="15" hidden="1" customHeight="1" x14ac:dyDescent="0.2">
      <c r="B462" s="311">
        <f>SUBTOTAL(3,$D$5:D462)</f>
        <v>84</v>
      </c>
      <c r="C462" s="316">
        <v>472</v>
      </c>
      <c r="D462" s="460" t="s">
        <v>629</v>
      </c>
      <c r="E462" s="338" t="s">
        <v>3488</v>
      </c>
      <c r="F462" s="338" t="s">
        <v>3489</v>
      </c>
      <c r="G462" s="349">
        <v>46482</v>
      </c>
      <c r="H462" s="461" t="s">
        <v>247</v>
      </c>
      <c r="I462" s="338"/>
      <c r="J462" s="480"/>
      <c r="K462" s="338"/>
      <c r="L462" s="316"/>
      <c r="M462" s="355"/>
      <c r="N462" s="559">
        <v>11313</v>
      </c>
      <c r="O462" s="464" t="s">
        <v>252</v>
      </c>
      <c r="P46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2"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2" s="337"/>
      <c r="S462" s="327">
        <v>0.99999999999999989</v>
      </c>
      <c r="T462" s="327">
        <f>Table1[[#This Row],[Progres Total Aktual
(%)]]</f>
        <v>0</v>
      </c>
      <c r="U462" s="568">
        <f>Table1[[#This Row],[Progres Aktual
(%)]]-Table1[[#This Row],[Target Progres
(%)]]</f>
        <v>-0.99999999999999989</v>
      </c>
      <c r="V462" s="569">
        <f>Table1[[#This Row],["Volume
BA MC-0"]]</f>
        <v>0</v>
      </c>
      <c r="W462" s="569">
        <f>Table1[[#This Row],[Total Panjang Pipa Aktual
(Sum-&gt;)3]]</f>
        <v>0</v>
      </c>
      <c r="X462" s="117"/>
      <c r="Y462" s="295"/>
      <c r="Z462" s="508"/>
      <c r="AA462" s="508">
        <f>ROUND((Table1[[#This Row],[Nilai RAB Jaringan
(Exclude Ppn)]]-Table1[[#This Row],[RAB Perizinan]])*1.11+Table1[[#This Row],[RAB Perizinan]],0)</f>
        <v>0</v>
      </c>
      <c r="AB462" s="436">
        <f>SUM(Table1[[#This Row],[RAB Kegiatan Umum]:[RAB Perizinan]])</f>
        <v>0</v>
      </c>
      <c r="AC462" s="436"/>
      <c r="AD462" s="436"/>
      <c r="AE462" s="436"/>
      <c r="AF462" s="436"/>
      <c r="AG462" s="436"/>
      <c r="AH462" s="570" t="e">
        <f>SUM(Table1[[#This Row],[Bobot Keg Umum]:[Bobot Perizinan]])</f>
        <v>#DIV/0!</v>
      </c>
      <c r="AI462" s="570" t="e">
        <f>Table1[[#This Row],[RAB Kegiatan Umum]]/Table1[[#This Row],[Nilai RAB Jaringan
(Exclude Ppn)]]</f>
        <v>#DIV/0!</v>
      </c>
      <c r="AJ462" s="570" t="e">
        <f>Table1[[#This Row],[RAB Pemasangan]]/Table1[[#This Row],[Nilai RAB Jaringan
(Exclude Ppn)]]</f>
        <v>#DIV/0!</v>
      </c>
      <c r="AK462" s="570" t="e">
        <f>Table1[[#This Row],[RAB Pengadaan]]/Table1[[#This Row],[Nilai RAB Jaringan
(Exclude Ppn)]]</f>
        <v>#DIV/0!</v>
      </c>
      <c r="AL462" s="337" t="e">
        <f>Table1[[#This Row],[RAB Perizinan]]/Table1[[#This Row],[Nilai RAB Jaringan
(Exclude Ppn)]]</f>
        <v>#DIV/0!</v>
      </c>
      <c r="AM462" s="47"/>
      <c r="AN462" s="338"/>
      <c r="AO462" s="514">
        <f>SUM(Table1[[#This Row],[Pipa 63 mm]:[Pipa 1,800 mm]])</f>
        <v>0</v>
      </c>
      <c r="AP462" s="338"/>
      <c r="AQ462" s="338"/>
      <c r="AR462" s="338"/>
      <c r="AS462" s="338"/>
      <c r="AT462" s="338"/>
      <c r="AU462" s="338"/>
      <c r="AV462" s="338"/>
      <c r="AW462" s="338"/>
      <c r="AX462" s="338"/>
      <c r="AY462" s="338"/>
      <c r="AZ462" s="338"/>
      <c r="BA462" s="338"/>
      <c r="BB462" s="338"/>
      <c r="BC462" s="338"/>
      <c r="BD462" s="338"/>
      <c r="BE462" s="338"/>
      <c r="BF462" s="338"/>
      <c r="BG462" s="338"/>
      <c r="BH462" s="338"/>
      <c r="BI462" s="338"/>
      <c r="BJ462" s="36">
        <f>SUM(Table1[[#This Row],[Pipa 63 mm2]:[Pipa 1,800 mm21]])</f>
        <v>0</v>
      </c>
      <c r="BK462" s="32"/>
      <c r="BL462" s="32"/>
      <c r="BM462" s="32"/>
      <c r="BN462" s="32"/>
      <c r="BO462" s="32"/>
      <c r="BP462" s="32"/>
      <c r="BQ462" s="32"/>
      <c r="BR462" s="32"/>
      <c r="BS462" s="32"/>
      <c r="BT462" s="32"/>
      <c r="BU462" s="32"/>
      <c r="BV462" s="32"/>
      <c r="BW462" s="32"/>
      <c r="BX462" s="32"/>
      <c r="BY462" s="32"/>
      <c r="BZ462" s="32"/>
      <c r="CA462" s="32"/>
      <c r="CB462" s="32"/>
      <c r="CC462" s="32"/>
      <c r="CD462" s="32"/>
      <c r="CE462" s="32"/>
      <c r="CF462" s="32"/>
      <c r="CG462" s="32"/>
      <c r="CH462" s="32"/>
      <c r="CI462" s="32"/>
      <c r="CJ462" s="32">
        <f>IF((Table1[[#This Row],["Volume
BA MC-0"]]-Table1[[#This Row],[Total Panjang Pipa Aktual
(Sum-&gt;)3]]-Table1[[#This Row],[Total Volume
tidak dapat dipasang]])&gt;=0,Table1[[#This Row],["Volume
BA MC-0"]]-Table1[[#This Row],[Total Panjang Pipa Aktual
(Sum-&gt;)3]]-Table1[[#This Row],[Total Volume
tidak dapat dipasang]],0)</f>
        <v>0</v>
      </c>
      <c r="CK462" s="47"/>
      <c r="CL462" s="131"/>
      <c r="CM462" s="337"/>
      <c r="CN462" s="131"/>
      <c r="CO462" s="131"/>
      <c r="CP462" s="316"/>
      <c r="CQ462" s="436">
        <f>IFERROR(Table1[[#This Row],[Progres Keg. Umum
(%)]]*Table1[[#This Row],[Nilai RAB Jaringan
(file pa aji)]],0)</f>
        <v>0</v>
      </c>
      <c r="CR462" s="436">
        <f>IFERROR(Table1[[#This Row],[Progres MOS
(%)]]*Table1[[#This Row],[Nilai RAB Jaringan
(file pa aji)]],0)</f>
        <v>0</v>
      </c>
      <c r="CS462" s="436">
        <f>IFERROR(Table1[[#This Row],[Progres Pemasangan
(%)]]*Table1[[#This Row],[Nilai RAB Jaringan
(file pa aji)]],0)</f>
        <v>0</v>
      </c>
      <c r="CT462" s="436">
        <f>IFERROR(Table1[[#This Row],[Progres Perizinan
(%)]]*Table1[[#This Row],[Nilai RAB Jaringan
(file pa aji)]],0)</f>
        <v>0</v>
      </c>
      <c r="CU462" s="329"/>
      <c r="CV462" s="567"/>
      <c r="CW462" s="511"/>
      <c r="CX462" s="329"/>
      <c r="CY462" s="47"/>
      <c r="CZ462" s="331"/>
      <c r="DA462" s="331"/>
      <c r="DB462" s="331"/>
      <c r="DC462" s="316"/>
      <c r="DD462" s="508"/>
      <c r="DE462"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2" s="331"/>
      <c r="DG462" s="316"/>
      <c r="DH462" s="508"/>
      <c r="DI462"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2" s="331"/>
      <c r="DK462" s="331"/>
      <c r="DL462" s="331"/>
      <c r="DM462" s="316"/>
      <c r="DN462"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2" s="331"/>
      <c r="DP462" s="316"/>
      <c r="DQ462" s="338"/>
      <c r="DR462"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2" s="331"/>
      <c r="DT462" s="331" t="e">
        <v>#N/A</v>
      </c>
      <c r="DU462" s="331"/>
      <c r="DV462" s="331" t="e">
        <v>#N/A</v>
      </c>
      <c r="DW462" s="331"/>
      <c r="DX462" s="316"/>
      <c r="DY462" s="335"/>
      <c r="DZ462" s="335"/>
      <c r="EA462"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2" s="331"/>
      <c r="EC462" s="332"/>
      <c r="ED462" s="332"/>
      <c r="EE462" s="330"/>
      <c r="EF462" s="337"/>
      <c r="EG462" s="337"/>
      <c r="EH462" s="316" t="str">
        <f>IF(Table1[[#This Row],[PO Material Aktual 
(%)]]&gt;=100%,"Selesai PO = 100%",IF(Table1[[#This Row],[PO Material Aktual 
(%)]]&gt;=50%,"Proses PO &gt; 100%",IF(Table1[[#This Row],[PO Material Aktual 
(%)]]&gt;0%,"Proses PO &gt; 50%",IF(Table1[[#This Row],[PO Material Aktual 
(%)]]=0,"Belum PO = 0%"))))</f>
        <v>Belum PO = 0%</v>
      </c>
      <c r="EI462"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2" s="331"/>
      <c r="EK462" s="331" t="e">
        <v>#N/A</v>
      </c>
      <c r="EL462" s="331"/>
      <c r="EM462" s="331" t="e">
        <v>#N/A</v>
      </c>
      <c r="EN462" s="331"/>
      <c r="EO462" s="316"/>
      <c r="EP462" s="335"/>
      <c r="EQ462" s="337"/>
      <c r="ER462" s="337"/>
      <c r="ES462" s="316" t="str">
        <f>IF(Table1[[#This Row],[Progres MOS]]&gt;=100%,"Selesai MOS = 100%",IF(Table1[[#This Row],[Progres MOS]]&gt;=50%,"Proses MOS &gt; 100%",IF(Table1[[#This Row],[Progres MOS]]&gt;0%,"Proses MOS &gt; 50%",IF(Table1[[#This Row],[Progres MOS]]=0,"Belum MOS = 0%"))))</f>
        <v>Belum MOS = 0%</v>
      </c>
      <c r="ET462"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2" s="47"/>
      <c r="EV462" s="331"/>
      <c r="EW462" s="331" t="e">
        <v>#N/A</v>
      </c>
      <c r="EX462" s="331"/>
      <c r="EY462" s="331" t="e">
        <v>#N/A</v>
      </c>
      <c r="EZ462" s="352"/>
      <c r="FA462" s="384"/>
      <c r="FB462" s="331" t="e">
        <v>#N/A</v>
      </c>
      <c r="FC462" s="331" t="e">
        <v>#N/A</v>
      </c>
      <c r="FD462" s="331" t="e">
        <v>#N/A</v>
      </c>
      <c r="FE462" s="331" t="e">
        <v>#N/A</v>
      </c>
      <c r="FF462" s="331" t="e">
        <v>#N/A</v>
      </c>
      <c r="FG462" s="331" t="e">
        <v>#N/A</v>
      </c>
      <c r="FH462" s="331" t="e">
        <v>#N/A</v>
      </c>
      <c r="FI462" s="331" t="e">
        <v>#N/A</v>
      </c>
      <c r="FJ462" s="331" t="e">
        <v>#N/A</v>
      </c>
      <c r="FK462" s="331" t="e">
        <v>#N/A</v>
      </c>
      <c r="FL462" s="352"/>
      <c r="FM462" s="352"/>
      <c r="FN462" s="338" t="str">
        <f>IF(Table1[[#This Row],[Tanggal Pengajuan Dokumen]]="","",Table1[[#This Row],[PLAN PERMIT
start]]-Table1[[#This Row],[Tanggal Pengajuan Dokumen]])</f>
        <v/>
      </c>
      <c r="FO462" s="352"/>
      <c r="FP462" s="316"/>
      <c r="FQ462" s="338"/>
      <c r="FR462" s="352"/>
      <c r="FS462" s="338"/>
      <c r="FT462"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2" s="344">
        <f ca="1">IF(Table1[[#This Row],[Status Izin]]="Selesai",Table1[[#This Row],[PLAN PERMIT
finish]]-Table1[[#This Row],[Tanggal Terbit/ Target Izin Terbit]],ROUNDUP(Table1[[#This Row],[PLAN PERMIT
finish]]-NOW(),0))</f>
        <v>-46191</v>
      </c>
      <c r="FV462"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2" s="344"/>
      <c r="FX462" s="47"/>
      <c r="FY462" s="571"/>
      <c r="FZ462" s="572"/>
      <c r="GA462"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2" s="331"/>
      <c r="GC462" s="352"/>
      <c r="GD462"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2" s="331"/>
      <c r="GF462" s="352"/>
      <c r="GG462"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2" s="331"/>
      <c r="GI462" s="331"/>
      <c r="GJ462" s="352"/>
      <c r="GK462"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2" s="331"/>
      <c r="GM462" s="331" t="e">
        <v>#N/A</v>
      </c>
      <c r="GN462" s="331"/>
      <c r="GO462" s="527" t="e">
        <v>#N/A</v>
      </c>
      <c r="GP462" s="316"/>
      <c r="GQ462"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2" s="331"/>
      <c r="GS462" s="331"/>
      <c r="GT462" s="354"/>
      <c r="GU462" s="344" t="str">
        <f>IF(Table1[[#This Row],[Hydro Tes Actual
(tanggal)]]&lt;&gt;"","Sudah","Belum")</f>
        <v>Belum</v>
      </c>
      <c r="GV462" s="330"/>
      <c r="GW462" s="330"/>
      <c r="GX462" s="331"/>
      <c r="GY462" s="344" t="str">
        <f>IF(Table1[[#This Row],[Interkoneksi Actual
(tanggal)]]&lt;&gt;"","Sudah","Belum")</f>
        <v>Belum</v>
      </c>
      <c r="GZ462" s="330"/>
      <c r="HA462" s="330"/>
      <c r="HB462" s="331"/>
      <c r="HC462" s="344" t="str">
        <f>IF(Table1[[#This Row],[Flushing Actual
(tanggal)]]&lt;&gt;"","Sudah","Belum")</f>
        <v>Belum</v>
      </c>
      <c r="HD462" s="331"/>
      <c r="HE462" s="331" t="e">
        <v>#N/A</v>
      </c>
      <c r="HF462" s="331"/>
      <c r="HG462" s="352"/>
      <c r="HH462"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2" s="330"/>
      <c r="HJ462" s="330"/>
      <c r="HK462" s="331"/>
      <c r="HL462" s="316"/>
      <c r="HM462" s="331"/>
      <c r="HN462" s="331"/>
      <c r="HO462" s="527" t="e">
        <v>#N/A</v>
      </c>
      <c r="HP462" s="331"/>
      <c r="HQ462"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62" s="352"/>
      <c r="HS462" s="352"/>
      <c r="HT462" s="352"/>
      <c r="HU462" s="474"/>
      <c r="HV462" s="331"/>
      <c r="HW462"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62" s="47"/>
      <c r="HY462" s="352"/>
      <c r="HZ462" s="352"/>
      <c r="IA462"/>
      <c r="IB462" s="618">
        <f>IFERROR(ROUND((Table1[[#This Row],[PLAN TC
finish]]-Table1[[#This Row],[PLAN MC-0
start]])/30,2),"")</f>
        <v>0</v>
      </c>
      <c r="IC462">
        <f>DATEDIF(Table1[[#This Row],[PLAN MC-0
start]],Table1[[#This Row],[PLAN TC
finish]],"m")</f>
        <v>0</v>
      </c>
      <c r="ID462" s="8"/>
      <c r="IE462" s="8"/>
      <c r="IF462" s="4"/>
      <c r="IG462" s="6"/>
      <c r="IH462" s="72"/>
      <c r="II462" s="72"/>
      <c r="IJ462" s="8"/>
      <c r="IL462" s="6"/>
      <c r="IM462" s="6"/>
      <c r="IN462" s="72"/>
      <c r="IO462" s="8"/>
      <c r="IQ462" s="4"/>
      <c r="IR462" s="4"/>
      <c r="IS462" s="6"/>
      <c r="IT462" s="6"/>
      <c r="IW462" s="6"/>
      <c r="IX462" s="6"/>
      <c r="IZ462" s="6"/>
      <c r="JA462" s="6"/>
    </row>
    <row r="463" spans="2:261" ht="15" hidden="1" customHeight="1" x14ac:dyDescent="0.2">
      <c r="B463" s="311">
        <f>SUBTOTAL(3,$D$5:D463)</f>
        <v>84</v>
      </c>
      <c r="C463" s="316">
        <v>473</v>
      </c>
      <c r="D463" s="460" t="s">
        <v>629</v>
      </c>
      <c r="E463" s="338" t="s">
        <v>3490</v>
      </c>
      <c r="F463" s="338" t="s">
        <v>3491</v>
      </c>
      <c r="G463" s="349">
        <v>46482</v>
      </c>
      <c r="H463" s="461" t="s">
        <v>247</v>
      </c>
      <c r="I463" s="338"/>
      <c r="J463" s="480"/>
      <c r="K463" s="338"/>
      <c r="L463" s="316"/>
      <c r="M463" s="355"/>
      <c r="N463" s="559">
        <v>24289</v>
      </c>
      <c r="O463" s="464" t="s">
        <v>252</v>
      </c>
      <c r="P46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3"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3" s="337"/>
      <c r="S463" s="327">
        <v>0.99999999999999989</v>
      </c>
      <c r="T463" s="327">
        <f>Table1[[#This Row],[Progres Total Aktual
(%)]]</f>
        <v>0</v>
      </c>
      <c r="U463" s="568">
        <f>Table1[[#This Row],[Progres Aktual
(%)]]-Table1[[#This Row],[Target Progres
(%)]]</f>
        <v>-0.99999999999999989</v>
      </c>
      <c r="V463" s="569">
        <f>Table1[[#This Row],["Volume
BA MC-0"]]</f>
        <v>0</v>
      </c>
      <c r="W463" s="569">
        <f>Table1[[#This Row],[Total Panjang Pipa Aktual
(Sum-&gt;)3]]</f>
        <v>0</v>
      </c>
      <c r="X463" s="117"/>
      <c r="Y463" s="295"/>
      <c r="Z463" s="508"/>
      <c r="AA463" s="508">
        <f>ROUND((Table1[[#This Row],[Nilai RAB Jaringan
(Exclude Ppn)]]-Table1[[#This Row],[RAB Perizinan]])*1.11+Table1[[#This Row],[RAB Perizinan]],0)</f>
        <v>0</v>
      </c>
      <c r="AB463" s="436">
        <f>SUM(Table1[[#This Row],[RAB Kegiatan Umum]:[RAB Perizinan]])</f>
        <v>0</v>
      </c>
      <c r="AC463" s="436"/>
      <c r="AD463" s="436"/>
      <c r="AE463" s="436"/>
      <c r="AF463" s="436"/>
      <c r="AG463" s="436"/>
      <c r="AH463" s="570" t="e">
        <f>SUM(Table1[[#This Row],[Bobot Keg Umum]:[Bobot Perizinan]])</f>
        <v>#DIV/0!</v>
      </c>
      <c r="AI463" s="570" t="e">
        <f>Table1[[#This Row],[RAB Kegiatan Umum]]/Table1[[#This Row],[Nilai RAB Jaringan
(Exclude Ppn)]]</f>
        <v>#DIV/0!</v>
      </c>
      <c r="AJ463" s="570" t="e">
        <f>Table1[[#This Row],[RAB Pemasangan]]/Table1[[#This Row],[Nilai RAB Jaringan
(Exclude Ppn)]]</f>
        <v>#DIV/0!</v>
      </c>
      <c r="AK463" s="570" t="e">
        <f>Table1[[#This Row],[RAB Pengadaan]]/Table1[[#This Row],[Nilai RAB Jaringan
(Exclude Ppn)]]</f>
        <v>#DIV/0!</v>
      </c>
      <c r="AL463" s="337" t="e">
        <f>Table1[[#This Row],[RAB Perizinan]]/Table1[[#This Row],[Nilai RAB Jaringan
(Exclude Ppn)]]</f>
        <v>#DIV/0!</v>
      </c>
      <c r="AM463" s="47"/>
      <c r="AN463" s="338"/>
      <c r="AO463" s="514">
        <f>SUM(Table1[[#This Row],[Pipa 63 mm]:[Pipa 1,800 mm]])</f>
        <v>0</v>
      </c>
      <c r="AP463" s="338"/>
      <c r="AQ463" s="338"/>
      <c r="AR463" s="338"/>
      <c r="AS463" s="338"/>
      <c r="AT463" s="338"/>
      <c r="AU463" s="338"/>
      <c r="AV463" s="338"/>
      <c r="AW463" s="338"/>
      <c r="AX463" s="338"/>
      <c r="AY463" s="338"/>
      <c r="AZ463" s="338"/>
      <c r="BA463" s="338"/>
      <c r="BB463" s="338"/>
      <c r="BC463" s="338"/>
      <c r="BD463" s="338"/>
      <c r="BE463" s="338"/>
      <c r="BF463" s="338"/>
      <c r="BG463" s="338"/>
      <c r="BH463" s="338"/>
      <c r="BI463" s="338"/>
      <c r="BJ463" s="36">
        <f>SUM(Table1[[#This Row],[Pipa 63 mm2]:[Pipa 1,800 mm21]])</f>
        <v>0</v>
      </c>
      <c r="BK463" s="32"/>
      <c r="BL463" s="32"/>
      <c r="BM463" s="32"/>
      <c r="BN463" s="32"/>
      <c r="BO463" s="32"/>
      <c r="BP463" s="32"/>
      <c r="BQ463" s="32"/>
      <c r="BR463" s="32"/>
      <c r="BS463" s="32"/>
      <c r="BT463" s="32"/>
      <c r="BU463" s="32"/>
      <c r="BV463" s="32"/>
      <c r="BW463" s="32"/>
      <c r="BX463" s="32"/>
      <c r="BY463" s="32"/>
      <c r="BZ463" s="32"/>
      <c r="CA463" s="32"/>
      <c r="CB463" s="32"/>
      <c r="CC463" s="32"/>
      <c r="CD463" s="32"/>
      <c r="CE463" s="32"/>
      <c r="CF463" s="32"/>
      <c r="CG463" s="32"/>
      <c r="CH463" s="32"/>
      <c r="CI463" s="32"/>
      <c r="CJ463" s="32">
        <f>IF((Table1[[#This Row],["Volume
BA MC-0"]]-Table1[[#This Row],[Total Panjang Pipa Aktual
(Sum-&gt;)3]]-Table1[[#This Row],[Total Volume
tidak dapat dipasang]])&gt;=0,Table1[[#This Row],["Volume
BA MC-0"]]-Table1[[#This Row],[Total Panjang Pipa Aktual
(Sum-&gt;)3]]-Table1[[#This Row],[Total Volume
tidak dapat dipasang]],0)</f>
        <v>0</v>
      </c>
      <c r="CK463" s="47"/>
      <c r="CL463" s="131"/>
      <c r="CM463" s="337"/>
      <c r="CN463" s="131"/>
      <c r="CO463" s="131"/>
      <c r="CP463" s="316"/>
      <c r="CQ463" s="436">
        <f>IFERROR(Table1[[#This Row],[Progres Keg. Umum
(%)]]*Table1[[#This Row],[Nilai RAB Jaringan
(file pa aji)]],0)</f>
        <v>0</v>
      </c>
      <c r="CR463" s="436">
        <f>IFERROR(Table1[[#This Row],[Progres MOS
(%)]]*Table1[[#This Row],[Nilai RAB Jaringan
(file pa aji)]],0)</f>
        <v>0</v>
      </c>
      <c r="CS463" s="436">
        <f>IFERROR(Table1[[#This Row],[Progres Pemasangan
(%)]]*Table1[[#This Row],[Nilai RAB Jaringan
(file pa aji)]],0)</f>
        <v>0</v>
      </c>
      <c r="CT463" s="436">
        <f>IFERROR(Table1[[#This Row],[Progres Perizinan
(%)]]*Table1[[#This Row],[Nilai RAB Jaringan
(file pa aji)]],0)</f>
        <v>0</v>
      </c>
      <c r="CU463" s="329"/>
      <c r="CV463" s="567"/>
      <c r="CW463" s="511"/>
      <c r="CX463" s="329"/>
      <c r="CY463" s="47"/>
      <c r="CZ463" s="331"/>
      <c r="DA463" s="331"/>
      <c r="DB463" s="331"/>
      <c r="DC463" s="316"/>
      <c r="DD463" s="508"/>
      <c r="DE463"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3" s="331"/>
      <c r="DG463" s="316"/>
      <c r="DH463" s="508"/>
      <c r="DI463"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3" s="331"/>
      <c r="DK463" s="331"/>
      <c r="DL463" s="331"/>
      <c r="DM463" s="316"/>
      <c r="DN463"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3" s="331"/>
      <c r="DP463" s="316"/>
      <c r="DQ463" s="338"/>
      <c r="DR463"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3" s="331"/>
      <c r="DT463" s="331" t="e">
        <v>#N/A</v>
      </c>
      <c r="DU463" s="331"/>
      <c r="DV463" s="331" t="e">
        <v>#N/A</v>
      </c>
      <c r="DW463" s="331"/>
      <c r="DX463" s="316"/>
      <c r="DY463" s="335"/>
      <c r="DZ463" s="335"/>
      <c r="EA463"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3" s="331"/>
      <c r="EC463" s="332"/>
      <c r="ED463" s="332"/>
      <c r="EE463" s="330"/>
      <c r="EF463" s="337"/>
      <c r="EG463" s="337"/>
      <c r="EH463" s="316" t="str">
        <f>IF(Table1[[#This Row],[PO Material Aktual 
(%)]]&gt;=100%,"Selesai PO = 100%",IF(Table1[[#This Row],[PO Material Aktual 
(%)]]&gt;=50%,"Proses PO &gt; 100%",IF(Table1[[#This Row],[PO Material Aktual 
(%)]]&gt;0%,"Proses PO &gt; 50%",IF(Table1[[#This Row],[PO Material Aktual 
(%)]]=0,"Belum PO = 0%"))))</f>
        <v>Belum PO = 0%</v>
      </c>
      <c r="EI463"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3" s="331"/>
      <c r="EK463" s="331" t="e">
        <v>#N/A</v>
      </c>
      <c r="EL463" s="331"/>
      <c r="EM463" s="331" t="e">
        <v>#N/A</v>
      </c>
      <c r="EN463" s="331"/>
      <c r="EO463" s="316"/>
      <c r="EP463" s="335"/>
      <c r="EQ463" s="337"/>
      <c r="ER463" s="337"/>
      <c r="ES463" s="316" t="str">
        <f>IF(Table1[[#This Row],[Progres MOS]]&gt;=100%,"Selesai MOS = 100%",IF(Table1[[#This Row],[Progres MOS]]&gt;=50%,"Proses MOS &gt; 100%",IF(Table1[[#This Row],[Progres MOS]]&gt;0%,"Proses MOS &gt; 50%",IF(Table1[[#This Row],[Progres MOS]]=0,"Belum MOS = 0%"))))</f>
        <v>Belum MOS = 0%</v>
      </c>
      <c r="ET463"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3" s="47"/>
      <c r="EV463" s="331"/>
      <c r="EW463" s="331" t="e">
        <v>#N/A</v>
      </c>
      <c r="EX463" s="331"/>
      <c r="EY463" s="331" t="e">
        <v>#N/A</v>
      </c>
      <c r="EZ463" s="352"/>
      <c r="FA463" s="384"/>
      <c r="FB463" s="331" t="e">
        <v>#N/A</v>
      </c>
      <c r="FC463" s="331" t="e">
        <v>#N/A</v>
      </c>
      <c r="FD463" s="331" t="e">
        <v>#N/A</v>
      </c>
      <c r="FE463" s="331" t="e">
        <v>#N/A</v>
      </c>
      <c r="FF463" s="331" t="e">
        <v>#N/A</v>
      </c>
      <c r="FG463" s="331" t="e">
        <v>#N/A</v>
      </c>
      <c r="FH463" s="331" t="e">
        <v>#N/A</v>
      </c>
      <c r="FI463" s="331" t="e">
        <v>#N/A</v>
      </c>
      <c r="FJ463" s="331" t="e">
        <v>#N/A</v>
      </c>
      <c r="FK463" s="331" t="e">
        <v>#N/A</v>
      </c>
      <c r="FL463" s="352"/>
      <c r="FM463" s="352"/>
      <c r="FN463" s="338" t="str">
        <f>IF(Table1[[#This Row],[Tanggal Pengajuan Dokumen]]="","",Table1[[#This Row],[PLAN PERMIT
start]]-Table1[[#This Row],[Tanggal Pengajuan Dokumen]])</f>
        <v/>
      </c>
      <c r="FO463" s="352"/>
      <c r="FP463" s="316"/>
      <c r="FQ463" s="338"/>
      <c r="FR463" s="352"/>
      <c r="FS463" s="338"/>
      <c r="FT463"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3" s="344">
        <f ca="1">IF(Table1[[#This Row],[Status Izin]]="Selesai",Table1[[#This Row],[PLAN PERMIT
finish]]-Table1[[#This Row],[Tanggal Terbit/ Target Izin Terbit]],ROUNDUP(Table1[[#This Row],[PLAN PERMIT
finish]]-NOW(),0))</f>
        <v>-46191</v>
      </c>
      <c r="FV463"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3" s="344"/>
      <c r="FX463" s="47"/>
      <c r="FY463" s="571"/>
      <c r="FZ463" s="572"/>
      <c r="GA463"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3" s="331"/>
      <c r="GC463" s="352"/>
      <c r="GD463"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3" s="331"/>
      <c r="GF463" s="352"/>
      <c r="GG463"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3" s="331"/>
      <c r="GI463" s="331"/>
      <c r="GJ463" s="352"/>
      <c r="GK463"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3" s="331"/>
      <c r="GM463" s="331" t="e">
        <v>#N/A</v>
      </c>
      <c r="GN463" s="331"/>
      <c r="GO463" s="527" t="e">
        <v>#N/A</v>
      </c>
      <c r="GP463" s="316"/>
      <c r="GQ463"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3" s="331"/>
      <c r="GS463" s="331"/>
      <c r="GT463" s="354"/>
      <c r="GU463" s="344" t="str">
        <f>IF(Table1[[#This Row],[Hydro Tes Actual
(tanggal)]]&lt;&gt;"","Sudah","Belum")</f>
        <v>Belum</v>
      </c>
      <c r="GV463" s="330"/>
      <c r="GW463" s="330"/>
      <c r="GX463" s="331"/>
      <c r="GY463" s="344" t="str">
        <f>IF(Table1[[#This Row],[Interkoneksi Actual
(tanggal)]]&lt;&gt;"","Sudah","Belum")</f>
        <v>Belum</v>
      </c>
      <c r="GZ463" s="330"/>
      <c r="HA463" s="330"/>
      <c r="HB463" s="331"/>
      <c r="HC463" s="344" t="str">
        <f>IF(Table1[[#This Row],[Flushing Actual
(tanggal)]]&lt;&gt;"","Sudah","Belum")</f>
        <v>Belum</v>
      </c>
      <c r="HD463" s="331"/>
      <c r="HE463" s="331" t="e">
        <v>#N/A</v>
      </c>
      <c r="HF463" s="331"/>
      <c r="HG463" s="352"/>
      <c r="HH463"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3" s="330"/>
      <c r="HJ463" s="330"/>
      <c r="HK463" s="331"/>
      <c r="HL463" s="316"/>
      <c r="HM463" s="331"/>
      <c r="HN463" s="331"/>
      <c r="HO463" s="527" t="e">
        <v>#N/A</v>
      </c>
      <c r="HP463" s="331"/>
      <c r="HQ463"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63" s="352"/>
      <c r="HS463" s="352"/>
      <c r="HT463" s="352"/>
      <c r="HU463" s="474"/>
      <c r="HV463" s="331"/>
      <c r="HW463"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63" s="47"/>
      <c r="HY463" s="352"/>
      <c r="HZ463" s="352"/>
      <c r="IA463"/>
      <c r="IB463" s="618">
        <f>IFERROR(ROUND((Table1[[#This Row],[PLAN TC
finish]]-Table1[[#This Row],[PLAN MC-0
start]])/30,2),"")</f>
        <v>0</v>
      </c>
      <c r="IC463">
        <f>DATEDIF(Table1[[#This Row],[PLAN MC-0
start]],Table1[[#This Row],[PLAN TC
finish]],"m")</f>
        <v>0</v>
      </c>
      <c r="ID463" s="8"/>
      <c r="IE463" s="8"/>
      <c r="IF463" s="4"/>
      <c r="IG463" s="6"/>
      <c r="IH463" s="72"/>
      <c r="II463" s="72"/>
      <c r="IJ463" s="8"/>
      <c r="IL463" s="6"/>
      <c r="IM463" s="6"/>
      <c r="IN463" s="72"/>
      <c r="IO463" s="8"/>
      <c r="IQ463" s="4"/>
      <c r="IR463" s="4"/>
      <c r="IS463" s="6"/>
      <c r="IT463" s="6"/>
      <c r="IW463" s="6"/>
      <c r="IX463" s="6"/>
      <c r="IZ463" s="6"/>
      <c r="JA463" s="6"/>
    </row>
    <row r="464" spans="2:261" ht="15" hidden="1" customHeight="1" x14ac:dyDescent="0.2">
      <c r="B464" s="311">
        <f>SUBTOTAL(3,$D$5:D464)</f>
        <v>84</v>
      </c>
      <c r="C464" s="316">
        <v>474</v>
      </c>
      <c r="D464" s="460" t="s">
        <v>629</v>
      </c>
      <c r="E464" s="338" t="s">
        <v>3492</v>
      </c>
      <c r="F464" s="338" t="s">
        <v>3493</v>
      </c>
      <c r="G464" s="349">
        <v>46482</v>
      </c>
      <c r="H464" s="461" t="s">
        <v>247</v>
      </c>
      <c r="I464" s="338"/>
      <c r="J464" s="480"/>
      <c r="K464" s="338"/>
      <c r="L464" s="316"/>
      <c r="M464" s="355"/>
      <c r="N464" s="559">
        <v>11214</v>
      </c>
      <c r="O464" s="464" t="s">
        <v>252</v>
      </c>
      <c r="P46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4"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4" s="337"/>
      <c r="S464" s="327">
        <v>0.99999999999999989</v>
      </c>
      <c r="T464" s="327">
        <f>Table1[[#This Row],[Progres Total Aktual
(%)]]</f>
        <v>0</v>
      </c>
      <c r="U464" s="568">
        <f>Table1[[#This Row],[Progres Aktual
(%)]]-Table1[[#This Row],[Target Progres
(%)]]</f>
        <v>-0.99999999999999989</v>
      </c>
      <c r="V464" s="569">
        <f>Table1[[#This Row],["Volume
BA MC-0"]]</f>
        <v>0</v>
      </c>
      <c r="W464" s="569">
        <f>Table1[[#This Row],[Total Panjang Pipa Aktual
(Sum-&gt;)3]]</f>
        <v>0</v>
      </c>
      <c r="X464" s="117"/>
      <c r="Y464" s="295"/>
      <c r="Z464" s="508"/>
      <c r="AA464" s="508">
        <f>ROUND((Table1[[#This Row],[Nilai RAB Jaringan
(Exclude Ppn)]]-Table1[[#This Row],[RAB Perizinan]])*1.11+Table1[[#This Row],[RAB Perizinan]],0)</f>
        <v>0</v>
      </c>
      <c r="AB464" s="436">
        <f>SUM(Table1[[#This Row],[RAB Kegiatan Umum]:[RAB Perizinan]])</f>
        <v>0</v>
      </c>
      <c r="AC464" s="436"/>
      <c r="AD464" s="436"/>
      <c r="AE464" s="436"/>
      <c r="AF464" s="436"/>
      <c r="AG464" s="436"/>
      <c r="AH464" s="570" t="e">
        <f>SUM(Table1[[#This Row],[Bobot Keg Umum]:[Bobot Perizinan]])</f>
        <v>#DIV/0!</v>
      </c>
      <c r="AI464" s="570" t="e">
        <f>Table1[[#This Row],[RAB Kegiatan Umum]]/Table1[[#This Row],[Nilai RAB Jaringan
(Exclude Ppn)]]</f>
        <v>#DIV/0!</v>
      </c>
      <c r="AJ464" s="570" t="e">
        <f>Table1[[#This Row],[RAB Pemasangan]]/Table1[[#This Row],[Nilai RAB Jaringan
(Exclude Ppn)]]</f>
        <v>#DIV/0!</v>
      </c>
      <c r="AK464" s="570" t="e">
        <f>Table1[[#This Row],[RAB Pengadaan]]/Table1[[#This Row],[Nilai RAB Jaringan
(Exclude Ppn)]]</f>
        <v>#DIV/0!</v>
      </c>
      <c r="AL464" s="337" t="e">
        <f>Table1[[#This Row],[RAB Perizinan]]/Table1[[#This Row],[Nilai RAB Jaringan
(Exclude Ppn)]]</f>
        <v>#DIV/0!</v>
      </c>
      <c r="AM464" s="47"/>
      <c r="AN464" s="338"/>
      <c r="AO464" s="514">
        <f>SUM(Table1[[#This Row],[Pipa 63 mm]:[Pipa 1,800 mm]])</f>
        <v>0</v>
      </c>
      <c r="AP464" s="338"/>
      <c r="AQ464" s="338"/>
      <c r="AR464" s="338"/>
      <c r="AS464" s="338"/>
      <c r="AT464" s="338"/>
      <c r="AU464" s="338"/>
      <c r="AV464" s="338"/>
      <c r="AW464" s="338"/>
      <c r="AX464" s="338"/>
      <c r="AY464" s="338"/>
      <c r="AZ464" s="338"/>
      <c r="BA464" s="338"/>
      <c r="BB464" s="338"/>
      <c r="BC464" s="338"/>
      <c r="BD464" s="338"/>
      <c r="BE464" s="338"/>
      <c r="BF464" s="338"/>
      <c r="BG464" s="338"/>
      <c r="BH464" s="338"/>
      <c r="BI464" s="338"/>
      <c r="BJ464" s="36">
        <f>SUM(Table1[[#This Row],[Pipa 63 mm2]:[Pipa 1,800 mm21]])</f>
        <v>0</v>
      </c>
      <c r="BK464" s="32"/>
      <c r="BL464" s="32"/>
      <c r="BM464" s="32"/>
      <c r="BN464" s="32"/>
      <c r="BO464" s="32"/>
      <c r="BP464" s="32"/>
      <c r="BQ464" s="32"/>
      <c r="BR464" s="32"/>
      <c r="BS464" s="32"/>
      <c r="BT464" s="32"/>
      <c r="BU464" s="32"/>
      <c r="BV464" s="32"/>
      <c r="BW464" s="32"/>
      <c r="BX464" s="32"/>
      <c r="BY464" s="32"/>
      <c r="BZ464" s="32"/>
      <c r="CA464" s="32"/>
      <c r="CB464" s="32"/>
      <c r="CC464" s="32"/>
      <c r="CD464" s="32"/>
      <c r="CE464" s="32"/>
      <c r="CF464" s="32"/>
      <c r="CG464" s="32"/>
      <c r="CH464" s="32"/>
      <c r="CI464" s="32"/>
      <c r="CJ464" s="32">
        <f>IF((Table1[[#This Row],["Volume
BA MC-0"]]-Table1[[#This Row],[Total Panjang Pipa Aktual
(Sum-&gt;)3]]-Table1[[#This Row],[Total Volume
tidak dapat dipasang]])&gt;=0,Table1[[#This Row],["Volume
BA MC-0"]]-Table1[[#This Row],[Total Panjang Pipa Aktual
(Sum-&gt;)3]]-Table1[[#This Row],[Total Volume
tidak dapat dipasang]],0)</f>
        <v>0</v>
      </c>
      <c r="CK464" s="47"/>
      <c r="CL464" s="131"/>
      <c r="CM464" s="337"/>
      <c r="CN464" s="131"/>
      <c r="CO464" s="131"/>
      <c r="CP464" s="316"/>
      <c r="CQ464" s="436">
        <f>IFERROR(Table1[[#This Row],[Progres Keg. Umum
(%)]]*Table1[[#This Row],[Nilai RAB Jaringan
(file pa aji)]],0)</f>
        <v>0</v>
      </c>
      <c r="CR464" s="436">
        <f>IFERROR(Table1[[#This Row],[Progres MOS
(%)]]*Table1[[#This Row],[Nilai RAB Jaringan
(file pa aji)]],0)</f>
        <v>0</v>
      </c>
      <c r="CS464" s="436">
        <f>IFERROR(Table1[[#This Row],[Progres Pemasangan
(%)]]*Table1[[#This Row],[Nilai RAB Jaringan
(file pa aji)]],0)</f>
        <v>0</v>
      </c>
      <c r="CT464" s="436">
        <f>IFERROR(Table1[[#This Row],[Progres Perizinan
(%)]]*Table1[[#This Row],[Nilai RAB Jaringan
(file pa aji)]],0)</f>
        <v>0</v>
      </c>
      <c r="CU464" s="329"/>
      <c r="CV464" s="567"/>
      <c r="CW464" s="511"/>
      <c r="CX464" s="329"/>
      <c r="CY464" s="47"/>
      <c r="CZ464" s="331"/>
      <c r="DA464" s="331"/>
      <c r="DB464" s="331"/>
      <c r="DC464" s="316"/>
      <c r="DD464" s="508"/>
      <c r="DE464"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4" s="331"/>
      <c r="DG464" s="316"/>
      <c r="DH464" s="508"/>
      <c r="DI464"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4" s="331"/>
      <c r="DK464" s="331"/>
      <c r="DL464" s="331"/>
      <c r="DM464" s="316"/>
      <c r="DN464"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4" s="331"/>
      <c r="DP464" s="316"/>
      <c r="DQ464" s="338"/>
      <c r="DR464"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4" s="331"/>
      <c r="DT464" s="331" t="e">
        <v>#N/A</v>
      </c>
      <c r="DU464" s="331"/>
      <c r="DV464" s="331" t="e">
        <v>#N/A</v>
      </c>
      <c r="DW464" s="331"/>
      <c r="DX464" s="316"/>
      <c r="DY464" s="335"/>
      <c r="DZ464" s="335"/>
      <c r="EA464"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4" s="331"/>
      <c r="EC464" s="332"/>
      <c r="ED464" s="332"/>
      <c r="EE464" s="330"/>
      <c r="EF464" s="337"/>
      <c r="EG464" s="337"/>
      <c r="EH464" s="316" t="str">
        <f>IF(Table1[[#This Row],[PO Material Aktual 
(%)]]&gt;=100%,"Selesai PO = 100%",IF(Table1[[#This Row],[PO Material Aktual 
(%)]]&gt;=50%,"Proses PO &gt; 100%",IF(Table1[[#This Row],[PO Material Aktual 
(%)]]&gt;0%,"Proses PO &gt; 50%",IF(Table1[[#This Row],[PO Material Aktual 
(%)]]=0,"Belum PO = 0%"))))</f>
        <v>Belum PO = 0%</v>
      </c>
      <c r="EI464"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4" s="331"/>
      <c r="EK464" s="331" t="e">
        <v>#N/A</v>
      </c>
      <c r="EL464" s="331"/>
      <c r="EM464" s="331" t="e">
        <v>#N/A</v>
      </c>
      <c r="EN464" s="331"/>
      <c r="EO464" s="316"/>
      <c r="EP464" s="335"/>
      <c r="EQ464" s="337"/>
      <c r="ER464" s="337"/>
      <c r="ES464" s="316" t="str">
        <f>IF(Table1[[#This Row],[Progres MOS]]&gt;=100%,"Selesai MOS = 100%",IF(Table1[[#This Row],[Progres MOS]]&gt;=50%,"Proses MOS &gt; 100%",IF(Table1[[#This Row],[Progres MOS]]&gt;0%,"Proses MOS &gt; 50%",IF(Table1[[#This Row],[Progres MOS]]=0,"Belum MOS = 0%"))))</f>
        <v>Belum MOS = 0%</v>
      </c>
      <c r="ET464"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4" s="47"/>
      <c r="EV464" s="331"/>
      <c r="EW464" s="331" t="e">
        <v>#N/A</v>
      </c>
      <c r="EX464" s="331"/>
      <c r="EY464" s="331" t="e">
        <v>#N/A</v>
      </c>
      <c r="EZ464" s="352"/>
      <c r="FA464" s="384"/>
      <c r="FB464" s="331" t="e">
        <v>#N/A</v>
      </c>
      <c r="FC464" s="331" t="e">
        <v>#N/A</v>
      </c>
      <c r="FD464" s="331" t="e">
        <v>#N/A</v>
      </c>
      <c r="FE464" s="331" t="e">
        <v>#N/A</v>
      </c>
      <c r="FF464" s="331" t="e">
        <v>#N/A</v>
      </c>
      <c r="FG464" s="331" t="e">
        <v>#N/A</v>
      </c>
      <c r="FH464" s="331" t="e">
        <v>#N/A</v>
      </c>
      <c r="FI464" s="331" t="e">
        <v>#N/A</v>
      </c>
      <c r="FJ464" s="331" t="e">
        <v>#N/A</v>
      </c>
      <c r="FK464" s="331" t="e">
        <v>#N/A</v>
      </c>
      <c r="FL464" s="352"/>
      <c r="FM464" s="352"/>
      <c r="FN464" s="338" t="str">
        <f>IF(Table1[[#This Row],[Tanggal Pengajuan Dokumen]]="","",Table1[[#This Row],[PLAN PERMIT
start]]-Table1[[#This Row],[Tanggal Pengajuan Dokumen]])</f>
        <v/>
      </c>
      <c r="FO464" s="352"/>
      <c r="FP464" s="316"/>
      <c r="FQ464" s="338"/>
      <c r="FR464" s="352"/>
      <c r="FS464" s="338"/>
      <c r="FT464"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4" s="344">
        <f ca="1">IF(Table1[[#This Row],[Status Izin]]="Selesai",Table1[[#This Row],[PLAN PERMIT
finish]]-Table1[[#This Row],[Tanggal Terbit/ Target Izin Terbit]],ROUNDUP(Table1[[#This Row],[PLAN PERMIT
finish]]-NOW(),0))</f>
        <v>-46191</v>
      </c>
      <c r="FV464"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4" s="344"/>
      <c r="FX464" s="47"/>
      <c r="FY464" s="571"/>
      <c r="FZ464" s="572"/>
      <c r="GA464"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4" s="331"/>
      <c r="GC464" s="352"/>
      <c r="GD464"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4" s="331"/>
      <c r="GF464" s="352"/>
      <c r="GG464"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4" s="331"/>
      <c r="GI464" s="331"/>
      <c r="GJ464" s="352"/>
      <c r="GK464"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4" s="331"/>
      <c r="GM464" s="331" t="e">
        <v>#N/A</v>
      </c>
      <c r="GN464" s="331"/>
      <c r="GO464" s="527" t="e">
        <v>#N/A</v>
      </c>
      <c r="GP464" s="316"/>
      <c r="GQ464"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4" s="331"/>
      <c r="GS464" s="331"/>
      <c r="GT464" s="354"/>
      <c r="GU464" s="344" t="str">
        <f>IF(Table1[[#This Row],[Hydro Tes Actual
(tanggal)]]&lt;&gt;"","Sudah","Belum")</f>
        <v>Belum</v>
      </c>
      <c r="GV464" s="330"/>
      <c r="GW464" s="330"/>
      <c r="GX464" s="331"/>
      <c r="GY464" s="344" t="str">
        <f>IF(Table1[[#This Row],[Interkoneksi Actual
(tanggal)]]&lt;&gt;"","Sudah","Belum")</f>
        <v>Belum</v>
      </c>
      <c r="GZ464" s="330"/>
      <c r="HA464" s="330"/>
      <c r="HB464" s="331"/>
      <c r="HC464" s="344" t="str">
        <f>IF(Table1[[#This Row],[Flushing Actual
(tanggal)]]&lt;&gt;"","Sudah","Belum")</f>
        <v>Belum</v>
      </c>
      <c r="HD464" s="331"/>
      <c r="HE464" s="331" t="e">
        <v>#N/A</v>
      </c>
      <c r="HF464" s="331"/>
      <c r="HG464" s="352"/>
      <c r="HH464"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4" s="330"/>
      <c r="HJ464" s="330"/>
      <c r="HK464" s="331"/>
      <c r="HL464" s="316"/>
      <c r="HM464" s="331"/>
      <c r="HN464" s="331"/>
      <c r="HO464" s="527" t="e">
        <v>#N/A</v>
      </c>
      <c r="HP464" s="331"/>
      <c r="HQ464"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64" s="352"/>
      <c r="HS464" s="352"/>
      <c r="HT464" s="352"/>
      <c r="HU464" s="474"/>
      <c r="HV464" s="331"/>
      <c r="HW464"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64" s="47"/>
      <c r="HY464" s="352"/>
      <c r="HZ464" s="352"/>
      <c r="IA464"/>
      <c r="IB464" s="618">
        <f>IFERROR(ROUND((Table1[[#This Row],[PLAN TC
finish]]-Table1[[#This Row],[PLAN MC-0
start]])/30,2),"")</f>
        <v>0</v>
      </c>
      <c r="IC464">
        <f>DATEDIF(Table1[[#This Row],[PLAN MC-0
start]],Table1[[#This Row],[PLAN TC
finish]],"m")</f>
        <v>0</v>
      </c>
      <c r="ID464" s="8"/>
      <c r="IE464" s="8"/>
      <c r="IF464" s="4"/>
      <c r="IG464" s="6"/>
      <c r="IH464" s="72"/>
      <c r="II464" s="72"/>
      <c r="IJ464" s="8"/>
      <c r="IL464" s="6"/>
      <c r="IM464" s="6"/>
      <c r="IN464" s="72"/>
      <c r="IO464" s="8"/>
      <c r="IQ464" s="4"/>
      <c r="IR464" s="4"/>
      <c r="IS464" s="6"/>
      <c r="IT464" s="6"/>
      <c r="IW464" s="6"/>
      <c r="IX464" s="6"/>
      <c r="IZ464" s="6"/>
      <c r="JA464" s="6"/>
    </row>
    <row r="465" spans="2:261" ht="15" hidden="1" customHeight="1" x14ac:dyDescent="0.2">
      <c r="B465" s="311">
        <f>SUBTOTAL(3,$D$5:D465)</f>
        <v>84</v>
      </c>
      <c r="C465" s="316">
        <v>475</v>
      </c>
      <c r="D465" s="460" t="s">
        <v>629</v>
      </c>
      <c r="E465" s="338" t="s">
        <v>3494</v>
      </c>
      <c r="F465" s="338" t="s">
        <v>3495</v>
      </c>
      <c r="G465" s="349">
        <v>46482</v>
      </c>
      <c r="H465" s="461" t="s">
        <v>247</v>
      </c>
      <c r="I465" s="338"/>
      <c r="J465" s="480"/>
      <c r="K465" s="338"/>
      <c r="L465" s="316"/>
      <c r="M465" s="355"/>
      <c r="N465" s="559">
        <v>84051</v>
      </c>
      <c r="O465" s="464" t="s">
        <v>252</v>
      </c>
      <c r="P46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5"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5" s="337"/>
      <c r="S465" s="327">
        <v>0.99999999999999989</v>
      </c>
      <c r="T465" s="327">
        <f>Table1[[#This Row],[Progres Total Aktual
(%)]]</f>
        <v>0</v>
      </c>
      <c r="U465" s="568">
        <f>Table1[[#This Row],[Progres Aktual
(%)]]-Table1[[#This Row],[Target Progres
(%)]]</f>
        <v>-0.99999999999999989</v>
      </c>
      <c r="V465" s="569">
        <f>Table1[[#This Row],["Volume
BA MC-0"]]</f>
        <v>0</v>
      </c>
      <c r="W465" s="569">
        <f>Table1[[#This Row],[Total Panjang Pipa Aktual
(Sum-&gt;)3]]</f>
        <v>0</v>
      </c>
      <c r="X465" s="117"/>
      <c r="Y465" s="295"/>
      <c r="Z465" s="508"/>
      <c r="AA465" s="508">
        <f>ROUND((Table1[[#This Row],[Nilai RAB Jaringan
(Exclude Ppn)]]-Table1[[#This Row],[RAB Perizinan]])*1.11+Table1[[#This Row],[RAB Perizinan]],0)</f>
        <v>0</v>
      </c>
      <c r="AB465" s="436">
        <f>SUM(Table1[[#This Row],[RAB Kegiatan Umum]:[RAB Perizinan]])</f>
        <v>0</v>
      </c>
      <c r="AC465" s="436"/>
      <c r="AD465" s="436"/>
      <c r="AE465" s="436"/>
      <c r="AF465" s="436"/>
      <c r="AG465" s="436"/>
      <c r="AH465" s="570" t="e">
        <f>SUM(Table1[[#This Row],[Bobot Keg Umum]:[Bobot Perizinan]])</f>
        <v>#DIV/0!</v>
      </c>
      <c r="AI465" s="570" t="e">
        <f>Table1[[#This Row],[RAB Kegiatan Umum]]/Table1[[#This Row],[Nilai RAB Jaringan
(Exclude Ppn)]]</f>
        <v>#DIV/0!</v>
      </c>
      <c r="AJ465" s="570" t="e">
        <f>Table1[[#This Row],[RAB Pemasangan]]/Table1[[#This Row],[Nilai RAB Jaringan
(Exclude Ppn)]]</f>
        <v>#DIV/0!</v>
      </c>
      <c r="AK465" s="570" t="e">
        <f>Table1[[#This Row],[RAB Pengadaan]]/Table1[[#This Row],[Nilai RAB Jaringan
(Exclude Ppn)]]</f>
        <v>#DIV/0!</v>
      </c>
      <c r="AL465" s="337" t="e">
        <f>Table1[[#This Row],[RAB Perizinan]]/Table1[[#This Row],[Nilai RAB Jaringan
(Exclude Ppn)]]</f>
        <v>#DIV/0!</v>
      </c>
      <c r="AM465" s="47"/>
      <c r="AN465" s="338"/>
      <c r="AO465" s="514">
        <f>SUM(Table1[[#This Row],[Pipa 63 mm]:[Pipa 1,800 mm]])</f>
        <v>0</v>
      </c>
      <c r="AP465" s="338"/>
      <c r="AQ465" s="338"/>
      <c r="AR465" s="338"/>
      <c r="AS465" s="338"/>
      <c r="AT465" s="338"/>
      <c r="AU465" s="338"/>
      <c r="AV465" s="338"/>
      <c r="AW465" s="338"/>
      <c r="AX465" s="338"/>
      <c r="AY465" s="338"/>
      <c r="AZ465" s="338"/>
      <c r="BA465" s="338"/>
      <c r="BB465" s="338"/>
      <c r="BC465" s="338"/>
      <c r="BD465" s="338"/>
      <c r="BE465" s="338"/>
      <c r="BF465" s="338"/>
      <c r="BG465" s="338"/>
      <c r="BH465" s="338"/>
      <c r="BI465" s="338"/>
      <c r="BJ465" s="36">
        <f>SUM(Table1[[#This Row],[Pipa 63 mm2]:[Pipa 1,800 mm21]])</f>
        <v>0</v>
      </c>
      <c r="BK465" s="32"/>
      <c r="BL465" s="32"/>
      <c r="BM465" s="32"/>
      <c r="BN465" s="32"/>
      <c r="BO465" s="32"/>
      <c r="BP465" s="32"/>
      <c r="BQ465" s="32"/>
      <c r="BR465" s="32"/>
      <c r="BS465" s="32"/>
      <c r="BT465" s="32"/>
      <c r="BU465" s="32"/>
      <c r="BV465" s="32"/>
      <c r="BW465" s="32"/>
      <c r="BX465" s="32"/>
      <c r="BY465" s="32"/>
      <c r="BZ465" s="32"/>
      <c r="CA465" s="32"/>
      <c r="CB465" s="32"/>
      <c r="CC465" s="32"/>
      <c r="CD465" s="32"/>
      <c r="CE465" s="32"/>
      <c r="CF465" s="32"/>
      <c r="CG465" s="32"/>
      <c r="CH465" s="32"/>
      <c r="CI465" s="32"/>
      <c r="CJ465" s="32">
        <f>IF((Table1[[#This Row],["Volume
BA MC-0"]]-Table1[[#This Row],[Total Panjang Pipa Aktual
(Sum-&gt;)3]]-Table1[[#This Row],[Total Volume
tidak dapat dipasang]])&gt;=0,Table1[[#This Row],["Volume
BA MC-0"]]-Table1[[#This Row],[Total Panjang Pipa Aktual
(Sum-&gt;)3]]-Table1[[#This Row],[Total Volume
tidak dapat dipasang]],0)</f>
        <v>0</v>
      </c>
      <c r="CK465" s="47"/>
      <c r="CL465" s="131"/>
      <c r="CM465" s="337"/>
      <c r="CN465" s="131"/>
      <c r="CO465" s="131"/>
      <c r="CP465" s="316"/>
      <c r="CQ465" s="436">
        <f>IFERROR(Table1[[#This Row],[Progres Keg. Umum
(%)]]*Table1[[#This Row],[Nilai RAB Jaringan
(file pa aji)]],0)</f>
        <v>0</v>
      </c>
      <c r="CR465" s="436">
        <f>IFERROR(Table1[[#This Row],[Progres MOS
(%)]]*Table1[[#This Row],[Nilai RAB Jaringan
(file pa aji)]],0)</f>
        <v>0</v>
      </c>
      <c r="CS465" s="436">
        <f>IFERROR(Table1[[#This Row],[Progres Pemasangan
(%)]]*Table1[[#This Row],[Nilai RAB Jaringan
(file pa aji)]],0)</f>
        <v>0</v>
      </c>
      <c r="CT465" s="436">
        <f>IFERROR(Table1[[#This Row],[Progres Perizinan
(%)]]*Table1[[#This Row],[Nilai RAB Jaringan
(file pa aji)]],0)</f>
        <v>0</v>
      </c>
      <c r="CU465" s="329"/>
      <c r="CV465" s="567"/>
      <c r="CW465" s="511"/>
      <c r="CX465" s="329"/>
      <c r="CY465" s="47"/>
      <c r="CZ465" s="331"/>
      <c r="DA465" s="331"/>
      <c r="DB465" s="331"/>
      <c r="DC465" s="316"/>
      <c r="DD465" s="508"/>
      <c r="DE465"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5" s="331"/>
      <c r="DG465" s="316"/>
      <c r="DH465" s="508"/>
      <c r="DI465"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5" s="331"/>
      <c r="DK465" s="331"/>
      <c r="DL465" s="331"/>
      <c r="DM465" s="316"/>
      <c r="DN465"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5" s="331"/>
      <c r="DP465" s="316"/>
      <c r="DQ465" s="338"/>
      <c r="DR465"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5" s="331"/>
      <c r="DT465" s="331" t="e">
        <v>#N/A</v>
      </c>
      <c r="DU465" s="331"/>
      <c r="DV465" s="331" t="e">
        <v>#N/A</v>
      </c>
      <c r="DW465" s="331"/>
      <c r="DX465" s="316"/>
      <c r="DY465" s="335"/>
      <c r="DZ465" s="335"/>
      <c r="EA465"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5" s="331"/>
      <c r="EC465" s="332"/>
      <c r="ED465" s="332"/>
      <c r="EE465" s="330"/>
      <c r="EF465" s="337"/>
      <c r="EG465" s="337"/>
      <c r="EH465" s="316" t="str">
        <f>IF(Table1[[#This Row],[PO Material Aktual 
(%)]]&gt;=100%,"Selesai PO = 100%",IF(Table1[[#This Row],[PO Material Aktual 
(%)]]&gt;=50%,"Proses PO &gt; 100%",IF(Table1[[#This Row],[PO Material Aktual 
(%)]]&gt;0%,"Proses PO &gt; 50%",IF(Table1[[#This Row],[PO Material Aktual 
(%)]]=0,"Belum PO = 0%"))))</f>
        <v>Belum PO = 0%</v>
      </c>
      <c r="EI465"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5" s="331"/>
      <c r="EK465" s="331" t="e">
        <v>#N/A</v>
      </c>
      <c r="EL465" s="331"/>
      <c r="EM465" s="331" t="e">
        <v>#N/A</v>
      </c>
      <c r="EN465" s="331"/>
      <c r="EO465" s="316"/>
      <c r="EP465" s="335"/>
      <c r="EQ465" s="337"/>
      <c r="ER465" s="337"/>
      <c r="ES465" s="316" t="str">
        <f>IF(Table1[[#This Row],[Progres MOS]]&gt;=100%,"Selesai MOS = 100%",IF(Table1[[#This Row],[Progres MOS]]&gt;=50%,"Proses MOS &gt; 100%",IF(Table1[[#This Row],[Progres MOS]]&gt;0%,"Proses MOS &gt; 50%",IF(Table1[[#This Row],[Progres MOS]]=0,"Belum MOS = 0%"))))</f>
        <v>Belum MOS = 0%</v>
      </c>
      <c r="ET465"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5" s="47"/>
      <c r="EV465" s="331"/>
      <c r="EW465" s="331" t="e">
        <v>#N/A</v>
      </c>
      <c r="EX465" s="331"/>
      <c r="EY465" s="331" t="e">
        <v>#N/A</v>
      </c>
      <c r="EZ465" s="352"/>
      <c r="FA465" s="384"/>
      <c r="FB465" s="331" t="e">
        <v>#N/A</v>
      </c>
      <c r="FC465" s="331" t="e">
        <v>#N/A</v>
      </c>
      <c r="FD465" s="331" t="e">
        <v>#N/A</v>
      </c>
      <c r="FE465" s="331" t="e">
        <v>#N/A</v>
      </c>
      <c r="FF465" s="331" t="e">
        <v>#N/A</v>
      </c>
      <c r="FG465" s="331" t="e">
        <v>#N/A</v>
      </c>
      <c r="FH465" s="331" t="e">
        <v>#N/A</v>
      </c>
      <c r="FI465" s="331" t="e">
        <v>#N/A</v>
      </c>
      <c r="FJ465" s="331" t="e">
        <v>#N/A</v>
      </c>
      <c r="FK465" s="331" t="e">
        <v>#N/A</v>
      </c>
      <c r="FL465" s="352"/>
      <c r="FM465" s="352"/>
      <c r="FN465" s="338" t="str">
        <f>IF(Table1[[#This Row],[Tanggal Pengajuan Dokumen]]="","",Table1[[#This Row],[PLAN PERMIT
start]]-Table1[[#This Row],[Tanggal Pengajuan Dokumen]])</f>
        <v/>
      </c>
      <c r="FO465" s="352"/>
      <c r="FP465" s="316"/>
      <c r="FQ465" s="338"/>
      <c r="FR465" s="352"/>
      <c r="FS465" s="338"/>
      <c r="FT465"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5" s="344">
        <f ca="1">IF(Table1[[#This Row],[Status Izin]]="Selesai",Table1[[#This Row],[PLAN PERMIT
finish]]-Table1[[#This Row],[Tanggal Terbit/ Target Izin Terbit]],ROUNDUP(Table1[[#This Row],[PLAN PERMIT
finish]]-NOW(),0))</f>
        <v>-46191</v>
      </c>
      <c r="FV465"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5" s="344"/>
      <c r="FX465" s="47"/>
      <c r="FY465" s="571"/>
      <c r="FZ465" s="572"/>
      <c r="GA465"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5" s="331"/>
      <c r="GC465" s="352"/>
      <c r="GD465"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5" s="331"/>
      <c r="GF465" s="352"/>
      <c r="GG465"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5" s="331"/>
      <c r="GI465" s="331"/>
      <c r="GJ465" s="352"/>
      <c r="GK465"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5" s="331"/>
      <c r="GM465" s="331" t="e">
        <v>#N/A</v>
      </c>
      <c r="GN465" s="331"/>
      <c r="GO465" s="527" t="e">
        <v>#N/A</v>
      </c>
      <c r="GP465" s="316"/>
      <c r="GQ465"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5" s="331"/>
      <c r="GS465" s="331"/>
      <c r="GT465" s="354"/>
      <c r="GU465" s="344" t="str">
        <f>IF(Table1[[#This Row],[Hydro Tes Actual
(tanggal)]]&lt;&gt;"","Sudah","Belum")</f>
        <v>Belum</v>
      </c>
      <c r="GV465" s="330"/>
      <c r="GW465" s="330"/>
      <c r="GX465" s="331"/>
      <c r="GY465" s="344" t="str">
        <f>IF(Table1[[#This Row],[Interkoneksi Actual
(tanggal)]]&lt;&gt;"","Sudah","Belum")</f>
        <v>Belum</v>
      </c>
      <c r="GZ465" s="330"/>
      <c r="HA465" s="330"/>
      <c r="HB465" s="331"/>
      <c r="HC465" s="344" t="str">
        <f>IF(Table1[[#This Row],[Flushing Actual
(tanggal)]]&lt;&gt;"","Sudah","Belum")</f>
        <v>Belum</v>
      </c>
      <c r="HD465" s="331"/>
      <c r="HE465" s="331" t="e">
        <v>#N/A</v>
      </c>
      <c r="HF465" s="331"/>
      <c r="HG465" s="352"/>
      <c r="HH465"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5" s="330"/>
      <c r="HJ465" s="330"/>
      <c r="HK465" s="331"/>
      <c r="HL465" s="316"/>
      <c r="HM465" s="331"/>
      <c r="HN465" s="331"/>
      <c r="HO465" s="527" t="e">
        <v>#N/A</v>
      </c>
      <c r="HP465" s="331"/>
      <c r="HQ465"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65" s="352"/>
      <c r="HS465" s="352"/>
      <c r="HT465" s="352"/>
      <c r="HU465" s="474"/>
      <c r="HV465" s="331"/>
      <c r="HW465"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65" s="47"/>
      <c r="HY465" s="352"/>
      <c r="HZ465" s="352"/>
      <c r="IA465"/>
      <c r="IB465" s="618">
        <f>IFERROR(ROUND((Table1[[#This Row],[PLAN TC
finish]]-Table1[[#This Row],[PLAN MC-0
start]])/30,2),"")</f>
        <v>0</v>
      </c>
      <c r="IC465">
        <f>DATEDIF(Table1[[#This Row],[PLAN MC-0
start]],Table1[[#This Row],[PLAN TC
finish]],"m")</f>
        <v>0</v>
      </c>
      <c r="ID465" s="8"/>
      <c r="IE465" s="8"/>
      <c r="IF465" s="4"/>
      <c r="IG465" s="6"/>
      <c r="IH465" s="72"/>
      <c r="II465" s="72"/>
      <c r="IJ465" s="8"/>
      <c r="IL465" s="6"/>
      <c r="IM465" s="6"/>
      <c r="IN465" s="72"/>
      <c r="IO465" s="8"/>
      <c r="IQ465" s="4"/>
      <c r="IR465" s="4"/>
      <c r="IS465" s="6"/>
      <c r="IT465" s="6"/>
      <c r="IW465" s="6"/>
      <c r="IX465" s="6"/>
      <c r="IZ465" s="6"/>
      <c r="JA465" s="6"/>
    </row>
    <row r="466" spans="2:261" ht="15" hidden="1" customHeight="1" x14ac:dyDescent="0.2">
      <c r="B466" s="311">
        <f>SUBTOTAL(3,$D$5:D466)</f>
        <v>84</v>
      </c>
      <c r="C466" s="316">
        <v>476</v>
      </c>
      <c r="D466" s="460" t="s">
        <v>629</v>
      </c>
      <c r="E466" s="338" t="s">
        <v>3496</v>
      </c>
      <c r="F466" s="338" t="s">
        <v>3497</v>
      </c>
      <c r="G466" s="349">
        <v>46482</v>
      </c>
      <c r="H466" s="461" t="s">
        <v>247</v>
      </c>
      <c r="I466" s="338"/>
      <c r="J466" s="480"/>
      <c r="K466" s="338"/>
      <c r="L466" s="316"/>
      <c r="M466" s="355"/>
      <c r="N466" s="559">
        <v>53858</v>
      </c>
      <c r="O466" s="464" t="s">
        <v>252</v>
      </c>
      <c r="P46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6"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6" s="337"/>
      <c r="S466" s="327">
        <v>0.99999999999999989</v>
      </c>
      <c r="T466" s="327">
        <f>Table1[[#This Row],[Progres Total Aktual
(%)]]</f>
        <v>0</v>
      </c>
      <c r="U466" s="568">
        <f>Table1[[#This Row],[Progres Aktual
(%)]]-Table1[[#This Row],[Target Progres
(%)]]</f>
        <v>-0.99999999999999989</v>
      </c>
      <c r="V466" s="569">
        <f>Table1[[#This Row],["Volume
BA MC-0"]]</f>
        <v>0</v>
      </c>
      <c r="W466" s="569">
        <f>Table1[[#This Row],[Total Panjang Pipa Aktual
(Sum-&gt;)3]]</f>
        <v>0</v>
      </c>
      <c r="X466" s="117"/>
      <c r="Y466" s="295"/>
      <c r="Z466" s="508"/>
      <c r="AA466" s="508">
        <f>ROUND((Table1[[#This Row],[Nilai RAB Jaringan
(Exclude Ppn)]]-Table1[[#This Row],[RAB Perizinan]])*1.11+Table1[[#This Row],[RAB Perizinan]],0)</f>
        <v>0</v>
      </c>
      <c r="AB466" s="436">
        <f>SUM(Table1[[#This Row],[RAB Kegiatan Umum]:[RAB Perizinan]])</f>
        <v>0</v>
      </c>
      <c r="AC466" s="436"/>
      <c r="AD466" s="436"/>
      <c r="AE466" s="436"/>
      <c r="AF466" s="436"/>
      <c r="AG466" s="436"/>
      <c r="AH466" s="570" t="e">
        <f>SUM(Table1[[#This Row],[Bobot Keg Umum]:[Bobot Perizinan]])</f>
        <v>#DIV/0!</v>
      </c>
      <c r="AI466" s="570" t="e">
        <f>Table1[[#This Row],[RAB Kegiatan Umum]]/Table1[[#This Row],[Nilai RAB Jaringan
(Exclude Ppn)]]</f>
        <v>#DIV/0!</v>
      </c>
      <c r="AJ466" s="570" t="e">
        <f>Table1[[#This Row],[RAB Pemasangan]]/Table1[[#This Row],[Nilai RAB Jaringan
(Exclude Ppn)]]</f>
        <v>#DIV/0!</v>
      </c>
      <c r="AK466" s="570" t="e">
        <f>Table1[[#This Row],[RAB Pengadaan]]/Table1[[#This Row],[Nilai RAB Jaringan
(Exclude Ppn)]]</f>
        <v>#DIV/0!</v>
      </c>
      <c r="AL466" s="337" t="e">
        <f>Table1[[#This Row],[RAB Perizinan]]/Table1[[#This Row],[Nilai RAB Jaringan
(Exclude Ppn)]]</f>
        <v>#DIV/0!</v>
      </c>
      <c r="AM466" s="47"/>
      <c r="AN466" s="338"/>
      <c r="AO466" s="514">
        <f>SUM(Table1[[#This Row],[Pipa 63 mm]:[Pipa 1,800 mm]])</f>
        <v>0</v>
      </c>
      <c r="AP466" s="338"/>
      <c r="AQ466" s="338"/>
      <c r="AR466" s="338"/>
      <c r="AS466" s="338"/>
      <c r="AT466" s="338"/>
      <c r="AU466" s="338"/>
      <c r="AV466" s="338"/>
      <c r="AW466" s="338"/>
      <c r="AX466" s="338"/>
      <c r="AY466" s="338"/>
      <c r="AZ466" s="338"/>
      <c r="BA466" s="338"/>
      <c r="BB466" s="338"/>
      <c r="BC466" s="338"/>
      <c r="BD466" s="338"/>
      <c r="BE466" s="338"/>
      <c r="BF466" s="338"/>
      <c r="BG466" s="338"/>
      <c r="BH466" s="338"/>
      <c r="BI466" s="338"/>
      <c r="BJ466" s="36">
        <f>SUM(Table1[[#This Row],[Pipa 63 mm2]:[Pipa 1,800 mm21]])</f>
        <v>0</v>
      </c>
      <c r="BK466" s="32"/>
      <c r="BL466" s="32"/>
      <c r="BM466" s="32"/>
      <c r="BN466" s="32"/>
      <c r="BO466" s="32"/>
      <c r="BP466" s="32"/>
      <c r="BQ466" s="32"/>
      <c r="BR466" s="32"/>
      <c r="BS466" s="32"/>
      <c r="BT466" s="32"/>
      <c r="BU466" s="32"/>
      <c r="BV466" s="32"/>
      <c r="BW466" s="32"/>
      <c r="BX466" s="32"/>
      <c r="BY466" s="32"/>
      <c r="BZ466" s="32"/>
      <c r="CA466" s="32"/>
      <c r="CB466" s="32"/>
      <c r="CC466" s="32"/>
      <c r="CD466" s="32"/>
      <c r="CE466" s="32"/>
      <c r="CF466" s="32"/>
      <c r="CG466" s="32"/>
      <c r="CH466" s="32"/>
      <c r="CI466" s="32"/>
      <c r="CJ466" s="32">
        <f>IF((Table1[[#This Row],["Volume
BA MC-0"]]-Table1[[#This Row],[Total Panjang Pipa Aktual
(Sum-&gt;)3]]-Table1[[#This Row],[Total Volume
tidak dapat dipasang]])&gt;=0,Table1[[#This Row],["Volume
BA MC-0"]]-Table1[[#This Row],[Total Panjang Pipa Aktual
(Sum-&gt;)3]]-Table1[[#This Row],[Total Volume
tidak dapat dipasang]],0)</f>
        <v>0</v>
      </c>
      <c r="CK466" s="47"/>
      <c r="CL466" s="131"/>
      <c r="CM466" s="337"/>
      <c r="CN466" s="131"/>
      <c r="CO466" s="131"/>
      <c r="CP466" s="316"/>
      <c r="CQ466" s="436">
        <f>IFERROR(Table1[[#This Row],[Progres Keg. Umum
(%)]]*Table1[[#This Row],[Nilai RAB Jaringan
(file pa aji)]],0)</f>
        <v>0</v>
      </c>
      <c r="CR466" s="436">
        <f>IFERROR(Table1[[#This Row],[Progres MOS
(%)]]*Table1[[#This Row],[Nilai RAB Jaringan
(file pa aji)]],0)</f>
        <v>0</v>
      </c>
      <c r="CS466" s="436">
        <f>IFERROR(Table1[[#This Row],[Progres Pemasangan
(%)]]*Table1[[#This Row],[Nilai RAB Jaringan
(file pa aji)]],0)</f>
        <v>0</v>
      </c>
      <c r="CT466" s="436">
        <f>IFERROR(Table1[[#This Row],[Progres Perizinan
(%)]]*Table1[[#This Row],[Nilai RAB Jaringan
(file pa aji)]],0)</f>
        <v>0</v>
      </c>
      <c r="CU466" s="329"/>
      <c r="CV466" s="567"/>
      <c r="CW466" s="511"/>
      <c r="CX466" s="329"/>
      <c r="CY466" s="47"/>
      <c r="CZ466" s="331"/>
      <c r="DA466" s="331"/>
      <c r="DB466" s="331"/>
      <c r="DC466" s="316"/>
      <c r="DD466" s="508"/>
      <c r="DE466"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6" s="331"/>
      <c r="DG466" s="316"/>
      <c r="DH466" s="508"/>
      <c r="DI466"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6" s="331"/>
      <c r="DK466" s="331"/>
      <c r="DL466" s="331"/>
      <c r="DM466" s="316"/>
      <c r="DN466"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6" s="331"/>
      <c r="DP466" s="316"/>
      <c r="DQ466" s="338"/>
      <c r="DR466"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6" s="331"/>
      <c r="DT466" s="331" t="e">
        <v>#N/A</v>
      </c>
      <c r="DU466" s="331"/>
      <c r="DV466" s="331" t="e">
        <v>#N/A</v>
      </c>
      <c r="DW466" s="331"/>
      <c r="DX466" s="316"/>
      <c r="DY466" s="335"/>
      <c r="DZ466" s="335"/>
      <c r="EA466"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6" s="331"/>
      <c r="EC466" s="332"/>
      <c r="ED466" s="332"/>
      <c r="EE466" s="330"/>
      <c r="EF466" s="337"/>
      <c r="EG466" s="337"/>
      <c r="EH466" s="316" t="str">
        <f>IF(Table1[[#This Row],[PO Material Aktual 
(%)]]&gt;=100%,"Selesai PO = 100%",IF(Table1[[#This Row],[PO Material Aktual 
(%)]]&gt;=50%,"Proses PO &gt; 100%",IF(Table1[[#This Row],[PO Material Aktual 
(%)]]&gt;0%,"Proses PO &gt; 50%",IF(Table1[[#This Row],[PO Material Aktual 
(%)]]=0,"Belum PO = 0%"))))</f>
        <v>Belum PO = 0%</v>
      </c>
      <c r="EI466"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6" s="331"/>
      <c r="EK466" s="331" t="e">
        <v>#N/A</v>
      </c>
      <c r="EL466" s="331"/>
      <c r="EM466" s="331" t="e">
        <v>#N/A</v>
      </c>
      <c r="EN466" s="331"/>
      <c r="EO466" s="316"/>
      <c r="EP466" s="335"/>
      <c r="EQ466" s="337"/>
      <c r="ER466" s="337"/>
      <c r="ES466" s="316" t="str">
        <f>IF(Table1[[#This Row],[Progres MOS]]&gt;=100%,"Selesai MOS = 100%",IF(Table1[[#This Row],[Progres MOS]]&gt;=50%,"Proses MOS &gt; 100%",IF(Table1[[#This Row],[Progres MOS]]&gt;0%,"Proses MOS &gt; 50%",IF(Table1[[#This Row],[Progres MOS]]=0,"Belum MOS = 0%"))))</f>
        <v>Belum MOS = 0%</v>
      </c>
      <c r="ET466"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6" s="47"/>
      <c r="EV466" s="331"/>
      <c r="EW466" s="331" t="e">
        <v>#N/A</v>
      </c>
      <c r="EX466" s="331"/>
      <c r="EY466" s="331" t="e">
        <v>#N/A</v>
      </c>
      <c r="EZ466" s="352"/>
      <c r="FA466" s="384"/>
      <c r="FB466" s="331" t="e">
        <v>#N/A</v>
      </c>
      <c r="FC466" s="331" t="e">
        <v>#N/A</v>
      </c>
      <c r="FD466" s="331" t="e">
        <v>#N/A</v>
      </c>
      <c r="FE466" s="331" t="e">
        <v>#N/A</v>
      </c>
      <c r="FF466" s="331" t="e">
        <v>#N/A</v>
      </c>
      <c r="FG466" s="331" t="e">
        <v>#N/A</v>
      </c>
      <c r="FH466" s="331" t="e">
        <v>#N/A</v>
      </c>
      <c r="FI466" s="331" t="e">
        <v>#N/A</v>
      </c>
      <c r="FJ466" s="331" t="e">
        <v>#N/A</v>
      </c>
      <c r="FK466" s="331" t="e">
        <v>#N/A</v>
      </c>
      <c r="FL466" s="352"/>
      <c r="FM466" s="352"/>
      <c r="FN466" s="338" t="str">
        <f>IF(Table1[[#This Row],[Tanggal Pengajuan Dokumen]]="","",Table1[[#This Row],[PLAN PERMIT
start]]-Table1[[#This Row],[Tanggal Pengajuan Dokumen]])</f>
        <v/>
      </c>
      <c r="FO466" s="352"/>
      <c r="FP466" s="316"/>
      <c r="FQ466" s="338"/>
      <c r="FR466" s="352"/>
      <c r="FS466" s="338"/>
      <c r="FT466"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6" s="344">
        <f ca="1">IF(Table1[[#This Row],[Status Izin]]="Selesai",Table1[[#This Row],[PLAN PERMIT
finish]]-Table1[[#This Row],[Tanggal Terbit/ Target Izin Terbit]],ROUNDUP(Table1[[#This Row],[PLAN PERMIT
finish]]-NOW(),0))</f>
        <v>-46191</v>
      </c>
      <c r="FV466"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6" s="344"/>
      <c r="FX466" s="47"/>
      <c r="FY466" s="571"/>
      <c r="FZ466" s="572"/>
      <c r="GA466"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6" s="331"/>
      <c r="GC466" s="352"/>
      <c r="GD466"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6" s="331"/>
      <c r="GF466" s="352"/>
      <c r="GG466"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6" s="331"/>
      <c r="GI466" s="331"/>
      <c r="GJ466" s="352"/>
      <c r="GK466"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6" s="331"/>
      <c r="GM466" s="331" t="e">
        <v>#N/A</v>
      </c>
      <c r="GN466" s="331"/>
      <c r="GO466" s="527" t="e">
        <v>#N/A</v>
      </c>
      <c r="GP466" s="316"/>
      <c r="GQ466"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6" s="331"/>
      <c r="GS466" s="331"/>
      <c r="GT466" s="354"/>
      <c r="GU466" s="344" t="str">
        <f>IF(Table1[[#This Row],[Hydro Tes Actual
(tanggal)]]&lt;&gt;"","Sudah","Belum")</f>
        <v>Belum</v>
      </c>
      <c r="GV466" s="330"/>
      <c r="GW466" s="330"/>
      <c r="GX466" s="331"/>
      <c r="GY466" s="344" t="str">
        <f>IF(Table1[[#This Row],[Interkoneksi Actual
(tanggal)]]&lt;&gt;"","Sudah","Belum")</f>
        <v>Belum</v>
      </c>
      <c r="GZ466" s="330"/>
      <c r="HA466" s="330"/>
      <c r="HB466" s="331"/>
      <c r="HC466" s="344" t="str">
        <f>IF(Table1[[#This Row],[Flushing Actual
(tanggal)]]&lt;&gt;"","Sudah","Belum")</f>
        <v>Belum</v>
      </c>
      <c r="HD466" s="331"/>
      <c r="HE466" s="331" t="e">
        <v>#N/A</v>
      </c>
      <c r="HF466" s="331"/>
      <c r="HG466" s="352"/>
      <c r="HH466"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6" s="330"/>
      <c r="HJ466" s="330"/>
      <c r="HK466" s="331"/>
      <c r="HL466" s="316"/>
      <c r="HM466" s="331"/>
      <c r="HN466" s="331"/>
      <c r="HO466" s="527" t="e">
        <v>#N/A</v>
      </c>
      <c r="HP466" s="331"/>
      <c r="HQ466"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66" s="352"/>
      <c r="HS466" s="352"/>
      <c r="HT466" s="352"/>
      <c r="HU466" s="474"/>
      <c r="HV466" s="331"/>
      <c r="HW466"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66" s="47"/>
      <c r="HY466" s="352"/>
      <c r="HZ466" s="352"/>
      <c r="IA466"/>
      <c r="IB466" s="618">
        <f>IFERROR(ROUND((Table1[[#This Row],[PLAN TC
finish]]-Table1[[#This Row],[PLAN MC-0
start]])/30,2),"")</f>
        <v>0</v>
      </c>
      <c r="IC466">
        <f>DATEDIF(Table1[[#This Row],[PLAN MC-0
start]],Table1[[#This Row],[PLAN TC
finish]],"m")</f>
        <v>0</v>
      </c>
      <c r="ID466" s="8"/>
      <c r="IE466" s="8"/>
      <c r="IF466" s="4"/>
      <c r="IG466" s="6"/>
      <c r="IH466" s="72"/>
      <c r="II466" s="72"/>
      <c r="IJ466" s="8"/>
      <c r="IL466" s="6"/>
      <c r="IM466" s="6"/>
      <c r="IN466" s="72"/>
      <c r="IO466" s="8"/>
      <c r="IQ466" s="4"/>
      <c r="IR466" s="4"/>
      <c r="IS466" s="6"/>
      <c r="IT466" s="6"/>
      <c r="IW466" s="6"/>
      <c r="IX466" s="6"/>
      <c r="IZ466" s="6"/>
      <c r="JA466" s="6"/>
    </row>
    <row r="467" spans="2:261" ht="15" hidden="1" customHeight="1" x14ac:dyDescent="0.2">
      <c r="B467" s="311">
        <f>SUBTOTAL(3,$D$5:D467)</f>
        <v>84</v>
      </c>
      <c r="C467" s="316">
        <v>477</v>
      </c>
      <c r="D467" s="460" t="s">
        <v>629</v>
      </c>
      <c r="E467" s="338" t="s">
        <v>3498</v>
      </c>
      <c r="F467" s="338" t="s">
        <v>3499</v>
      </c>
      <c r="G467" s="349">
        <v>46482</v>
      </c>
      <c r="H467" s="461" t="s">
        <v>247</v>
      </c>
      <c r="I467" s="338"/>
      <c r="J467" s="480"/>
      <c r="K467" s="338"/>
      <c r="L467" s="316"/>
      <c r="M467" s="355"/>
      <c r="N467" s="559">
        <v>13994</v>
      </c>
      <c r="O467" s="464" t="s">
        <v>252</v>
      </c>
      <c r="P46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7"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7" s="337"/>
      <c r="S467" s="327">
        <v>0.99999999999999989</v>
      </c>
      <c r="T467" s="327">
        <f>Table1[[#This Row],[Progres Total Aktual
(%)]]</f>
        <v>0</v>
      </c>
      <c r="U467" s="568">
        <f>Table1[[#This Row],[Progres Aktual
(%)]]-Table1[[#This Row],[Target Progres
(%)]]</f>
        <v>-0.99999999999999989</v>
      </c>
      <c r="V467" s="569">
        <f>Table1[[#This Row],["Volume
BA MC-0"]]</f>
        <v>0</v>
      </c>
      <c r="W467" s="569">
        <f>Table1[[#This Row],[Total Panjang Pipa Aktual
(Sum-&gt;)3]]</f>
        <v>0</v>
      </c>
      <c r="X467" s="117"/>
      <c r="Y467" s="295"/>
      <c r="Z467" s="508"/>
      <c r="AA467" s="508">
        <f>ROUND((Table1[[#This Row],[Nilai RAB Jaringan
(Exclude Ppn)]]-Table1[[#This Row],[RAB Perizinan]])*1.11+Table1[[#This Row],[RAB Perizinan]],0)</f>
        <v>0</v>
      </c>
      <c r="AB467" s="436">
        <f>SUM(Table1[[#This Row],[RAB Kegiatan Umum]:[RAB Perizinan]])</f>
        <v>0</v>
      </c>
      <c r="AC467" s="436"/>
      <c r="AD467" s="436"/>
      <c r="AE467" s="436"/>
      <c r="AF467" s="436"/>
      <c r="AG467" s="436"/>
      <c r="AH467" s="570" t="e">
        <f>SUM(Table1[[#This Row],[Bobot Keg Umum]:[Bobot Perizinan]])</f>
        <v>#DIV/0!</v>
      </c>
      <c r="AI467" s="570" t="e">
        <f>Table1[[#This Row],[RAB Kegiatan Umum]]/Table1[[#This Row],[Nilai RAB Jaringan
(Exclude Ppn)]]</f>
        <v>#DIV/0!</v>
      </c>
      <c r="AJ467" s="570" t="e">
        <f>Table1[[#This Row],[RAB Pemasangan]]/Table1[[#This Row],[Nilai RAB Jaringan
(Exclude Ppn)]]</f>
        <v>#DIV/0!</v>
      </c>
      <c r="AK467" s="570" t="e">
        <f>Table1[[#This Row],[RAB Pengadaan]]/Table1[[#This Row],[Nilai RAB Jaringan
(Exclude Ppn)]]</f>
        <v>#DIV/0!</v>
      </c>
      <c r="AL467" s="337" t="e">
        <f>Table1[[#This Row],[RAB Perizinan]]/Table1[[#This Row],[Nilai RAB Jaringan
(Exclude Ppn)]]</f>
        <v>#DIV/0!</v>
      </c>
      <c r="AM467" s="47"/>
      <c r="AN467" s="338"/>
      <c r="AO467" s="514">
        <f>SUM(Table1[[#This Row],[Pipa 63 mm]:[Pipa 1,800 mm]])</f>
        <v>0</v>
      </c>
      <c r="AP467" s="338"/>
      <c r="AQ467" s="338"/>
      <c r="AR467" s="338"/>
      <c r="AS467" s="338"/>
      <c r="AT467" s="338"/>
      <c r="AU467" s="338"/>
      <c r="AV467" s="338"/>
      <c r="AW467" s="338"/>
      <c r="AX467" s="338"/>
      <c r="AY467" s="338"/>
      <c r="AZ467" s="338"/>
      <c r="BA467" s="338"/>
      <c r="BB467" s="338"/>
      <c r="BC467" s="338"/>
      <c r="BD467" s="338"/>
      <c r="BE467" s="338"/>
      <c r="BF467" s="338"/>
      <c r="BG467" s="338"/>
      <c r="BH467" s="338"/>
      <c r="BI467" s="338"/>
      <c r="BJ467" s="36">
        <f>SUM(Table1[[#This Row],[Pipa 63 mm2]:[Pipa 1,800 mm21]])</f>
        <v>0</v>
      </c>
      <c r="BK467" s="32"/>
      <c r="BL467" s="32"/>
      <c r="BM467" s="32"/>
      <c r="BN467" s="32"/>
      <c r="BO467" s="32"/>
      <c r="BP467" s="32"/>
      <c r="BQ467" s="32"/>
      <c r="BR467" s="32"/>
      <c r="BS467" s="32"/>
      <c r="BT467" s="32"/>
      <c r="BU467" s="32"/>
      <c r="BV467" s="32"/>
      <c r="BW467" s="32"/>
      <c r="BX467" s="32"/>
      <c r="BY467" s="32"/>
      <c r="BZ467" s="32"/>
      <c r="CA467" s="32"/>
      <c r="CB467" s="32"/>
      <c r="CC467" s="32"/>
      <c r="CD467" s="32"/>
      <c r="CE467" s="32"/>
      <c r="CF467" s="32"/>
      <c r="CG467" s="32"/>
      <c r="CH467" s="32"/>
      <c r="CI467" s="32"/>
      <c r="CJ467" s="32">
        <f>IF((Table1[[#This Row],["Volume
BA MC-0"]]-Table1[[#This Row],[Total Panjang Pipa Aktual
(Sum-&gt;)3]]-Table1[[#This Row],[Total Volume
tidak dapat dipasang]])&gt;=0,Table1[[#This Row],["Volume
BA MC-0"]]-Table1[[#This Row],[Total Panjang Pipa Aktual
(Sum-&gt;)3]]-Table1[[#This Row],[Total Volume
tidak dapat dipasang]],0)</f>
        <v>0</v>
      </c>
      <c r="CK467" s="47"/>
      <c r="CL467" s="131"/>
      <c r="CM467" s="337"/>
      <c r="CN467" s="131"/>
      <c r="CO467" s="131"/>
      <c r="CP467" s="316"/>
      <c r="CQ467" s="436">
        <f>IFERROR(Table1[[#This Row],[Progres Keg. Umum
(%)]]*Table1[[#This Row],[Nilai RAB Jaringan
(file pa aji)]],0)</f>
        <v>0</v>
      </c>
      <c r="CR467" s="436">
        <f>IFERROR(Table1[[#This Row],[Progres MOS
(%)]]*Table1[[#This Row],[Nilai RAB Jaringan
(file pa aji)]],0)</f>
        <v>0</v>
      </c>
      <c r="CS467" s="436">
        <f>IFERROR(Table1[[#This Row],[Progres Pemasangan
(%)]]*Table1[[#This Row],[Nilai RAB Jaringan
(file pa aji)]],0)</f>
        <v>0</v>
      </c>
      <c r="CT467" s="436">
        <f>IFERROR(Table1[[#This Row],[Progres Perizinan
(%)]]*Table1[[#This Row],[Nilai RAB Jaringan
(file pa aji)]],0)</f>
        <v>0</v>
      </c>
      <c r="CU467" s="329"/>
      <c r="CV467" s="567"/>
      <c r="CW467" s="511"/>
      <c r="CX467" s="329"/>
      <c r="CY467" s="47"/>
      <c r="CZ467" s="331"/>
      <c r="DA467" s="331"/>
      <c r="DB467" s="331"/>
      <c r="DC467" s="316"/>
      <c r="DD467" s="508"/>
      <c r="DE467"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7" s="331"/>
      <c r="DG467" s="316"/>
      <c r="DH467" s="508"/>
      <c r="DI467"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7" s="331"/>
      <c r="DK467" s="331"/>
      <c r="DL467" s="331"/>
      <c r="DM467" s="316"/>
      <c r="DN467"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7" s="331"/>
      <c r="DP467" s="316"/>
      <c r="DQ467" s="338"/>
      <c r="DR467"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7" s="331"/>
      <c r="DT467" s="331" t="e">
        <v>#N/A</v>
      </c>
      <c r="DU467" s="331"/>
      <c r="DV467" s="331" t="e">
        <v>#N/A</v>
      </c>
      <c r="DW467" s="331"/>
      <c r="DX467" s="316"/>
      <c r="DY467" s="335"/>
      <c r="DZ467" s="335"/>
      <c r="EA467"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7" s="331"/>
      <c r="EC467" s="332"/>
      <c r="ED467" s="332"/>
      <c r="EE467" s="330"/>
      <c r="EF467" s="337"/>
      <c r="EG467" s="337"/>
      <c r="EH467" s="316" t="str">
        <f>IF(Table1[[#This Row],[PO Material Aktual 
(%)]]&gt;=100%,"Selesai PO = 100%",IF(Table1[[#This Row],[PO Material Aktual 
(%)]]&gt;=50%,"Proses PO &gt; 100%",IF(Table1[[#This Row],[PO Material Aktual 
(%)]]&gt;0%,"Proses PO &gt; 50%",IF(Table1[[#This Row],[PO Material Aktual 
(%)]]=0,"Belum PO = 0%"))))</f>
        <v>Belum PO = 0%</v>
      </c>
      <c r="EI467"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7" s="331"/>
      <c r="EK467" s="331" t="e">
        <v>#N/A</v>
      </c>
      <c r="EL467" s="331"/>
      <c r="EM467" s="331" t="e">
        <v>#N/A</v>
      </c>
      <c r="EN467" s="331"/>
      <c r="EO467" s="316"/>
      <c r="EP467" s="335"/>
      <c r="EQ467" s="337"/>
      <c r="ER467" s="337"/>
      <c r="ES467" s="316" t="str">
        <f>IF(Table1[[#This Row],[Progres MOS]]&gt;=100%,"Selesai MOS = 100%",IF(Table1[[#This Row],[Progres MOS]]&gt;=50%,"Proses MOS &gt; 100%",IF(Table1[[#This Row],[Progres MOS]]&gt;0%,"Proses MOS &gt; 50%",IF(Table1[[#This Row],[Progres MOS]]=0,"Belum MOS = 0%"))))</f>
        <v>Belum MOS = 0%</v>
      </c>
      <c r="ET467"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7" s="47"/>
      <c r="EV467" s="331"/>
      <c r="EW467" s="331" t="e">
        <v>#N/A</v>
      </c>
      <c r="EX467" s="331"/>
      <c r="EY467" s="331" t="e">
        <v>#N/A</v>
      </c>
      <c r="EZ467" s="352"/>
      <c r="FA467" s="384"/>
      <c r="FB467" s="331" t="e">
        <v>#N/A</v>
      </c>
      <c r="FC467" s="331" t="e">
        <v>#N/A</v>
      </c>
      <c r="FD467" s="331" t="e">
        <v>#N/A</v>
      </c>
      <c r="FE467" s="331" t="e">
        <v>#N/A</v>
      </c>
      <c r="FF467" s="331" t="e">
        <v>#N/A</v>
      </c>
      <c r="FG467" s="331" t="e">
        <v>#N/A</v>
      </c>
      <c r="FH467" s="331" t="e">
        <v>#N/A</v>
      </c>
      <c r="FI467" s="331" t="e">
        <v>#N/A</v>
      </c>
      <c r="FJ467" s="331" t="e">
        <v>#N/A</v>
      </c>
      <c r="FK467" s="331" t="e">
        <v>#N/A</v>
      </c>
      <c r="FL467" s="352"/>
      <c r="FM467" s="352"/>
      <c r="FN467" s="338" t="str">
        <f>IF(Table1[[#This Row],[Tanggal Pengajuan Dokumen]]="","",Table1[[#This Row],[PLAN PERMIT
start]]-Table1[[#This Row],[Tanggal Pengajuan Dokumen]])</f>
        <v/>
      </c>
      <c r="FO467" s="352"/>
      <c r="FP467" s="316"/>
      <c r="FQ467" s="338"/>
      <c r="FR467" s="352"/>
      <c r="FS467" s="338"/>
      <c r="FT467"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7" s="344">
        <f ca="1">IF(Table1[[#This Row],[Status Izin]]="Selesai",Table1[[#This Row],[PLAN PERMIT
finish]]-Table1[[#This Row],[Tanggal Terbit/ Target Izin Terbit]],ROUNDUP(Table1[[#This Row],[PLAN PERMIT
finish]]-NOW(),0))</f>
        <v>-46191</v>
      </c>
      <c r="FV467"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7" s="344"/>
      <c r="FX467" s="47"/>
      <c r="FY467" s="571"/>
      <c r="FZ467" s="572"/>
      <c r="GA467"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7" s="331"/>
      <c r="GC467" s="352"/>
      <c r="GD467"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7" s="331"/>
      <c r="GF467" s="352"/>
      <c r="GG467"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7" s="331"/>
      <c r="GI467" s="331"/>
      <c r="GJ467" s="352"/>
      <c r="GK467"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7" s="331"/>
      <c r="GM467" s="331" t="e">
        <v>#N/A</v>
      </c>
      <c r="GN467" s="331"/>
      <c r="GO467" s="527" t="e">
        <v>#N/A</v>
      </c>
      <c r="GP467" s="316"/>
      <c r="GQ467"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7" s="331"/>
      <c r="GS467" s="331"/>
      <c r="GT467" s="354"/>
      <c r="GU467" s="344" t="str">
        <f>IF(Table1[[#This Row],[Hydro Tes Actual
(tanggal)]]&lt;&gt;"","Sudah","Belum")</f>
        <v>Belum</v>
      </c>
      <c r="GV467" s="330"/>
      <c r="GW467" s="330"/>
      <c r="GX467" s="331"/>
      <c r="GY467" s="344" t="str">
        <f>IF(Table1[[#This Row],[Interkoneksi Actual
(tanggal)]]&lt;&gt;"","Sudah","Belum")</f>
        <v>Belum</v>
      </c>
      <c r="GZ467" s="330"/>
      <c r="HA467" s="330"/>
      <c r="HB467" s="331"/>
      <c r="HC467" s="344" t="str">
        <f>IF(Table1[[#This Row],[Flushing Actual
(tanggal)]]&lt;&gt;"","Sudah","Belum")</f>
        <v>Belum</v>
      </c>
      <c r="HD467" s="331"/>
      <c r="HE467" s="331" t="e">
        <v>#N/A</v>
      </c>
      <c r="HF467" s="331"/>
      <c r="HG467" s="352"/>
      <c r="HH467"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7" s="330"/>
      <c r="HJ467" s="330"/>
      <c r="HK467" s="331"/>
      <c r="HL467" s="316"/>
      <c r="HM467" s="331"/>
      <c r="HN467" s="331"/>
      <c r="HO467" s="527" t="e">
        <v>#N/A</v>
      </c>
      <c r="HP467" s="331"/>
      <c r="HQ467"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67" s="352"/>
      <c r="HS467" s="352"/>
      <c r="HT467" s="352"/>
      <c r="HU467" s="474"/>
      <c r="HV467" s="331"/>
      <c r="HW467"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67" s="47"/>
      <c r="HY467" s="352"/>
      <c r="HZ467" s="352"/>
      <c r="IA467"/>
      <c r="IB467" s="618">
        <f>IFERROR(ROUND((Table1[[#This Row],[PLAN TC
finish]]-Table1[[#This Row],[PLAN MC-0
start]])/30,2),"")</f>
        <v>0</v>
      </c>
      <c r="IC467">
        <f>DATEDIF(Table1[[#This Row],[PLAN MC-0
start]],Table1[[#This Row],[PLAN TC
finish]],"m")</f>
        <v>0</v>
      </c>
      <c r="ID467" s="8"/>
      <c r="IE467" s="8"/>
      <c r="IF467" s="4"/>
      <c r="IG467" s="6"/>
      <c r="IH467" s="72"/>
      <c r="II467" s="72"/>
      <c r="IJ467" s="8"/>
      <c r="IL467" s="6"/>
      <c r="IM467" s="6"/>
      <c r="IN467" s="72"/>
      <c r="IO467" s="8"/>
      <c r="IQ467" s="4"/>
      <c r="IR467" s="4"/>
      <c r="IS467" s="6"/>
      <c r="IT467" s="6"/>
      <c r="IW467" s="6"/>
      <c r="IX467" s="6"/>
      <c r="IZ467" s="6"/>
      <c r="JA467" s="6"/>
    </row>
    <row r="468" spans="2:261" ht="15" hidden="1" customHeight="1" x14ac:dyDescent="0.2">
      <c r="B468" s="311">
        <f>SUBTOTAL(3,$D$5:D468)</f>
        <v>84</v>
      </c>
      <c r="C468" s="316">
        <v>478</v>
      </c>
      <c r="D468" s="460" t="s">
        <v>629</v>
      </c>
      <c r="E468" s="338" t="s">
        <v>3500</v>
      </c>
      <c r="F468" s="338" t="s">
        <v>3501</v>
      </c>
      <c r="G468" s="349">
        <v>46482</v>
      </c>
      <c r="H468" s="461" t="s">
        <v>247</v>
      </c>
      <c r="I468" s="338"/>
      <c r="J468" s="480"/>
      <c r="K468" s="338"/>
      <c r="L468" s="316"/>
      <c r="M468" s="355"/>
      <c r="N468" s="559">
        <v>0</v>
      </c>
      <c r="O468" s="464" t="s">
        <v>252</v>
      </c>
      <c r="P46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8" s="32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8" s="337"/>
      <c r="S468" s="327">
        <v>0.99999999999999989</v>
      </c>
      <c r="T468" s="327">
        <f>Table1[[#This Row],[Progres Total Aktual
(%)]]</f>
        <v>0</v>
      </c>
      <c r="U468" s="568">
        <f>Table1[[#This Row],[Progres Aktual
(%)]]-Table1[[#This Row],[Target Progres
(%)]]</f>
        <v>-0.99999999999999989</v>
      </c>
      <c r="V468" s="569">
        <f>Table1[[#This Row],["Volume
BA MC-0"]]</f>
        <v>0</v>
      </c>
      <c r="W468" s="569">
        <f>Table1[[#This Row],[Total Panjang Pipa Aktual
(Sum-&gt;)3]]</f>
        <v>0</v>
      </c>
      <c r="X468" s="117"/>
      <c r="Y468" s="295"/>
      <c r="Z468" s="508"/>
      <c r="AA468" s="508">
        <f>ROUND((Table1[[#This Row],[Nilai RAB Jaringan
(Exclude Ppn)]]-Table1[[#This Row],[RAB Perizinan]])*1.11+Table1[[#This Row],[RAB Perizinan]],0)</f>
        <v>0</v>
      </c>
      <c r="AB468" s="436">
        <f>SUM(Table1[[#This Row],[RAB Kegiatan Umum]:[RAB Perizinan]])</f>
        <v>0</v>
      </c>
      <c r="AC468" s="436"/>
      <c r="AD468" s="436"/>
      <c r="AE468" s="436"/>
      <c r="AF468" s="436"/>
      <c r="AG468" s="436"/>
      <c r="AH468" s="570" t="e">
        <f>SUM(Table1[[#This Row],[Bobot Keg Umum]:[Bobot Perizinan]])</f>
        <v>#DIV/0!</v>
      </c>
      <c r="AI468" s="570" t="e">
        <f>Table1[[#This Row],[RAB Kegiatan Umum]]/Table1[[#This Row],[Nilai RAB Jaringan
(Exclude Ppn)]]</f>
        <v>#DIV/0!</v>
      </c>
      <c r="AJ468" s="570" t="e">
        <f>Table1[[#This Row],[RAB Pemasangan]]/Table1[[#This Row],[Nilai RAB Jaringan
(Exclude Ppn)]]</f>
        <v>#DIV/0!</v>
      </c>
      <c r="AK468" s="570" t="e">
        <f>Table1[[#This Row],[RAB Pengadaan]]/Table1[[#This Row],[Nilai RAB Jaringan
(Exclude Ppn)]]</f>
        <v>#DIV/0!</v>
      </c>
      <c r="AL468" s="337" t="e">
        <f>Table1[[#This Row],[RAB Perizinan]]/Table1[[#This Row],[Nilai RAB Jaringan
(Exclude Ppn)]]</f>
        <v>#DIV/0!</v>
      </c>
      <c r="AM468" s="47"/>
      <c r="AN468" s="338"/>
      <c r="AO468" s="514">
        <f>SUM(Table1[[#This Row],[Pipa 63 mm]:[Pipa 1,800 mm]])</f>
        <v>0</v>
      </c>
      <c r="AP468" s="338"/>
      <c r="AQ468" s="338"/>
      <c r="AR468" s="338"/>
      <c r="AS468" s="338"/>
      <c r="AT468" s="338"/>
      <c r="AU468" s="338"/>
      <c r="AV468" s="338"/>
      <c r="AW468" s="338"/>
      <c r="AX468" s="338"/>
      <c r="AY468" s="338"/>
      <c r="AZ468" s="338"/>
      <c r="BA468" s="338"/>
      <c r="BB468" s="338"/>
      <c r="BC468" s="338"/>
      <c r="BD468" s="338"/>
      <c r="BE468" s="338"/>
      <c r="BF468" s="338"/>
      <c r="BG468" s="338"/>
      <c r="BH468" s="338"/>
      <c r="BI468" s="338"/>
      <c r="BJ468" s="36">
        <f>SUM(Table1[[#This Row],[Pipa 63 mm2]:[Pipa 1,800 mm21]])</f>
        <v>0</v>
      </c>
      <c r="BK468" s="32"/>
      <c r="BL468" s="32"/>
      <c r="BM468" s="32"/>
      <c r="BN468" s="32"/>
      <c r="BO468" s="32"/>
      <c r="BP468" s="32"/>
      <c r="BQ468" s="32"/>
      <c r="BR468" s="32"/>
      <c r="BS468" s="32"/>
      <c r="BT468" s="32"/>
      <c r="BU468" s="32"/>
      <c r="BV468" s="32"/>
      <c r="BW468" s="32"/>
      <c r="BX468" s="32"/>
      <c r="BY468" s="32"/>
      <c r="BZ468" s="32"/>
      <c r="CA468" s="32"/>
      <c r="CB468" s="32"/>
      <c r="CC468" s="32"/>
      <c r="CD468" s="32"/>
      <c r="CE468" s="32"/>
      <c r="CF468" s="32"/>
      <c r="CG468" s="32"/>
      <c r="CH468" s="32"/>
      <c r="CI468" s="32"/>
      <c r="CJ468" s="32">
        <f>IF((Table1[[#This Row],["Volume
BA MC-0"]]-Table1[[#This Row],[Total Panjang Pipa Aktual
(Sum-&gt;)3]]-Table1[[#This Row],[Total Volume
tidak dapat dipasang]])&gt;=0,Table1[[#This Row],["Volume
BA MC-0"]]-Table1[[#This Row],[Total Panjang Pipa Aktual
(Sum-&gt;)3]]-Table1[[#This Row],[Total Volume
tidak dapat dipasang]],0)</f>
        <v>0</v>
      </c>
      <c r="CK468" s="47"/>
      <c r="CL468" s="131"/>
      <c r="CM468" s="337"/>
      <c r="CN468" s="131"/>
      <c r="CO468" s="131"/>
      <c r="CP468" s="316"/>
      <c r="CQ468" s="436">
        <f>IFERROR(Table1[[#This Row],[Progres Keg. Umum
(%)]]*Table1[[#This Row],[Nilai RAB Jaringan
(file pa aji)]],0)</f>
        <v>0</v>
      </c>
      <c r="CR468" s="436">
        <f>IFERROR(Table1[[#This Row],[Progres MOS
(%)]]*Table1[[#This Row],[Nilai RAB Jaringan
(file pa aji)]],0)</f>
        <v>0</v>
      </c>
      <c r="CS468" s="436">
        <f>IFERROR(Table1[[#This Row],[Progres Pemasangan
(%)]]*Table1[[#This Row],[Nilai RAB Jaringan
(file pa aji)]],0)</f>
        <v>0</v>
      </c>
      <c r="CT468" s="436">
        <f>IFERROR(Table1[[#This Row],[Progres Perizinan
(%)]]*Table1[[#This Row],[Nilai RAB Jaringan
(file pa aji)]],0)</f>
        <v>0</v>
      </c>
      <c r="CU468" s="329"/>
      <c r="CV468" s="558"/>
      <c r="CW468" s="511"/>
      <c r="CX468" s="329"/>
      <c r="CY468" s="47"/>
      <c r="CZ468" s="331"/>
      <c r="DA468" s="331"/>
      <c r="DB468" s="331"/>
      <c r="DC468" s="316"/>
      <c r="DD468" s="508"/>
      <c r="DE468" s="31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8" s="331"/>
      <c r="DG468" s="316"/>
      <c r="DH468" s="508"/>
      <c r="DI468" s="31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8" s="331"/>
      <c r="DK468" s="331"/>
      <c r="DL468" s="331"/>
      <c r="DM468" s="316"/>
      <c r="DN468" s="31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8" s="331"/>
      <c r="DP468" s="316"/>
      <c r="DQ468" s="338"/>
      <c r="DR468" s="31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8" s="331"/>
      <c r="DT468" s="331" t="e">
        <v>#N/A</v>
      </c>
      <c r="DU468" s="331"/>
      <c r="DV468" s="331" t="e">
        <v>#N/A</v>
      </c>
      <c r="DW468" s="331"/>
      <c r="DX468" s="316"/>
      <c r="DY468" s="335"/>
      <c r="DZ468" s="335"/>
      <c r="EA468" s="31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8" s="331"/>
      <c r="EC468" s="332"/>
      <c r="ED468" s="332"/>
      <c r="EE468" s="330"/>
      <c r="EF468" s="337"/>
      <c r="EG468" s="337"/>
      <c r="EH468" s="316" t="str">
        <f>IF(Table1[[#This Row],[PO Material Aktual 
(%)]]&gt;=100%,"Selesai PO = 100%",IF(Table1[[#This Row],[PO Material Aktual 
(%)]]&gt;=50%,"Proses PO &gt; 100%",IF(Table1[[#This Row],[PO Material Aktual 
(%)]]&gt;0%,"Proses PO &gt; 50%",IF(Table1[[#This Row],[PO Material Aktual 
(%)]]=0,"Belum PO = 0%"))))</f>
        <v>Belum PO = 0%</v>
      </c>
      <c r="EI468" s="31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8" s="331"/>
      <c r="EK468" s="331" t="e">
        <v>#N/A</v>
      </c>
      <c r="EL468" s="331"/>
      <c r="EM468" s="331" t="e">
        <v>#N/A</v>
      </c>
      <c r="EN468" s="331"/>
      <c r="EO468" s="316"/>
      <c r="EP468" s="332"/>
      <c r="EQ468" s="337"/>
      <c r="ER468" s="337"/>
      <c r="ES468" s="316" t="str">
        <f>IF(Table1[[#This Row],[Progres MOS]]&gt;=100%,"Selesai MOS = 100%",IF(Table1[[#This Row],[Progres MOS]]&gt;=50%,"Proses MOS &gt; 100%",IF(Table1[[#This Row],[Progres MOS]]&gt;0%,"Proses MOS &gt; 50%",IF(Table1[[#This Row],[Progres MOS]]=0,"Belum MOS = 0%"))))</f>
        <v>Belum MOS = 0%</v>
      </c>
      <c r="ET468" s="31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8" s="47"/>
      <c r="EV468" s="331"/>
      <c r="EW468" s="331" t="e">
        <v>#N/A</v>
      </c>
      <c r="EX468" s="331"/>
      <c r="EY468" s="331" t="e">
        <v>#N/A</v>
      </c>
      <c r="EZ468" s="352"/>
      <c r="FA468" s="384"/>
      <c r="FB468" s="331" t="e">
        <v>#N/A</v>
      </c>
      <c r="FC468" s="331" t="e">
        <v>#N/A</v>
      </c>
      <c r="FD468" s="331" t="e">
        <v>#N/A</v>
      </c>
      <c r="FE468" s="331" t="e">
        <v>#N/A</v>
      </c>
      <c r="FF468" s="331" t="e">
        <v>#N/A</v>
      </c>
      <c r="FG468" s="331" t="e">
        <v>#N/A</v>
      </c>
      <c r="FH468" s="331" t="e">
        <v>#N/A</v>
      </c>
      <c r="FI468" s="331" t="e">
        <v>#N/A</v>
      </c>
      <c r="FJ468" s="331" t="e">
        <v>#N/A</v>
      </c>
      <c r="FK468" s="331" t="e">
        <v>#N/A</v>
      </c>
      <c r="FL468" s="352"/>
      <c r="FM468" s="352"/>
      <c r="FN468" s="338" t="str">
        <f>IF(Table1[[#This Row],[Tanggal Pengajuan Dokumen]]="","",Table1[[#This Row],[PLAN PERMIT
start]]-Table1[[#This Row],[Tanggal Pengajuan Dokumen]])</f>
        <v/>
      </c>
      <c r="FO468" s="352"/>
      <c r="FP468" s="316"/>
      <c r="FQ468" s="338"/>
      <c r="FR468" s="352"/>
      <c r="FS468" s="338"/>
      <c r="FT468" s="31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8" s="344">
        <f ca="1">IF(Table1[[#This Row],[Status Izin]]="Selesai",Table1[[#This Row],[PLAN PERMIT
finish]]-Table1[[#This Row],[Tanggal Terbit/ Target Izin Terbit]],ROUNDUP(Table1[[#This Row],[PLAN PERMIT
finish]]-NOW(),0))</f>
        <v>-46191</v>
      </c>
      <c r="FV468" s="34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8" s="344"/>
      <c r="FX468" s="47"/>
      <c r="FY468" s="571"/>
      <c r="FZ468" s="572"/>
      <c r="GA468" s="573"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8" s="331"/>
      <c r="GC468" s="352"/>
      <c r="GD468" s="31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8" s="331"/>
      <c r="GF468" s="352"/>
      <c r="GG468" s="31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8" s="331"/>
      <c r="GI468" s="331"/>
      <c r="GJ468" s="352"/>
      <c r="GK468" s="31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8" s="331"/>
      <c r="GM468" s="331" t="e">
        <v>#N/A</v>
      </c>
      <c r="GN468" s="331"/>
      <c r="GO468" s="330" t="e">
        <v>#N/A</v>
      </c>
      <c r="GP468" s="316"/>
      <c r="GQ468" s="31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8" s="331"/>
      <c r="GS468" s="331"/>
      <c r="GT468" s="354"/>
      <c r="GU468" s="344" t="str">
        <f>IF(Table1[[#This Row],[Hydro Tes Actual
(tanggal)]]&lt;&gt;"","Sudah","Belum")</f>
        <v>Belum</v>
      </c>
      <c r="GV468" s="330"/>
      <c r="GW468" s="330"/>
      <c r="GX468" s="331"/>
      <c r="GY468" s="344" t="str">
        <f>IF(Table1[[#This Row],[Interkoneksi Actual
(tanggal)]]&lt;&gt;"","Sudah","Belum")</f>
        <v>Belum</v>
      </c>
      <c r="GZ468" s="330"/>
      <c r="HA468" s="330"/>
      <c r="HB468" s="331"/>
      <c r="HC468" s="344" t="str">
        <f>IF(Table1[[#This Row],[Flushing Actual
(tanggal)]]&lt;&gt;"","Sudah","Belum")</f>
        <v>Belum</v>
      </c>
      <c r="HD468" s="331"/>
      <c r="HE468" s="331" t="e">
        <v>#N/A</v>
      </c>
      <c r="HF468" s="331"/>
      <c r="HG468" s="352"/>
      <c r="HH468" s="31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8" s="330"/>
      <c r="HJ468" s="330"/>
      <c r="HK468" s="331"/>
      <c r="HL468" s="316"/>
      <c r="HM468" s="331"/>
      <c r="HN468" s="331"/>
      <c r="HO468" s="330" t="e">
        <v>#N/A</v>
      </c>
      <c r="HP468" s="331"/>
      <c r="HQ468" s="355" t="str">
        <f ca="1">IF(AND(Table1[[#This Row],[MC-100 Aktual
(tanggal)]]="",Table1[[#This Row],[PLAN MC-100
finish]]&gt;NOW()),"Belum, OnSchedule",IF(AND(Table1[[#This Row],[MC-100 Aktual
(tanggal)]]="",Table1[[#This Row],[PLAN MC-100
finish]]&lt;NOW()),"Belum, Delay",IF(AND(Table1[[#This Row],[MC-100 Aktual
(tanggal)]]&lt;&gt;"",Table1[[#This Row],[MC-100 Aktual
(tanggal)]]&lt;Table1[[#This Row],[PLAN MC-100
finish]]),"Sudah, OnSchedule",IF(AND(Table1[[#This Row],[MC-100 Aktual
(tanggal)]]&lt;&gt;"",Table1[[#This Row],[MC-100 Aktual
(tanggal)]]&gt;Table1[[#This Row],[PLAN MC-100
finish]]),"Sudah, Delay"))))</f>
        <v>Belum, Delay</v>
      </c>
      <c r="HR468" s="352"/>
      <c r="HS468" s="352"/>
      <c r="HT468" s="352"/>
      <c r="HU468" s="474"/>
      <c r="HV468" s="331"/>
      <c r="HW468" s="31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X468" s="47"/>
      <c r="HY468" s="352"/>
      <c r="HZ468" s="352"/>
      <c r="IA468"/>
      <c r="IB468" s="618">
        <f>IFERROR(ROUND((Table1[[#This Row],[PLAN TC
finish]]-Table1[[#This Row],[PLAN MC-0
start]])/30,2),"")</f>
        <v>0</v>
      </c>
      <c r="IC468">
        <f>DATEDIF(Table1[[#This Row],[PLAN MC-0
start]],Table1[[#This Row],[PLAN TC
finish]],"m")</f>
        <v>0</v>
      </c>
      <c r="ID468" s="8"/>
      <c r="IE468" s="8"/>
      <c r="IF468" s="4"/>
      <c r="IG468" s="6"/>
      <c r="IH468" s="72"/>
      <c r="II468" s="72"/>
      <c r="IJ468" s="8"/>
      <c r="IL468" s="6"/>
      <c r="IM468" s="6"/>
      <c r="IN468" s="72"/>
      <c r="IO468" s="8"/>
      <c r="IQ468" s="4"/>
      <c r="IR468" s="4"/>
      <c r="IS468" s="6"/>
      <c r="IT468" s="6"/>
      <c r="IW468" s="6"/>
      <c r="IX468" s="6"/>
      <c r="IZ468" s="6"/>
      <c r="JA468" s="6"/>
    </row>
    <row r="469" spans="2:261" ht="15" customHeight="1" x14ac:dyDescent="0.2">
      <c r="Y469"/>
      <c r="Z469" s="223"/>
      <c r="AD469" s="147">
        <v>7000000</v>
      </c>
    </row>
    <row r="470" spans="2:261" ht="15" customHeight="1" x14ac:dyDescent="0.2">
      <c r="Y470"/>
      <c r="Z470" s="223"/>
      <c r="AD470" s="147">
        <v>42000000</v>
      </c>
    </row>
    <row r="471" spans="2:261" ht="15" customHeight="1" x14ac:dyDescent="0.2">
      <c r="Y471"/>
      <c r="Z471" s="223"/>
    </row>
    <row r="473" spans="2:261" ht="15" customHeight="1" x14ac:dyDescent="0.2">
      <c r="GG473"/>
    </row>
    <row r="474" spans="2:261" ht="15" customHeight="1" x14ac:dyDescent="0.2">
      <c r="GG474"/>
    </row>
    <row r="475" spans="2:261" ht="15" customHeight="1" x14ac:dyDescent="0.2">
      <c r="GG475"/>
    </row>
    <row r="476" spans="2:261" ht="15" customHeight="1" x14ac:dyDescent="0.2">
      <c r="GG476"/>
    </row>
  </sheetData>
  <autoFilter ref="V470" xr:uid="{67C650C1-0536-4CAE-AEF5-050CBDEC4C30}"/>
  <phoneticPr fontId="9" type="noConversion"/>
  <conditionalFormatting sqref="B5:EY5 FB5:HZ468 CY6:EY344 B6:CX468 EE345:EY345 CY345:DW346 DY345:EC346 ED345:ED424 EF346 EG346:EY431 CY347:EC347 EC347:ED348 EE347:EF388 CY348:DY351 DZ348:EC394 CY352:DW352 DY352 CY353:DY355 CY356:DW356 DY356 CY357:DY357 CY358:DW360 DY358:DY360 CY361:DY378 CY379:DW379 DY379 CY380:DY390 EF389 EE390:EF431 CY391:DW391 DY391 CY392:DY394 CY395:EC395 CY396:DW396 DY396:EC396 CY397:EC406 CY407:DW407 DY407:EC407 CY408:EC408 CY409:DW410 DY409:EC410 CY411:EC419 CY420:DW420 DY420:EC420 CY421:EC424 CY425:ED425 CY426:EC429 ED426:ED440 CY430:DW431 DY430:EC431 CY432:EC434 EE432:EY434 EF435:EY435 CY435:DW436 DY435:DY436 DZ435:EC440 EE436:EY438 CY437:DY440 EF439:EY439 EE440:EY440 CY441:EY468">
    <cfRule type="expression" dxfId="26" priority="1">
      <formula>$Q5="BATAL / CANCEL"</formula>
    </cfRule>
  </conditionalFormatting>
  <conditionalFormatting sqref="T5:T468">
    <cfRule type="cellIs" dxfId="25" priority="18" operator="greaterThan">
      <formula>1</formula>
    </cfRule>
  </conditionalFormatting>
  <conditionalFormatting sqref="DH469:DH1048576 DH347:DH351 DH379 DH383 DH385:DH387 DH391 DH415:DH424 DH397 DX469:DX1048576 DX347:DX351 DX387:DX390 DX437:DX439 DX353:DX355 DX361:DX377 DX392:DX395 DX357 DX397:DX406 DX408 DX411:DX419 DX421:DX429 DX432:DX434">
    <cfRule type="duplicateValues" dxfId="24" priority="86"/>
  </conditionalFormatting>
  <conditionalFormatting sqref="DM368:DM387">
    <cfRule type="duplicateValues" dxfId="23" priority="16"/>
  </conditionalFormatting>
  <conditionalFormatting sqref="DN1:DN1048576 EA1:EA1048576 GU5:GU468 GY5:GY468 HC5:HC468">
    <cfRule type="containsText" dxfId="22" priority="5" operator="containsText" text="Belum">
      <formula>NOT(ISERROR(SEARCH("Belum",DN1)))</formula>
    </cfRule>
  </conditionalFormatting>
  <conditionalFormatting sqref="DN469:DN1048576">
    <cfRule type="duplicateValues" dxfId="21" priority="85"/>
  </conditionalFormatting>
  <conditionalFormatting sqref="EI193">
    <cfRule type="containsText" dxfId="20" priority="2" operator="containsText" text="Belum">
      <formula>NOT(ISERROR(SEARCH("Belum",EI193)))</formula>
    </cfRule>
  </conditionalFormatting>
  <conditionalFormatting sqref="FI469:FJ1048576">
    <cfRule type="uniqueValues" dxfId="19" priority="3"/>
  </conditionalFormatting>
  <conditionalFormatting sqref="FU237:FW344">
    <cfRule type="cellIs" dxfId="18" priority="71" operator="greaterThan">
      <formula>0</formula>
    </cfRule>
    <cfRule type="cellIs" dxfId="17" priority="72" operator="lessThan">
      <formula>0</formula>
    </cfRule>
  </conditionalFormatting>
  <printOptions horizontalCentered="1"/>
  <pageMargins left="0.7" right="0.7" top="0.75" bottom="0.75" header="0.3" footer="0.3"/>
  <pageSetup paperSize="9" scale="26" fitToHeight="0" orientation="landscape" r:id="rId1"/>
  <headerFooter>
    <oddFooter>Page &amp;P of &amp;N</oddFooter>
  </headerFooter>
  <rowBreaks count="4" manualBreakCount="4">
    <brk id="52" max="16383" man="1"/>
    <brk id="98" max="16383" man="1"/>
    <brk id="135" max="16383" man="1"/>
    <brk id="187" max="16383" man="1"/>
  </row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88E3F-5C31-4673-8D6F-98323D14BE0B}">
  <dimension ref="B2:AP475"/>
  <sheetViews>
    <sheetView zoomScale="80" zoomScaleNormal="80" workbookViewId="0">
      <pane xSplit="8" ySplit="3" topLeftCell="L480" activePane="bottomRight" state="frozen"/>
      <selection pane="topRight" activeCell="I1" sqref="I1"/>
      <selection pane="bottomLeft" activeCell="A4" sqref="A4"/>
      <selection pane="bottomRight" activeCell="E484" sqref="E484"/>
    </sheetView>
  </sheetViews>
  <sheetFormatPr baseColWidth="10" defaultColWidth="9" defaultRowHeight="15" x14ac:dyDescent="0.2"/>
  <cols>
    <col min="1" max="1" width="3.33203125" style="4" customWidth="1"/>
    <col min="2" max="2" width="7.5" style="4" bestFit="1" customWidth="1"/>
    <col min="3" max="3" width="21.6640625" style="4" hidden="1" customWidth="1"/>
    <col min="4" max="4" width="25" style="4" hidden="1" customWidth="1"/>
    <col min="5" max="5" width="32.5" style="4" customWidth="1"/>
    <col min="6" max="6" width="15.5" style="4" bestFit="1" customWidth="1"/>
    <col min="7" max="8" width="10" style="4" customWidth="1"/>
    <col min="9" max="10" width="10" style="7" customWidth="1"/>
    <col min="11" max="11" width="12" style="7" customWidth="1"/>
    <col min="12" max="14" width="10" style="593" customWidth="1"/>
    <col min="15" max="26" width="17.33203125" style="7" customWidth="1"/>
    <col min="27" max="28" width="16" style="7" bestFit="1" customWidth="1"/>
    <col min="29" max="35" width="9" style="7"/>
    <col min="36" max="36" width="0" style="7" hidden="1" customWidth="1"/>
    <col min="37" max="38" width="9" style="7"/>
    <col min="39" max="39" width="9" style="309"/>
    <col min="40" max="42" width="9" style="7"/>
    <col min="43" max="16384" width="9" style="4"/>
  </cols>
  <sheetData>
    <row r="2" spans="2:42" x14ac:dyDescent="0.2">
      <c r="C2" s="7">
        <f>SUBTOTAL(3,C4:C467)</f>
        <v>74</v>
      </c>
      <c r="E2" s="62">
        <f>SUBTOTAL(3,E4:E467)</f>
        <v>74</v>
      </c>
      <c r="G2" s="6"/>
      <c r="H2" s="6"/>
      <c r="I2" s="8"/>
      <c r="J2" s="8"/>
      <c r="K2" s="8"/>
      <c r="L2" s="283">
        <f>SUBTOTAL(9,L4:L467)</f>
        <v>121283</v>
      </c>
      <c r="M2" s="283">
        <f>SUBTOTAL(9,M4:M467)</f>
        <v>87416.450000000012</v>
      </c>
      <c r="N2" s="283"/>
      <c r="AC2" s="608">
        <f>M2/L2</f>
        <v>0.72076424560738117</v>
      </c>
      <c r="AD2" s="609">
        <f>M2-L2</f>
        <v>-33866.549999999988</v>
      </c>
    </row>
    <row r="3" spans="2:42" s="1" customFormat="1" ht="48" x14ac:dyDescent="0.2">
      <c r="B3" s="296" t="s">
        <v>13</v>
      </c>
      <c r="C3" s="296" t="s">
        <v>15</v>
      </c>
      <c r="D3" s="296" t="s">
        <v>16</v>
      </c>
      <c r="E3" s="296" t="s">
        <v>17</v>
      </c>
      <c r="F3" s="297" t="s">
        <v>18</v>
      </c>
      <c r="G3" s="297" t="s">
        <v>19</v>
      </c>
      <c r="H3" s="297" t="s">
        <v>28</v>
      </c>
      <c r="I3" s="150" t="s">
        <v>30</v>
      </c>
      <c r="J3" s="150" t="s">
        <v>31</v>
      </c>
      <c r="K3" s="97" t="s">
        <v>32</v>
      </c>
      <c r="L3" s="591" t="s">
        <v>33</v>
      </c>
      <c r="M3" s="592" t="s">
        <v>34</v>
      </c>
      <c r="N3" s="610" t="s">
        <v>3502</v>
      </c>
      <c r="O3" s="296" t="s">
        <v>3503</v>
      </c>
      <c r="P3" s="296" t="s">
        <v>3504</v>
      </c>
      <c r="Q3" s="298" t="s">
        <v>3505</v>
      </c>
      <c r="R3" s="298" t="s">
        <v>3506</v>
      </c>
      <c r="S3" s="298" t="s">
        <v>3507</v>
      </c>
      <c r="T3" s="298" t="s">
        <v>3508</v>
      </c>
      <c r="U3" s="298" t="s">
        <v>3509</v>
      </c>
      <c r="V3" s="298" t="s">
        <v>3510</v>
      </c>
      <c r="W3" s="298" t="s">
        <v>3511</v>
      </c>
      <c r="X3" s="298" t="s">
        <v>3512</v>
      </c>
      <c r="Y3" s="298" t="s">
        <v>3513</v>
      </c>
      <c r="Z3" s="298" t="s">
        <v>3514</v>
      </c>
      <c r="AA3" s="298" t="s">
        <v>1886</v>
      </c>
      <c r="AB3" s="298" t="s">
        <v>944</v>
      </c>
      <c r="AC3" s="305" t="s">
        <v>3515</v>
      </c>
      <c r="AD3" s="297" t="s">
        <v>3516</v>
      </c>
      <c r="AE3" s="306" t="s">
        <v>3517</v>
      </c>
      <c r="AF3" s="306" t="s">
        <v>3518</v>
      </c>
      <c r="AG3" s="306" t="s">
        <v>3519</v>
      </c>
      <c r="AH3" s="306" t="s">
        <v>3520</v>
      </c>
      <c r="AI3" s="306" t="s">
        <v>3521</v>
      </c>
      <c r="AJ3" s="306" t="s">
        <v>3522</v>
      </c>
      <c r="AK3" s="306" t="s">
        <v>3523</v>
      </c>
      <c r="AL3" s="306" t="s">
        <v>3524</v>
      </c>
      <c r="AM3" s="308" t="s">
        <v>3525</v>
      </c>
      <c r="AN3" s="306" t="s">
        <v>3526</v>
      </c>
      <c r="AO3" s="306" t="s">
        <v>3527</v>
      </c>
      <c r="AP3" s="306" t="s">
        <v>3528</v>
      </c>
    </row>
    <row r="4" spans="2:42" x14ac:dyDescent="0.2">
      <c r="B4" s="7">
        <f>SUBTOTAL(3,$C4:C$4)</f>
        <v>1</v>
      </c>
      <c r="C4" s="299" t="s">
        <v>244</v>
      </c>
      <c r="D4" s="299" t="s">
        <v>245</v>
      </c>
      <c r="E4" s="299" t="s">
        <v>246</v>
      </c>
      <c r="F4" s="300">
        <v>45748</v>
      </c>
      <c r="G4" s="4" t="s">
        <v>247</v>
      </c>
      <c r="H4" s="4" t="str">
        <f ca="1">'Database MK'!Q5</f>
        <v>DPPP</v>
      </c>
      <c r="I4" s="24">
        <f>'Database MK'!S5</f>
        <v>1</v>
      </c>
      <c r="J4" s="24">
        <f>'Database MK'!T5</f>
        <v>1</v>
      </c>
      <c r="K4" s="603">
        <f>'Database MK'!U5</f>
        <v>0</v>
      </c>
      <c r="L4" s="593">
        <f>'Database MK'!V5</f>
        <v>0</v>
      </c>
      <c r="M4" s="593">
        <f>'Database MK'!W5</f>
        <v>852.5</v>
      </c>
      <c r="N4" s="593">
        <f>Table3[[#This Row],[Total Panjang Pipa Aktual]]-Table3[[#This Row],[Volume
BA MC-0]]</f>
        <v>852.5</v>
      </c>
      <c r="O4" s="7" t="str">
        <f ca="1">'Database MK'!DE5</f>
        <v>Sudah, OnSchedule</v>
      </c>
      <c r="P4" s="7" t="str">
        <f ca="1">'Database MK'!DI5</f>
        <v>Sudah, Delay</v>
      </c>
      <c r="Q4" s="7" t="str">
        <f ca="1">'Database MK'!DN5</f>
        <v>Sudah, Delay</v>
      </c>
      <c r="R4" s="7" t="str">
        <f ca="1">'Database MK'!DR5</f>
        <v>Sudah, Delay</v>
      </c>
      <c r="S4" s="7" t="str">
        <f ca="1">'Database MK'!EA5</f>
        <v>Belum, Delay</v>
      </c>
      <c r="T4" s="7" t="str">
        <f ca="1">'Database MK'!EI5</f>
        <v>Belum, Delay</v>
      </c>
      <c r="U4" s="7" t="str">
        <f ca="1">'Database MK'!ET5</f>
        <v>Belum, Delay</v>
      </c>
      <c r="V4" s="7" t="str">
        <f ca="1">'Database MK'!GA5</f>
        <v>Belum, Delay</v>
      </c>
      <c r="W4" s="7" t="str">
        <f ca="1">'Database MK'!GD5</f>
        <v>Sudah, OnSchedule</v>
      </c>
      <c r="X4" s="7" t="str">
        <f ca="1">'Database MK'!GG5</f>
        <v>Sudah, OnSchedule</v>
      </c>
      <c r="Y4" s="7" t="str">
        <f ca="1">'Database MK'!GK5</f>
        <v>Sudah, OnSchedule</v>
      </c>
      <c r="Z4" s="7" t="str">
        <f ca="1">'Database MK'!HH5</f>
        <v>Sudah, Delay</v>
      </c>
      <c r="AA4" s="7" t="str">
        <f ca="1">'Database MK'!HQ5</f>
        <v>Sudah, Delay</v>
      </c>
      <c r="AB4" s="7" t="str">
        <f ca="1">'Database MK'!HW5</f>
        <v>Sudah, Delay</v>
      </c>
      <c r="AC4" s="7">
        <f>'Database MK'!DA5-'Database MK'!DB5</f>
        <v>18</v>
      </c>
      <c r="AD4" s="7">
        <f>'Database MK'!DA5-'Database MK'!DF5</f>
        <v>-22</v>
      </c>
      <c r="AE4" s="7">
        <f>'Database MK'!DK5-'Database MK'!DL5</f>
        <v>-75</v>
      </c>
      <c r="AF4" s="7">
        <f>'Database MK'!DK5-'Database MK'!DO5</f>
        <v>-212</v>
      </c>
      <c r="AG4" s="7">
        <f>'Database MK'!DU5-'Database MK'!DW5</f>
        <v>45277</v>
      </c>
      <c r="AH4" s="7" t="str">
        <f>IF('Database MK'!EB5="","Belum",'Database MK'!DU5-'Database MK'!EB5)</f>
        <v>Belum</v>
      </c>
      <c r="AI4" s="7" t="str">
        <f>IF('Database MK'!EN5="","Belum",'Database MK'!EL5-'Database MK'!EN5)</f>
        <v>Belum</v>
      </c>
      <c r="AJ4" s="7">
        <f>'Database MK'!FY5-'Database MK'!FZ5</f>
        <v>0</v>
      </c>
      <c r="AK4" s="7">
        <f>IF('Database MK'!GC5="","Belum",'Database MK'!GB5-'Database MK'!GC5)</f>
        <v>33</v>
      </c>
      <c r="AL4" s="7">
        <f>IF('Database MK'!GF5="","Belum",'Database MK'!GE5-'Database MK'!GF5)</f>
        <v>40</v>
      </c>
      <c r="AM4" s="309">
        <f>IF('Database MK'!GJ5="","Belum",'Database MK'!GI5-'Database MK'!GJ5)</f>
        <v>23</v>
      </c>
      <c r="AN4" s="7">
        <f>IF('Database MK'!HG5="","Belum",'Database MK'!HF5-'Database MK'!HG5)</f>
        <v>-79</v>
      </c>
      <c r="AO4" s="7">
        <f>IF('Database MK'!HP5="","Belum",'Database MK'!HN5-'Database MK'!HP5)</f>
        <v>-91</v>
      </c>
      <c r="AP4" s="7">
        <f>IF('Database MK'!HV5="","Belum",'Database MK'!HT5-'Database MK'!HV5)</f>
        <v>-89</v>
      </c>
    </row>
    <row r="5" spans="2:42" x14ac:dyDescent="0.2">
      <c r="B5" s="7">
        <f>SUBTOTAL(3,$C$4:C5)</f>
        <v>2</v>
      </c>
      <c r="C5" s="299" t="s">
        <v>244</v>
      </c>
      <c r="D5" s="299" t="s">
        <v>262</v>
      </c>
      <c r="E5" s="299" t="s">
        <v>263</v>
      </c>
      <c r="F5" s="300">
        <v>45748</v>
      </c>
      <c r="G5" s="4" t="s">
        <v>247</v>
      </c>
      <c r="H5" s="4" t="str">
        <f ca="1">'Database MK'!Q6</f>
        <v>DPPP</v>
      </c>
      <c r="I5" s="24">
        <f>'Database MK'!S6</f>
        <v>1</v>
      </c>
      <c r="J5" s="24">
        <f>'Database MK'!T6</f>
        <v>1</v>
      </c>
      <c r="K5" s="603">
        <f>'Database MK'!U6</f>
        <v>0</v>
      </c>
      <c r="L5" s="593">
        <f>'Database MK'!V6</f>
        <v>1083</v>
      </c>
      <c r="M5" s="593">
        <f>'Database MK'!W6</f>
        <v>1071.72</v>
      </c>
      <c r="N5" s="593">
        <f>Table3[[#This Row],[Total Panjang Pipa Aktual]]-Table3[[#This Row],[Volume
BA MC-0]]</f>
        <v>-11.279999999999973</v>
      </c>
      <c r="O5" s="7" t="str">
        <f ca="1">'Database MK'!DE6</f>
        <v>Sudah, Delay</v>
      </c>
      <c r="P5" s="7" t="str">
        <f ca="1">'Database MK'!DI6</f>
        <v>Sudah, Delay</v>
      </c>
      <c r="Q5" s="7" t="str">
        <f ca="1">'Database MK'!DN6</f>
        <v>Sudah, OnSchedule</v>
      </c>
      <c r="R5" s="7" t="str">
        <f ca="1">'Database MK'!DR6</f>
        <v>Sudah, Delay</v>
      </c>
      <c r="S5" s="7" t="str">
        <f ca="1">'Database MK'!EA6</f>
        <v>Belum, Delay</v>
      </c>
      <c r="T5" s="7" t="str">
        <f ca="1">'Database MK'!EI6</f>
        <v>Belum, Delay</v>
      </c>
      <c r="U5" s="7" t="str">
        <f ca="1">'Database MK'!ET6</f>
        <v>Belum, Delay</v>
      </c>
      <c r="V5" s="7" t="str">
        <f ca="1">'Database MK'!GA6</f>
        <v>Belum, Delay</v>
      </c>
      <c r="W5" s="7" t="str">
        <f ca="1">'Database MK'!GD6</f>
        <v>Sudah, OnSchedule</v>
      </c>
      <c r="X5" s="7" t="str">
        <f ca="1">'Database MK'!GG6</f>
        <v>Sudah, OnSchedule</v>
      </c>
      <c r="Y5" s="7" t="str">
        <f ca="1">'Database MK'!GK6</f>
        <v>Sudah, OnSchedule</v>
      </c>
      <c r="Z5" s="7" t="str">
        <f ca="1">'Database MK'!HH6</f>
        <v>Sudah, Delay</v>
      </c>
      <c r="AA5" s="7" t="str">
        <f ca="1">'Database MK'!HQ6</f>
        <v>Sudah, Delay</v>
      </c>
      <c r="AB5" s="7" t="str">
        <f ca="1">'Database MK'!HW6</f>
        <v>Sudah, Delay</v>
      </c>
      <c r="AC5" s="7">
        <f>'Database MK'!DA6-'Database MK'!DB6</f>
        <v>-12</v>
      </c>
      <c r="AD5" s="7">
        <f>'Database MK'!DA6-'Database MK'!DF6</f>
        <v>-22</v>
      </c>
      <c r="AE5" s="7">
        <f>'Database MK'!DK6-'Database MK'!DL6</f>
        <v>170.28899305555387</v>
      </c>
      <c r="AF5" s="7">
        <f>'Database MK'!DK6-'Database MK'!DO6</f>
        <v>-11.291666666664241</v>
      </c>
      <c r="AG5" s="7">
        <f>'Database MK'!DU6-'Database MK'!DW6</f>
        <v>45277</v>
      </c>
      <c r="AH5" s="7" t="str">
        <f>IF('Database MK'!EB6="","Belum",'Database MK'!DU6-'Database MK'!EB6)</f>
        <v>Belum</v>
      </c>
      <c r="AI5" s="7" t="str">
        <f>IF('Database MK'!EN6="","Belum",'Database MK'!EL6-'Database MK'!EN6)</f>
        <v>Belum</v>
      </c>
      <c r="AJ5" s="7">
        <f>'Database MK'!FY6-'Database MK'!FZ6</f>
        <v>0</v>
      </c>
      <c r="AK5" s="7">
        <f>IF('Database MK'!GC6="","Belum",'Database MK'!GB6-'Database MK'!GC6)</f>
        <v>33</v>
      </c>
      <c r="AL5" s="7">
        <f>IF('Database MK'!GF6="","Belum",'Database MK'!GE6-'Database MK'!GF6)</f>
        <v>40</v>
      </c>
      <c r="AM5" s="309">
        <f>IF('Database MK'!GJ6="","Belum",'Database MK'!GI6-'Database MK'!GJ6)</f>
        <v>23</v>
      </c>
      <c r="AN5" s="7">
        <f>IF('Database MK'!HG6="","Belum",'Database MK'!HF6-'Database MK'!HG6)</f>
        <v>-79</v>
      </c>
      <c r="AO5" s="7">
        <f>IF('Database MK'!HP6="","Belum",'Database MK'!HN6-'Database MK'!HP6)</f>
        <v>-91</v>
      </c>
      <c r="AP5" s="7">
        <f>IF('Database MK'!HV6="","Belum",'Database MK'!HT6-'Database MK'!HV6)</f>
        <v>-89</v>
      </c>
    </row>
    <row r="6" spans="2:42" x14ac:dyDescent="0.2">
      <c r="B6" s="7">
        <f>SUBTOTAL(3,$C$4:C6)</f>
        <v>3</v>
      </c>
      <c r="C6" s="299" t="s">
        <v>244</v>
      </c>
      <c r="D6" s="299" t="s">
        <v>267</v>
      </c>
      <c r="E6" s="299" t="s">
        <v>268</v>
      </c>
      <c r="F6" s="300">
        <v>45748</v>
      </c>
      <c r="G6" s="4" t="s">
        <v>247</v>
      </c>
      <c r="H6" s="4" t="str">
        <f ca="1">'Database MK'!Q7</f>
        <v>DPPP</v>
      </c>
      <c r="I6" s="24">
        <f>'Database MK'!S7</f>
        <v>1</v>
      </c>
      <c r="J6" s="24">
        <f>'Database MK'!T7</f>
        <v>1</v>
      </c>
      <c r="K6" s="603">
        <f>'Database MK'!U7</f>
        <v>0</v>
      </c>
      <c r="L6" s="593">
        <f>'Database MK'!V7</f>
        <v>593</v>
      </c>
      <c r="M6" s="593">
        <f>'Database MK'!W7</f>
        <v>606.9</v>
      </c>
      <c r="N6" s="593">
        <f>Table3[[#This Row],[Total Panjang Pipa Aktual]]-Table3[[#This Row],[Volume
BA MC-0]]</f>
        <v>13.899999999999977</v>
      </c>
      <c r="O6" s="7" t="str">
        <f ca="1">'Database MK'!DE7</f>
        <v>Sudah, OnSchedule</v>
      </c>
      <c r="P6" s="7" t="str">
        <f ca="1">'Database MK'!DI7</f>
        <v>Sudah, Delay</v>
      </c>
      <c r="Q6" s="7" t="str">
        <f ca="1">'Database MK'!DN7</f>
        <v>Sudah, OnSchedule</v>
      </c>
      <c r="R6" s="7" t="str">
        <f ca="1">'Database MK'!DR7</f>
        <v>Sudah, Delay</v>
      </c>
      <c r="S6" s="7" t="str">
        <f ca="1">'Database MK'!EA7</f>
        <v>Belum, Delay</v>
      </c>
      <c r="T6" s="7" t="str">
        <f ca="1">'Database MK'!EI7</f>
        <v>Belum, Delay</v>
      </c>
      <c r="U6" s="7" t="str">
        <f ca="1">'Database MK'!ET7</f>
        <v>Belum, Delay</v>
      </c>
      <c r="V6" s="7" t="str">
        <f ca="1">'Database MK'!GA7</f>
        <v>Belum, Delay</v>
      </c>
      <c r="W6" s="7" t="str">
        <f ca="1">'Database MK'!GD7</f>
        <v>Sudah, OnSchedule</v>
      </c>
      <c r="X6" s="7" t="str">
        <f ca="1">'Database MK'!GG7</f>
        <v>Sudah, OnSchedule</v>
      </c>
      <c r="Y6" s="7" t="str">
        <f ca="1">'Database MK'!GK7</f>
        <v>Sudah, OnSchedule</v>
      </c>
      <c r="Z6" s="7" t="str">
        <f ca="1">'Database MK'!HH7</f>
        <v>Sudah, Delay</v>
      </c>
      <c r="AA6" s="7" t="str">
        <f ca="1">'Database MK'!HQ7</f>
        <v>Sudah, Delay</v>
      </c>
      <c r="AB6" s="7" t="str">
        <f ca="1">'Database MK'!HW7</f>
        <v>Sudah, Delay</v>
      </c>
      <c r="AC6" s="7">
        <f>'Database MK'!DA7-'Database MK'!DB7</f>
        <v>43</v>
      </c>
      <c r="AD6" s="7">
        <f>'Database MK'!DA7-'Database MK'!DF7</f>
        <v>-15</v>
      </c>
      <c r="AE6" s="7">
        <f>'Database MK'!DK7-'Database MK'!DL7</f>
        <v>2</v>
      </c>
      <c r="AF6" s="7">
        <f>'Database MK'!DK7-'Database MK'!DO7</f>
        <v>-30</v>
      </c>
      <c r="AG6" s="7">
        <f>'Database MK'!DU7-'Database MK'!DW7</f>
        <v>45235</v>
      </c>
      <c r="AH6" s="7" t="str">
        <f>IF('Database MK'!EB7="","Belum",'Database MK'!DU7-'Database MK'!EB7)</f>
        <v>Belum</v>
      </c>
      <c r="AI6" s="7" t="str">
        <f>IF('Database MK'!EN7="","Belum",'Database MK'!EL7-'Database MK'!EN7)</f>
        <v>Belum</v>
      </c>
      <c r="AJ6" s="7">
        <f>'Database MK'!FY7-'Database MK'!FZ7</f>
        <v>0</v>
      </c>
      <c r="AK6" s="7">
        <f>IF('Database MK'!GC7="","Belum",'Database MK'!GB7-'Database MK'!GC7)</f>
        <v>15</v>
      </c>
      <c r="AL6" s="7">
        <f>IF('Database MK'!GF7="","Belum",'Database MK'!GE7-'Database MK'!GF7)</f>
        <v>22</v>
      </c>
      <c r="AM6" s="309">
        <f>IF('Database MK'!GJ7="","Belum",'Database MK'!GI7-'Database MK'!GJ7)</f>
        <v>219</v>
      </c>
      <c r="AN6" s="7">
        <f>IF('Database MK'!HG7="","Belum",'Database MK'!HF7-'Database MK'!HG7)</f>
        <v>-25</v>
      </c>
      <c r="AO6" s="7">
        <f>IF('Database MK'!HP7="","Belum",'Database MK'!HN7-'Database MK'!HP7)</f>
        <v>-20</v>
      </c>
      <c r="AP6" s="7">
        <f>IF('Database MK'!HV7="","Belum",'Database MK'!HT7-'Database MK'!HV7)</f>
        <v>-18</v>
      </c>
    </row>
    <row r="7" spans="2:42" x14ac:dyDescent="0.2">
      <c r="B7" s="7">
        <f>SUBTOTAL(3,$C$4:C7)</f>
        <v>4</v>
      </c>
      <c r="C7" s="299" t="s">
        <v>244</v>
      </c>
      <c r="D7" s="299" t="s">
        <v>276</v>
      </c>
      <c r="E7" s="299" t="s">
        <v>277</v>
      </c>
      <c r="F7" s="300">
        <v>45748</v>
      </c>
      <c r="G7" s="4" t="s">
        <v>247</v>
      </c>
      <c r="H7" s="4" t="str">
        <f ca="1">'Database MK'!Q8</f>
        <v>DPPP</v>
      </c>
      <c r="I7" s="24">
        <f>'Database MK'!S8</f>
        <v>1</v>
      </c>
      <c r="J7" s="24">
        <f>'Database MK'!T8</f>
        <v>1</v>
      </c>
      <c r="K7" s="603">
        <f>'Database MK'!U8</f>
        <v>0</v>
      </c>
      <c r="L7" s="593">
        <f>'Database MK'!V8</f>
        <v>1215</v>
      </c>
      <c r="M7" s="593">
        <f>'Database MK'!W8</f>
        <v>1215</v>
      </c>
      <c r="N7" s="593">
        <f>Table3[[#This Row],[Total Panjang Pipa Aktual]]-Table3[[#This Row],[Volume
BA MC-0]]</f>
        <v>0</v>
      </c>
      <c r="O7" s="7" t="str">
        <f ca="1">'Database MK'!DE8</f>
        <v>Sudah, Delay</v>
      </c>
      <c r="P7" s="7" t="str">
        <f ca="1">'Database MK'!DI8</f>
        <v>Sudah, Delay</v>
      </c>
      <c r="Q7" s="7" t="str">
        <f ca="1">'Database MK'!DN8</f>
        <v>Belum, Delay</v>
      </c>
      <c r="R7" s="7" t="str">
        <f ca="1">'Database MK'!DR8</f>
        <v>Belum, Delay</v>
      </c>
      <c r="S7" s="7" t="str">
        <f ca="1">'Database MK'!EA8</f>
        <v>Belum, Delay</v>
      </c>
      <c r="T7" s="7" t="str">
        <f ca="1">'Database MK'!EI8</f>
        <v>Belum, Delay</v>
      </c>
      <c r="U7" s="7" t="str">
        <f ca="1">'Database MK'!ET8</f>
        <v>Belum, Delay</v>
      </c>
      <c r="V7" s="7" t="str">
        <f ca="1">'Database MK'!GA8</f>
        <v>Belum, Delay</v>
      </c>
      <c r="W7" s="7" t="str">
        <f ca="1">'Database MK'!GD8</f>
        <v>Sudah, Delay</v>
      </c>
      <c r="X7" s="7" t="str">
        <f ca="1">'Database MK'!GG8</f>
        <v>Sudah, Delay</v>
      </c>
      <c r="Y7" s="7" t="str">
        <f ca="1">'Database MK'!GK8</f>
        <v>Sudah, OnSchedule</v>
      </c>
      <c r="Z7" s="7" t="str">
        <f ca="1">'Database MK'!HH8</f>
        <v>Sudah, Delay</v>
      </c>
      <c r="AA7" s="7" t="str">
        <f ca="1">'Database MK'!HQ8</f>
        <v>Sudah, Delay</v>
      </c>
      <c r="AB7" s="7" t="str">
        <f ca="1">'Database MK'!HW8</f>
        <v>Sudah, Delay</v>
      </c>
      <c r="AC7" s="7">
        <f>'Database MK'!DA8-'Database MK'!DB8</f>
        <v>-32</v>
      </c>
      <c r="AD7" s="7">
        <f>'Database MK'!DA8-'Database MK'!DF8</f>
        <v>-128</v>
      </c>
      <c r="AE7" s="7">
        <f>'Database MK'!DK8-'Database MK'!DL8</f>
        <v>45171</v>
      </c>
      <c r="AF7" s="7">
        <f>'Database MK'!DK8-'Database MK'!DO8</f>
        <v>45171</v>
      </c>
      <c r="AG7" s="7">
        <f>'Database MK'!DU8-'Database MK'!DW8</f>
        <v>45171</v>
      </c>
      <c r="AH7" s="7" t="str">
        <f>IF('Database MK'!EB8="","Belum",'Database MK'!DU8-'Database MK'!EB8)</f>
        <v>Belum</v>
      </c>
      <c r="AI7" s="7" t="str">
        <f>IF('Database MK'!EN8="","Belum",'Database MK'!EL8-'Database MK'!EN8)</f>
        <v>Belum</v>
      </c>
      <c r="AJ7" s="7">
        <f>'Database MK'!FY8-'Database MK'!FZ8</f>
        <v>0</v>
      </c>
      <c r="AK7" s="7">
        <f>IF('Database MK'!GC8="","Belum",'Database MK'!GB8-'Database MK'!GC8)</f>
        <v>-91</v>
      </c>
      <c r="AL7" s="7">
        <f>IF('Database MK'!GF8="","Belum",'Database MK'!GE8-'Database MK'!GF8)</f>
        <v>-91</v>
      </c>
      <c r="AM7" s="309">
        <f>IF('Database MK'!GJ8="","Belum",'Database MK'!GI8-'Database MK'!GJ8)</f>
        <v>733</v>
      </c>
      <c r="AN7" s="7">
        <f>IF('Database MK'!HG8="","Belum",'Database MK'!HF8-'Database MK'!HG8)</f>
        <v>-34</v>
      </c>
      <c r="AO7" s="7">
        <f>IF('Database MK'!HP8="","Belum",'Database MK'!HN8-'Database MK'!HP8)</f>
        <v>-54</v>
      </c>
      <c r="AP7" s="7">
        <f>IF('Database MK'!HV8="","Belum",'Database MK'!HT8-'Database MK'!HV8)</f>
        <v>-52</v>
      </c>
    </row>
    <row r="8" spans="2:42" x14ac:dyDescent="0.2">
      <c r="B8" s="7">
        <f>SUBTOTAL(3,$C$4:C8)</f>
        <v>5</v>
      </c>
      <c r="C8" s="299" t="s">
        <v>244</v>
      </c>
      <c r="D8" s="299" t="s">
        <v>284</v>
      </c>
      <c r="E8" s="299" t="s">
        <v>285</v>
      </c>
      <c r="F8" s="300">
        <v>45748</v>
      </c>
      <c r="G8" s="4" t="s">
        <v>247</v>
      </c>
      <c r="H8" s="4" t="str">
        <f ca="1">'Database MK'!Q9</f>
        <v>DPPP</v>
      </c>
      <c r="I8" s="24">
        <f>'Database MK'!S9</f>
        <v>1</v>
      </c>
      <c r="J8" s="24">
        <f>'Database MK'!T9</f>
        <v>1</v>
      </c>
      <c r="K8" s="603">
        <f>'Database MK'!U9</f>
        <v>0</v>
      </c>
      <c r="L8" s="593">
        <f>'Database MK'!V9</f>
        <v>3274</v>
      </c>
      <c r="M8" s="593">
        <f>'Database MK'!W9</f>
        <v>3075</v>
      </c>
      <c r="N8" s="593">
        <f>Table3[[#This Row],[Total Panjang Pipa Aktual]]-Table3[[#This Row],[Volume
BA MC-0]]</f>
        <v>-199</v>
      </c>
      <c r="O8" s="7" t="str">
        <f ca="1">'Database MK'!DE9</f>
        <v>Sudah, OnSchedule</v>
      </c>
      <c r="P8" s="7" t="str">
        <f ca="1">'Database MK'!DI9</f>
        <v>Sudah, Delay</v>
      </c>
      <c r="Q8" s="7" t="str">
        <f ca="1">'Database MK'!DN9</f>
        <v>Belum, Delay</v>
      </c>
      <c r="R8" s="7" t="str">
        <f ca="1">'Database MK'!DR9</f>
        <v>Belum, Delay</v>
      </c>
      <c r="S8" s="7" t="str">
        <f ca="1">'Database MK'!EA9</f>
        <v>Belum, Delay</v>
      </c>
      <c r="T8" s="7" t="str">
        <f ca="1">'Database MK'!EI9</f>
        <v>Belum, Delay</v>
      </c>
      <c r="U8" s="7" t="str">
        <f ca="1">'Database MK'!ET9</f>
        <v>Belum, Delay</v>
      </c>
      <c r="V8" s="7" t="str">
        <f ca="1">'Database MK'!GA9</f>
        <v>Belum, Delay</v>
      </c>
      <c r="W8" s="7" t="str">
        <f ca="1">'Database MK'!GD9</f>
        <v>Sudah, Delay</v>
      </c>
      <c r="X8" s="7" t="str">
        <f ca="1">'Database MK'!GG9</f>
        <v>Sudah, Delay</v>
      </c>
      <c r="Y8" s="7" t="str">
        <f ca="1">'Database MK'!GK9</f>
        <v>Sudah, OnSchedule</v>
      </c>
      <c r="Z8" s="7" t="str">
        <f ca="1">'Database MK'!HH9</f>
        <v>Sudah, OnSchedule</v>
      </c>
      <c r="AA8" s="7" t="str">
        <f ca="1">'Database MK'!HQ9</f>
        <v>Sudah, OnSchedule</v>
      </c>
      <c r="AB8" s="7" t="str">
        <f ca="1">'Database MK'!HW9</f>
        <v>Sudah, OnSchedule</v>
      </c>
      <c r="AC8" s="7">
        <f>'Database MK'!DA9-'Database MK'!DB9</f>
        <v>28</v>
      </c>
      <c r="AD8" s="7">
        <f>'Database MK'!DA9-'Database MK'!DF9</f>
        <v>-65</v>
      </c>
      <c r="AE8" s="7">
        <f>'Database MK'!DK9-'Database MK'!DL9</f>
        <v>45234</v>
      </c>
      <c r="AF8" s="7">
        <f>'Database MK'!DK9-'Database MK'!DO9</f>
        <v>45234</v>
      </c>
      <c r="AG8" s="7">
        <f>'Database MK'!DU9-'Database MK'!DW9</f>
        <v>45234</v>
      </c>
      <c r="AH8" s="7" t="str">
        <f>IF('Database MK'!EB9="","Belum",'Database MK'!DU9-'Database MK'!EB9)</f>
        <v>Belum</v>
      </c>
      <c r="AI8" s="7" t="str">
        <f>IF('Database MK'!EN9="","Belum",'Database MK'!EL9-'Database MK'!EN9)</f>
        <v>Belum</v>
      </c>
      <c r="AJ8" s="7">
        <f>'Database MK'!FY9-'Database MK'!FZ9</f>
        <v>0</v>
      </c>
      <c r="AK8" s="7">
        <f>IF('Database MK'!GC9="","Belum",'Database MK'!GB9-'Database MK'!GC9)</f>
        <v>-91</v>
      </c>
      <c r="AL8" s="7">
        <f>IF('Database MK'!GF9="","Belum",'Database MK'!GE9-'Database MK'!GF9)</f>
        <v>-91</v>
      </c>
      <c r="AM8" s="309">
        <f>IF('Database MK'!GJ9="","Belum",'Database MK'!GI9-'Database MK'!GJ9)</f>
        <v>731</v>
      </c>
      <c r="AN8" s="7">
        <f>IF('Database MK'!HG9="","Belum",'Database MK'!HF9-'Database MK'!HG9)</f>
        <v>21</v>
      </c>
      <c r="AO8" s="7">
        <f>IF('Database MK'!HP9="","Belum",'Database MK'!HN9-'Database MK'!HP9)</f>
        <v>2</v>
      </c>
      <c r="AP8" s="7">
        <f>IF('Database MK'!HV9="","Belum",'Database MK'!HT9-'Database MK'!HV9)</f>
        <v>4</v>
      </c>
    </row>
    <row r="9" spans="2:42" x14ac:dyDescent="0.2">
      <c r="B9" s="7">
        <f>SUBTOTAL(3,$C$4:C9)</f>
        <v>6</v>
      </c>
      <c r="C9" s="299" t="s">
        <v>244</v>
      </c>
      <c r="D9" s="299" t="s">
        <v>289</v>
      </c>
      <c r="E9" s="299" t="s">
        <v>290</v>
      </c>
      <c r="F9" s="300">
        <v>45748</v>
      </c>
      <c r="G9" s="4" t="s">
        <v>247</v>
      </c>
      <c r="H9" s="4" t="str">
        <f ca="1">'Database MK'!Q10</f>
        <v>DPPP</v>
      </c>
      <c r="I9" s="24">
        <f>'Database MK'!S10</f>
        <v>1</v>
      </c>
      <c r="J9" s="24">
        <f>'Database MK'!T10</f>
        <v>1</v>
      </c>
      <c r="K9" s="603">
        <f>'Database MK'!U10</f>
        <v>0</v>
      </c>
      <c r="L9" s="593">
        <f>'Database MK'!V10</f>
        <v>85</v>
      </c>
      <c r="M9" s="593">
        <f>'Database MK'!W10</f>
        <v>85</v>
      </c>
      <c r="N9" s="593">
        <f>Table3[[#This Row],[Total Panjang Pipa Aktual]]-Table3[[#This Row],[Volume
BA MC-0]]</f>
        <v>0</v>
      </c>
      <c r="O9" s="7" t="str">
        <f ca="1">'Database MK'!DE10</f>
        <v>Sudah, Delay</v>
      </c>
      <c r="P9" s="7" t="str">
        <f ca="1">'Database MK'!DI10</f>
        <v>Sudah, Delay</v>
      </c>
      <c r="Q9" s="7" t="str">
        <f ca="1">'Database MK'!DN10</f>
        <v>Sudah, Delay</v>
      </c>
      <c r="R9" s="7" t="str">
        <f ca="1">'Database MK'!DR10</f>
        <v>Sudah, Delay</v>
      </c>
      <c r="S9" s="7" t="str">
        <f ca="1">'Database MK'!EA10</f>
        <v>Belum, Delay</v>
      </c>
      <c r="T9" s="7" t="str">
        <f ca="1">'Database MK'!EI10</f>
        <v>Belum, Delay</v>
      </c>
      <c r="U9" s="7" t="str">
        <f ca="1">'Database MK'!ET10</f>
        <v>Belum, Delay</v>
      </c>
      <c r="V9" s="7" t="str">
        <f ca="1">'Database MK'!GA10</f>
        <v>Belum, Delay</v>
      </c>
      <c r="W9" s="7" t="str">
        <f ca="1">'Database MK'!GD10</f>
        <v>Sudah, OnSchedule</v>
      </c>
      <c r="X9" s="7" t="str">
        <f ca="1">'Database MK'!GG10</f>
        <v>Sudah, OnSchedule</v>
      </c>
      <c r="Y9" s="7" t="str">
        <f ca="1">'Database MK'!GK10</f>
        <v>Sudah, OnSchedule</v>
      </c>
      <c r="Z9" s="7" t="str">
        <f ca="1">'Database MK'!HH10</f>
        <v>Sudah, Delay</v>
      </c>
      <c r="AA9" s="7" t="str">
        <f ca="1">'Database MK'!HQ10</f>
        <v>Sudah, Delay</v>
      </c>
      <c r="AB9" s="7" t="str">
        <f ca="1">'Database MK'!HW10</f>
        <v>Sudah, Delay</v>
      </c>
      <c r="AC9" s="7">
        <f>'Database MK'!DA10-'Database MK'!DB10</f>
        <v>-190</v>
      </c>
      <c r="AD9" s="7">
        <f>'Database MK'!DA10-'Database MK'!DF10</f>
        <v>-222</v>
      </c>
      <c r="AE9" s="7">
        <f>'Database MK'!DK10-'Database MK'!DL10</f>
        <v>-255</v>
      </c>
      <c r="AF9" s="7">
        <f>'Database MK'!DK10-'Database MK'!DO10</f>
        <v>-409</v>
      </c>
      <c r="AG9" s="7">
        <f>'Database MK'!DU10-'Database MK'!DW10</f>
        <v>45270</v>
      </c>
      <c r="AH9" s="7" t="str">
        <f>IF('Database MK'!EB10="","Belum",'Database MK'!DU10-'Database MK'!EB10)</f>
        <v>Belum</v>
      </c>
      <c r="AI9" s="7" t="str">
        <f>IF('Database MK'!EN10="","Belum",'Database MK'!EL10-'Database MK'!EN10)</f>
        <v>Belum</v>
      </c>
      <c r="AJ9" s="7">
        <f>'Database MK'!FY10-'Database MK'!FZ10</f>
        <v>0</v>
      </c>
      <c r="AK9" s="7">
        <f>IF('Database MK'!GC10="","Belum",'Database MK'!GB10-'Database MK'!GC10)</f>
        <v>13</v>
      </c>
      <c r="AL9" s="7">
        <f>IF('Database MK'!GF10="","Belum",'Database MK'!GE10-'Database MK'!GF10)</f>
        <v>20</v>
      </c>
      <c r="AM9" s="309">
        <f>IF('Database MK'!GJ10="","Belum",'Database MK'!GI10-'Database MK'!GJ10)</f>
        <v>13</v>
      </c>
      <c r="AN9" s="7">
        <f>IF('Database MK'!HG10="","Belum",'Database MK'!HF10-'Database MK'!HG10)</f>
        <v>-17</v>
      </c>
      <c r="AO9" s="7">
        <f>IF('Database MK'!HP10="","Belum",'Database MK'!HN10-'Database MK'!HP10)</f>
        <v>-14</v>
      </c>
      <c r="AP9" s="7">
        <f>IF('Database MK'!HV10="","Belum",'Database MK'!HT10-'Database MK'!HV10)</f>
        <v>-12</v>
      </c>
    </row>
    <row r="10" spans="2:42" x14ac:dyDescent="0.2">
      <c r="B10" s="7">
        <f>SUBTOTAL(3,$C$4:C10)</f>
        <v>7</v>
      </c>
      <c r="C10" s="299" t="s">
        <v>244</v>
      </c>
      <c r="D10" s="299" t="s">
        <v>299</v>
      </c>
      <c r="E10" s="299" t="s">
        <v>300</v>
      </c>
      <c r="F10" s="300">
        <v>45748</v>
      </c>
      <c r="G10" s="4" t="s">
        <v>247</v>
      </c>
      <c r="H10" s="4" t="str">
        <f ca="1">'Database MK'!Q11</f>
        <v>DPPP</v>
      </c>
      <c r="I10" s="24">
        <f>'Database MK'!S11</f>
        <v>1</v>
      </c>
      <c r="J10" s="24">
        <f>'Database MK'!T11</f>
        <v>1</v>
      </c>
      <c r="K10" s="603">
        <f>'Database MK'!U11</f>
        <v>0</v>
      </c>
      <c r="L10" s="593">
        <f>'Database MK'!V11</f>
        <v>80</v>
      </c>
      <c r="M10" s="593">
        <f>'Database MK'!W11</f>
        <v>80</v>
      </c>
      <c r="N10" s="593">
        <f>Table3[[#This Row],[Total Panjang Pipa Aktual]]-Table3[[#This Row],[Volume
BA MC-0]]</f>
        <v>0</v>
      </c>
      <c r="O10" s="7" t="str">
        <f ca="1">'Database MK'!DE11</f>
        <v>Sudah, OnSchedule</v>
      </c>
      <c r="P10" s="7" t="str">
        <f ca="1">'Database MK'!DI11</f>
        <v>Sudah, OnSchedule</v>
      </c>
      <c r="Q10" s="7" t="str">
        <f ca="1">'Database MK'!DN11</f>
        <v>Belum, Delay</v>
      </c>
      <c r="R10" s="7" t="str">
        <f ca="1">'Database MK'!DR11</f>
        <v>Belum, Delay</v>
      </c>
      <c r="S10" s="7" t="str">
        <f ca="1">'Database MK'!EA11</f>
        <v>Belum, Delay</v>
      </c>
      <c r="T10" s="7" t="str">
        <f ca="1">'Database MK'!EI11</f>
        <v>Belum, Delay</v>
      </c>
      <c r="U10" s="7" t="str">
        <f ca="1">'Database MK'!ET11</f>
        <v>Belum, Delay</v>
      </c>
      <c r="V10" s="7" t="str">
        <f ca="1">'Database MK'!GA11</f>
        <v>Belum, Delay</v>
      </c>
      <c r="W10" s="7" t="str">
        <f ca="1">'Database MK'!GD11</f>
        <v>Sudah, OnSchedule</v>
      </c>
      <c r="X10" s="7" t="str">
        <f ca="1">'Database MK'!GG11</f>
        <v>Sudah, OnSchedule</v>
      </c>
      <c r="Y10" s="7" t="str">
        <f ca="1">'Database MK'!GK11</f>
        <v>Sudah, OnSchedule</v>
      </c>
      <c r="Z10" s="7" t="str">
        <f ca="1">'Database MK'!HH11</f>
        <v>Sudah, Delay</v>
      </c>
      <c r="AA10" s="7" t="str">
        <f ca="1">'Database MK'!HQ11</f>
        <v>Sudah, Delay</v>
      </c>
      <c r="AB10" s="7" t="str">
        <f ca="1">'Database MK'!HW11</f>
        <v>Sudah, Delay</v>
      </c>
      <c r="AC10" s="7">
        <f>'Database MK'!DA11-'Database MK'!DB11</f>
        <v>73</v>
      </c>
      <c r="AD10" s="7">
        <f>'Database MK'!DA11-'Database MK'!DF11</f>
        <v>47</v>
      </c>
      <c r="AE10" s="7">
        <f>'Database MK'!DK11-'Database MK'!DL11</f>
        <v>45466</v>
      </c>
      <c r="AF10" s="7">
        <f>'Database MK'!DK11-'Database MK'!DO11</f>
        <v>45466</v>
      </c>
      <c r="AG10" s="7">
        <f>'Database MK'!DU11-'Database MK'!DW11</f>
        <v>45466</v>
      </c>
      <c r="AH10" s="7" t="str">
        <f>IF('Database MK'!EB11="","Belum",'Database MK'!DU11-'Database MK'!EB11)</f>
        <v>Belum</v>
      </c>
      <c r="AI10" s="7" t="str">
        <f>IF('Database MK'!EN11="","Belum",'Database MK'!EL11-'Database MK'!EN11)</f>
        <v>Belum</v>
      </c>
      <c r="AJ10" s="7">
        <f>'Database MK'!FY11-'Database MK'!FZ11</f>
        <v>0</v>
      </c>
      <c r="AK10" s="7">
        <f>IF('Database MK'!GC11="","Belum",'Database MK'!GB11-'Database MK'!GC11)</f>
        <v>78</v>
      </c>
      <c r="AL10" s="7">
        <f>IF('Database MK'!GF11="","Belum",'Database MK'!GE11-'Database MK'!GF11)</f>
        <v>85</v>
      </c>
      <c r="AM10" s="309">
        <f>IF('Database MK'!GJ11="","Belum",'Database MK'!GI11-'Database MK'!GJ11)</f>
        <v>94</v>
      </c>
      <c r="AN10" s="7">
        <f>IF('Database MK'!HG11="","Belum",'Database MK'!HF11-'Database MK'!HG11)</f>
        <v>-10</v>
      </c>
      <c r="AO10" s="7">
        <f>IF('Database MK'!HP11="","Belum",'Database MK'!HN11-'Database MK'!HP11)</f>
        <v>-5</v>
      </c>
      <c r="AP10" s="7">
        <f>IF('Database MK'!HV11="","Belum",'Database MK'!HT11-'Database MK'!HV11)</f>
        <v>-3</v>
      </c>
    </row>
    <row r="11" spans="2:42" x14ac:dyDescent="0.2">
      <c r="B11" s="7">
        <f>SUBTOTAL(3,$C$4:C11)</f>
        <v>8</v>
      </c>
      <c r="C11" s="299" t="s">
        <v>244</v>
      </c>
      <c r="D11" s="299" t="s">
        <v>304</v>
      </c>
      <c r="E11" s="299" t="s">
        <v>305</v>
      </c>
      <c r="F11" s="300">
        <v>45748</v>
      </c>
      <c r="G11" s="4" t="s">
        <v>247</v>
      </c>
      <c r="H11" s="4" t="str">
        <f ca="1">'Database MK'!Q12</f>
        <v>DPPP</v>
      </c>
      <c r="I11" s="24">
        <f>'Database MK'!S12</f>
        <v>1</v>
      </c>
      <c r="J11" s="24">
        <f>'Database MK'!T12</f>
        <v>1</v>
      </c>
      <c r="K11" s="603">
        <f>'Database MK'!U12</f>
        <v>0</v>
      </c>
      <c r="L11" s="593">
        <f>'Database MK'!V12</f>
        <v>240</v>
      </c>
      <c r="M11" s="593">
        <f>'Database MK'!W12</f>
        <v>175</v>
      </c>
      <c r="N11" s="593">
        <f>Table3[[#This Row],[Total Panjang Pipa Aktual]]-Table3[[#This Row],[Volume
BA MC-0]]</f>
        <v>-65</v>
      </c>
      <c r="O11" s="7" t="str">
        <f ca="1">'Database MK'!DE12</f>
        <v>Belum, Delay</v>
      </c>
      <c r="P11" s="7" t="str">
        <f ca="1">'Database MK'!DI12</f>
        <v>Belum, Delay</v>
      </c>
      <c r="Q11" s="7" t="str">
        <f ca="1">'Database MK'!DN12</f>
        <v>Belum, Delay</v>
      </c>
      <c r="R11" s="7" t="str">
        <f ca="1">'Database MK'!DR12</f>
        <v>Belum, Delay</v>
      </c>
      <c r="S11" s="7" t="str">
        <f ca="1">'Database MK'!EA12</f>
        <v>Belum, Delay</v>
      </c>
      <c r="T11" s="7" t="str">
        <f ca="1">'Database MK'!EI12</f>
        <v>Belum, Delay</v>
      </c>
      <c r="U11" s="7" t="str">
        <f ca="1">'Database MK'!ET12</f>
        <v>Belum, Delay</v>
      </c>
      <c r="V11" s="7" t="str">
        <f ca="1">'Database MK'!GA12</f>
        <v>Belum, Delay</v>
      </c>
      <c r="W11" s="7" t="str">
        <f ca="1">'Database MK'!GD12</f>
        <v>Sudah, OnSchedule</v>
      </c>
      <c r="X11" s="7" t="str">
        <f ca="1">'Database MK'!GG12</f>
        <v>Sudah, OnSchedule</v>
      </c>
      <c r="Y11" s="7" t="str">
        <f ca="1">'Database MK'!GK12</f>
        <v>Sudah, OnSchedule</v>
      </c>
      <c r="Z11" s="7" t="str">
        <f ca="1">'Database MK'!HH12</f>
        <v>Sudah, Delay</v>
      </c>
      <c r="AA11" s="7" t="str">
        <f ca="1">'Database MK'!HQ12</f>
        <v>Sudah, Delay</v>
      </c>
      <c r="AB11" s="7" t="str">
        <f ca="1">'Database MK'!HW12</f>
        <v>Sudah, Delay</v>
      </c>
      <c r="AC11" s="7">
        <f>'Database MK'!DA12-'Database MK'!DB12</f>
        <v>45417</v>
      </c>
      <c r="AD11" s="7">
        <f>'Database MK'!DA12-'Database MK'!DF12</f>
        <v>45417</v>
      </c>
      <c r="AE11" s="7">
        <f>'Database MK'!DK12-'Database MK'!DL12</f>
        <v>45466</v>
      </c>
      <c r="AF11" s="7">
        <f>'Database MK'!DK12-'Database MK'!DO12</f>
        <v>45466</v>
      </c>
      <c r="AG11" s="7">
        <f>'Database MK'!DU12-'Database MK'!DW12</f>
        <v>45466</v>
      </c>
      <c r="AH11" s="7" t="str">
        <f>IF('Database MK'!EB12="","Belum",'Database MK'!DU12-'Database MK'!EB12)</f>
        <v>Belum</v>
      </c>
      <c r="AI11" s="7" t="str">
        <f>IF('Database MK'!EN12="","Belum",'Database MK'!EL12-'Database MK'!EN12)</f>
        <v>Belum</v>
      </c>
      <c r="AJ11" s="7">
        <f>'Database MK'!FY12-'Database MK'!FZ12</f>
        <v>0</v>
      </c>
      <c r="AK11" s="7">
        <f>IF('Database MK'!GC12="","Belum",'Database MK'!GB12-'Database MK'!GC12)</f>
        <v>78</v>
      </c>
      <c r="AL11" s="7">
        <f>IF('Database MK'!GF12="","Belum",'Database MK'!GE12-'Database MK'!GF12)</f>
        <v>85</v>
      </c>
      <c r="AM11" s="309">
        <f>IF('Database MK'!GJ12="","Belum",'Database MK'!GI12-'Database MK'!GJ12)</f>
        <v>94</v>
      </c>
      <c r="AN11" s="7">
        <f>IF('Database MK'!HG12="","Belum",'Database MK'!HF12-'Database MK'!HG12)</f>
        <v>-22</v>
      </c>
      <c r="AO11" s="7">
        <f>IF('Database MK'!HP12="","Belum",'Database MK'!HN12-'Database MK'!HP12)</f>
        <v>-17</v>
      </c>
      <c r="AP11" s="7">
        <f>IF('Database MK'!HV12="","Belum",'Database MK'!HT12-'Database MK'!HV12)</f>
        <v>-15</v>
      </c>
    </row>
    <row r="12" spans="2:42" x14ac:dyDescent="0.2">
      <c r="B12" s="7">
        <f>SUBTOTAL(3,$C$4:C12)</f>
        <v>9</v>
      </c>
      <c r="C12" s="299" t="s">
        <v>244</v>
      </c>
      <c r="D12" s="299" t="s">
        <v>307</v>
      </c>
      <c r="E12" s="299" t="s">
        <v>308</v>
      </c>
      <c r="F12" s="300">
        <v>45748</v>
      </c>
      <c r="G12" s="4" t="s">
        <v>247</v>
      </c>
      <c r="H12" s="4" t="str">
        <f ca="1">'Database MK'!Q13</f>
        <v>DPPP</v>
      </c>
      <c r="I12" s="24">
        <f>'Database MK'!S13</f>
        <v>1</v>
      </c>
      <c r="J12" s="24">
        <f>'Database MK'!T13</f>
        <v>1</v>
      </c>
      <c r="K12" s="603">
        <f>'Database MK'!U13</f>
        <v>0</v>
      </c>
      <c r="L12" s="593">
        <f>'Database MK'!V13</f>
        <v>108</v>
      </c>
      <c r="M12" s="593">
        <f>'Database MK'!W13</f>
        <v>104.4</v>
      </c>
      <c r="N12" s="593">
        <f>Table3[[#This Row],[Total Panjang Pipa Aktual]]-Table3[[#This Row],[Volume
BA MC-0]]</f>
        <v>-3.5999999999999943</v>
      </c>
      <c r="O12" s="7" t="str">
        <f ca="1">'Database MK'!DE13</f>
        <v>Belum, Delay</v>
      </c>
      <c r="P12" s="7" t="str">
        <f ca="1">'Database MK'!DI13</f>
        <v>Belum, Delay</v>
      </c>
      <c r="Q12" s="7" t="str">
        <f ca="1">'Database MK'!DN13</f>
        <v>Sudah, OnSchedule</v>
      </c>
      <c r="R12" s="7" t="str">
        <f ca="1">'Database MK'!DR13</f>
        <v>Sudah, OnSchedule</v>
      </c>
      <c r="S12" s="7" t="str">
        <f ca="1">'Database MK'!EA13</f>
        <v>Belum, Delay</v>
      </c>
      <c r="T12" s="7" t="str">
        <f ca="1">'Database MK'!EI13</f>
        <v>Belum, Delay</v>
      </c>
      <c r="U12" s="7" t="str">
        <f ca="1">'Database MK'!ET13</f>
        <v>Belum, Delay</v>
      </c>
      <c r="V12" s="7" t="str">
        <f ca="1">'Database MK'!GA13</f>
        <v>Belum, Delay</v>
      </c>
      <c r="W12" s="7" t="str">
        <f ca="1">'Database MK'!GD13</f>
        <v>Sudah, OnSchedule</v>
      </c>
      <c r="X12" s="7" t="str">
        <f ca="1">'Database MK'!GG13</f>
        <v>Sudah, OnSchedule</v>
      </c>
      <c r="Y12" s="7" t="str">
        <f ca="1">'Database MK'!GK13</f>
        <v>Sudah, OnSchedule</v>
      </c>
      <c r="Z12" s="7" t="str">
        <f ca="1">'Database MK'!HH13</f>
        <v>Sudah, OnSchedule</v>
      </c>
      <c r="AA12" s="7" t="str">
        <f ca="1">'Database MK'!HQ13</f>
        <v>Sudah, OnSchedule</v>
      </c>
      <c r="AB12" s="7" t="str">
        <f ca="1">'Database MK'!HW13</f>
        <v>Sudah, OnSchedule</v>
      </c>
      <c r="AC12" s="7">
        <f>'Database MK'!DA13-'Database MK'!DB13</f>
        <v>45417</v>
      </c>
      <c r="AD12" s="7">
        <f>'Database MK'!DA13-'Database MK'!DF13</f>
        <v>45417</v>
      </c>
      <c r="AE12" s="7">
        <f>'Database MK'!DK13-'Database MK'!DL13</f>
        <v>36</v>
      </c>
      <c r="AF12" s="7">
        <f>'Database MK'!DK13-'Database MK'!DO13</f>
        <v>17</v>
      </c>
      <c r="AG12" s="7">
        <f>'Database MK'!DU13-'Database MK'!DW13</f>
        <v>45466</v>
      </c>
      <c r="AH12" s="7" t="str">
        <f>IF('Database MK'!EB13="","Belum",'Database MK'!DU13-'Database MK'!EB13)</f>
        <v>Belum</v>
      </c>
      <c r="AI12" s="7" t="str">
        <f>IF('Database MK'!EN13="","Belum",'Database MK'!EL13-'Database MK'!EN13)</f>
        <v>Belum</v>
      </c>
      <c r="AJ12" s="7">
        <f>'Database MK'!FY13-'Database MK'!FZ13</f>
        <v>0</v>
      </c>
      <c r="AK12" s="7">
        <f>IF('Database MK'!GC13="","Belum",'Database MK'!GB13-'Database MK'!GC13)</f>
        <v>78</v>
      </c>
      <c r="AL12" s="7">
        <f>IF('Database MK'!GF13="","Belum",'Database MK'!GE13-'Database MK'!GF13)</f>
        <v>85</v>
      </c>
      <c r="AM12" s="309">
        <f>IF('Database MK'!GJ13="","Belum",'Database MK'!GI13-'Database MK'!GJ13)</f>
        <v>95</v>
      </c>
      <c r="AN12" s="7">
        <f>IF('Database MK'!HG13="","Belum",'Database MK'!HF13-'Database MK'!HG13)</f>
        <v>18</v>
      </c>
      <c r="AO12" s="7">
        <f>IF('Database MK'!HP13="","Belum",'Database MK'!HN13-'Database MK'!HP13)</f>
        <v>23</v>
      </c>
      <c r="AP12" s="7">
        <f>IF('Database MK'!HV13="","Belum",'Database MK'!HT13-'Database MK'!HV13)</f>
        <v>25</v>
      </c>
    </row>
    <row r="13" spans="2:42" x14ac:dyDescent="0.2">
      <c r="B13" s="7">
        <f>SUBTOTAL(3,$C$4:C13)</f>
        <v>10</v>
      </c>
      <c r="C13" s="299" t="s">
        <v>244</v>
      </c>
      <c r="D13" s="299" t="s">
        <v>313</v>
      </c>
      <c r="E13" s="299" t="s">
        <v>314</v>
      </c>
      <c r="F13" s="300">
        <v>45748</v>
      </c>
      <c r="G13" s="4" t="s">
        <v>247</v>
      </c>
      <c r="H13" s="4" t="str">
        <f ca="1">'Database MK'!Q14</f>
        <v>DPPP</v>
      </c>
      <c r="I13" s="24">
        <f>'Database MK'!S14</f>
        <v>1</v>
      </c>
      <c r="J13" s="24">
        <f>'Database MK'!T14</f>
        <v>1</v>
      </c>
      <c r="K13" s="603">
        <f>'Database MK'!U14</f>
        <v>0</v>
      </c>
      <c r="L13" s="593">
        <f>'Database MK'!V14</f>
        <v>9</v>
      </c>
      <c r="M13" s="593">
        <f>'Database MK'!W14</f>
        <v>298.7</v>
      </c>
      <c r="N13" s="593">
        <f>Table3[[#This Row],[Total Panjang Pipa Aktual]]-Table3[[#This Row],[Volume
BA MC-0]]</f>
        <v>289.7</v>
      </c>
      <c r="O13" s="7" t="str">
        <f ca="1">'Database MK'!DE14</f>
        <v>Belum, Delay</v>
      </c>
      <c r="P13" s="7" t="str">
        <f ca="1">'Database MK'!DI14</f>
        <v>Belum, Delay</v>
      </c>
      <c r="Q13" s="7" t="str">
        <f ca="1">'Database MK'!DN14</f>
        <v>Belum, Delay</v>
      </c>
      <c r="R13" s="7" t="str">
        <f ca="1">'Database MK'!DR14</f>
        <v>Belum, Delay</v>
      </c>
      <c r="S13" s="7" t="str">
        <f ca="1">'Database MK'!EA14</f>
        <v>Belum, Delay</v>
      </c>
      <c r="T13" s="7" t="str">
        <f ca="1">'Database MK'!EI14</f>
        <v>Belum, Delay</v>
      </c>
      <c r="U13" s="7" t="str">
        <f ca="1">'Database MK'!ET14</f>
        <v>Belum, Delay</v>
      </c>
      <c r="V13" s="7" t="str">
        <f ca="1">'Database MK'!GA14</f>
        <v>Belum, Delay</v>
      </c>
      <c r="W13" s="7" t="str">
        <f ca="1">'Database MK'!GD14</f>
        <v>Sudah, OnSchedule</v>
      </c>
      <c r="X13" s="7" t="str">
        <f ca="1">'Database MK'!GG14</f>
        <v>Sudah, OnSchedule</v>
      </c>
      <c r="Y13" s="7" t="str">
        <f ca="1">'Database MK'!GK14</f>
        <v>Sudah, OnSchedule</v>
      </c>
      <c r="Z13" s="7" t="str">
        <f ca="1">'Database MK'!HH14</f>
        <v>Sudah, OnSchedule</v>
      </c>
      <c r="AA13" s="7" t="str">
        <f ca="1">'Database MK'!HQ14</f>
        <v>Sudah, OnSchedule</v>
      </c>
      <c r="AB13" s="7" t="str">
        <f ca="1">'Database MK'!HW14</f>
        <v>Sudah, OnSchedule</v>
      </c>
      <c r="AC13" s="7">
        <f>'Database MK'!DA14-'Database MK'!DB14</f>
        <v>45417</v>
      </c>
      <c r="AD13" s="7">
        <f>'Database MK'!DA14-'Database MK'!DF14</f>
        <v>45417</v>
      </c>
      <c r="AE13" s="7">
        <f>'Database MK'!DK14-'Database MK'!DL14</f>
        <v>45466</v>
      </c>
      <c r="AF13" s="7">
        <f>'Database MK'!DK14-'Database MK'!DO14</f>
        <v>45466</v>
      </c>
      <c r="AG13" s="7">
        <f>'Database MK'!DU14-'Database MK'!DW14</f>
        <v>45466</v>
      </c>
      <c r="AH13" s="7" t="str">
        <f>IF('Database MK'!EB14="","Belum",'Database MK'!DU14-'Database MK'!EB14)</f>
        <v>Belum</v>
      </c>
      <c r="AI13" s="7" t="str">
        <f>IF('Database MK'!EN14="","Belum",'Database MK'!EL14-'Database MK'!EN14)</f>
        <v>Belum</v>
      </c>
      <c r="AJ13" s="7">
        <f>'Database MK'!FY14-'Database MK'!FZ14</f>
        <v>0</v>
      </c>
      <c r="AK13" s="7">
        <f>IF('Database MK'!GC14="","Belum",'Database MK'!GB14-'Database MK'!GC14)</f>
        <v>78</v>
      </c>
      <c r="AL13" s="7">
        <f>IF('Database MK'!GF14="","Belum",'Database MK'!GE14-'Database MK'!GF14)</f>
        <v>85</v>
      </c>
      <c r="AM13" s="309">
        <f>IF('Database MK'!GJ14="","Belum",'Database MK'!GI14-'Database MK'!GJ14)</f>
        <v>95</v>
      </c>
      <c r="AN13" s="7">
        <f>IF('Database MK'!HG14="","Belum",'Database MK'!HF14-'Database MK'!HG14)</f>
        <v>18</v>
      </c>
      <c r="AO13" s="7">
        <f>IF('Database MK'!HP14="","Belum",'Database MK'!HN14-'Database MK'!HP14)</f>
        <v>23</v>
      </c>
      <c r="AP13" s="7">
        <f>IF('Database MK'!HV14="","Belum",'Database MK'!HT14-'Database MK'!HV14)</f>
        <v>25</v>
      </c>
    </row>
    <row r="14" spans="2:42" x14ac:dyDescent="0.2">
      <c r="B14" s="7">
        <f>SUBTOTAL(3,$C$4:C14)</f>
        <v>11</v>
      </c>
      <c r="C14" s="299" t="s">
        <v>244</v>
      </c>
      <c r="D14" s="299" t="s">
        <v>316</v>
      </c>
      <c r="E14" s="299" t="s">
        <v>317</v>
      </c>
      <c r="F14" s="300">
        <v>45748</v>
      </c>
      <c r="G14" s="4" t="s">
        <v>247</v>
      </c>
      <c r="H14" s="4" t="str">
        <f ca="1">'Database MK'!Q15</f>
        <v>DPPP</v>
      </c>
      <c r="I14" s="24">
        <f>'Database MK'!S15</f>
        <v>1</v>
      </c>
      <c r="J14" s="24">
        <f>'Database MK'!T15</f>
        <v>1</v>
      </c>
      <c r="K14" s="603">
        <f>'Database MK'!U15</f>
        <v>0</v>
      </c>
      <c r="L14" s="593">
        <f>'Database MK'!V15</f>
        <v>63</v>
      </c>
      <c r="M14" s="593">
        <f>'Database MK'!W15</f>
        <v>63</v>
      </c>
      <c r="N14" s="593">
        <f>Table3[[#This Row],[Total Panjang Pipa Aktual]]-Table3[[#This Row],[Volume
BA MC-0]]</f>
        <v>0</v>
      </c>
      <c r="O14" s="7" t="str">
        <f ca="1">'Database MK'!DE15</f>
        <v>Belum, Delay</v>
      </c>
      <c r="P14" s="7" t="str">
        <f ca="1">'Database MK'!DI15</f>
        <v>Belum, Delay</v>
      </c>
      <c r="Q14" s="7" t="str">
        <f ca="1">'Database MK'!DN15</f>
        <v>Sudah, OnSchedule</v>
      </c>
      <c r="R14" s="7" t="str">
        <f ca="1">'Database MK'!DR15</f>
        <v>Sudah, OnSchedule</v>
      </c>
      <c r="S14" s="7" t="str">
        <f ca="1">'Database MK'!EA15</f>
        <v>Belum, Delay</v>
      </c>
      <c r="T14" s="7" t="str">
        <f ca="1">'Database MK'!EI15</f>
        <v>Belum, Delay</v>
      </c>
      <c r="U14" s="7" t="str">
        <f ca="1">'Database MK'!ET15</f>
        <v>Belum, Delay</v>
      </c>
      <c r="V14" s="7" t="str">
        <f ca="1">'Database MK'!GA15</f>
        <v>Belum, Delay</v>
      </c>
      <c r="W14" s="7" t="str">
        <f ca="1">'Database MK'!GD15</f>
        <v>Sudah, OnSchedule</v>
      </c>
      <c r="X14" s="7" t="str">
        <f ca="1">'Database MK'!GG15</f>
        <v>Sudah, OnSchedule</v>
      </c>
      <c r="Y14" s="7" t="str">
        <f ca="1">'Database MK'!GK15</f>
        <v>Sudah, OnSchedule</v>
      </c>
      <c r="Z14" s="7" t="str">
        <f ca="1">'Database MK'!HH15</f>
        <v>Sudah, OnSchedule</v>
      </c>
      <c r="AA14" s="7" t="str">
        <f ca="1">'Database MK'!HQ15</f>
        <v>Sudah, OnSchedule</v>
      </c>
      <c r="AB14" s="7" t="str">
        <f ca="1">'Database MK'!HW15</f>
        <v>Sudah, OnSchedule</v>
      </c>
      <c r="AC14" s="7">
        <f>'Database MK'!DA15-'Database MK'!DB15</f>
        <v>45417</v>
      </c>
      <c r="AD14" s="7">
        <f>'Database MK'!DA15-'Database MK'!DF15</f>
        <v>45417</v>
      </c>
      <c r="AE14" s="7">
        <f>'Database MK'!DK15-'Database MK'!DL15</f>
        <v>58</v>
      </c>
      <c r="AF14" s="7">
        <f>'Database MK'!DK15-'Database MK'!DO15</f>
        <v>18</v>
      </c>
      <c r="AG14" s="7">
        <f>'Database MK'!DU15-'Database MK'!DW15</f>
        <v>45466</v>
      </c>
      <c r="AH14" s="7" t="str">
        <f>IF('Database MK'!EB15="","Belum",'Database MK'!DU15-'Database MK'!EB15)</f>
        <v>Belum</v>
      </c>
      <c r="AI14" s="7" t="str">
        <f>IF('Database MK'!EN15="","Belum",'Database MK'!EL15-'Database MK'!EN15)</f>
        <v>Belum</v>
      </c>
      <c r="AJ14" s="7">
        <f>'Database MK'!FY15-'Database MK'!FZ15</f>
        <v>0</v>
      </c>
      <c r="AK14" s="7">
        <f>IF('Database MK'!GC15="","Belum",'Database MK'!GB15-'Database MK'!GC15)</f>
        <v>78</v>
      </c>
      <c r="AL14" s="7">
        <f>IF('Database MK'!GF15="","Belum",'Database MK'!GE15-'Database MK'!GF15)</f>
        <v>85</v>
      </c>
      <c r="AM14" s="309">
        <f>IF('Database MK'!GJ15="","Belum",'Database MK'!GI15-'Database MK'!GJ15)</f>
        <v>94</v>
      </c>
      <c r="AN14" s="7">
        <f>IF('Database MK'!HG15="","Belum",'Database MK'!HF15-'Database MK'!HG15)</f>
        <v>18</v>
      </c>
      <c r="AO14" s="7">
        <f>IF('Database MK'!HP15="","Belum",'Database MK'!HN15-'Database MK'!HP15)</f>
        <v>23</v>
      </c>
      <c r="AP14" s="7">
        <f>IF('Database MK'!HV15="","Belum",'Database MK'!HT15-'Database MK'!HV15)</f>
        <v>25</v>
      </c>
    </row>
    <row r="15" spans="2:42" x14ac:dyDescent="0.2">
      <c r="B15" s="7">
        <f>SUBTOTAL(3,$C$4:C15)</f>
        <v>12</v>
      </c>
      <c r="C15" s="299" t="s">
        <v>244</v>
      </c>
      <c r="D15" s="299" t="s">
        <v>321</v>
      </c>
      <c r="E15" s="299" t="s">
        <v>322</v>
      </c>
      <c r="F15" s="300">
        <v>45748</v>
      </c>
      <c r="G15" s="4" t="s">
        <v>247</v>
      </c>
      <c r="H15" s="4" t="str">
        <f ca="1">'Database MK'!Q16</f>
        <v>DPPP</v>
      </c>
      <c r="I15" s="24">
        <f>'Database MK'!S16</f>
        <v>1</v>
      </c>
      <c r="J15" s="24">
        <f>'Database MK'!T16</f>
        <v>1</v>
      </c>
      <c r="K15" s="603">
        <f>'Database MK'!U16</f>
        <v>0</v>
      </c>
      <c r="L15" s="593">
        <f>'Database MK'!V16</f>
        <v>1800</v>
      </c>
      <c r="M15" s="593">
        <f>'Database MK'!W16</f>
        <v>1817.1299999999999</v>
      </c>
      <c r="N15" s="593">
        <f>Table3[[#This Row],[Total Panjang Pipa Aktual]]-Table3[[#This Row],[Volume
BA MC-0]]</f>
        <v>17.129999999999882</v>
      </c>
      <c r="O15" s="7" t="str">
        <f ca="1">'Database MK'!DE16</f>
        <v>Belum, Delay</v>
      </c>
      <c r="P15" s="7" t="str">
        <f ca="1">'Database MK'!DI16</f>
        <v>Belum, Delay</v>
      </c>
      <c r="Q15" s="7" t="str">
        <f ca="1">'Database MK'!DN16</f>
        <v>Sudah, OnSchedule</v>
      </c>
      <c r="R15" s="7" t="str">
        <f ca="1">'Database MK'!DR16</f>
        <v>Sudah, Delay</v>
      </c>
      <c r="S15" s="7" t="str">
        <f ca="1">'Database MK'!EA16</f>
        <v>Belum, Delay</v>
      </c>
      <c r="T15" s="7" t="str">
        <f ca="1">'Database MK'!EI16</f>
        <v>Belum, Delay</v>
      </c>
      <c r="U15" s="7" t="str">
        <f ca="1">'Database MK'!ET16</f>
        <v>Belum, Delay</v>
      </c>
      <c r="V15" s="7" t="str">
        <f ca="1">'Database MK'!GA16</f>
        <v>Belum, Delay</v>
      </c>
      <c r="W15" s="7" t="str">
        <f ca="1">'Database MK'!GD16</f>
        <v>Sudah, OnSchedule</v>
      </c>
      <c r="X15" s="7" t="str">
        <f ca="1">'Database MK'!GG16</f>
        <v>Sudah, OnSchedule</v>
      </c>
      <c r="Y15" s="7" t="str">
        <f ca="1">'Database MK'!GK16</f>
        <v>Sudah, Delay</v>
      </c>
      <c r="Z15" s="7" t="str">
        <f ca="1">'Database MK'!HH16</f>
        <v>Sudah, Delay</v>
      </c>
      <c r="AA15" s="7" t="str">
        <f ca="1">'Database MK'!HQ16</f>
        <v>Sudah, Delay</v>
      </c>
      <c r="AB15" s="7" t="str">
        <f ca="1">'Database MK'!HW16</f>
        <v>Sudah, Delay</v>
      </c>
      <c r="AC15" s="7">
        <f>'Database MK'!DA16-'Database MK'!DB16</f>
        <v>45382</v>
      </c>
      <c r="AD15" s="7">
        <f>'Database MK'!DA16-'Database MK'!DF16</f>
        <v>45382</v>
      </c>
      <c r="AE15" s="7">
        <f>'Database MK'!DK16-'Database MK'!DL16</f>
        <v>16</v>
      </c>
      <c r="AF15" s="7">
        <f>'Database MK'!DK16-'Database MK'!DO16</f>
        <v>-121</v>
      </c>
      <c r="AG15" s="7">
        <f>'Database MK'!DU16-'Database MK'!DW16</f>
        <v>45431</v>
      </c>
      <c r="AH15" s="7" t="str">
        <f>IF('Database MK'!EB16="","Belum",'Database MK'!DU16-'Database MK'!EB16)</f>
        <v>Belum</v>
      </c>
      <c r="AI15" s="7" t="str">
        <f>IF('Database MK'!EN16="","Belum",'Database MK'!EL16-'Database MK'!EN16)</f>
        <v>Belum</v>
      </c>
      <c r="AJ15" s="7">
        <f>'Database MK'!FY16-'Database MK'!FZ16</f>
        <v>0</v>
      </c>
      <c r="AK15" s="7">
        <f>IF('Database MK'!GC16="","Belum",'Database MK'!GB16-'Database MK'!GC16)</f>
        <v>121</v>
      </c>
      <c r="AL15" s="7">
        <f>IF('Database MK'!GF16="","Belum",'Database MK'!GE16-'Database MK'!GF16)</f>
        <v>128</v>
      </c>
      <c r="AM15" s="309">
        <f>IF('Database MK'!GJ16="","Belum",'Database MK'!GI16-'Database MK'!GJ16)</f>
        <v>-251</v>
      </c>
      <c r="AN15" s="7">
        <f>IF('Database MK'!HG16="","Belum",'Database MK'!HF16-'Database MK'!HG16)</f>
        <v>-64</v>
      </c>
      <c r="AO15" s="7">
        <f>IF('Database MK'!HP16="","Belum",'Database MK'!HN16-'Database MK'!HP16)</f>
        <v>-54</v>
      </c>
      <c r="AP15" s="7">
        <f>IF('Database MK'!HV16="","Belum",'Database MK'!HT16-'Database MK'!HV16)</f>
        <v>-52</v>
      </c>
    </row>
    <row r="16" spans="2:42" x14ac:dyDescent="0.2">
      <c r="B16" s="7">
        <f>SUBTOTAL(3,$C$4:C16)</f>
        <v>13</v>
      </c>
      <c r="C16" s="299" t="s">
        <v>244</v>
      </c>
      <c r="D16" s="299" t="s">
        <v>323</v>
      </c>
      <c r="E16" s="299" t="s">
        <v>324</v>
      </c>
      <c r="F16" s="300">
        <v>45748</v>
      </c>
      <c r="G16" s="4" t="s">
        <v>247</v>
      </c>
      <c r="H16" s="4" t="str">
        <f ca="1">'Database MK'!Q17</f>
        <v>DPPP</v>
      </c>
      <c r="I16" s="24">
        <f>'Database MK'!S17</f>
        <v>1</v>
      </c>
      <c r="J16" s="24">
        <f>'Database MK'!T17</f>
        <v>1</v>
      </c>
      <c r="K16" s="603">
        <f>'Database MK'!U17</f>
        <v>0</v>
      </c>
      <c r="L16" s="593">
        <f>'Database MK'!V17</f>
        <v>0</v>
      </c>
      <c r="M16" s="593">
        <f>'Database MK'!W17</f>
        <v>0</v>
      </c>
      <c r="N16" s="593">
        <f>Table3[[#This Row],[Total Panjang Pipa Aktual]]-Table3[[#This Row],[Volume
BA MC-0]]</f>
        <v>0</v>
      </c>
      <c r="O16" s="7" t="str">
        <f ca="1">'Database MK'!DE17</f>
        <v>Belum, Delay</v>
      </c>
      <c r="P16" s="7" t="str">
        <f ca="1">'Database MK'!DI17</f>
        <v>Belum, Delay</v>
      </c>
      <c r="Q16" s="7" t="str">
        <f ca="1">'Database MK'!DN17</f>
        <v>Sudah, OnSchedule</v>
      </c>
      <c r="R16" s="7" t="str">
        <f ca="1">'Database MK'!DR17</f>
        <v>Sudah, OnSchedule</v>
      </c>
      <c r="S16" s="7" t="str">
        <f ca="1">'Database MK'!EA17</f>
        <v>Belum, Delay</v>
      </c>
      <c r="T16" s="7" t="str">
        <f ca="1">'Database MK'!EI17</f>
        <v>Belum, Delay</v>
      </c>
      <c r="U16" s="7" t="str">
        <f ca="1">'Database MK'!ET17</f>
        <v>Belum, Delay</v>
      </c>
      <c r="V16" s="7" t="str">
        <f ca="1">'Database MK'!GA17</f>
        <v>Belum, Delay</v>
      </c>
      <c r="W16" s="7" t="str">
        <f ca="1">'Database MK'!GD17</f>
        <v>Sudah, Delay</v>
      </c>
      <c r="X16" s="7" t="str">
        <f ca="1">'Database MK'!GG17</f>
        <v>Sudah, Delay</v>
      </c>
      <c r="Y16" s="7" t="str">
        <f ca="1">'Database MK'!GK17</f>
        <v>Sudah, OnSchedule</v>
      </c>
      <c r="Z16" s="7" t="str">
        <f ca="1">'Database MK'!HH17</f>
        <v>Sudah, Delay</v>
      </c>
      <c r="AA16" s="7" t="str">
        <f ca="1">'Database MK'!HQ17</f>
        <v>Sudah, Delay</v>
      </c>
      <c r="AB16" s="7" t="str">
        <f ca="1">'Database MK'!HW17</f>
        <v>Sudah, Delay</v>
      </c>
      <c r="AC16" s="7">
        <f>'Database MK'!DA17-'Database MK'!DB17</f>
        <v>45382</v>
      </c>
      <c r="AD16" s="7">
        <f>'Database MK'!DA17-'Database MK'!DF17</f>
        <v>45382</v>
      </c>
      <c r="AE16" s="7">
        <f>'Database MK'!DK17-'Database MK'!DL17</f>
        <v>61</v>
      </c>
      <c r="AF16" s="7">
        <f>'Database MK'!DK17-'Database MK'!DO17</f>
        <v>58</v>
      </c>
      <c r="AG16" s="7">
        <f>'Database MK'!DU17-'Database MK'!DW17</f>
        <v>45431</v>
      </c>
      <c r="AH16" s="7" t="str">
        <f>IF('Database MK'!EB17="","Belum",'Database MK'!DU17-'Database MK'!EB17)</f>
        <v>Belum</v>
      </c>
      <c r="AI16" s="7" t="str">
        <f>IF('Database MK'!EN17="","Belum",'Database MK'!EL17-'Database MK'!EN17)</f>
        <v>Belum</v>
      </c>
      <c r="AJ16" s="7">
        <f>'Database MK'!FY17-'Database MK'!FZ17</f>
        <v>0</v>
      </c>
      <c r="AK16" s="7">
        <f>IF('Database MK'!GC17="","Belum",'Database MK'!GB17-'Database MK'!GC17)</f>
        <v>-233</v>
      </c>
      <c r="AL16" s="7">
        <f>IF('Database MK'!GF17="","Belum",'Database MK'!GE17-'Database MK'!GF17)</f>
        <v>-226</v>
      </c>
      <c r="AM16" s="309">
        <f>IF('Database MK'!GJ17="","Belum",'Database MK'!GI17-'Database MK'!GJ17)</f>
        <v>305</v>
      </c>
      <c r="AN16" s="7">
        <f>IF('Database MK'!HG17="","Belum",'Database MK'!HF17-'Database MK'!HG17)</f>
        <v>-53</v>
      </c>
      <c r="AO16" s="7">
        <f>IF('Database MK'!HP17="","Belum",'Database MK'!HN17-'Database MK'!HP17)</f>
        <v>-68</v>
      </c>
      <c r="AP16" s="7">
        <f>IF('Database MK'!HV17="","Belum",'Database MK'!HT17-'Database MK'!HV17)</f>
        <v>-66</v>
      </c>
    </row>
    <row r="17" spans="2:42" x14ac:dyDescent="0.2">
      <c r="B17" s="7">
        <f>SUBTOTAL(3,$C$4:C17)</f>
        <v>14</v>
      </c>
      <c r="C17" s="299" t="s">
        <v>244</v>
      </c>
      <c r="D17" s="299" t="s">
        <v>331</v>
      </c>
      <c r="E17" s="299" t="s">
        <v>332</v>
      </c>
      <c r="F17" s="300">
        <v>45748</v>
      </c>
      <c r="G17" s="4" t="s">
        <v>247</v>
      </c>
      <c r="H17" s="4" t="str">
        <f ca="1">'Database MK'!Q18</f>
        <v>DPPP</v>
      </c>
      <c r="I17" s="24">
        <f>'Database MK'!S18</f>
        <v>1</v>
      </c>
      <c r="J17" s="24">
        <f>'Database MK'!T18</f>
        <v>1</v>
      </c>
      <c r="K17" s="603">
        <f>'Database MK'!U18</f>
        <v>0</v>
      </c>
      <c r="L17" s="593">
        <f>'Database MK'!V18</f>
        <v>0</v>
      </c>
      <c r="M17" s="593">
        <f>'Database MK'!W18</f>
        <v>0</v>
      </c>
      <c r="N17" s="593">
        <f>Table3[[#This Row],[Total Panjang Pipa Aktual]]-Table3[[#This Row],[Volume
BA MC-0]]</f>
        <v>0</v>
      </c>
      <c r="O17" s="7" t="str">
        <f ca="1">'Database MK'!DE18</f>
        <v>Belum, Delay</v>
      </c>
      <c r="P17" s="7" t="str">
        <f ca="1">'Database MK'!DI18</f>
        <v>Belum, Delay</v>
      </c>
      <c r="Q17" s="7" t="str">
        <f ca="1">'Database MK'!DN18</f>
        <v>Sudah, OnSchedule</v>
      </c>
      <c r="R17" s="7" t="str">
        <f ca="1">'Database MK'!DR18</f>
        <v>Sudah, OnSchedule</v>
      </c>
      <c r="S17" s="7" t="str">
        <f ca="1">'Database MK'!EA18</f>
        <v>Belum, Delay</v>
      </c>
      <c r="T17" s="7" t="str">
        <f ca="1">'Database MK'!EI18</f>
        <v>Belum, Delay</v>
      </c>
      <c r="U17" s="7" t="str">
        <f ca="1">'Database MK'!ET18</f>
        <v>Belum, Delay</v>
      </c>
      <c r="V17" s="7" t="str">
        <f ca="1">'Database MK'!GA18</f>
        <v>Belum, Delay</v>
      </c>
      <c r="W17" s="7" t="str">
        <f ca="1">'Database MK'!GD18</f>
        <v>Sudah, Delay</v>
      </c>
      <c r="X17" s="7" t="str">
        <f ca="1">'Database MK'!GG18</f>
        <v>Sudah, Delay</v>
      </c>
      <c r="Y17" s="7" t="str">
        <f ca="1">'Database MK'!GK18</f>
        <v>Sudah, OnSchedule</v>
      </c>
      <c r="Z17" s="7" t="str">
        <f ca="1">'Database MK'!HH18</f>
        <v>Sudah, Delay</v>
      </c>
      <c r="AA17" s="7" t="str">
        <f ca="1">'Database MK'!HQ18</f>
        <v>Sudah, Delay</v>
      </c>
      <c r="AB17" s="7" t="str">
        <f ca="1">'Database MK'!HW18</f>
        <v>Sudah, Delay</v>
      </c>
      <c r="AC17" s="7">
        <f>'Database MK'!DA18-'Database MK'!DB18</f>
        <v>45382</v>
      </c>
      <c r="AD17" s="7">
        <f>'Database MK'!DA18-'Database MK'!DF18</f>
        <v>45382</v>
      </c>
      <c r="AE17" s="7">
        <f>'Database MK'!DK18-'Database MK'!DL18</f>
        <v>32</v>
      </c>
      <c r="AF17" s="7">
        <f>'Database MK'!DK18-'Database MK'!DO18</f>
        <v>58</v>
      </c>
      <c r="AG17" s="7">
        <f>'Database MK'!DU18-'Database MK'!DW18</f>
        <v>45431</v>
      </c>
      <c r="AH17" s="7" t="str">
        <f>IF('Database MK'!EB18="","Belum",'Database MK'!DU18-'Database MK'!EB18)</f>
        <v>Belum</v>
      </c>
      <c r="AI17" s="7" t="str">
        <f>IF('Database MK'!EN18="","Belum",'Database MK'!EL18-'Database MK'!EN18)</f>
        <v>Belum</v>
      </c>
      <c r="AJ17" s="7">
        <f>'Database MK'!FY18-'Database MK'!FZ18</f>
        <v>0</v>
      </c>
      <c r="AK17" s="7">
        <f>IF('Database MK'!GC18="","Belum",'Database MK'!GB18-'Database MK'!GC18)</f>
        <v>-233</v>
      </c>
      <c r="AL17" s="7">
        <f>IF('Database MK'!GF18="","Belum",'Database MK'!GE18-'Database MK'!GF18)</f>
        <v>-226</v>
      </c>
      <c r="AM17" s="309">
        <f>IF('Database MK'!GJ18="","Belum",'Database MK'!GI18-'Database MK'!GJ18)</f>
        <v>305</v>
      </c>
      <c r="AN17" s="7">
        <f>IF('Database MK'!HG18="","Belum",'Database MK'!HF18-'Database MK'!HG18)</f>
        <v>-53</v>
      </c>
      <c r="AO17" s="7">
        <f>IF('Database MK'!HP18="","Belum",'Database MK'!HN18-'Database MK'!HP18)</f>
        <v>-54</v>
      </c>
      <c r="AP17" s="7">
        <f>IF('Database MK'!HV18="","Belum",'Database MK'!HT18-'Database MK'!HV18)</f>
        <v>-52</v>
      </c>
    </row>
    <row r="18" spans="2:42" x14ac:dyDescent="0.2">
      <c r="B18" s="7">
        <f>SUBTOTAL(3,$C$4:C18)</f>
        <v>15</v>
      </c>
      <c r="C18" s="299" t="s">
        <v>244</v>
      </c>
      <c r="D18" s="299" t="s">
        <v>334</v>
      </c>
      <c r="E18" s="299" t="s">
        <v>335</v>
      </c>
      <c r="F18" s="300">
        <v>45748</v>
      </c>
      <c r="G18" s="4" t="s">
        <v>247</v>
      </c>
      <c r="H18" s="4" t="str">
        <f ca="1">'Database MK'!Q19</f>
        <v>DPPP</v>
      </c>
      <c r="I18" s="24">
        <f>'Database MK'!S19</f>
        <v>1</v>
      </c>
      <c r="J18" s="24">
        <f>'Database MK'!T19</f>
        <v>1</v>
      </c>
      <c r="K18" s="603">
        <f>'Database MK'!U19</f>
        <v>0</v>
      </c>
      <c r="L18" s="593">
        <f>'Database MK'!V19</f>
        <v>0</v>
      </c>
      <c r="M18" s="593">
        <f>'Database MK'!W19</f>
        <v>0</v>
      </c>
      <c r="N18" s="593">
        <f>Table3[[#This Row],[Total Panjang Pipa Aktual]]-Table3[[#This Row],[Volume
BA MC-0]]</f>
        <v>0</v>
      </c>
      <c r="O18" s="7" t="str">
        <f ca="1">'Database MK'!DE19</f>
        <v>Belum, Delay</v>
      </c>
      <c r="P18" s="7" t="str">
        <f ca="1">'Database MK'!DI19</f>
        <v>Belum, Delay</v>
      </c>
      <c r="Q18" s="7" t="str">
        <f ca="1">'Database MK'!DN19</f>
        <v>Belum, Delay</v>
      </c>
      <c r="R18" s="7" t="str">
        <f ca="1">'Database MK'!DR19</f>
        <v>Belum, Delay</v>
      </c>
      <c r="S18" s="7" t="str">
        <f ca="1">'Database MK'!EA19</f>
        <v>Belum, Delay</v>
      </c>
      <c r="T18" s="7" t="str">
        <f ca="1">'Database MK'!EI19</f>
        <v>Belum, Delay</v>
      </c>
      <c r="U18" s="7" t="str">
        <f ca="1">'Database MK'!ET19</f>
        <v>Belum, Delay</v>
      </c>
      <c r="V18" s="7" t="str">
        <f ca="1">'Database MK'!GA19</f>
        <v>Belum, Delay</v>
      </c>
      <c r="W18" s="7" t="str">
        <f ca="1">'Database MK'!GD19</f>
        <v>Sudah, OnSchedule</v>
      </c>
      <c r="X18" s="7" t="str">
        <f ca="1">'Database MK'!GG19</f>
        <v>Sudah, OnSchedule</v>
      </c>
      <c r="Y18" s="7" t="str">
        <f ca="1">'Database MK'!GK19</f>
        <v>Sudah, OnSchedule</v>
      </c>
      <c r="Z18" s="7" t="str">
        <f ca="1">'Database MK'!HH19</f>
        <v>Sudah, OnSchedule</v>
      </c>
      <c r="AA18" s="7" t="str">
        <f ca="1">'Database MK'!HQ19</f>
        <v>Sudah, Delay</v>
      </c>
      <c r="AB18" s="7" t="str">
        <f ca="1">'Database MK'!HW19</f>
        <v>Sudah, Delay</v>
      </c>
      <c r="AC18" s="7">
        <f>'Database MK'!DA19-'Database MK'!DB19</f>
        <v>45382</v>
      </c>
      <c r="AD18" s="7">
        <f>'Database MK'!DA19-'Database MK'!DF19</f>
        <v>45382</v>
      </c>
      <c r="AE18" s="7">
        <f>'Database MK'!DK19-'Database MK'!DL19</f>
        <v>45536</v>
      </c>
      <c r="AF18" s="7">
        <f>'Database MK'!DK19-'Database MK'!DO19</f>
        <v>45536</v>
      </c>
      <c r="AG18" s="7">
        <f>'Database MK'!DU19-'Database MK'!DW19</f>
        <v>45431</v>
      </c>
      <c r="AH18" s="7" t="str">
        <f>IF('Database MK'!EB19="","Belum",'Database MK'!DU19-'Database MK'!EB19)</f>
        <v>Belum</v>
      </c>
      <c r="AI18" s="7" t="str">
        <f>IF('Database MK'!EN19="","Belum",'Database MK'!EL19-'Database MK'!EN19)</f>
        <v>Belum</v>
      </c>
      <c r="AJ18" s="7">
        <f>'Database MK'!FY19-'Database MK'!FZ19</f>
        <v>0</v>
      </c>
      <c r="AK18" s="7">
        <f>IF('Database MK'!GC19="","Belum",'Database MK'!GB19-'Database MK'!GC19)</f>
        <v>29</v>
      </c>
      <c r="AL18" s="7">
        <f>IF('Database MK'!GF19="","Belum",'Database MK'!GE19-'Database MK'!GF19)</f>
        <v>36</v>
      </c>
      <c r="AM18" s="309">
        <f>IF('Database MK'!GJ19="","Belum",'Database MK'!GI19-'Database MK'!GJ19)</f>
        <v>305</v>
      </c>
      <c r="AN18" s="7">
        <f>IF('Database MK'!HG19="","Belum",'Database MK'!HF19-'Database MK'!HG19)</f>
        <v>209</v>
      </c>
      <c r="AO18" s="7">
        <f>IF('Database MK'!HP19="","Belum",'Database MK'!HN19-'Database MK'!HP19)</f>
        <v>-6</v>
      </c>
      <c r="AP18" s="7">
        <f>IF('Database MK'!HV19="","Belum",'Database MK'!HT19-'Database MK'!HV19)</f>
        <v>-4</v>
      </c>
    </row>
    <row r="19" spans="2:42" x14ac:dyDescent="0.2">
      <c r="B19" s="7">
        <f>SUBTOTAL(3,$C$4:C19)</f>
        <v>16</v>
      </c>
      <c r="C19" s="299" t="s">
        <v>244</v>
      </c>
      <c r="D19" s="299" t="s">
        <v>336</v>
      </c>
      <c r="E19" s="299" t="s">
        <v>337</v>
      </c>
      <c r="F19" s="300">
        <v>45748</v>
      </c>
      <c r="G19" s="4" t="s">
        <v>247</v>
      </c>
      <c r="H19" s="4" t="str">
        <f ca="1">'Database MK'!Q20</f>
        <v>DPPP</v>
      </c>
      <c r="I19" s="24">
        <f>'Database MK'!S20</f>
        <v>1</v>
      </c>
      <c r="J19" s="24">
        <f>'Database MK'!T20</f>
        <v>1</v>
      </c>
      <c r="K19" s="603">
        <f>'Database MK'!U20</f>
        <v>0</v>
      </c>
      <c r="L19" s="593">
        <f>'Database MK'!V20</f>
        <v>4661</v>
      </c>
      <c r="M19" s="593">
        <f>'Database MK'!W20</f>
        <v>4433</v>
      </c>
      <c r="N19" s="593">
        <f>Table3[[#This Row],[Total Panjang Pipa Aktual]]-Table3[[#This Row],[Volume
BA MC-0]]</f>
        <v>-228</v>
      </c>
      <c r="O19" s="7" t="str">
        <f ca="1">'Database MK'!DE20</f>
        <v>Belum, Delay</v>
      </c>
      <c r="P19" s="7" t="str">
        <f ca="1">'Database MK'!DI20</f>
        <v>Belum, Delay</v>
      </c>
      <c r="Q19" s="7" t="str">
        <f ca="1">'Database MK'!DN20</f>
        <v>Belum, Delay</v>
      </c>
      <c r="R19" s="7" t="str">
        <f ca="1">'Database MK'!DR20</f>
        <v>Belum, Delay</v>
      </c>
      <c r="S19" s="7" t="str">
        <f ca="1">'Database MK'!EA20</f>
        <v>Belum, Delay</v>
      </c>
      <c r="T19" s="7" t="str">
        <f ca="1">'Database MK'!EI20</f>
        <v>Belum, Delay</v>
      </c>
      <c r="U19" s="7" t="str">
        <f ca="1">'Database MK'!ET20</f>
        <v>Belum, Delay</v>
      </c>
      <c r="V19" s="7" t="str">
        <f ca="1">'Database MK'!GA20</f>
        <v>Belum, Delay</v>
      </c>
      <c r="W19" s="7" t="str">
        <f ca="1">'Database MK'!GD20</f>
        <v>Sudah, OnSchedule</v>
      </c>
      <c r="X19" s="7" t="str">
        <f ca="1">'Database MK'!GG20</f>
        <v>Sudah, OnSchedule</v>
      </c>
      <c r="Y19" s="7" t="str">
        <f ca="1">'Database MK'!GK20</f>
        <v>Sudah, OnSchedule</v>
      </c>
      <c r="Z19" s="7" t="str">
        <f ca="1">'Database MK'!HH20</f>
        <v>Sudah, Delay</v>
      </c>
      <c r="AA19" s="7" t="str">
        <f ca="1">'Database MK'!HQ20</f>
        <v>Sudah, Delay</v>
      </c>
      <c r="AB19" s="7" t="str">
        <f ca="1">'Database MK'!HW20</f>
        <v>Sudah, Delay</v>
      </c>
      <c r="AC19" s="7">
        <f>'Database MK'!DA20-'Database MK'!DB20</f>
        <v>45501</v>
      </c>
      <c r="AD19" s="7">
        <f>'Database MK'!DA20-'Database MK'!DF20</f>
        <v>45501</v>
      </c>
      <c r="AE19" s="7">
        <f>'Database MK'!DK20-'Database MK'!DL20</f>
        <v>45564</v>
      </c>
      <c r="AF19" s="7">
        <f>'Database MK'!DK20-'Database MK'!DO20</f>
        <v>45564</v>
      </c>
      <c r="AG19" s="7">
        <f>'Database MK'!DU20-'Database MK'!DW20</f>
        <v>45543</v>
      </c>
      <c r="AH19" s="7" t="str">
        <f>IF('Database MK'!EB20="","Belum",'Database MK'!DU20-'Database MK'!EB20)</f>
        <v>Belum</v>
      </c>
      <c r="AI19" s="7" t="str">
        <f>IF('Database MK'!EN20="","Belum",'Database MK'!EL20-'Database MK'!EN20)</f>
        <v>Belum</v>
      </c>
      <c r="AJ19" s="7">
        <f>'Database MK'!FY20-'Database MK'!FZ20</f>
        <v>0</v>
      </c>
      <c r="AK19" s="7">
        <f>IF('Database MK'!GC20="","Belum",'Database MK'!GB20-'Database MK'!GC20)</f>
        <v>141</v>
      </c>
      <c r="AL19" s="7">
        <f>IF('Database MK'!GF20="","Belum",'Database MK'!GE20-'Database MK'!GF20)</f>
        <v>148</v>
      </c>
      <c r="AM19" s="309">
        <f>IF('Database MK'!GJ20="","Belum",'Database MK'!GI20-'Database MK'!GJ20)</f>
        <v>96</v>
      </c>
      <c r="AN19" s="7">
        <f>IF('Database MK'!HG20="","Belum",'Database MK'!HF20-'Database MK'!HG20)</f>
        <v>-24</v>
      </c>
      <c r="AO19" s="7">
        <f>IF('Database MK'!HP20="","Belum",'Database MK'!HN20-'Database MK'!HP20)</f>
        <v>-54</v>
      </c>
      <c r="AP19" s="7">
        <f>IF('Database MK'!HV20="","Belum",'Database MK'!HT20-'Database MK'!HV20)</f>
        <v>-52</v>
      </c>
    </row>
    <row r="20" spans="2:42" x14ac:dyDescent="0.2">
      <c r="B20" s="7">
        <f>SUBTOTAL(3,$C$4:C20)</f>
        <v>17</v>
      </c>
      <c r="C20" s="299" t="s">
        <v>244</v>
      </c>
      <c r="D20" s="299" t="s">
        <v>339</v>
      </c>
      <c r="E20" s="299" t="s">
        <v>340</v>
      </c>
      <c r="F20" s="300">
        <v>45748</v>
      </c>
      <c r="G20" s="4" t="s">
        <v>247</v>
      </c>
      <c r="H20" s="4" t="str">
        <f ca="1">'Database MK'!Q21</f>
        <v>DPPP</v>
      </c>
      <c r="I20" s="24">
        <f>'Database MK'!S21</f>
        <v>1</v>
      </c>
      <c r="J20" s="24">
        <f>'Database MK'!T21</f>
        <v>1</v>
      </c>
      <c r="K20" s="603">
        <f>'Database MK'!U21</f>
        <v>0</v>
      </c>
      <c r="L20" s="593">
        <f>'Database MK'!V21</f>
        <v>60</v>
      </c>
      <c r="M20" s="593">
        <f>'Database MK'!W21</f>
        <v>58</v>
      </c>
      <c r="N20" s="593">
        <f>Table3[[#This Row],[Total Panjang Pipa Aktual]]-Table3[[#This Row],[Volume
BA MC-0]]</f>
        <v>-2</v>
      </c>
      <c r="O20" s="7" t="str">
        <f ca="1">'Database MK'!DE21</f>
        <v>Belum, Delay</v>
      </c>
      <c r="P20" s="7" t="str">
        <f ca="1">'Database MK'!DI21</f>
        <v>Belum, Delay</v>
      </c>
      <c r="Q20" s="7" t="str">
        <f ca="1">'Database MK'!DN21</f>
        <v>Sudah, OnSchedule</v>
      </c>
      <c r="R20" s="7" t="str">
        <f ca="1">'Database MK'!DR21</f>
        <v>Sudah, OnSchedule</v>
      </c>
      <c r="S20" s="7" t="str">
        <f ca="1">'Database MK'!EA21</f>
        <v>Belum, Delay</v>
      </c>
      <c r="T20" s="7" t="str">
        <f ca="1">'Database MK'!EI21</f>
        <v>Belum, Delay</v>
      </c>
      <c r="U20" s="7" t="str">
        <f ca="1">'Database MK'!ET21</f>
        <v>Belum, Delay</v>
      </c>
      <c r="V20" s="7" t="str">
        <f ca="1">'Database MK'!GA21</f>
        <v>Belum, Delay</v>
      </c>
      <c r="W20" s="7" t="str">
        <f ca="1">'Database MK'!GD21</f>
        <v>Sudah, OnSchedule</v>
      </c>
      <c r="X20" s="7" t="str">
        <f ca="1">'Database MK'!GG21</f>
        <v>Sudah, OnSchedule</v>
      </c>
      <c r="Y20" s="7" t="str">
        <f ca="1">'Database MK'!GK21</f>
        <v>Sudah, OnSchedule</v>
      </c>
      <c r="Z20" s="7" t="str">
        <f ca="1">'Database MK'!HH21</f>
        <v>Sudah, Delay</v>
      </c>
      <c r="AA20" s="7" t="str">
        <f ca="1">'Database MK'!HQ21</f>
        <v>Sudah, Delay</v>
      </c>
      <c r="AB20" s="7" t="str">
        <f ca="1">'Database MK'!HW21</f>
        <v>Sudah, Delay</v>
      </c>
      <c r="AC20" s="7">
        <f>'Database MK'!DA21-'Database MK'!DB21</f>
        <v>45543</v>
      </c>
      <c r="AD20" s="7">
        <f>'Database MK'!DA21-'Database MK'!DF21</f>
        <v>45543</v>
      </c>
      <c r="AE20" s="7">
        <f>'Database MK'!DK21-'Database MK'!DL21</f>
        <v>50</v>
      </c>
      <c r="AF20" s="7">
        <f>'Database MK'!DK21-'Database MK'!DO21</f>
        <v>6</v>
      </c>
      <c r="AG20" s="7">
        <f>'Database MK'!DU21-'Database MK'!DW21</f>
        <v>45571</v>
      </c>
      <c r="AH20" s="7" t="str">
        <f>IF('Database MK'!EB21="","Belum",'Database MK'!DU21-'Database MK'!EB21)</f>
        <v>Belum</v>
      </c>
      <c r="AI20" s="7" t="str">
        <f>IF('Database MK'!EN21="","Belum",'Database MK'!EL21-'Database MK'!EN21)</f>
        <v>Belum</v>
      </c>
      <c r="AJ20" s="7">
        <f>'Database MK'!FY21-'Database MK'!FZ21</f>
        <v>0</v>
      </c>
      <c r="AK20" s="7">
        <f>IF('Database MK'!GC21="","Belum",'Database MK'!GB21-'Database MK'!GC21)</f>
        <v>25</v>
      </c>
      <c r="AL20" s="7">
        <f>IF('Database MK'!GF21="","Belum",'Database MK'!GE21-'Database MK'!GF21)</f>
        <v>32</v>
      </c>
      <c r="AM20" s="309">
        <f>IF('Database MK'!GJ21="","Belum",'Database MK'!GI21-'Database MK'!GJ21)</f>
        <v>12</v>
      </c>
      <c r="AN20" s="7">
        <f>IF('Database MK'!HG21="","Belum",'Database MK'!HF21-'Database MK'!HG21)</f>
        <v>-57</v>
      </c>
      <c r="AO20" s="7">
        <f>IF('Database MK'!HP21="","Belum",'Database MK'!HN21-'Database MK'!HP21)</f>
        <v>-82</v>
      </c>
      <c r="AP20" s="7">
        <f>IF('Database MK'!HV21="","Belum",'Database MK'!HT21-'Database MK'!HV21)</f>
        <v>-80</v>
      </c>
    </row>
    <row r="21" spans="2:42" x14ac:dyDescent="0.2">
      <c r="B21" s="7">
        <f>SUBTOTAL(3,$C$4:C21)</f>
        <v>18</v>
      </c>
      <c r="C21" s="299" t="s">
        <v>244</v>
      </c>
      <c r="D21" s="299" t="s">
        <v>345</v>
      </c>
      <c r="E21" s="299" t="s">
        <v>346</v>
      </c>
      <c r="F21" s="300">
        <v>45748</v>
      </c>
      <c r="G21" s="4" t="s">
        <v>247</v>
      </c>
      <c r="H21" s="4" t="str">
        <f ca="1">'Database MK'!Q22</f>
        <v>DPPP</v>
      </c>
      <c r="I21" s="24">
        <f>'Database MK'!S22</f>
        <v>1</v>
      </c>
      <c r="J21" s="24">
        <f>'Database MK'!T22</f>
        <v>1</v>
      </c>
      <c r="K21" s="603">
        <f>'Database MK'!U22</f>
        <v>0</v>
      </c>
      <c r="L21" s="593">
        <f>'Database MK'!V22</f>
        <v>64</v>
      </c>
      <c r="M21" s="593">
        <f>'Database MK'!W22</f>
        <v>63</v>
      </c>
      <c r="N21" s="593">
        <f>Table3[[#This Row],[Total Panjang Pipa Aktual]]-Table3[[#This Row],[Volume
BA MC-0]]</f>
        <v>-1</v>
      </c>
      <c r="O21" s="7" t="str">
        <f ca="1">'Database MK'!DE22</f>
        <v>Belum, Delay</v>
      </c>
      <c r="P21" s="7" t="str">
        <f ca="1">'Database MK'!DI22</f>
        <v>Belum, Delay</v>
      </c>
      <c r="Q21" s="7" t="str">
        <f ca="1">'Database MK'!DN22</f>
        <v>Sudah, OnSchedule</v>
      </c>
      <c r="R21" s="7" t="str">
        <f ca="1">'Database MK'!DR22</f>
        <v>Sudah, OnSchedule</v>
      </c>
      <c r="S21" s="7" t="str">
        <f ca="1">'Database MK'!EA22</f>
        <v>Belum, Delay</v>
      </c>
      <c r="T21" s="7" t="str">
        <f ca="1">'Database MK'!EI22</f>
        <v>Belum, Delay</v>
      </c>
      <c r="U21" s="7" t="str">
        <f ca="1">'Database MK'!ET22</f>
        <v>Belum, Delay</v>
      </c>
      <c r="V21" s="7" t="str">
        <f ca="1">'Database MK'!GA22</f>
        <v>Belum, Delay</v>
      </c>
      <c r="W21" s="7" t="str">
        <f ca="1">'Database MK'!GD22</f>
        <v>Sudah, OnSchedule</v>
      </c>
      <c r="X21" s="7" t="str">
        <f ca="1">'Database MK'!GG22</f>
        <v>Sudah, OnSchedule</v>
      </c>
      <c r="Y21" s="7" t="str">
        <f ca="1">'Database MK'!GK22</f>
        <v>Sudah, Delay</v>
      </c>
      <c r="Z21" s="7" t="str">
        <f ca="1">'Database MK'!HH22</f>
        <v>Sudah, Delay</v>
      </c>
      <c r="AA21" s="7" t="str">
        <f ca="1">'Database MK'!HQ22</f>
        <v>Sudah, Delay</v>
      </c>
      <c r="AB21" s="7" t="str">
        <f ca="1">'Database MK'!HW22</f>
        <v>Sudah, Delay</v>
      </c>
      <c r="AC21" s="7">
        <f>'Database MK'!DA22-'Database MK'!DB22</f>
        <v>45543</v>
      </c>
      <c r="AD21" s="7">
        <f>'Database MK'!DA22-'Database MK'!DF22</f>
        <v>45543</v>
      </c>
      <c r="AE21" s="7">
        <f>'Database MK'!DK22-'Database MK'!DL22</f>
        <v>48</v>
      </c>
      <c r="AF21" s="7">
        <f>'Database MK'!DK22-'Database MK'!DO22</f>
        <v>6</v>
      </c>
      <c r="AG21" s="7">
        <f>'Database MK'!DU22-'Database MK'!DW22</f>
        <v>45571</v>
      </c>
      <c r="AH21" s="7" t="str">
        <f>IF('Database MK'!EB22="","Belum",'Database MK'!DU22-'Database MK'!EB22)</f>
        <v>Belum</v>
      </c>
      <c r="AI21" s="7" t="str">
        <f>IF('Database MK'!EN22="","Belum",'Database MK'!EL22-'Database MK'!EN22)</f>
        <v>Belum</v>
      </c>
      <c r="AJ21" s="7">
        <f>'Database MK'!FY22-'Database MK'!FZ22</f>
        <v>0</v>
      </c>
      <c r="AK21" s="7">
        <f>IF('Database MK'!GC22="","Belum",'Database MK'!GB22-'Database MK'!GC22)</f>
        <v>25</v>
      </c>
      <c r="AL21" s="7">
        <f>IF('Database MK'!GF22="","Belum",'Database MK'!GE22-'Database MK'!GF22)</f>
        <v>32</v>
      </c>
      <c r="AM21" s="309">
        <f>IF('Database MK'!GJ22="","Belum",'Database MK'!GI22-'Database MK'!GJ22)</f>
        <v>-352</v>
      </c>
      <c r="AN21" s="7">
        <f>IF('Database MK'!HG22="","Belum",'Database MK'!HF22-'Database MK'!HG22)</f>
        <v>-57</v>
      </c>
      <c r="AO21" s="7">
        <f>IF('Database MK'!HP22="","Belum",'Database MK'!HN22-'Database MK'!HP22)</f>
        <v>-82</v>
      </c>
      <c r="AP21" s="7">
        <f>IF('Database MK'!HV22="","Belum",'Database MK'!HT22-'Database MK'!HV22)</f>
        <v>-80</v>
      </c>
    </row>
    <row r="22" spans="2:42" x14ac:dyDescent="0.2">
      <c r="B22" s="7">
        <f>SUBTOTAL(3,$C$4:C22)</f>
        <v>19</v>
      </c>
      <c r="C22" s="299" t="s">
        <v>244</v>
      </c>
      <c r="D22" s="299" t="s">
        <v>350</v>
      </c>
      <c r="E22" s="299" t="s">
        <v>351</v>
      </c>
      <c r="F22" s="300">
        <v>45748</v>
      </c>
      <c r="G22" s="4" t="s">
        <v>247</v>
      </c>
      <c r="H22" s="4" t="str">
        <f ca="1">'Database MK'!Q23</f>
        <v>DPPP</v>
      </c>
      <c r="I22" s="24">
        <f>'Database MK'!S23</f>
        <v>1</v>
      </c>
      <c r="J22" s="24">
        <f>'Database MK'!T23</f>
        <v>1</v>
      </c>
      <c r="K22" s="603">
        <f>'Database MK'!U23</f>
        <v>0</v>
      </c>
      <c r="L22" s="593">
        <f>'Database MK'!V23</f>
        <v>36</v>
      </c>
      <c r="M22" s="593">
        <f>'Database MK'!W23</f>
        <v>37</v>
      </c>
      <c r="N22" s="593">
        <f>Table3[[#This Row],[Total Panjang Pipa Aktual]]-Table3[[#This Row],[Volume
BA MC-0]]</f>
        <v>1</v>
      </c>
      <c r="O22" s="7" t="str">
        <f ca="1">'Database MK'!DE23</f>
        <v>Belum, Delay</v>
      </c>
      <c r="P22" s="7" t="str">
        <f ca="1">'Database MK'!DI23</f>
        <v>Belum, Delay</v>
      </c>
      <c r="Q22" s="7" t="str">
        <f ca="1">'Database MK'!DN23</f>
        <v>Sudah, OnSchedule</v>
      </c>
      <c r="R22" s="7" t="str">
        <f ca="1">'Database MK'!DR23</f>
        <v>Sudah, OnSchedule</v>
      </c>
      <c r="S22" s="7" t="str">
        <f ca="1">'Database MK'!EA23</f>
        <v>Belum, Delay</v>
      </c>
      <c r="T22" s="7" t="str">
        <f ca="1">'Database MK'!EI23</f>
        <v>Belum, Delay</v>
      </c>
      <c r="U22" s="7" t="str">
        <f ca="1">'Database MK'!ET23</f>
        <v>Belum, Delay</v>
      </c>
      <c r="V22" s="7" t="str">
        <f ca="1">'Database MK'!GA23</f>
        <v>Belum, Delay</v>
      </c>
      <c r="W22" s="7" t="str">
        <f ca="1">'Database MK'!GD23</f>
        <v>Sudah, OnSchedule</v>
      </c>
      <c r="X22" s="7" t="str">
        <f ca="1">'Database MK'!GG23</f>
        <v>Sudah, OnSchedule</v>
      </c>
      <c r="Y22" s="7" t="str">
        <f ca="1">'Database MK'!GK23</f>
        <v>Sudah, OnSchedule</v>
      </c>
      <c r="Z22" s="7" t="str">
        <f ca="1">'Database MK'!HH23</f>
        <v>Sudah, Delay</v>
      </c>
      <c r="AA22" s="7" t="str">
        <f ca="1">'Database MK'!HQ23</f>
        <v>Sudah, Delay</v>
      </c>
      <c r="AB22" s="7" t="str">
        <f ca="1">'Database MK'!HW23</f>
        <v>Sudah, Delay</v>
      </c>
      <c r="AC22" s="7">
        <f>'Database MK'!DA23-'Database MK'!DB23</f>
        <v>45543</v>
      </c>
      <c r="AD22" s="7">
        <f>'Database MK'!DA23-'Database MK'!DF23</f>
        <v>45543</v>
      </c>
      <c r="AE22" s="7">
        <f>'Database MK'!DK23-'Database MK'!DL23</f>
        <v>47</v>
      </c>
      <c r="AF22" s="7">
        <f>'Database MK'!DK23-'Database MK'!DO23</f>
        <v>6</v>
      </c>
      <c r="AG22" s="7">
        <f>'Database MK'!DU23-'Database MK'!DW23</f>
        <v>45571</v>
      </c>
      <c r="AH22" s="7" t="str">
        <f>IF('Database MK'!EB23="","Belum",'Database MK'!DU23-'Database MK'!EB23)</f>
        <v>Belum</v>
      </c>
      <c r="AI22" s="7" t="str">
        <f>IF('Database MK'!EN23="","Belum",'Database MK'!EL23-'Database MK'!EN23)</f>
        <v>Belum</v>
      </c>
      <c r="AJ22" s="7">
        <f>'Database MK'!FY23-'Database MK'!FZ23</f>
        <v>0</v>
      </c>
      <c r="AK22" s="7">
        <f>IF('Database MK'!GC23="","Belum",'Database MK'!GB23-'Database MK'!GC23)</f>
        <v>25</v>
      </c>
      <c r="AL22" s="7">
        <f>IF('Database MK'!GF23="","Belum",'Database MK'!GE23-'Database MK'!GF23)</f>
        <v>32</v>
      </c>
      <c r="AM22" s="309">
        <f>IF('Database MK'!GJ23="","Belum",'Database MK'!GI23-'Database MK'!GJ23)</f>
        <v>13</v>
      </c>
      <c r="AN22" s="7">
        <f>IF('Database MK'!HG23="","Belum",'Database MK'!HF23-'Database MK'!HG23)</f>
        <v>-57</v>
      </c>
      <c r="AO22" s="7">
        <f>IF('Database MK'!HP23="","Belum",'Database MK'!HN23-'Database MK'!HP23)</f>
        <v>-82</v>
      </c>
      <c r="AP22" s="7">
        <f>IF('Database MK'!HV23="","Belum",'Database MK'!HT23-'Database MK'!HV23)</f>
        <v>-80</v>
      </c>
    </row>
    <row r="23" spans="2:42" x14ac:dyDescent="0.2">
      <c r="B23" s="7">
        <f>SUBTOTAL(3,$C$4:C23)</f>
        <v>20</v>
      </c>
      <c r="C23" s="299" t="s">
        <v>244</v>
      </c>
      <c r="D23" s="299" t="s">
        <v>355</v>
      </c>
      <c r="E23" s="299" t="s">
        <v>356</v>
      </c>
      <c r="F23" s="300">
        <v>45748</v>
      </c>
      <c r="G23" s="4" t="s">
        <v>247</v>
      </c>
      <c r="H23" s="4" t="str">
        <f ca="1">'Database MK'!Q24</f>
        <v>DPPP</v>
      </c>
      <c r="I23" s="24">
        <f>'Database MK'!S24</f>
        <v>1</v>
      </c>
      <c r="J23" s="24">
        <f>'Database MK'!T24</f>
        <v>1</v>
      </c>
      <c r="K23" s="603">
        <f>'Database MK'!U24</f>
        <v>0</v>
      </c>
      <c r="L23" s="593">
        <f>'Database MK'!V24</f>
        <v>83</v>
      </c>
      <c r="M23" s="593">
        <f>'Database MK'!W24</f>
        <v>83</v>
      </c>
      <c r="N23" s="593">
        <f>Table3[[#This Row],[Total Panjang Pipa Aktual]]-Table3[[#This Row],[Volume
BA MC-0]]</f>
        <v>0</v>
      </c>
      <c r="O23" s="7" t="str">
        <f ca="1">'Database MK'!DE24</f>
        <v>Belum, Delay</v>
      </c>
      <c r="P23" s="7" t="str">
        <f ca="1">'Database MK'!DI24</f>
        <v>Belum, Delay</v>
      </c>
      <c r="Q23" s="7" t="str">
        <f ca="1">'Database MK'!DN24</f>
        <v>Sudah, OnSchedule</v>
      </c>
      <c r="R23" s="7" t="str">
        <f ca="1">'Database MK'!DR24</f>
        <v>Sudah, OnSchedule</v>
      </c>
      <c r="S23" s="7" t="str">
        <f ca="1">'Database MK'!EA24</f>
        <v>Belum, Delay</v>
      </c>
      <c r="T23" s="7" t="str">
        <f ca="1">'Database MK'!EI24</f>
        <v>Belum, Delay</v>
      </c>
      <c r="U23" s="7" t="str">
        <f ca="1">'Database MK'!ET24</f>
        <v>Belum, Delay</v>
      </c>
      <c r="V23" s="7" t="str">
        <f ca="1">'Database MK'!GA24</f>
        <v>Belum, Delay</v>
      </c>
      <c r="W23" s="7" t="str">
        <f ca="1">'Database MK'!GD24</f>
        <v>Sudah, OnSchedule</v>
      </c>
      <c r="X23" s="7" t="str">
        <f ca="1">'Database MK'!GG24</f>
        <v>Sudah, OnSchedule</v>
      </c>
      <c r="Y23" s="7" t="str">
        <f ca="1">'Database MK'!GK24</f>
        <v>Sudah, OnSchedule</v>
      </c>
      <c r="Z23" s="7" t="str">
        <f ca="1">'Database MK'!HH24</f>
        <v>Sudah, Delay</v>
      </c>
      <c r="AA23" s="7" t="str">
        <f ca="1">'Database MK'!HQ24</f>
        <v>Sudah, Delay</v>
      </c>
      <c r="AB23" s="7" t="str">
        <f ca="1">'Database MK'!HW24</f>
        <v>Sudah, Delay</v>
      </c>
      <c r="AC23" s="7">
        <f>'Database MK'!DA24-'Database MK'!DB24</f>
        <v>45543</v>
      </c>
      <c r="AD23" s="7">
        <f>'Database MK'!DA24-'Database MK'!DF24</f>
        <v>45543</v>
      </c>
      <c r="AE23" s="7">
        <f>'Database MK'!DK24-'Database MK'!DL24</f>
        <v>25</v>
      </c>
      <c r="AF23" s="7">
        <f>'Database MK'!DK24-'Database MK'!DO24</f>
        <v>4</v>
      </c>
      <c r="AG23" s="7">
        <f>'Database MK'!DU24-'Database MK'!DW24</f>
        <v>45571</v>
      </c>
      <c r="AH23" s="7" t="str">
        <f>IF('Database MK'!EB24="","Belum",'Database MK'!DU24-'Database MK'!EB24)</f>
        <v>Belum</v>
      </c>
      <c r="AI23" s="7" t="str">
        <f>IF('Database MK'!EN24="","Belum",'Database MK'!EL24-'Database MK'!EN24)</f>
        <v>Belum</v>
      </c>
      <c r="AJ23" s="7">
        <f>'Database MK'!FY24-'Database MK'!FZ24</f>
        <v>0</v>
      </c>
      <c r="AK23" s="7">
        <f>IF('Database MK'!GC24="","Belum",'Database MK'!GB24-'Database MK'!GC24)</f>
        <v>25</v>
      </c>
      <c r="AL23" s="7">
        <f>IF('Database MK'!GF24="","Belum",'Database MK'!GE24-'Database MK'!GF24)</f>
        <v>32</v>
      </c>
      <c r="AM23" s="309">
        <f>IF('Database MK'!GJ24="","Belum",'Database MK'!GI24-'Database MK'!GJ24)</f>
        <v>13</v>
      </c>
      <c r="AN23" s="7">
        <f>IF('Database MK'!HG24="","Belum",'Database MK'!HF24-'Database MK'!HG24)</f>
        <v>-54</v>
      </c>
      <c r="AO23" s="7">
        <f>IF('Database MK'!HP24="","Belum",'Database MK'!HN24-'Database MK'!HP24)</f>
        <v>-82</v>
      </c>
      <c r="AP23" s="7">
        <f>IF('Database MK'!HV24="","Belum",'Database MK'!HT24-'Database MK'!HV24)</f>
        <v>-80</v>
      </c>
    </row>
    <row r="24" spans="2:42" x14ac:dyDescent="0.2">
      <c r="B24" s="7">
        <f>SUBTOTAL(3,$C$4:C24)</f>
        <v>21</v>
      </c>
      <c r="C24" s="299" t="s">
        <v>244</v>
      </c>
      <c r="D24" s="299" t="s">
        <v>360</v>
      </c>
      <c r="E24" s="299" t="s">
        <v>361</v>
      </c>
      <c r="F24" s="300">
        <v>45748</v>
      </c>
      <c r="G24" s="4" t="s">
        <v>247</v>
      </c>
      <c r="H24" s="4" t="str">
        <f ca="1">'Database MK'!Q25</f>
        <v>DPPP</v>
      </c>
      <c r="I24" s="24">
        <f>'Database MK'!S25</f>
        <v>1</v>
      </c>
      <c r="J24" s="24">
        <f>'Database MK'!T25</f>
        <v>1</v>
      </c>
      <c r="K24" s="603">
        <f>'Database MK'!U25</f>
        <v>0</v>
      </c>
      <c r="L24" s="593">
        <f>'Database MK'!V25</f>
        <v>420</v>
      </c>
      <c r="M24" s="593">
        <f>'Database MK'!W25</f>
        <v>425</v>
      </c>
      <c r="N24" s="593">
        <f>Table3[[#This Row],[Total Panjang Pipa Aktual]]-Table3[[#This Row],[Volume
BA MC-0]]</f>
        <v>5</v>
      </c>
      <c r="O24" s="7" t="str">
        <f ca="1">'Database MK'!DE25</f>
        <v>Belum, Delay</v>
      </c>
      <c r="P24" s="7" t="str">
        <f ca="1">'Database MK'!DI25</f>
        <v>Belum, Delay</v>
      </c>
      <c r="Q24" s="7" t="str">
        <f ca="1">'Database MK'!DN25</f>
        <v>Sudah, Delay</v>
      </c>
      <c r="R24" s="7" t="str">
        <f ca="1">'Database MK'!DR25</f>
        <v>Sudah, Delay</v>
      </c>
      <c r="S24" s="7" t="str">
        <f ca="1">'Database MK'!EA25</f>
        <v>Belum, Delay</v>
      </c>
      <c r="T24" s="7" t="str">
        <f ca="1">'Database MK'!EI25</f>
        <v>Belum, Delay</v>
      </c>
      <c r="U24" s="7" t="str">
        <f ca="1">'Database MK'!ET25</f>
        <v>Belum, Delay</v>
      </c>
      <c r="V24" s="7" t="str">
        <f ca="1">'Database MK'!GA25</f>
        <v>Belum, Delay</v>
      </c>
      <c r="W24" s="7" t="str">
        <f ca="1">'Database MK'!GD25</f>
        <v>Sudah, OnSchedule</v>
      </c>
      <c r="X24" s="7" t="str">
        <f ca="1">'Database MK'!GG25</f>
        <v>Sudah, OnSchedule</v>
      </c>
      <c r="Y24" s="7" t="str">
        <f ca="1">'Database MK'!GK25</f>
        <v>Sudah, OnSchedule</v>
      </c>
      <c r="Z24" s="7" t="str">
        <f ca="1">'Database MK'!HH25</f>
        <v>Sudah, Delay</v>
      </c>
      <c r="AA24" s="7" t="str">
        <f ca="1">'Database MK'!HQ25</f>
        <v>Sudah, Delay</v>
      </c>
      <c r="AB24" s="7" t="str">
        <f ca="1">'Database MK'!HW25</f>
        <v>Sudah, Delay</v>
      </c>
      <c r="AC24" s="7">
        <f>'Database MK'!DA25-'Database MK'!DB25</f>
        <v>45550</v>
      </c>
      <c r="AD24" s="7">
        <f>'Database MK'!DA25-'Database MK'!DF25</f>
        <v>45550</v>
      </c>
      <c r="AE24" s="7">
        <f>'Database MK'!DK25-'Database MK'!DL25</f>
        <v>-373</v>
      </c>
      <c r="AF24" s="7">
        <f>'Database MK'!DK25-'Database MK'!DO25</f>
        <v>-401</v>
      </c>
      <c r="AG24" s="7">
        <f>'Database MK'!DU25-'Database MK'!DW25</f>
        <v>45585</v>
      </c>
      <c r="AH24" s="7" t="str">
        <f>IF('Database MK'!EB25="","Belum",'Database MK'!DU25-'Database MK'!EB25)</f>
        <v>Belum</v>
      </c>
      <c r="AI24" s="7" t="str">
        <f>IF('Database MK'!EN25="","Belum",'Database MK'!EL25-'Database MK'!EN25)</f>
        <v>Belum</v>
      </c>
      <c r="AJ24" s="7">
        <f>'Database MK'!FY25-'Database MK'!FZ25</f>
        <v>0</v>
      </c>
      <c r="AK24" s="7">
        <f>IF('Database MK'!GC25="","Belum",'Database MK'!GB25-'Database MK'!GC25)</f>
        <v>25</v>
      </c>
      <c r="AL24" s="7">
        <f>IF('Database MK'!GF25="","Belum",'Database MK'!GE25-'Database MK'!GF25)</f>
        <v>32</v>
      </c>
      <c r="AM24" s="309">
        <f>IF('Database MK'!GJ25="","Belum",'Database MK'!GI25-'Database MK'!GJ25)</f>
        <v>12</v>
      </c>
      <c r="AN24" s="7">
        <f>IF('Database MK'!HG25="","Belum",'Database MK'!HF25-'Database MK'!HG25)</f>
        <v>-318</v>
      </c>
      <c r="AO24" s="7">
        <f>IF('Database MK'!HP25="","Belum",'Database MK'!HN25-'Database MK'!HP25)</f>
        <v>-301</v>
      </c>
      <c r="AP24" s="7">
        <f>IF('Database MK'!HV25="","Belum",'Database MK'!HT25-'Database MK'!HV25)</f>
        <v>-299</v>
      </c>
    </row>
    <row r="25" spans="2:42" x14ac:dyDescent="0.2">
      <c r="B25" s="7">
        <f>SUBTOTAL(3,$C$4:C25)</f>
        <v>22</v>
      </c>
      <c r="C25" s="299" t="s">
        <v>244</v>
      </c>
      <c r="D25" s="299" t="s">
        <v>366</v>
      </c>
      <c r="E25" s="299" t="s">
        <v>367</v>
      </c>
      <c r="F25" s="300">
        <v>45748</v>
      </c>
      <c r="G25" s="4" t="s">
        <v>247</v>
      </c>
      <c r="H25" s="4" t="str">
        <f ca="1">'Database MK'!Q26</f>
        <v>DPPP</v>
      </c>
      <c r="I25" s="24">
        <f>'Database MK'!S26</f>
        <v>1</v>
      </c>
      <c r="J25" s="24">
        <f>'Database MK'!T26</f>
        <v>1</v>
      </c>
      <c r="K25" s="603">
        <f>'Database MK'!U26</f>
        <v>0</v>
      </c>
      <c r="L25" s="593">
        <f>'Database MK'!V26</f>
        <v>1421</v>
      </c>
      <c r="M25" s="593">
        <f>'Database MK'!W26</f>
        <v>939.5</v>
      </c>
      <c r="N25" s="593">
        <f>Table3[[#This Row],[Total Panjang Pipa Aktual]]-Table3[[#This Row],[Volume
BA MC-0]]</f>
        <v>-481.5</v>
      </c>
      <c r="O25" s="7" t="str">
        <f ca="1">'Database MK'!DE26</f>
        <v>Belum, Delay</v>
      </c>
      <c r="P25" s="7" t="str">
        <f ca="1">'Database MK'!DI26</f>
        <v>Belum, Delay</v>
      </c>
      <c r="Q25" s="7" t="str">
        <f ca="1">'Database MK'!DN26</f>
        <v>Sudah, OnSchedule</v>
      </c>
      <c r="R25" s="7" t="str">
        <f ca="1">'Database MK'!DR26</f>
        <v>Sudah, Delay</v>
      </c>
      <c r="S25" s="7" t="str">
        <f ca="1">'Database MK'!EA26</f>
        <v>Belum, Delay</v>
      </c>
      <c r="T25" s="7" t="str">
        <f ca="1">'Database MK'!EI26</f>
        <v>Belum, Delay</v>
      </c>
      <c r="U25" s="7" t="str">
        <f ca="1">'Database MK'!ET26</f>
        <v>Belum, Delay</v>
      </c>
      <c r="V25" s="7" t="str">
        <f ca="1">'Database MK'!GA26</f>
        <v>Belum, Delay</v>
      </c>
      <c r="W25" s="7" t="str">
        <f ca="1">'Database MK'!GD26</f>
        <v>Sudah, OnSchedule</v>
      </c>
      <c r="X25" s="7" t="str">
        <f ca="1">'Database MK'!GG26</f>
        <v>Sudah, OnSchedule</v>
      </c>
      <c r="Y25" s="7" t="str">
        <f ca="1">'Database MK'!GK26</f>
        <v>Sudah, OnSchedule</v>
      </c>
      <c r="Z25" s="7" t="str">
        <f ca="1">'Database MK'!HH26</f>
        <v>Sudah, Delay</v>
      </c>
      <c r="AA25" s="7" t="str">
        <f ca="1">'Database MK'!HQ26</f>
        <v>Sudah, Delay</v>
      </c>
      <c r="AB25" s="7" t="str">
        <f ca="1">'Database MK'!HW26</f>
        <v>Sudah, Delay</v>
      </c>
      <c r="AC25" s="7">
        <f>'Database MK'!DA26-'Database MK'!DB26</f>
        <v>45466</v>
      </c>
      <c r="AD25" s="7">
        <f>'Database MK'!DA26-'Database MK'!DF26</f>
        <v>45466</v>
      </c>
      <c r="AE25" s="7">
        <f>'Database MK'!DK26-'Database MK'!DL26</f>
        <v>28</v>
      </c>
      <c r="AF25" s="7">
        <f>'Database MK'!DK26-'Database MK'!DO26</f>
        <v>-8</v>
      </c>
      <c r="AG25" s="7">
        <f>'Database MK'!DU26-'Database MK'!DW26</f>
        <v>45508</v>
      </c>
      <c r="AH25" s="7" t="str">
        <f>IF('Database MK'!EB26="","Belum",'Database MK'!DU26-'Database MK'!EB26)</f>
        <v>Belum</v>
      </c>
      <c r="AI25" s="7" t="str">
        <f>IF('Database MK'!EN26="","Belum",'Database MK'!EL26-'Database MK'!EN26)</f>
        <v>Belum</v>
      </c>
      <c r="AJ25" s="7">
        <f>'Database MK'!FY26-'Database MK'!FZ26</f>
        <v>0</v>
      </c>
      <c r="AK25" s="7">
        <f>IF('Database MK'!GC26="","Belum",'Database MK'!GB26-'Database MK'!GC26)</f>
        <v>19</v>
      </c>
      <c r="AL25" s="7">
        <f>IF('Database MK'!GF26="","Belum",'Database MK'!GE26-'Database MK'!GF26)</f>
        <v>26</v>
      </c>
      <c r="AM25" s="309">
        <f>IF('Database MK'!GJ26="","Belum",'Database MK'!GI26-'Database MK'!GJ26)</f>
        <v>1</v>
      </c>
      <c r="AN25" s="7">
        <f>IF('Database MK'!HG26="","Belum",'Database MK'!HF26-'Database MK'!HG26)</f>
        <v>-96</v>
      </c>
      <c r="AO25" s="7">
        <f>IF('Database MK'!HP26="","Belum",'Database MK'!HN26-'Database MK'!HP26)</f>
        <v>-94</v>
      </c>
      <c r="AP25" s="7">
        <f>IF('Database MK'!HV26="","Belum",'Database MK'!HT26-'Database MK'!HV26)</f>
        <v>-92</v>
      </c>
    </row>
    <row r="26" spans="2:42" x14ac:dyDescent="0.2">
      <c r="B26" s="7">
        <f>SUBTOTAL(3,$C$4:C26)</f>
        <v>23</v>
      </c>
      <c r="C26" s="299" t="s">
        <v>244</v>
      </c>
      <c r="D26" s="299" t="s">
        <v>372</v>
      </c>
      <c r="E26" s="299" t="s">
        <v>373</v>
      </c>
      <c r="F26" s="300">
        <v>45748</v>
      </c>
      <c r="G26" s="4" t="s">
        <v>247</v>
      </c>
      <c r="H26" s="4" t="str">
        <f ca="1">'Database MK'!Q27</f>
        <v>DPPP</v>
      </c>
      <c r="I26" s="24">
        <f>'Database MK'!S27</f>
        <v>1</v>
      </c>
      <c r="J26" s="24">
        <f>'Database MK'!T27</f>
        <v>1</v>
      </c>
      <c r="K26" s="603">
        <f>'Database MK'!U27</f>
        <v>0</v>
      </c>
      <c r="L26" s="593">
        <f>'Database MK'!V27</f>
        <v>933</v>
      </c>
      <c r="M26" s="593">
        <f>'Database MK'!W27</f>
        <v>434.9</v>
      </c>
      <c r="N26" s="593">
        <f>Table3[[#This Row],[Total Panjang Pipa Aktual]]-Table3[[#This Row],[Volume
BA MC-0]]</f>
        <v>-498.1</v>
      </c>
      <c r="O26" s="7" t="str">
        <f ca="1">'Database MK'!DE27</f>
        <v>Belum, Delay</v>
      </c>
      <c r="P26" s="7" t="str">
        <f ca="1">'Database MK'!DI27</f>
        <v>Belum, Delay</v>
      </c>
      <c r="Q26" s="7" t="str">
        <f ca="1">'Database MK'!DN27</f>
        <v>Sudah, OnSchedule</v>
      </c>
      <c r="R26" s="7" t="str">
        <f ca="1">'Database MK'!DR27</f>
        <v>Sudah, Delay</v>
      </c>
      <c r="S26" s="7" t="str">
        <f ca="1">'Database MK'!EA27</f>
        <v>Belum, Delay</v>
      </c>
      <c r="T26" s="7" t="str">
        <f ca="1">'Database MK'!EI27</f>
        <v>Belum, Delay</v>
      </c>
      <c r="U26" s="7" t="str">
        <f ca="1">'Database MK'!ET27</f>
        <v>Belum, Delay</v>
      </c>
      <c r="V26" s="7" t="str">
        <f ca="1">'Database MK'!GA27</f>
        <v>Belum, Delay</v>
      </c>
      <c r="W26" s="7" t="str">
        <f ca="1">'Database MK'!GD27</f>
        <v>Sudah, OnSchedule</v>
      </c>
      <c r="X26" s="7" t="str">
        <f ca="1">'Database MK'!GG27</f>
        <v>Sudah, OnSchedule</v>
      </c>
      <c r="Y26" s="7" t="str">
        <f ca="1">'Database MK'!GK27</f>
        <v>Sudah, Delay</v>
      </c>
      <c r="Z26" s="7" t="str">
        <f ca="1">'Database MK'!HH27</f>
        <v>Sudah, Delay</v>
      </c>
      <c r="AA26" s="7" t="str">
        <f ca="1">'Database MK'!HQ27</f>
        <v>Sudah, Delay</v>
      </c>
      <c r="AB26" s="7" t="str">
        <f ca="1">'Database MK'!HW27</f>
        <v>Sudah, Delay</v>
      </c>
      <c r="AC26" s="7">
        <f>'Database MK'!DA27-'Database MK'!DB27</f>
        <v>45466</v>
      </c>
      <c r="AD26" s="7">
        <f>'Database MK'!DA27-'Database MK'!DF27</f>
        <v>45466</v>
      </c>
      <c r="AE26" s="7">
        <f>'Database MK'!DK27-'Database MK'!DL27</f>
        <v>15</v>
      </c>
      <c r="AF26" s="7">
        <f>'Database MK'!DK27-'Database MK'!DO27</f>
        <v>-8</v>
      </c>
      <c r="AG26" s="7">
        <f>'Database MK'!DU27-'Database MK'!DW27</f>
        <v>45508</v>
      </c>
      <c r="AH26" s="7" t="str">
        <f>IF('Database MK'!EB27="","Belum",'Database MK'!DU27-'Database MK'!EB27)</f>
        <v>Belum</v>
      </c>
      <c r="AI26" s="7" t="str">
        <f>IF('Database MK'!EN27="","Belum",'Database MK'!EL27-'Database MK'!EN27)</f>
        <v>Belum</v>
      </c>
      <c r="AJ26" s="7">
        <f>'Database MK'!FY27-'Database MK'!FZ27</f>
        <v>0</v>
      </c>
      <c r="AK26" s="7">
        <f>IF('Database MK'!GC27="","Belum",'Database MK'!GB27-'Database MK'!GC27)</f>
        <v>19</v>
      </c>
      <c r="AL26" s="7">
        <f>IF('Database MK'!GF27="","Belum",'Database MK'!GE27-'Database MK'!GF27)</f>
        <v>26</v>
      </c>
      <c r="AM26" s="309">
        <f>IF('Database MK'!GJ27="","Belum",'Database MK'!GI27-'Database MK'!GJ27)</f>
        <v>-5</v>
      </c>
      <c r="AN26" s="7">
        <f>IF('Database MK'!HG27="","Belum",'Database MK'!HF27-'Database MK'!HG27)</f>
        <v>-57</v>
      </c>
      <c r="AO26" s="7">
        <f>IF('Database MK'!HP27="","Belum",'Database MK'!HN27-'Database MK'!HP27)</f>
        <v>-94</v>
      </c>
      <c r="AP26" s="7">
        <f>IF('Database MK'!HV27="","Belum",'Database MK'!HT27-'Database MK'!HV27)</f>
        <v>-92</v>
      </c>
    </row>
    <row r="27" spans="2:42" x14ac:dyDescent="0.2">
      <c r="B27" s="7">
        <f>SUBTOTAL(3,$C$4:C27)</f>
        <v>24</v>
      </c>
      <c r="C27" s="299" t="s">
        <v>244</v>
      </c>
      <c r="D27" s="299" t="s">
        <v>377</v>
      </c>
      <c r="E27" s="299" t="s">
        <v>378</v>
      </c>
      <c r="F27" s="300">
        <v>45748</v>
      </c>
      <c r="G27" s="4" t="s">
        <v>247</v>
      </c>
      <c r="H27" s="4" t="str">
        <f ca="1">'Database MK'!Q28</f>
        <v>DPPP</v>
      </c>
      <c r="I27" s="24">
        <f>'Database MK'!S28</f>
        <v>1</v>
      </c>
      <c r="J27" s="24">
        <f>'Database MK'!T28</f>
        <v>1</v>
      </c>
      <c r="K27" s="603">
        <f>'Database MK'!U28</f>
        <v>0</v>
      </c>
      <c r="L27" s="593">
        <f>'Database MK'!V28</f>
        <v>1998</v>
      </c>
      <c r="M27" s="593">
        <f>'Database MK'!W28</f>
        <v>1343.3999999999999</v>
      </c>
      <c r="N27" s="593">
        <f>Table3[[#This Row],[Total Panjang Pipa Aktual]]-Table3[[#This Row],[Volume
BA MC-0]]</f>
        <v>-654.60000000000014</v>
      </c>
      <c r="O27" s="7" t="str">
        <f ca="1">'Database MK'!DE28</f>
        <v>Belum, Delay</v>
      </c>
      <c r="P27" s="7" t="str">
        <f ca="1">'Database MK'!DI28</f>
        <v>Belum, Delay</v>
      </c>
      <c r="Q27" s="7" t="str">
        <f ca="1">'Database MK'!DN28</f>
        <v>Sudah, OnSchedule</v>
      </c>
      <c r="R27" s="7" t="str">
        <f ca="1">'Database MK'!DR28</f>
        <v>Sudah, Delay</v>
      </c>
      <c r="S27" s="7" t="str">
        <f ca="1">'Database MK'!EA28</f>
        <v>Belum, Delay</v>
      </c>
      <c r="T27" s="7" t="str">
        <f ca="1">'Database MK'!EI28</f>
        <v>Belum, Delay</v>
      </c>
      <c r="U27" s="7" t="str">
        <f ca="1">'Database MK'!ET28</f>
        <v>Belum, Delay</v>
      </c>
      <c r="V27" s="7" t="str">
        <f ca="1">'Database MK'!GA28</f>
        <v>Belum, Delay</v>
      </c>
      <c r="W27" s="7" t="str">
        <f ca="1">'Database MK'!GD28</f>
        <v>Sudah, OnSchedule</v>
      </c>
      <c r="X27" s="7" t="str">
        <f ca="1">'Database MK'!GG28</f>
        <v>Sudah, OnSchedule</v>
      </c>
      <c r="Y27" s="7" t="str">
        <f ca="1">'Database MK'!GK28</f>
        <v>Sudah, Delay</v>
      </c>
      <c r="Z27" s="7" t="str">
        <f ca="1">'Database MK'!HH28</f>
        <v>Sudah, Delay</v>
      </c>
      <c r="AA27" s="7" t="str">
        <f ca="1">'Database MK'!HQ28</f>
        <v>Sudah, Delay</v>
      </c>
      <c r="AB27" s="7" t="str">
        <f ca="1">'Database MK'!HW28</f>
        <v>Sudah, Delay</v>
      </c>
      <c r="AC27" s="7">
        <f>'Database MK'!DA28-'Database MK'!DB28</f>
        <v>45466</v>
      </c>
      <c r="AD27" s="7">
        <f>'Database MK'!DA28-'Database MK'!DF28</f>
        <v>45466</v>
      </c>
      <c r="AE27" s="7">
        <f>'Database MK'!DK28-'Database MK'!DL28</f>
        <v>28</v>
      </c>
      <c r="AF27" s="7">
        <f>'Database MK'!DK28-'Database MK'!DO28</f>
        <v>-8</v>
      </c>
      <c r="AG27" s="7">
        <f>'Database MK'!DU28-'Database MK'!DW28</f>
        <v>45508</v>
      </c>
      <c r="AH27" s="7" t="str">
        <f>IF('Database MK'!EB28="","Belum",'Database MK'!DU28-'Database MK'!EB28)</f>
        <v>Belum</v>
      </c>
      <c r="AI27" s="7" t="str">
        <f>IF('Database MK'!EN28="","Belum",'Database MK'!EL28-'Database MK'!EN28)</f>
        <v>Belum</v>
      </c>
      <c r="AJ27" s="7">
        <f>'Database MK'!FY28-'Database MK'!FZ28</f>
        <v>0</v>
      </c>
      <c r="AK27" s="7">
        <f>IF('Database MK'!GC28="","Belum",'Database MK'!GB28-'Database MK'!GC28)</f>
        <v>19</v>
      </c>
      <c r="AL27" s="7">
        <f>IF('Database MK'!GF28="","Belum",'Database MK'!GE28-'Database MK'!GF28)</f>
        <v>26</v>
      </c>
      <c r="AM27" s="309">
        <f>IF('Database MK'!GJ28="","Belum",'Database MK'!GI28-'Database MK'!GJ28)</f>
        <v>-3</v>
      </c>
      <c r="AN27" s="7">
        <f>IF('Database MK'!HG28="","Belum",'Database MK'!HF28-'Database MK'!HG28)</f>
        <v>-108</v>
      </c>
      <c r="AO27" s="7">
        <f>IF('Database MK'!HP28="","Belum",'Database MK'!HN28-'Database MK'!HP28)</f>
        <v>-111</v>
      </c>
      <c r="AP27" s="7">
        <f>IF('Database MK'!HV28="","Belum",'Database MK'!HT28-'Database MK'!HV28)</f>
        <v>-109</v>
      </c>
    </row>
    <row r="28" spans="2:42" x14ac:dyDescent="0.2">
      <c r="B28" s="7">
        <f>SUBTOTAL(3,$C$4:C28)</f>
        <v>25</v>
      </c>
      <c r="C28" s="299" t="s">
        <v>244</v>
      </c>
      <c r="D28" s="299" t="s">
        <v>382</v>
      </c>
      <c r="E28" s="299" t="s">
        <v>383</v>
      </c>
      <c r="F28" s="300">
        <v>45748</v>
      </c>
      <c r="G28" s="4" t="s">
        <v>247</v>
      </c>
      <c r="H28" s="4" t="str">
        <f ca="1">'Database MK'!Q29</f>
        <v>DPPP</v>
      </c>
      <c r="I28" s="24">
        <f>'Database MK'!S29</f>
        <v>1</v>
      </c>
      <c r="J28" s="24">
        <f>'Database MK'!T29</f>
        <v>1</v>
      </c>
      <c r="K28" s="603">
        <f>'Database MK'!U29</f>
        <v>0</v>
      </c>
      <c r="L28" s="593">
        <f>'Database MK'!V29</f>
        <v>6906</v>
      </c>
      <c r="M28" s="593">
        <f>'Database MK'!W29</f>
        <v>6730.9000000000005</v>
      </c>
      <c r="N28" s="593">
        <f>Table3[[#This Row],[Total Panjang Pipa Aktual]]-Table3[[#This Row],[Volume
BA MC-0]]</f>
        <v>-175.09999999999945</v>
      </c>
      <c r="O28" s="7" t="str">
        <f ca="1">'Database MK'!DE29</f>
        <v>Belum, Delay</v>
      </c>
      <c r="P28" s="7" t="str">
        <f ca="1">'Database MK'!DI29</f>
        <v>Belum, Delay</v>
      </c>
      <c r="Q28" s="7" t="str">
        <f ca="1">'Database MK'!DN29</f>
        <v>Sudah, OnSchedule</v>
      </c>
      <c r="R28" s="7" t="str">
        <f ca="1">'Database MK'!DR29</f>
        <v>Sudah, Delay</v>
      </c>
      <c r="S28" s="7" t="str">
        <f ca="1">'Database MK'!EA29</f>
        <v>Belum, Delay</v>
      </c>
      <c r="T28" s="7" t="str">
        <f ca="1">'Database MK'!EI29</f>
        <v>Belum, Delay</v>
      </c>
      <c r="U28" s="7" t="str">
        <f ca="1">'Database MK'!ET29</f>
        <v>Belum, Delay</v>
      </c>
      <c r="V28" s="7" t="str">
        <f ca="1">'Database MK'!GA29</f>
        <v>Belum, Delay</v>
      </c>
      <c r="W28" s="7" t="str">
        <f ca="1">'Database MK'!GD29</f>
        <v>Sudah, OnSchedule</v>
      </c>
      <c r="X28" s="7" t="str">
        <f ca="1">'Database MK'!GG29</f>
        <v>Sudah, OnSchedule</v>
      </c>
      <c r="Y28" s="7" t="str">
        <f ca="1">'Database MK'!GK29</f>
        <v>Sudah, Delay</v>
      </c>
      <c r="Z28" s="7" t="str">
        <f ca="1">'Database MK'!HH29</f>
        <v>Sudah, Delay</v>
      </c>
      <c r="AA28" s="7" t="str">
        <f ca="1">'Database MK'!HQ29</f>
        <v>Sudah, Delay</v>
      </c>
      <c r="AB28" s="7" t="str">
        <f ca="1">'Database MK'!HW29</f>
        <v>Sudah, Delay</v>
      </c>
      <c r="AC28" s="7">
        <f>'Database MK'!DA29-'Database MK'!DB29</f>
        <v>45466</v>
      </c>
      <c r="AD28" s="7">
        <f>'Database MK'!DA29-'Database MK'!DF29</f>
        <v>45466</v>
      </c>
      <c r="AE28" s="7">
        <f>'Database MK'!DK29-'Database MK'!DL29</f>
        <v>27</v>
      </c>
      <c r="AF28" s="7">
        <f>'Database MK'!DK29-'Database MK'!DO29</f>
        <v>-8</v>
      </c>
      <c r="AG28" s="7">
        <f>'Database MK'!DU29-'Database MK'!DW29</f>
        <v>45508</v>
      </c>
      <c r="AH28" s="7" t="str">
        <f>IF('Database MK'!EB29="","Belum",'Database MK'!DU29-'Database MK'!EB29)</f>
        <v>Belum</v>
      </c>
      <c r="AI28" s="7" t="str">
        <f>IF('Database MK'!EN29="","Belum",'Database MK'!EL29-'Database MK'!EN29)</f>
        <v>Belum</v>
      </c>
      <c r="AJ28" s="7">
        <f>'Database MK'!FY29-'Database MK'!FZ29</f>
        <v>0</v>
      </c>
      <c r="AK28" s="7">
        <f>IF('Database MK'!GC29="","Belum",'Database MK'!GB29-'Database MK'!GC29)</f>
        <v>19</v>
      </c>
      <c r="AL28" s="7">
        <f>IF('Database MK'!GF29="","Belum",'Database MK'!GE29-'Database MK'!GF29)</f>
        <v>26</v>
      </c>
      <c r="AM28" s="309">
        <f>IF('Database MK'!GJ29="","Belum",'Database MK'!GI29-'Database MK'!GJ29)</f>
        <v>-1</v>
      </c>
      <c r="AN28" s="7">
        <f>IF('Database MK'!HG29="","Belum",'Database MK'!HF29-'Database MK'!HG29)</f>
        <v>-96</v>
      </c>
      <c r="AO28" s="7">
        <f>IF('Database MK'!HP29="","Belum",'Database MK'!HN29-'Database MK'!HP29)</f>
        <v>-94</v>
      </c>
      <c r="AP28" s="7">
        <f>IF('Database MK'!HV29="","Belum",'Database MK'!HT29-'Database MK'!HV29)</f>
        <v>-92</v>
      </c>
    </row>
    <row r="29" spans="2:42" x14ac:dyDescent="0.2">
      <c r="B29" s="7">
        <f>SUBTOTAL(3,$C$4:C29)</f>
        <v>26</v>
      </c>
      <c r="C29" s="301" t="s">
        <v>244</v>
      </c>
      <c r="D29" s="301" t="s">
        <v>387</v>
      </c>
      <c r="E29" s="301" t="s">
        <v>388</v>
      </c>
      <c r="F29" s="302">
        <v>45748</v>
      </c>
      <c r="G29" s="77" t="s">
        <v>247</v>
      </c>
      <c r="H29" s="77" t="str">
        <f>'Database MK'!Q30</f>
        <v>BATAL / CANCEL</v>
      </c>
      <c r="I29" s="604">
        <f>'Database MK'!S30</f>
        <v>1</v>
      </c>
      <c r="J29" s="604">
        <f>'Database MK'!T30</f>
        <v>0</v>
      </c>
      <c r="K29" s="605">
        <f>'Database MK'!U30</f>
        <v>-1</v>
      </c>
      <c r="L29" s="594">
        <f>'Database MK'!V30</f>
        <v>0</v>
      </c>
      <c r="M29" s="594">
        <f>'Database MK'!W30</f>
        <v>0</v>
      </c>
      <c r="N29" s="594">
        <f>Table3[[#This Row],[Total Panjang Pipa Aktual]]-Table3[[#This Row],[Volume
BA MC-0]]</f>
        <v>0</v>
      </c>
      <c r="O29" s="7" t="str">
        <f ca="1">'Database MK'!DE30</f>
        <v>Belum, Delay</v>
      </c>
      <c r="P29" s="7" t="str">
        <f ca="1">'Database MK'!DI30</f>
        <v>Belum, Delay</v>
      </c>
      <c r="Q29" s="7" t="str">
        <f ca="1">'Database MK'!DN30</f>
        <v>Sudah, OnSchedule</v>
      </c>
      <c r="R29" s="7" t="str">
        <f ca="1">'Database MK'!DR30</f>
        <v>Sudah, Delay</v>
      </c>
      <c r="S29" s="7" t="str">
        <f ca="1">'Database MK'!EA30</f>
        <v>Belum, Delay</v>
      </c>
      <c r="T29" s="7" t="str">
        <f ca="1">'Database MK'!EI30</f>
        <v>Belum, Delay</v>
      </c>
      <c r="U29" s="7" t="str">
        <f ca="1">'Database MK'!ET30</f>
        <v>Belum, Delay</v>
      </c>
      <c r="V29" s="7" t="str">
        <f ca="1">'Database MK'!GA30</f>
        <v>Belum, Delay</v>
      </c>
      <c r="W29" s="7" t="str">
        <f ca="1">'Database MK'!GD30</f>
        <v>Sudah, OnSchedule</v>
      </c>
      <c r="X29" s="7" t="str">
        <f ca="1">'Database MK'!GG30</f>
        <v>Sudah, OnSchedule</v>
      </c>
      <c r="Y29" s="7" t="str">
        <f ca="1">'Database MK'!GK30</f>
        <v>Sudah, OnSchedule</v>
      </c>
      <c r="Z29" s="7" t="str">
        <f ca="1">'Database MK'!HH30</f>
        <v>Belum, Delay</v>
      </c>
      <c r="AA29" s="7" t="str">
        <f ca="1">'Database MK'!HQ30</f>
        <v>Belum, Delay</v>
      </c>
      <c r="AB29" s="7" t="str">
        <f ca="1">'Database MK'!HW30</f>
        <v>Belum, Delay</v>
      </c>
      <c r="AC29" s="7">
        <f>'Database MK'!DA30-'Database MK'!DB30</f>
        <v>45466</v>
      </c>
      <c r="AD29" s="7">
        <f>'Database MK'!DA30-'Database MK'!DF30</f>
        <v>45466</v>
      </c>
      <c r="AE29" s="7">
        <f>'Database MK'!DK30-'Database MK'!DL30</f>
        <v>16</v>
      </c>
      <c r="AF29" s="7">
        <f>'Database MK'!DK30-'Database MK'!DO30</f>
        <v>-8</v>
      </c>
      <c r="AG29" s="7">
        <f>'Database MK'!DU30-'Database MK'!DW30</f>
        <v>45508</v>
      </c>
      <c r="AH29" s="7" t="str">
        <f>IF('Database MK'!EB30="","Belum",'Database MK'!DU30-'Database MK'!EB30)</f>
        <v>Belum</v>
      </c>
      <c r="AI29" s="7" t="str">
        <f>IF('Database MK'!EN30="","Belum",'Database MK'!EL30-'Database MK'!EN30)</f>
        <v>Belum</v>
      </c>
      <c r="AJ29" s="7">
        <f>'Database MK'!FY30-'Database MK'!FZ30</f>
        <v>0</v>
      </c>
      <c r="AK29" s="7">
        <f>IF('Database MK'!GC30="","Belum",'Database MK'!GB30-'Database MK'!GC30)</f>
        <v>19</v>
      </c>
      <c r="AL29" s="7">
        <f>IF('Database MK'!GF30="","Belum",'Database MK'!GE30-'Database MK'!GF30)</f>
        <v>26</v>
      </c>
      <c r="AM29" s="309">
        <f>IF('Database MK'!GJ30="","Belum",'Database MK'!GI30-'Database MK'!GJ30)</f>
        <v>1</v>
      </c>
      <c r="AN29" s="7" t="str">
        <f>IF('Database MK'!HG30="","Belum",'Database MK'!HF30-'Database MK'!HG30)</f>
        <v>Belum</v>
      </c>
      <c r="AO29" s="7" t="str">
        <f>IF('Database MK'!HP30="","Belum",'Database MK'!HN30-'Database MK'!HP30)</f>
        <v>Belum</v>
      </c>
      <c r="AP29" s="7" t="str">
        <f>IF('Database MK'!HV30="","Belum",'Database MK'!HT30-'Database MK'!HV30)</f>
        <v>Belum</v>
      </c>
    </row>
    <row r="30" spans="2:42" x14ac:dyDescent="0.2">
      <c r="B30" s="7">
        <f>SUBTOTAL(3,$C$4:C30)</f>
        <v>27</v>
      </c>
      <c r="C30" s="299" t="s">
        <v>244</v>
      </c>
      <c r="D30" s="299" t="s">
        <v>393</v>
      </c>
      <c r="E30" s="299" t="s">
        <v>394</v>
      </c>
      <c r="F30" s="300">
        <v>45748</v>
      </c>
      <c r="G30" s="4" t="s">
        <v>247</v>
      </c>
      <c r="H30" s="4" t="str">
        <f ca="1">'Database MK'!Q31</f>
        <v>DPPP</v>
      </c>
      <c r="I30" s="24">
        <f>'Database MK'!S31</f>
        <v>1</v>
      </c>
      <c r="J30" s="24">
        <f>'Database MK'!T31</f>
        <v>1</v>
      </c>
      <c r="K30" s="603">
        <f>'Database MK'!U31</f>
        <v>0</v>
      </c>
      <c r="L30" s="593">
        <f>'Database MK'!V31</f>
        <v>4360</v>
      </c>
      <c r="M30" s="593">
        <f>'Database MK'!W31</f>
        <v>2052.4</v>
      </c>
      <c r="N30" s="593">
        <f>Table3[[#This Row],[Total Panjang Pipa Aktual]]-Table3[[#This Row],[Volume
BA MC-0]]</f>
        <v>-2307.6</v>
      </c>
      <c r="O30" s="7" t="str">
        <f ca="1">'Database MK'!DE31</f>
        <v>Belum, Delay</v>
      </c>
      <c r="P30" s="7" t="str">
        <f ca="1">'Database MK'!DI31</f>
        <v>Belum, Delay</v>
      </c>
      <c r="Q30" s="7" t="str">
        <f ca="1">'Database MK'!DN31</f>
        <v>Sudah, OnSchedule</v>
      </c>
      <c r="R30" s="7" t="str">
        <f ca="1">'Database MK'!DR31</f>
        <v>Sudah, Delay</v>
      </c>
      <c r="S30" s="7" t="str">
        <f ca="1">'Database MK'!EA31</f>
        <v>Belum, Delay</v>
      </c>
      <c r="T30" s="7" t="str">
        <f ca="1">'Database MK'!EI31</f>
        <v>Belum, Delay</v>
      </c>
      <c r="U30" s="7" t="str">
        <f ca="1">'Database MK'!ET31</f>
        <v>Belum, Delay</v>
      </c>
      <c r="V30" s="7" t="str">
        <f ca="1">'Database MK'!GA31</f>
        <v>Belum, Delay</v>
      </c>
      <c r="W30" s="7" t="str">
        <f ca="1">'Database MK'!GD31</f>
        <v>Sudah, OnSchedule</v>
      </c>
      <c r="X30" s="7" t="str">
        <f ca="1">'Database MK'!GG31</f>
        <v>Sudah, OnSchedule</v>
      </c>
      <c r="Y30" s="7" t="str">
        <f ca="1">'Database MK'!GK31</f>
        <v>Sudah, Delay</v>
      </c>
      <c r="Z30" s="7" t="str">
        <f ca="1">'Database MK'!HH31</f>
        <v>Sudah, Delay</v>
      </c>
      <c r="AA30" s="7" t="str">
        <f ca="1">'Database MK'!HQ31</f>
        <v>Sudah, Delay</v>
      </c>
      <c r="AB30" s="7" t="str">
        <f ca="1">'Database MK'!HW31</f>
        <v>Sudah, Delay</v>
      </c>
      <c r="AC30" s="7">
        <f>'Database MK'!DA31-'Database MK'!DB31</f>
        <v>45466</v>
      </c>
      <c r="AD30" s="7">
        <f>'Database MK'!DA31-'Database MK'!DF31</f>
        <v>45466</v>
      </c>
      <c r="AE30" s="7">
        <f>'Database MK'!DK31-'Database MK'!DL31</f>
        <v>27</v>
      </c>
      <c r="AF30" s="7">
        <f>'Database MK'!DK31-'Database MK'!DO31</f>
        <v>-36</v>
      </c>
      <c r="AG30" s="7">
        <f>'Database MK'!DU31-'Database MK'!DW31</f>
        <v>45508</v>
      </c>
      <c r="AH30" s="7" t="str">
        <f>IF('Database MK'!EB31="","Belum",'Database MK'!DU31-'Database MK'!EB31)</f>
        <v>Belum</v>
      </c>
      <c r="AI30" s="7" t="str">
        <f>IF('Database MK'!EN31="","Belum",'Database MK'!EL31-'Database MK'!EN31)</f>
        <v>Belum</v>
      </c>
      <c r="AJ30" s="7">
        <f>'Database MK'!FY31-'Database MK'!FZ31</f>
        <v>0</v>
      </c>
      <c r="AK30" s="7">
        <f>IF('Database MK'!GC31="","Belum",'Database MK'!GB31-'Database MK'!GC31)</f>
        <v>19</v>
      </c>
      <c r="AL30" s="7">
        <f>IF('Database MK'!GF31="","Belum",'Database MK'!GE31-'Database MK'!GF31)</f>
        <v>26</v>
      </c>
      <c r="AM30" s="309">
        <f>IF('Database MK'!GJ31="","Belum",'Database MK'!GI31-'Database MK'!GJ31)</f>
        <v>-43</v>
      </c>
      <c r="AN30" s="7">
        <f>IF('Database MK'!HG31="","Belum",'Database MK'!HF31-'Database MK'!HG31)</f>
        <v>-110</v>
      </c>
      <c r="AO30" s="7">
        <f>IF('Database MK'!HP31="","Belum",'Database MK'!HN31-'Database MK'!HP31)</f>
        <v>-103</v>
      </c>
      <c r="AP30" s="7">
        <f>IF('Database MK'!HV31="","Belum",'Database MK'!HT31-'Database MK'!HV31)</f>
        <v>-101</v>
      </c>
    </row>
    <row r="31" spans="2:42" x14ac:dyDescent="0.2">
      <c r="B31" s="7">
        <f>SUBTOTAL(3,$C$4:C31)</f>
        <v>28</v>
      </c>
      <c r="C31" s="299" t="s">
        <v>244</v>
      </c>
      <c r="D31" s="299" t="s">
        <v>398</v>
      </c>
      <c r="E31" s="299" t="s">
        <v>399</v>
      </c>
      <c r="F31" s="300">
        <v>45748</v>
      </c>
      <c r="G31" s="4" t="s">
        <v>247</v>
      </c>
      <c r="H31" s="4" t="str">
        <f ca="1">'Database MK'!Q32</f>
        <v>DPPP</v>
      </c>
      <c r="I31" s="24">
        <f>'Database MK'!S32</f>
        <v>1</v>
      </c>
      <c r="J31" s="24">
        <f>'Database MK'!T32</f>
        <v>1</v>
      </c>
      <c r="K31" s="603">
        <f>'Database MK'!U32</f>
        <v>0</v>
      </c>
      <c r="L31" s="593">
        <f>'Database MK'!V32</f>
        <v>3152</v>
      </c>
      <c r="M31" s="593">
        <f>'Database MK'!W32</f>
        <v>1595.8</v>
      </c>
      <c r="N31" s="593">
        <f>Table3[[#This Row],[Total Panjang Pipa Aktual]]-Table3[[#This Row],[Volume
BA MC-0]]</f>
        <v>-1556.2</v>
      </c>
      <c r="O31" s="7" t="str">
        <f ca="1">'Database MK'!DE32</f>
        <v>Belum, Delay</v>
      </c>
      <c r="P31" s="7" t="str">
        <f ca="1">'Database MK'!DI32</f>
        <v>Belum, Delay</v>
      </c>
      <c r="Q31" s="7" t="str">
        <f ca="1">'Database MK'!DN32</f>
        <v>Sudah, OnSchedule</v>
      </c>
      <c r="R31" s="7" t="str">
        <f ca="1">'Database MK'!DR32</f>
        <v>Sudah, Delay</v>
      </c>
      <c r="S31" s="7" t="str">
        <f ca="1">'Database MK'!EA32</f>
        <v>Belum, Delay</v>
      </c>
      <c r="T31" s="7" t="str">
        <f ca="1">'Database MK'!EI32</f>
        <v>Belum, Delay</v>
      </c>
      <c r="U31" s="7" t="str">
        <f ca="1">'Database MK'!ET32</f>
        <v>Belum, Delay</v>
      </c>
      <c r="V31" s="7" t="str">
        <f ca="1">'Database MK'!GA32</f>
        <v>Belum, Delay</v>
      </c>
      <c r="W31" s="7" t="str">
        <f ca="1">'Database MK'!GD32</f>
        <v>Sudah, OnSchedule</v>
      </c>
      <c r="X31" s="7" t="str">
        <f ca="1">'Database MK'!GG32</f>
        <v>Sudah, OnSchedule</v>
      </c>
      <c r="Y31" s="7" t="str">
        <f ca="1">'Database MK'!GK32</f>
        <v>Sudah, Delay</v>
      </c>
      <c r="Z31" s="7" t="str">
        <f ca="1">'Database MK'!HH32</f>
        <v>Sudah, Delay</v>
      </c>
      <c r="AA31" s="7" t="str">
        <f ca="1">'Database MK'!HQ32</f>
        <v>Sudah, Delay</v>
      </c>
      <c r="AB31" s="7" t="str">
        <f ca="1">'Database MK'!HW32</f>
        <v>Sudah, Delay</v>
      </c>
      <c r="AC31" s="7">
        <f>'Database MK'!DA32-'Database MK'!DB32</f>
        <v>45466</v>
      </c>
      <c r="AD31" s="7">
        <f>'Database MK'!DA32-'Database MK'!DF32</f>
        <v>45466</v>
      </c>
      <c r="AE31" s="7">
        <f>'Database MK'!DK32-'Database MK'!DL32</f>
        <v>22</v>
      </c>
      <c r="AF31" s="7">
        <f>'Database MK'!DK32-'Database MK'!DO32</f>
        <v>-36</v>
      </c>
      <c r="AG31" s="7">
        <f>'Database MK'!DU32-'Database MK'!DW32</f>
        <v>45508</v>
      </c>
      <c r="AH31" s="7" t="str">
        <f>IF('Database MK'!EB32="","Belum",'Database MK'!DU32-'Database MK'!EB32)</f>
        <v>Belum</v>
      </c>
      <c r="AI31" s="7" t="str">
        <f>IF('Database MK'!EN32="","Belum",'Database MK'!EL32-'Database MK'!EN32)</f>
        <v>Belum</v>
      </c>
      <c r="AJ31" s="7">
        <f>'Database MK'!FY32-'Database MK'!FZ32</f>
        <v>0</v>
      </c>
      <c r="AK31" s="7">
        <f>IF('Database MK'!GC32="","Belum",'Database MK'!GB32-'Database MK'!GC32)</f>
        <v>19</v>
      </c>
      <c r="AL31" s="7">
        <f>IF('Database MK'!GF32="","Belum",'Database MK'!GE32-'Database MK'!GF32)</f>
        <v>26</v>
      </c>
      <c r="AM31" s="309">
        <f>IF('Database MK'!GJ32="","Belum",'Database MK'!GI32-'Database MK'!GJ32)</f>
        <v>-50</v>
      </c>
      <c r="AN31" s="7">
        <f>IF('Database MK'!HG32="","Belum",'Database MK'!HF32-'Database MK'!HG32)</f>
        <v>-57</v>
      </c>
      <c r="AO31" s="7">
        <f>IF('Database MK'!HP32="","Belum",'Database MK'!HN32-'Database MK'!HP32)</f>
        <v>-94</v>
      </c>
      <c r="AP31" s="7">
        <f>IF('Database MK'!HV32="","Belum",'Database MK'!HT32-'Database MK'!HV32)</f>
        <v>-92</v>
      </c>
    </row>
    <row r="32" spans="2:42" x14ac:dyDescent="0.2">
      <c r="B32" s="7">
        <f>SUBTOTAL(3,$C$4:C32)</f>
        <v>29</v>
      </c>
      <c r="C32" s="299" t="s">
        <v>244</v>
      </c>
      <c r="D32" s="299" t="s">
        <v>403</v>
      </c>
      <c r="E32" s="299" t="s">
        <v>404</v>
      </c>
      <c r="F32" s="300">
        <v>45748</v>
      </c>
      <c r="G32" s="4" t="s">
        <v>247</v>
      </c>
      <c r="H32" s="4" t="str">
        <f ca="1">'Database MK'!Q33</f>
        <v>DPPP</v>
      </c>
      <c r="I32" s="24">
        <f>'Database MK'!S33</f>
        <v>1</v>
      </c>
      <c r="J32" s="24">
        <f>'Database MK'!T33</f>
        <v>1</v>
      </c>
      <c r="K32" s="603">
        <f>'Database MK'!U33</f>
        <v>0</v>
      </c>
      <c r="L32" s="593">
        <f>'Database MK'!V33</f>
        <v>1322</v>
      </c>
      <c r="M32" s="593">
        <f>'Database MK'!W33</f>
        <v>491.2</v>
      </c>
      <c r="N32" s="593">
        <f>Table3[[#This Row],[Total Panjang Pipa Aktual]]-Table3[[#This Row],[Volume
BA MC-0]]</f>
        <v>-830.8</v>
      </c>
      <c r="O32" s="7" t="str">
        <f ca="1">'Database MK'!DE33</f>
        <v>Belum, Delay</v>
      </c>
      <c r="P32" s="7" t="str">
        <f ca="1">'Database MK'!DI33</f>
        <v>Belum, Delay</v>
      </c>
      <c r="Q32" s="7" t="str">
        <f ca="1">'Database MK'!DN33</f>
        <v>Sudah, OnSchedule</v>
      </c>
      <c r="R32" s="7" t="str">
        <f ca="1">'Database MK'!DR33</f>
        <v>Sudah, Delay</v>
      </c>
      <c r="S32" s="7" t="str">
        <f ca="1">'Database MK'!EA33</f>
        <v>Belum, Delay</v>
      </c>
      <c r="T32" s="7" t="str">
        <f ca="1">'Database MK'!EI33</f>
        <v>Belum, Delay</v>
      </c>
      <c r="U32" s="7" t="str">
        <f ca="1">'Database MK'!ET33</f>
        <v>Belum, Delay</v>
      </c>
      <c r="V32" s="7" t="str">
        <f ca="1">'Database MK'!GA33</f>
        <v>Belum, Delay</v>
      </c>
      <c r="W32" s="7" t="str">
        <f ca="1">'Database MK'!GD33</f>
        <v>Sudah, OnSchedule</v>
      </c>
      <c r="X32" s="7" t="str">
        <f ca="1">'Database MK'!GG33</f>
        <v>Sudah, OnSchedule</v>
      </c>
      <c r="Y32" s="7" t="str">
        <f ca="1">'Database MK'!GK33</f>
        <v>Sudah, Delay</v>
      </c>
      <c r="Z32" s="7" t="str">
        <f ca="1">'Database MK'!HH33</f>
        <v>Sudah, Delay</v>
      </c>
      <c r="AA32" s="7" t="str">
        <f ca="1">'Database MK'!HQ33</f>
        <v>Sudah, Delay</v>
      </c>
      <c r="AB32" s="7" t="str">
        <f ca="1">'Database MK'!HW33</f>
        <v>Sudah, Delay</v>
      </c>
      <c r="AC32" s="7">
        <f>'Database MK'!DA33-'Database MK'!DB33</f>
        <v>45466</v>
      </c>
      <c r="AD32" s="7">
        <f>'Database MK'!DA33-'Database MK'!DF33</f>
        <v>45466</v>
      </c>
      <c r="AE32" s="7">
        <f>'Database MK'!DK33-'Database MK'!DL33</f>
        <v>14</v>
      </c>
      <c r="AF32" s="7">
        <f>'Database MK'!DK33-'Database MK'!DO33</f>
        <v>-36</v>
      </c>
      <c r="AG32" s="7">
        <f>'Database MK'!DU33-'Database MK'!DW33</f>
        <v>45508</v>
      </c>
      <c r="AH32" s="7" t="str">
        <f>IF('Database MK'!EB33="","Belum",'Database MK'!DU33-'Database MK'!EB33)</f>
        <v>Belum</v>
      </c>
      <c r="AI32" s="7" t="str">
        <f>IF('Database MK'!EN33="","Belum",'Database MK'!EL33-'Database MK'!EN33)</f>
        <v>Belum</v>
      </c>
      <c r="AJ32" s="7">
        <f>'Database MK'!FY33-'Database MK'!FZ33</f>
        <v>0</v>
      </c>
      <c r="AK32" s="7">
        <f>IF('Database MK'!GC33="","Belum",'Database MK'!GB33-'Database MK'!GC33)</f>
        <v>19</v>
      </c>
      <c r="AL32" s="7">
        <f>IF('Database MK'!GF33="","Belum",'Database MK'!GE33-'Database MK'!GF33)</f>
        <v>26</v>
      </c>
      <c r="AM32" s="309">
        <f>IF('Database MK'!GJ33="","Belum",'Database MK'!GI33-'Database MK'!GJ33)</f>
        <v>-50</v>
      </c>
      <c r="AN32" s="7">
        <f>IF('Database MK'!HG33="","Belum",'Database MK'!HF33-'Database MK'!HG33)</f>
        <v>-87</v>
      </c>
      <c r="AO32" s="7">
        <f>IF('Database MK'!HP33="","Belum",'Database MK'!HN33-'Database MK'!HP33)</f>
        <v>-94</v>
      </c>
      <c r="AP32" s="7">
        <f>IF('Database MK'!HV33="","Belum",'Database MK'!HT33-'Database MK'!HV33)</f>
        <v>-92</v>
      </c>
    </row>
    <row r="33" spans="2:42" x14ac:dyDescent="0.2">
      <c r="B33" s="7">
        <f>SUBTOTAL(3,$C$4:C33)</f>
        <v>30</v>
      </c>
      <c r="C33" s="301" t="s">
        <v>244</v>
      </c>
      <c r="D33" s="301" t="s">
        <v>408</v>
      </c>
      <c r="E33" s="301" t="s">
        <v>409</v>
      </c>
      <c r="F33" s="302">
        <v>45748</v>
      </c>
      <c r="G33" s="77" t="s">
        <v>247</v>
      </c>
      <c r="H33" s="77" t="str">
        <f>'Database MK'!Q34</f>
        <v>BATAL / CANCEL</v>
      </c>
      <c r="I33" s="604">
        <f>'Database MK'!S34</f>
        <v>1</v>
      </c>
      <c r="J33" s="604">
        <f>'Database MK'!T34</f>
        <v>0</v>
      </c>
      <c r="K33" s="605">
        <f>'Database MK'!U34</f>
        <v>-1</v>
      </c>
      <c r="L33" s="594">
        <f>'Database MK'!V34</f>
        <v>0</v>
      </c>
      <c r="M33" s="594">
        <f>'Database MK'!W34</f>
        <v>0</v>
      </c>
      <c r="N33" s="594">
        <f>Table3[[#This Row],[Total Panjang Pipa Aktual]]-Table3[[#This Row],[Volume
BA MC-0]]</f>
        <v>0</v>
      </c>
      <c r="O33" s="7" t="str">
        <f ca="1">'Database MK'!DE34</f>
        <v>Belum, Delay</v>
      </c>
      <c r="P33" s="7" t="str">
        <f ca="1">'Database MK'!DI34</f>
        <v>Belum, Delay</v>
      </c>
      <c r="Q33" s="7" t="str">
        <f ca="1">'Database MK'!DN34</f>
        <v>Sudah, OnSchedule</v>
      </c>
      <c r="R33" s="7" t="str">
        <f ca="1">'Database MK'!DR34</f>
        <v>Sudah, Delay</v>
      </c>
      <c r="S33" s="7" t="str">
        <f ca="1">'Database MK'!EA34</f>
        <v>Belum, Delay</v>
      </c>
      <c r="T33" s="7" t="str">
        <f ca="1">'Database MK'!EI34</f>
        <v>Belum, Delay</v>
      </c>
      <c r="U33" s="7" t="str">
        <f ca="1">'Database MK'!ET34</f>
        <v>Belum, Delay</v>
      </c>
      <c r="V33" s="7" t="str">
        <f ca="1">'Database MK'!GA34</f>
        <v>Belum, Delay</v>
      </c>
      <c r="W33" s="7" t="str">
        <f ca="1">'Database MK'!GD34</f>
        <v>Sudah, OnSchedule</v>
      </c>
      <c r="X33" s="7" t="str">
        <f ca="1">'Database MK'!GG34</f>
        <v>Sudah, OnSchedule</v>
      </c>
      <c r="Y33" s="7" t="str">
        <f ca="1">'Database MK'!GK34</f>
        <v>Belum, Delay</v>
      </c>
      <c r="Z33" s="7" t="str">
        <f ca="1">'Database MK'!HH34</f>
        <v>Belum, Delay</v>
      </c>
      <c r="AA33" s="7" t="str">
        <f ca="1">'Database MK'!HQ34</f>
        <v>Belum, Delay</v>
      </c>
      <c r="AB33" s="7" t="str">
        <f ca="1">'Database MK'!HW34</f>
        <v>Belum, Delay</v>
      </c>
      <c r="AC33" s="7">
        <f>'Database MK'!DA34-'Database MK'!DB34</f>
        <v>45466</v>
      </c>
      <c r="AD33" s="7">
        <f>'Database MK'!DA34-'Database MK'!DF34</f>
        <v>45466</v>
      </c>
      <c r="AE33" s="7">
        <f>'Database MK'!DK34-'Database MK'!DL34</f>
        <v>22</v>
      </c>
      <c r="AF33" s="7">
        <f>'Database MK'!DK34-'Database MK'!DO34</f>
        <v>-36</v>
      </c>
      <c r="AG33" s="7">
        <f>'Database MK'!DU34-'Database MK'!DW34</f>
        <v>45508</v>
      </c>
      <c r="AH33" s="7" t="str">
        <f>IF('Database MK'!EB34="","Belum",'Database MK'!DU34-'Database MK'!EB34)</f>
        <v>Belum</v>
      </c>
      <c r="AI33" s="7" t="str">
        <f>IF('Database MK'!EN34="","Belum",'Database MK'!EL34-'Database MK'!EN34)</f>
        <v>Belum</v>
      </c>
      <c r="AJ33" s="7">
        <f>'Database MK'!FY34-'Database MK'!FZ34</f>
        <v>0</v>
      </c>
      <c r="AK33" s="7">
        <f>IF('Database MK'!GC34="","Belum",'Database MK'!GB34-'Database MK'!GC34)</f>
        <v>19</v>
      </c>
      <c r="AL33" s="7">
        <f>IF('Database MK'!GF34="","Belum",'Database MK'!GE34-'Database MK'!GF34)</f>
        <v>26</v>
      </c>
      <c r="AM33" s="309" t="str">
        <f>IF('Database MK'!GJ34="","Belum",'Database MK'!GI34-'Database MK'!GJ34)</f>
        <v>Belum</v>
      </c>
      <c r="AN33" s="7" t="str">
        <f>IF('Database MK'!HG34="","Belum",'Database MK'!HF34-'Database MK'!HG34)</f>
        <v>Belum</v>
      </c>
      <c r="AO33" s="7" t="str">
        <f>IF('Database MK'!HP34="","Belum",'Database MK'!HN34-'Database MK'!HP34)</f>
        <v>Belum</v>
      </c>
      <c r="AP33" s="7" t="str">
        <f>IF('Database MK'!HV34="","Belum",'Database MK'!HT34-'Database MK'!HV34)</f>
        <v>Belum</v>
      </c>
    </row>
    <row r="34" spans="2:42" x14ac:dyDescent="0.2">
      <c r="B34" s="7">
        <f>SUBTOTAL(3,$C$4:C34)</f>
        <v>31</v>
      </c>
      <c r="C34" s="299" t="s">
        <v>244</v>
      </c>
      <c r="D34" s="299" t="s">
        <v>413</v>
      </c>
      <c r="E34" s="299" t="s">
        <v>414</v>
      </c>
      <c r="F34" s="300">
        <v>45748</v>
      </c>
      <c r="G34" s="4" t="s">
        <v>247</v>
      </c>
      <c r="H34" s="4" t="str">
        <f ca="1">'Database MK'!Q35</f>
        <v>DPPP</v>
      </c>
      <c r="I34" s="24">
        <f>'Database MK'!S35</f>
        <v>1</v>
      </c>
      <c r="J34" s="24">
        <f>'Database MK'!T35</f>
        <v>1</v>
      </c>
      <c r="K34" s="603">
        <f>'Database MK'!U35</f>
        <v>0</v>
      </c>
      <c r="L34" s="593">
        <f>'Database MK'!V35</f>
        <v>2221</v>
      </c>
      <c r="M34" s="593">
        <f>'Database MK'!W35</f>
        <v>1320</v>
      </c>
      <c r="N34" s="593">
        <f>Table3[[#This Row],[Total Panjang Pipa Aktual]]-Table3[[#This Row],[Volume
BA MC-0]]</f>
        <v>-901</v>
      </c>
      <c r="O34" s="7" t="str">
        <f ca="1">'Database MK'!DE35</f>
        <v>Belum, Delay</v>
      </c>
      <c r="P34" s="7" t="str">
        <f ca="1">'Database MK'!DI35</f>
        <v>Belum, Delay</v>
      </c>
      <c r="Q34" s="7" t="str">
        <f ca="1">'Database MK'!DN35</f>
        <v>Sudah, OnSchedule</v>
      </c>
      <c r="R34" s="7" t="str">
        <f ca="1">'Database MK'!DR35</f>
        <v>Sudah, Delay</v>
      </c>
      <c r="S34" s="7" t="str">
        <f ca="1">'Database MK'!EA35</f>
        <v>Belum, Delay</v>
      </c>
      <c r="T34" s="7" t="str">
        <f ca="1">'Database MK'!EI35</f>
        <v>Belum, Delay</v>
      </c>
      <c r="U34" s="7" t="str">
        <f ca="1">'Database MK'!ET35</f>
        <v>Belum, Delay</v>
      </c>
      <c r="V34" s="7" t="str">
        <f ca="1">'Database MK'!GA35</f>
        <v>Belum, Delay</v>
      </c>
      <c r="W34" s="7" t="str">
        <f ca="1">'Database MK'!GD35</f>
        <v>Sudah, OnSchedule</v>
      </c>
      <c r="X34" s="7" t="str">
        <f ca="1">'Database MK'!GG35</f>
        <v>Sudah, OnSchedule</v>
      </c>
      <c r="Y34" s="7" t="str">
        <f ca="1">'Database MK'!GK35</f>
        <v>Sudah, Delay</v>
      </c>
      <c r="Z34" s="7" t="str">
        <f ca="1">'Database MK'!HH35</f>
        <v>Sudah, Delay</v>
      </c>
      <c r="AA34" s="7" t="str">
        <f ca="1">'Database MK'!HQ35</f>
        <v>Sudah, Delay</v>
      </c>
      <c r="AB34" s="7" t="str">
        <f ca="1">'Database MK'!HW35</f>
        <v>Sudah, Delay</v>
      </c>
      <c r="AC34" s="7">
        <f>'Database MK'!DA35-'Database MK'!DB35</f>
        <v>45466</v>
      </c>
      <c r="AD34" s="7">
        <f>'Database MK'!DA35-'Database MK'!DF35</f>
        <v>45466</v>
      </c>
      <c r="AE34" s="7">
        <f>'Database MK'!DK35-'Database MK'!DL35</f>
        <v>10</v>
      </c>
      <c r="AF34" s="7">
        <f>'Database MK'!DK35-'Database MK'!DO35</f>
        <v>-26</v>
      </c>
      <c r="AG34" s="7">
        <f>'Database MK'!DU35-'Database MK'!DW35</f>
        <v>45508</v>
      </c>
      <c r="AH34" s="7" t="str">
        <f>IF('Database MK'!EB35="","Belum",'Database MK'!DU35-'Database MK'!EB35)</f>
        <v>Belum</v>
      </c>
      <c r="AI34" s="7" t="str">
        <f>IF('Database MK'!EN35="","Belum",'Database MK'!EL35-'Database MK'!EN35)</f>
        <v>Belum</v>
      </c>
      <c r="AJ34" s="7">
        <f>'Database MK'!FY35-'Database MK'!FZ35</f>
        <v>0</v>
      </c>
      <c r="AK34" s="7">
        <f>IF('Database MK'!GC35="","Belum",'Database MK'!GB35-'Database MK'!GC35)</f>
        <v>19</v>
      </c>
      <c r="AL34" s="7">
        <f>IF('Database MK'!GF35="","Belum",'Database MK'!GE35-'Database MK'!GF35)</f>
        <v>26</v>
      </c>
      <c r="AM34" s="309">
        <f>IF('Database MK'!GJ35="","Belum",'Database MK'!GI35-'Database MK'!GJ35)</f>
        <v>-47</v>
      </c>
      <c r="AN34" s="7">
        <f>IF('Database MK'!HG35="","Belum",'Database MK'!HF35-'Database MK'!HG35)</f>
        <v>-30</v>
      </c>
      <c r="AO34" s="7">
        <f>IF('Database MK'!HP35="","Belum",'Database MK'!HN35-'Database MK'!HP35)</f>
        <v>-48</v>
      </c>
      <c r="AP34" s="7">
        <f>IF('Database MK'!HV35="","Belum",'Database MK'!HT35-'Database MK'!HV35)</f>
        <v>-46</v>
      </c>
    </row>
    <row r="35" spans="2:42" x14ac:dyDescent="0.2">
      <c r="B35" s="7">
        <f>SUBTOTAL(3,$C$4:C35)</f>
        <v>32</v>
      </c>
      <c r="C35" s="299" t="s">
        <v>244</v>
      </c>
      <c r="D35" s="299" t="s">
        <v>418</v>
      </c>
      <c r="E35" s="299" t="s">
        <v>419</v>
      </c>
      <c r="F35" s="300">
        <v>45748</v>
      </c>
      <c r="G35" s="4" t="s">
        <v>247</v>
      </c>
      <c r="H35" s="4" t="str">
        <f ca="1">'Database MK'!Q36</f>
        <v>DPPP</v>
      </c>
      <c r="I35" s="24">
        <f>'Database MK'!S36</f>
        <v>1</v>
      </c>
      <c r="J35" s="24">
        <f>'Database MK'!T36</f>
        <v>1</v>
      </c>
      <c r="K35" s="603">
        <f>'Database MK'!U36</f>
        <v>0</v>
      </c>
      <c r="L35" s="593">
        <f>'Database MK'!V36</f>
        <v>4499</v>
      </c>
      <c r="M35" s="593">
        <f>'Database MK'!W36</f>
        <v>1363</v>
      </c>
      <c r="N35" s="593">
        <f>Table3[[#This Row],[Total Panjang Pipa Aktual]]-Table3[[#This Row],[Volume
BA MC-0]]</f>
        <v>-3136</v>
      </c>
      <c r="O35" s="7" t="str">
        <f ca="1">'Database MK'!DE36</f>
        <v>Belum, Delay</v>
      </c>
      <c r="P35" s="7" t="str">
        <f ca="1">'Database MK'!DI36</f>
        <v>Belum, Delay</v>
      </c>
      <c r="Q35" s="7" t="str">
        <f ca="1">'Database MK'!DN36</f>
        <v>Sudah, OnSchedule</v>
      </c>
      <c r="R35" s="7" t="str">
        <f ca="1">'Database MK'!DR36</f>
        <v>Sudah, Delay</v>
      </c>
      <c r="S35" s="7" t="str">
        <f ca="1">'Database MK'!EA36</f>
        <v>Belum, Delay</v>
      </c>
      <c r="T35" s="7" t="str">
        <f ca="1">'Database MK'!EI36</f>
        <v>Belum, Delay</v>
      </c>
      <c r="U35" s="7" t="str">
        <f ca="1">'Database MK'!ET36</f>
        <v>Belum, Delay</v>
      </c>
      <c r="V35" s="7" t="str">
        <f ca="1">'Database MK'!GA36</f>
        <v>Belum, Delay</v>
      </c>
      <c r="W35" s="7" t="str">
        <f ca="1">'Database MK'!GD36</f>
        <v>Sudah, OnSchedule</v>
      </c>
      <c r="X35" s="7" t="str">
        <f ca="1">'Database MK'!GG36</f>
        <v>Sudah, OnSchedule</v>
      </c>
      <c r="Y35" s="7" t="str">
        <f ca="1">'Database MK'!GK36</f>
        <v>Sudah, Delay</v>
      </c>
      <c r="Z35" s="7" t="str">
        <f ca="1">'Database MK'!HH36</f>
        <v>Sudah, Delay</v>
      </c>
      <c r="AA35" s="7" t="str">
        <f ca="1">'Database MK'!HQ36</f>
        <v>Sudah, Delay</v>
      </c>
      <c r="AB35" s="7" t="str">
        <f ca="1">'Database MK'!HW36</f>
        <v>Sudah, Delay</v>
      </c>
      <c r="AC35" s="7">
        <f>'Database MK'!DA36-'Database MK'!DB36</f>
        <v>45466</v>
      </c>
      <c r="AD35" s="7">
        <f>'Database MK'!DA36-'Database MK'!DF36</f>
        <v>45466</v>
      </c>
      <c r="AE35" s="7">
        <f>'Database MK'!DK36-'Database MK'!DL36</f>
        <v>14</v>
      </c>
      <c r="AF35" s="7">
        <f>'Database MK'!DK36-'Database MK'!DO36</f>
        <v>-26</v>
      </c>
      <c r="AG35" s="7">
        <f>'Database MK'!DU36-'Database MK'!DW36</f>
        <v>45508</v>
      </c>
      <c r="AH35" s="7" t="str">
        <f>IF('Database MK'!EB36="","Belum",'Database MK'!DU36-'Database MK'!EB36)</f>
        <v>Belum</v>
      </c>
      <c r="AI35" s="7" t="str">
        <f>IF('Database MK'!EN36="","Belum",'Database MK'!EL36-'Database MK'!EN36)</f>
        <v>Belum</v>
      </c>
      <c r="AJ35" s="7">
        <f>'Database MK'!FY36-'Database MK'!FZ36</f>
        <v>0</v>
      </c>
      <c r="AK35" s="7">
        <f>IF('Database MK'!GC36="","Belum",'Database MK'!GB36-'Database MK'!GC36)</f>
        <v>19</v>
      </c>
      <c r="AL35" s="7">
        <f>IF('Database MK'!GF36="","Belum",'Database MK'!GE36-'Database MK'!GF36)</f>
        <v>26</v>
      </c>
      <c r="AM35" s="309">
        <f>IF('Database MK'!GJ36="","Belum",'Database MK'!GI36-'Database MK'!GJ36)</f>
        <v>-64</v>
      </c>
      <c r="AN35" s="7">
        <f>IF('Database MK'!HG36="","Belum",'Database MK'!HF36-'Database MK'!HG36)</f>
        <v>-30</v>
      </c>
      <c r="AO35" s="7">
        <f>IF('Database MK'!HP36="","Belum",'Database MK'!HN36-'Database MK'!HP36)</f>
        <v>-48</v>
      </c>
      <c r="AP35" s="7">
        <f>IF('Database MK'!HV36="","Belum",'Database MK'!HT36-'Database MK'!HV36)</f>
        <v>-46</v>
      </c>
    </row>
    <row r="36" spans="2:42" x14ac:dyDescent="0.2">
      <c r="B36" s="7">
        <f>SUBTOTAL(3,$C$4:C36)</f>
        <v>33</v>
      </c>
      <c r="C36" s="299" t="s">
        <v>244</v>
      </c>
      <c r="D36" s="299" t="s">
        <v>423</v>
      </c>
      <c r="E36" s="299" t="s">
        <v>424</v>
      </c>
      <c r="F36" s="300">
        <v>45748</v>
      </c>
      <c r="G36" s="4" t="s">
        <v>247</v>
      </c>
      <c r="H36" s="4" t="str">
        <f ca="1">'Database MK'!Q37</f>
        <v>DPPP</v>
      </c>
      <c r="I36" s="24">
        <f>'Database MK'!S37</f>
        <v>1</v>
      </c>
      <c r="J36" s="24">
        <f>'Database MK'!T37</f>
        <v>1</v>
      </c>
      <c r="K36" s="603">
        <f>'Database MK'!U37</f>
        <v>0</v>
      </c>
      <c r="L36" s="593">
        <f>'Database MK'!V37</f>
        <v>2511</v>
      </c>
      <c r="M36" s="593">
        <f>'Database MK'!W37</f>
        <v>1361.3</v>
      </c>
      <c r="N36" s="593">
        <f>Table3[[#This Row],[Total Panjang Pipa Aktual]]-Table3[[#This Row],[Volume
BA MC-0]]</f>
        <v>-1149.7</v>
      </c>
      <c r="O36" s="7" t="str">
        <f ca="1">'Database MK'!DE37</f>
        <v>Belum, Delay</v>
      </c>
      <c r="P36" s="7" t="str">
        <f ca="1">'Database MK'!DI37</f>
        <v>Belum, Delay</v>
      </c>
      <c r="Q36" s="7" t="str">
        <f ca="1">'Database MK'!DN37</f>
        <v>Sudah, OnSchedule</v>
      </c>
      <c r="R36" s="7" t="str">
        <f ca="1">'Database MK'!DR37</f>
        <v>Sudah, Delay</v>
      </c>
      <c r="S36" s="7" t="str">
        <f ca="1">'Database MK'!EA37</f>
        <v>Belum, Delay</v>
      </c>
      <c r="T36" s="7" t="str">
        <f ca="1">'Database MK'!EI37</f>
        <v>Belum, Delay</v>
      </c>
      <c r="U36" s="7" t="str">
        <f ca="1">'Database MK'!ET37</f>
        <v>Belum, Delay</v>
      </c>
      <c r="V36" s="7" t="str">
        <f ca="1">'Database MK'!GA37</f>
        <v>Belum, Delay</v>
      </c>
      <c r="W36" s="7" t="str">
        <f ca="1">'Database MK'!GD37</f>
        <v>Sudah, OnSchedule</v>
      </c>
      <c r="X36" s="7" t="str">
        <f ca="1">'Database MK'!GG37</f>
        <v>Sudah, OnSchedule</v>
      </c>
      <c r="Y36" s="7" t="str">
        <f ca="1">'Database MK'!GK37</f>
        <v>Sudah, Delay</v>
      </c>
      <c r="Z36" s="7" t="str">
        <f ca="1">'Database MK'!HH37</f>
        <v>Sudah, Delay</v>
      </c>
      <c r="AA36" s="7" t="str">
        <f ca="1">'Database MK'!HQ37</f>
        <v>Sudah, Delay</v>
      </c>
      <c r="AB36" s="7" t="str">
        <f ca="1">'Database MK'!HW37</f>
        <v>Sudah, Delay</v>
      </c>
      <c r="AC36" s="7">
        <f>'Database MK'!DA37-'Database MK'!DB37</f>
        <v>45466</v>
      </c>
      <c r="AD36" s="7">
        <f>'Database MK'!DA37-'Database MK'!DF37</f>
        <v>45466</v>
      </c>
      <c r="AE36" s="7">
        <f>'Database MK'!DK37-'Database MK'!DL37</f>
        <v>21</v>
      </c>
      <c r="AF36" s="7">
        <f>'Database MK'!DK37-'Database MK'!DO37</f>
        <v>-26</v>
      </c>
      <c r="AG36" s="7">
        <f>'Database MK'!DU37-'Database MK'!DW37</f>
        <v>45508</v>
      </c>
      <c r="AH36" s="7" t="str">
        <f>IF('Database MK'!EB37="","Belum",'Database MK'!DU37-'Database MK'!EB37)</f>
        <v>Belum</v>
      </c>
      <c r="AI36" s="7" t="str">
        <f>IF('Database MK'!EN37="","Belum",'Database MK'!EL37-'Database MK'!EN37)</f>
        <v>Belum</v>
      </c>
      <c r="AJ36" s="7">
        <f>'Database MK'!FY37-'Database MK'!FZ37</f>
        <v>0</v>
      </c>
      <c r="AK36" s="7">
        <f>IF('Database MK'!GC37="","Belum",'Database MK'!GB37-'Database MK'!GC37)</f>
        <v>19</v>
      </c>
      <c r="AL36" s="7">
        <f>IF('Database MK'!GF37="","Belum",'Database MK'!GE37-'Database MK'!GF37)</f>
        <v>26</v>
      </c>
      <c r="AM36" s="309">
        <f>IF('Database MK'!GJ37="","Belum",'Database MK'!GI37-'Database MK'!GJ37)</f>
        <v>-52</v>
      </c>
      <c r="AN36" s="7">
        <f>IF('Database MK'!HG37="","Belum",'Database MK'!HF37-'Database MK'!HG37)</f>
        <v>-59</v>
      </c>
      <c r="AO36" s="7">
        <f>IF('Database MK'!HP37="","Belum",'Database MK'!HN37-'Database MK'!HP37)</f>
        <v>-48</v>
      </c>
      <c r="AP36" s="7">
        <f>IF('Database MK'!HV37="","Belum",'Database MK'!HT37-'Database MK'!HV37)</f>
        <v>-46</v>
      </c>
    </row>
    <row r="37" spans="2:42" x14ac:dyDescent="0.2">
      <c r="B37" s="7">
        <f>SUBTOTAL(3,$C$4:C37)</f>
        <v>34</v>
      </c>
      <c r="C37" s="299" t="s">
        <v>244</v>
      </c>
      <c r="D37" s="299" t="s">
        <v>428</v>
      </c>
      <c r="E37" s="299" t="s">
        <v>429</v>
      </c>
      <c r="F37" s="300">
        <v>45748</v>
      </c>
      <c r="G37" s="4" t="s">
        <v>247</v>
      </c>
      <c r="H37" s="4" t="str">
        <f ca="1">'Database MK'!Q38</f>
        <v>DPPP</v>
      </c>
      <c r="I37" s="24">
        <f>'Database MK'!S38</f>
        <v>1</v>
      </c>
      <c r="J37" s="24">
        <f>'Database MK'!T38</f>
        <v>1</v>
      </c>
      <c r="K37" s="603">
        <f>'Database MK'!U38</f>
        <v>0</v>
      </c>
      <c r="L37" s="593">
        <f>'Database MK'!V38</f>
        <v>1541</v>
      </c>
      <c r="M37" s="593">
        <f>'Database MK'!W38</f>
        <v>607.70000000000005</v>
      </c>
      <c r="N37" s="593">
        <f>Table3[[#This Row],[Total Panjang Pipa Aktual]]-Table3[[#This Row],[Volume
BA MC-0]]</f>
        <v>-933.3</v>
      </c>
      <c r="O37" s="7" t="str">
        <f ca="1">'Database MK'!DE38</f>
        <v>Belum, Delay</v>
      </c>
      <c r="P37" s="7" t="str">
        <f ca="1">'Database MK'!DI38</f>
        <v>Belum, Delay</v>
      </c>
      <c r="Q37" s="7" t="str">
        <f ca="1">'Database MK'!DN38</f>
        <v>Sudah, OnSchedule</v>
      </c>
      <c r="R37" s="7" t="str">
        <f ca="1">'Database MK'!DR38</f>
        <v>Sudah, Delay</v>
      </c>
      <c r="S37" s="7" t="str">
        <f ca="1">'Database MK'!EA38</f>
        <v>Belum, Delay</v>
      </c>
      <c r="T37" s="7" t="str">
        <f ca="1">'Database MK'!EI38</f>
        <v>Belum, Delay</v>
      </c>
      <c r="U37" s="7" t="str">
        <f ca="1">'Database MK'!ET38</f>
        <v>Belum, Delay</v>
      </c>
      <c r="V37" s="7" t="str">
        <f ca="1">'Database MK'!GA38</f>
        <v>Belum, Delay</v>
      </c>
      <c r="W37" s="7" t="str">
        <f ca="1">'Database MK'!GD38</f>
        <v>Sudah, OnSchedule</v>
      </c>
      <c r="X37" s="7" t="str">
        <f ca="1">'Database MK'!GG38</f>
        <v>Sudah, OnSchedule</v>
      </c>
      <c r="Y37" s="7" t="str">
        <f ca="1">'Database MK'!GK38</f>
        <v>Sudah, OnSchedule</v>
      </c>
      <c r="Z37" s="7" t="str">
        <f ca="1">'Database MK'!HH38</f>
        <v>Sudah, Delay</v>
      </c>
      <c r="AA37" s="7" t="str">
        <f ca="1">'Database MK'!HQ38</f>
        <v>Sudah, Delay</v>
      </c>
      <c r="AB37" s="7" t="str">
        <f ca="1">'Database MK'!HW38</f>
        <v>Sudah, Delay</v>
      </c>
      <c r="AC37" s="7">
        <f>'Database MK'!DA38-'Database MK'!DB38</f>
        <v>45466</v>
      </c>
      <c r="AD37" s="7">
        <f>'Database MK'!DA38-'Database MK'!DF38</f>
        <v>45466</v>
      </c>
      <c r="AE37" s="7">
        <f>'Database MK'!DK38-'Database MK'!DL38</f>
        <v>21</v>
      </c>
      <c r="AF37" s="7">
        <f>'Database MK'!DK38-'Database MK'!DO38</f>
        <v>-4</v>
      </c>
      <c r="AG37" s="7">
        <f>'Database MK'!DU38-'Database MK'!DW38</f>
        <v>45508</v>
      </c>
      <c r="AH37" s="7" t="str">
        <f>IF('Database MK'!EB38="","Belum",'Database MK'!DU38-'Database MK'!EB38)</f>
        <v>Belum</v>
      </c>
      <c r="AI37" s="7" t="str">
        <f>IF('Database MK'!EN38="","Belum",'Database MK'!EL38-'Database MK'!EN38)</f>
        <v>Belum</v>
      </c>
      <c r="AJ37" s="7">
        <f>'Database MK'!FY38-'Database MK'!FZ38</f>
        <v>0</v>
      </c>
      <c r="AK37" s="7">
        <f>IF('Database MK'!GC38="","Belum",'Database MK'!GB38-'Database MK'!GC38)</f>
        <v>19</v>
      </c>
      <c r="AL37" s="7">
        <f>IF('Database MK'!GF38="","Belum",'Database MK'!GE38-'Database MK'!GF38)</f>
        <v>26</v>
      </c>
      <c r="AM37" s="309">
        <f>IF('Database MK'!GJ38="","Belum",'Database MK'!GI38-'Database MK'!GJ38)</f>
        <v>3</v>
      </c>
      <c r="AN37" s="7">
        <f>IF('Database MK'!HG38="","Belum",'Database MK'!HF38-'Database MK'!HG38)</f>
        <v>-30</v>
      </c>
      <c r="AO37" s="7">
        <f>IF('Database MK'!HP38="","Belum",'Database MK'!HN38-'Database MK'!HP38)</f>
        <v>-39</v>
      </c>
      <c r="AP37" s="7">
        <f>IF('Database MK'!HV38="","Belum",'Database MK'!HT38-'Database MK'!HV38)</f>
        <v>-37</v>
      </c>
    </row>
    <row r="38" spans="2:42" x14ac:dyDescent="0.2">
      <c r="B38" s="7">
        <f>SUBTOTAL(3,$C$4:C38)</f>
        <v>35</v>
      </c>
      <c r="C38" s="299" t="s">
        <v>244</v>
      </c>
      <c r="D38" s="299" t="s">
        <v>434</v>
      </c>
      <c r="E38" s="299" t="s">
        <v>435</v>
      </c>
      <c r="F38" s="300">
        <v>45748</v>
      </c>
      <c r="G38" s="4" t="s">
        <v>247</v>
      </c>
      <c r="H38" s="4" t="str">
        <f ca="1">'Database MK'!Q39</f>
        <v>DPPP</v>
      </c>
      <c r="I38" s="24">
        <f>'Database MK'!S39</f>
        <v>1</v>
      </c>
      <c r="J38" s="24">
        <f>'Database MK'!T39</f>
        <v>1</v>
      </c>
      <c r="K38" s="603">
        <f>'Database MK'!U39</f>
        <v>0</v>
      </c>
      <c r="L38" s="593">
        <f>'Database MK'!V39</f>
        <v>4093</v>
      </c>
      <c r="M38" s="593">
        <f>'Database MK'!W39</f>
        <v>3301.9</v>
      </c>
      <c r="N38" s="593">
        <f>Table3[[#This Row],[Total Panjang Pipa Aktual]]-Table3[[#This Row],[Volume
BA MC-0]]</f>
        <v>-791.09999999999991</v>
      </c>
      <c r="O38" s="7" t="str">
        <f ca="1">'Database MK'!DE39</f>
        <v>Belum, Delay</v>
      </c>
      <c r="P38" s="7" t="str">
        <f ca="1">'Database MK'!DI39</f>
        <v>Belum, Delay</v>
      </c>
      <c r="Q38" s="7" t="str">
        <f ca="1">'Database MK'!DN39</f>
        <v>Sudah, OnSchedule</v>
      </c>
      <c r="R38" s="7" t="str">
        <f ca="1">'Database MK'!DR39</f>
        <v>Sudah, Delay</v>
      </c>
      <c r="S38" s="7" t="str">
        <f ca="1">'Database MK'!EA39</f>
        <v>Belum, Delay</v>
      </c>
      <c r="T38" s="7" t="str">
        <f ca="1">'Database MK'!EI39</f>
        <v>Belum, Delay</v>
      </c>
      <c r="U38" s="7" t="str">
        <f ca="1">'Database MK'!ET39</f>
        <v>Belum, Delay</v>
      </c>
      <c r="V38" s="7" t="str">
        <f ca="1">'Database MK'!GA39</f>
        <v>Belum, Delay</v>
      </c>
      <c r="W38" s="7" t="str">
        <f ca="1">'Database MK'!GD39</f>
        <v>Sudah, OnSchedule</v>
      </c>
      <c r="X38" s="7" t="str">
        <f ca="1">'Database MK'!GG39</f>
        <v>Sudah, OnSchedule</v>
      </c>
      <c r="Y38" s="7" t="str">
        <f ca="1">'Database MK'!GK39</f>
        <v>Sudah, Delay</v>
      </c>
      <c r="Z38" s="7" t="str">
        <f ca="1">'Database MK'!HH39</f>
        <v>Sudah, Delay</v>
      </c>
      <c r="AA38" s="7" t="str">
        <f ca="1">'Database MK'!HQ39</f>
        <v>Sudah, Delay</v>
      </c>
      <c r="AB38" s="7" t="str">
        <f ca="1">'Database MK'!HW39</f>
        <v>Sudah, Delay</v>
      </c>
      <c r="AC38" s="7">
        <f>'Database MK'!DA39-'Database MK'!DB39</f>
        <v>45466</v>
      </c>
      <c r="AD38" s="7">
        <f>'Database MK'!DA39-'Database MK'!DF39</f>
        <v>45466</v>
      </c>
      <c r="AE38" s="7">
        <f>'Database MK'!DK39-'Database MK'!DL39</f>
        <v>21</v>
      </c>
      <c r="AF38" s="7">
        <f>'Database MK'!DK39-'Database MK'!DO39</f>
        <v>-4</v>
      </c>
      <c r="AG38" s="7">
        <f>'Database MK'!DU39-'Database MK'!DW39</f>
        <v>45508</v>
      </c>
      <c r="AH38" s="7" t="str">
        <f>IF('Database MK'!EB39="","Belum",'Database MK'!DU39-'Database MK'!EB39)</f>
        <v>Belum</v>
      </c>
      <c r="AI38" s="7" t="str">
        <f>IF('Database MK'!EN39="","Belum",'Database MK'!EL39-'Database MK'!EN39)</f>
        <v>Belum</v>
      </c>
      <c r="AJ38" s="7">
        <f>'Database MK'!FY39-'Database MK'!FZ39</f>
        <v>0</v>
      </c>
      <c r="AK38" s="7">
        <f>IF('Database MK'!GC39="","Belum",'Database MK'!GB39-'Database MK'!GC39)</f>
        <v>19</v>
      </c>
      <c r="AL38" s="7">
        <f>IF('Database MK'!GF39="","Belum",'Database MK'!GE39-'Database MK'!GF39)</f>
        <v>26</v>
      </c>
      <c r="AM38" s="309">
        <f>IF('Database MK'!GJ39="","Belum",'Database MK'!GI39-'Database MK'!GJ39)</f>
        <v>-5</v>
      </c>
      <c r="AN38" s="7">
        <f>IF('Database MK'!HG39="","Belum",'Database MK'!HF39-'Database MK'!HG39)</f>
        <v>-31</v>
      </c>
      <c r="AO38" s="7">
        <f>IF('Database MK'!HP39="","Belum",'Database MK'!HN39-'Database MK'!HP39)</f>
        <v>-48</v>
      </c>
      <c r="AP38" s="7">
        <f>IF('Database MK'!HV39="","Belum",'Database MK'!HT39-'Database MK'!HV39)</f>
        <v>-46</v>
      </c>
    </row>
    <row r="39" spans="2:42" x14ac:dyDescent="0.2">
      <c r="B39" s="7">
        <f>SUBTOTAL(3,$C$4:C39)</f>
        <v>36</v>
      </c>
      <c r="C39" s="299" t="s">
        <v>244</v>
      </c>
      <c r="D39" s="299" t="s">
        <v>439</v>
      </c>
      <c r="E39" s="299" t="s">
        <v>440</v>
      </c>
      <c r="F39" s="300">
        <v>45748</v>
      </c>
      <c r="G39" s="4" t="s">
        <v>247</v>
      </c>
      <c r="H39" s="4" t="str">
        <f ca="1">'Database MK'!Q40</f>
        <v>DPPP</v>
      </c>
      <c r="I39" s="24">
        <f>'Database MK'!S40</f>
        <v>1</v>
      </c>
      <c r="J39" s="24">
        <f>'Database MK'!T40</f>
        <v>1</v>
      </c>
      <c r="K39" s="603">
        <f>'Database MK'!U40</f>
        <v>0</v>
      </c>
      <c r="L39" s="593">
        <f>'Database MK'!V40</f>
        <v>873</v>
      </c>
      <c r="M39" s="593">
        <f>'Database MK'!W40</f>
        <v>285.39999999999998</v>
      </c>
      <c r="N39" s="593">
        <f>Table3[[#This Row],[Total Panjang Pipa Aktual]]-Table3[[#This Row],[Volume
BA MC-0]]</f>
        <v>-587.6</v>
      </c>
      <c r="O39" s="7" t="str">
        <f ca="1">'Database MK'!DE40</f>
        <v>Belum, Delay</v>
      </c>
      <c r="P39" s="7" t="str">
        <f ca="1">'Database MK'!DI40</f>
        <v>Belum, Delay</v>
      </c>
      <c r="Q39" s="7" t="str">
        <f ca="1">'Database MK'!DN40</f>
        <v>Sudah, OnSchedule</v>
      </c>
      <c r="R39" s="7" t="str">
        <f ca="1">'Database MK'!DR40</f>
        <v>Sudah, Delay</v>
      </c>
      <c r="S39" s="7" t="str">
        <f ca="1">'Database MK'!EA40</f>
        <v>Belum, Delay</v>
      </c>
      <c r="T39" s="7" t="str">
        <f ca="1">'Database MK'!EI40</f>
        <v>Belum, Delay</v>
      </c>
      <c r="U39" s="7" t="str">
        <f ca="1">'Database MK'!ET40</f>
        <v>Belum, Delay</v>
      </c>
      <c r="V39" s="7" t="str">
        <f ca="1">'Database MK'!GA40</f>
        <v>Belum, Delay</v>
      </c>
      <c r="W39" s="7" t="str">
        <f ca="1">'Database MK'!GD40</f>
        <v>Sudah, OnSchedule</v>
      </c>
      <c r="X39" s="7" t="str">
        <f ca="1">'Database MK'!GG40</f>
        <v>Sudah, OnSchedule</v>
      </c>
      <c r="Y39" s="7" t="str">
        <f ca="1">'Database MK'!GK40</f>
        <v>Sudah, Delay</v>
      </c>
      <c r="Z39" s="7" t="str">
        <f ca="1">'Database MK'!HH40</f>
        <v>Sudah, Delay</v>
      </c>
      <c r="AA39" s="7" t="str">
        <f ca="1">'Database MK'!HQ40</f>
        <v>Sudah, Delay</v>
      </c>
      <c r="AB39" s="7" t="str">
        <f ca="1">'Database MK'!HW40</f>
        <v>Sudah, Delay</v>
      </c>
      <c r="AC39" s="7">
        <f>'Database MK'!DA40-'Database MK'!DB40</f>
        <v>45466</v>
      </c>
      <c r="AD39" s="7">
        <f>'Database MK'!DA40-'Database MK'!DF40</f>
        <v>45466</v>
      </c>
      <c r="AE39" s="7">
        <f>'Database MK'!DK40-'Database MK'!DL40</f>
        <v>13</v>
      </c>
      <c r="AF39" s="7">
        <f>'Database MK'!DK40-'Database MK'!DO40</f>
        <v>-4</v>
      </c>
      <c r="AG39" s="7">
        <f>'Database MK'!DU40-'Database MK'!DW40</f>
        <v>45508</v>
      </c>
      <c r="AH39" s="7" t="str">
        <f>IF('Database MK'!EB40="","Belum",'Database MK'!DU40-'Database MK'!EB40)</f>
        <v>Belum</v>
      </c>
      <c r="AI39" s="7" t="str">
        <f>IF('Database MK'!EN40="","Belum",'Database MK'!EL40-'Database MK'!EN40)</f>
        <v>Belum</v>
      </c>
      <c r="AJ39" s="7">
        <f>'Database MK'!FY40-'Database MK'!FZ40</f>
        <v>0</v>
      </c>
      <c r="AK39" s="7">
        <f>IF('Database MK'!GC40="","Belum",'Database MK'!GB40-'Database MK'!GC40)</f>
        <v>19</v>
      </c>
      <c r="AL39" s="7">
        <f>IF('Database MK'!GF40="","Belum",'Database MK'!GE40-'Database MK'!GF40)</f>
        <v>26</v>
      </c>
      <c r="AM39" s="309">
        <f>IF('Database MK'!GJ40="","Belum",'Database MK'!GI40-'Database MK'!GJ40)</f>
        <v>-4</v>
      </c>
      <c r="AN39" s="7">
        <f>IF('Database MK'!HG40="","Belum",'Database MK'!HF40-'Database MK'!HG40)</f>
        <v>-31</v>
      </c>
      <c r="AO39" s="7">
        <f>IF('Database MK'!HP40="","Belum",'Database MK'!HN40-'Database MK'!HP40)</f>
        <v>-35</v>
      </c>
      <c r="AP39" s="7">
        <f>IF('Database MK'!HV40="","Belum",'Database MK'!HT40-'Database MK'!HV40)</f>
        <v>-33</v>
      </c>
    </row>
    <row r="40" spans="2:42" x14ac:dyDescent="0.2">
      <c r="B40" s="7">
        <f>SUBTOTAL(3,$C$4:C40)</f>
        <v>37</v>
      </c>
      <c r="C40" s="299" t="s">
        <v>244</v>
      </c>
      <c r="D40" s="299" t="s">
        <v>444</v>
      </c>
      <c r="E40" s="299" t="s">
        <v>445</v>
      </c>
      <c r="F40" s="300">
        <v>45748</v>
      </c>
      <c r="G40" s="4" t="s">
        <v>247</v>
      </c>
      <c r="H40" s="4" t="str">
        <f ca="1">'Database MK'!Q41</f>
        <v>DPPP</v>
      </c>
      <c r="I40" s="24">
        <f>'Database MK'!S41</f>
        <v>1</v>
      </c>
      <c r="J40" s="24">
        <f>'Database MK'!T41</f>
        <v>1</v>
      </c>
      <c r="K40" s="603">
        <f>'Database MK'!U41</f>
        <v>0</v>
      </c>
      <c r="L40" s="593">
        <f>'Database MK'!V41</f>
        <v>704</v>
      </c>
      <c r="M40" s="593">
        <f>'Database MK'!W41</f>
        <v>550.9</v>
      </c>
      <c r="N40" s="593">
        <f>Table3[[#This Row],[Total Panjang Pipa Aktual]]-Table3[[#This Row],[Volume
BA MC-0]]</f>
        <v>-153.10000000000002</v>
      </c>
      <c r="O40" s="7" t="str">
        <f ca="1">'Database MK'!DE41</f>
        <v>Belum, Delay</v>
      </c>
      <c r="P40" s="7" t="str">
        <f ca="1">'Database MK'!DI41</f>
        <v>Belum, Delay</v>
      </c>
      <c r="Q40" s="7" t="str">
        <f ca="1">'Database MK'!DN41</f>
        <v>Sudah, OnSchedule</v>
      </c>
      <c r="R40" s="7" t="str">
        <f ca="1">'Database MK'!DR41</f>
        <v>Sudah, Delay</v>
      </c>
      <c r="S40" s="7" t="str">
        <f ca="1">'Database MK'!EA41</f>
        <v>Belum, Delay</v>
      </c>
      <c r="T40" s="7" t="str">
        <f ca="1">'Database MK'!EI41</f>
        <v>Belum, Delay</v>
      </c>
      <c r="U40" s="7" t="str">
        <f ca="1">'Database MK'!ET41</f>
        <v>Belum, Delay</v>
      </c>
      <c r="V40" s="7" t="str">
        <f ca="1">'Database MK'!GA41</f>
        <v>Belum, Delay</v>
      </c>
      <c r="W40" s="7" t="str">
        <f ca="1">'Database MK'!GD41</f>
        <v>Sudah, OnSchedule</v>
      </c>
      <c r="X40" s="7" t="str">
        <f ca="1">'Database MK'!GG41</f>
        <v>Sudah, OnSchedule</v>
      </c>
      <c r="Y40" s="7" t="str">
        <f ca="1">'Database MK'!GK41</f>
        <v>Sudah, Delay</v>
      </c>
      <c r="Z40" s="7" t="str">
        <f ca="1">'Database MK'!HH41</f>
        <v>Sudah, Delay</v>
      </c>
      <c r="AA40" s="7" t="str">
        <f ca="1">'Database MK'!HQ41</f>
        <v>Sudah, Delay</v>
      </c>
      <c r="AB40" s="7" t="str">
        <f ca="1">'Database MK'!HW41</f>
        <v>Sudah, Delay</v>
      </c>
      <c r="AC40" s="7">
        <f>'Database MK'!DA41-'Database MK'!DB41</f>
        <v>45466</v>
      </c>
      <c r="AD40" s="7">
        <f>'Database MK'!DA41-'Database MK'!DF41</f>
        <v>45466</v>
      </c>
      <c r="AE40" s="7">
        <f>'Database MK'!DK41-'Database MK'!DL41</f>
        <v>21</v>
      </c>
      <c r="AF40" s="7">
        <f>'Database MK'!DK41-'Database MK'!DO41</f>
        <v>-4</v>
      </c>
      <c r="AG40" s="7">
        <f>'Database MK'!DU41-'Database MK'!DW41</f>
        <v>45508</v>
      </c>
      <c r="AH40" s="7" t="str">
        <f>IF('Database MK'!EB41="","Belum",'Database MK'!DU41-'Database MK'!EB41)</f>
        <v>Belum</v>
      </c>
      <c r="AI40" s="7" t="str">
        <f>IF('Database MK'!EN41="","Belum",'Database MK'!EL41-'Database MK'!EN41)</f>
        <v>Belum</v>
      </c>
      <c r="AJ40" s="7">
        <f>'Database MK'!FY41-'Database MK'!FZ41</f>
        <v>0</v>
      </c>
      <c r="AK40" s="7">
        <f>IF('Database MK'!GC41="","Belum",'Database MK'!GB41-'Database MK'!GC41)</f>
        <v>19</v>
      </c>
      <c r="AL40" s="7">
        <f>IF('Database MK'!GF41="","Belum",'Database MK'!GE41-'Database MK'!GF41)</f>
        <v>26</v>
      </c>
      <c r="AM40" s="309">
        <f>IF('Database MK'!GJ41="","Belum",'Database MK'!GI41-'Database MK'!GJ41)</f>
        <v>-2</v>
      </c>
      <c r="AN40" s="7">
        <f>IF('Database MK'!HG41="","Belum",'Database MK'!HF41-'Database MK'!HG41)</f>
        <v>-31</v>
      </c>
      <c r="AO40" s="7">
        <f>IF('Database MK'!HP41="","Belum",'Database MK'!HN41-'Database MK'!HP41)</f>
        <v>-48</v>
      </c>
      <c r="AP40" s="7">
        <f>IF('Database MK'!HV41="","Belum",'Database MK'!HT41-'Database MK'!HV41)</f>
        <v>-46</v>
      </c>
    </row>
    <row r="41" spans="2:42" x14ac:dyDescent="0.2">
      <c r="B41" s="7">
        <f>SUBTOTAL(3,$C$4:C41)</f>
        <v>38</v>
      </c>
      <c r="C41" s="299" t="s">
        <v>244</v>
      </c>
      <c r="D41" s="299" t="s">
        <v>449</v>
      </c>
      <c r="E41" s="299" t="s">
        <v>450</v>
      </c>
      <c r="F41" s="300">
        <v>45748</v>
      </c>
      <c r="G41" s="4" t="s">
        <v>247</v>
      </c>
      <c r="H41" s="4" t="str">
        <f ca="1">'Database MK'!Q42</f>
        <v>DPPP</v>
      </c>
      <c r="I41" s="24">
        <f>'Database MK'!S42</f>
        <v>1</v>
      </c>
      <c r="J41" s="24">
        <f>'Database MK'!T42</f>
        <v>1</v>
      </c>
      <c r="K41" s="603">
        <f>'Database MK'!U42</f>
        <v>0</v>
      </c>
      <c r="L41" s="593">
        <f>'Database MK'!V42</f>
        <v>670</v>
      </c>
      <c r="M41" s="593">
        <f>'Database MK'!W42</f>
        <v>695</v>
      </c>
      <c r="N41" s="593">
        <f>Table3[[#This Row],[Total Panjang Pipa Aktual]]-Table3[[#This Row],[Volume
BA MC-0]]</f>
        <v>25</v>
      </c>
      <c r="O41" s="7" t="str">
        <f ca="1">'Database MK'!DE42</f>
        <v>Belum, Delay</v>
      </c>
      <c r="P41" s="7" t="str">
        <f ca="1">'Database MK'!DI42</f>
        <v>Belum, Delay</v>
      </c>
      <c r="Q41" s="7" t="str">
        <f ca="1">'Database MK'!DN42</f>
        <v>Sudah, OnSchedule</v>
      </c>
      <c r="R41" s="7" t="str">
        <f ca="1">'Database MK'!DR42</f>
        <v>Sudah, OnSchedule</v>
      </c>
      <c r="S41" s="7" t="str">
        <f ca="1">'Database MK'!EA42</f>
        <v>Belum, Delay</v>
      </c>
      <c r="T41" s="7" t="str">
        <f ca="1">'Database MK'!EI42</f>
        <v>Belum, Delay</v>
      </c>
      <c r="U41" s="7" t="str">
        <f ca="1">'Database MK'!ET42</f>
        <v>Belum, Delay</v>
      </c>
      <c r="V41" s="7" t="str">
        <f ca="1">'Database MK'!GA42</f>
        <v>Belum, Delay</v>
      </c>
      <c r="W41" s="7" t="str">
        <f ca="1">'Database MK'!GD42</f>
        <v>Sudah, OnSchedule</v>
      </c>
      <c r="X41" s="7" t="str">
        <f ca="1">'Database MK'!GG42</f>
        <v>Sudah, OnSchedule</v>
      </c>
      <c r="Y41" s="7" t="str">
        <f ca="1">'Database MK'!GK42</f>
        <v>Sudah, OnSchedule</v>
      </c>
      <c r="Z41" s="7" t="str">
        <f ca="1">'Database MK'!HH42</f>
        <v>Sudah, Delay</v>
      </c>
      <c r="AA41" s="7" t="str">
        <f ca="1">'Database MK'!HQ42</f>
        <v>Sudah, Delay</v>
      </c>
      <c r="AB41" s="7" t="str">
        <f ca="1">'Database MK'!HW42</f>
        <v>Sudah, Delay</v>
      </c>
      <c r="AC41" s="7">
        <f>'Database MK'!DA42-'Database MK'!DB42</f>
        <v>45466</v>
      </c>
      <c r="AD41" s="7">
        <f>'Database MK'!DA42-'Database MK'!DF42</f>
        <v>45466</v>
      </c>
      <c r="AE41" s="7">
        <f>'Database MK'!DK42-'Database MK'!DL42</f>
        <v>66</v>
      </c>
      <c r="AF41" s="7">
        <f>'Database MK'!DK42-'Database MK'!DO42</f>
        <v>54</v>
      </c>
      <c r="AG41" s="7">
        <f>'Database MK'!DU42-'Database MK'!DW42</f>
        <v>45508</v>
      </c>
      <c r="AH41" s="7" t="str">
        <f>IF('Database MK'!EB42="","Belum",'Database MK'!DU42-'Database MK'!EB42)</f>
        <v>Belum</v>
      </c>
      <c r="AI41" s="7" t="str">
        <f>IF('Database MK'!EN42="","Belum",'Database MK'!EL42-'Database MK'!EN42)</f>
        <v>Belum</v>
      </c>
      <c r="AJ41" s="7">
        <f>'Database MK'!FY42-'Database MK'!FZ42</f>
        <v>0</v>
      </c>
      <c r="AK41" s="7">
        <f>IF('Database MK'!GC42="","Belum",'Database MK'!GB42-'Database MK'!GC42)</f>
        <v>50</v>
      </c>
      <c r="AL41" s="7">
        <f>IF('Database MK'!GF42="","Belum",'Database MK'!GE42-'Database MK'!GF42)</f>
        <v>57</v>
      </c>
      <c r="AM41" s="309">
        <f>IF('Database MK'!GJ42="","Belum",'Database MK'!GI42-'Database MK'!GJ42)</f>
        <v>67</v>
      </c>
      <c r="AN41" s="7">
        <f>IF('Database MK'!HG42="","Belum",'Database MK'!HF42-'Database MK'!HG42)</f>
        <v>-16</v>
      </c>
      <c r="AO41" s="7">
        <f>IF('Database MK'!HP42="","Belum",'Database MK'!HN42-'Database MK'!HP42)</f>
        <v>-31</v>
      </c>
      <c r="AP41" s="7">
        <f>IF('Database MK'!HV42="","Belum",'Database MK'!HT42-'Database MK'!HV42)</f>
        <v>-29</v>
      </c>
    </row>
    <row r="42" spans="2:42" x14ac:dyDescent="0.2">
      <c r="B42" s="7">
        <f>SUBTOTAL(3,$C$4:C42)</f>
        <v>39</v>
      </c>
      <c r="C42" s="299" t="s">
        <v>244</v>
      </c>
      <c r="D42" s="299" t="s">
        <v>454</v>
      </c>
      <c r="E42" s="299" t="s">
        <v>455</v>
      </c>
      <c r="F42" s="300">
        <v>45748</v>
      </c>
      <c r="G42" s="4" t="s">
        <v>247</v>
      </c>
      <c r="H42" s="4" t="str">
        <f ca="1">'Database MK'!Q43</f>
        <v>DPPP</v>
      </c>
      <c r="I42" s="24">
        <f>'Database MK'!S43</f>
        <v>1</v>
      </c>
      <c r="J42" s="24">
        <f>'Database MK'!T43</f>
        <v>1</v>
      </c>
      <c r="K42" s="603">
        <f>'Database MK'!U43</f>
        <v>0</v>
      </c>
      <c r="L42" s="593">
        <f>'Database MK'!V43</f>
        <v>3987</v>
      </c>
      <c r="M42" s="593">
        <f>'Database MK'!W43</f>
        <v>4212</v>
      </c>
      <c r="N42" s="593">
        <f>Table3[[#This Row],[Total Panjang Pipa Aktual]]-Table3[[#This Row],[Volume
BA MC-0]]</f>
        <v>225</v>
      </c>
      <c r="O42" s="7" t="str">
        <f ca="1">'Database MK'!DE43</f>
        <v>Belum, Delay</v>
      </c>
      <c r="P42" s="7" t="str">
        <f ca="1">'Database MK'!DI43</f>
        <v>Belum, Delay</v>
      </c>
      <c r="Q42" s="7" t="str">
        <f ca="1">'Database MK'!DN43</f>
        <v>Sudah, OnSchedule</v>
      </c>
      <c r="R42" s="7" t="str">
        <f ca="1">'Database MK'!DR43</f>
        <v>Sudah, OnSchedule</v>
      </c>
      <c r="S42" s="7" t="str">
        <f ca="1">'Database MK'!EA43</f>
        <v>Belum, Delay</v>
      </c>
      <c r="T42" s="7" t="str">
        <f ca="1">'Database MK'!EI43</f>
        <v>Belum, Delay</v>
      </c>
      <c r="U42" s="7" t="str">
        <f ca="1">'Database MK'!ET43</f>
        <v>Belum, Delay</v>
      </c>
      <c r="V42" s="7" t="str">
        <f ca="1">'Database MK'!GA43</f>
        <v>Belum, Delay</v>
      </c>
      <c r="W42" s="7" t="str">
        <f ca="1">'Database MK'!GD43</f>
        <v>Sudah, OnSchedule</v>
      </c>
      <c r="X42" s="7" t="str">
        <f ca="1">'Database MK'!GG43</f>
        <v>Sudah, OnSchedule</v>
      </c>
      <c r="Y42" s="7" t="str">
        <f ca="1">'Database MK'!GK43</f>
        <v>Sudah, OnSchedule</v>
      </c>
      <c r="Z42" s="7" t="str">
        <f ca="1">'Database MK'!HH43</f>
        <v>Sudah, Delay</v>
      </c>
      <c r="AA42" s="7" t="str">
        <f ca="1">'Database MK'!HQ43</f>
        <v>Sudah, Delay</v>
      </c>
      <c r="AB42" s="7" t="str">
        <f ca="1">'Database MK'!HW43</f>
        <v>Sudah, Delay</v>
      </c>
      <c r="AC42" s="7">
        <f>'Database MK'!DA43-'Database MK'!DB43</f>
        <v>45466</v>
      </c>
      <c r="AD42" s="7">
        <f>'Database MK'!DA43-'Database MK'!DF43</f>
        <v>45466</v>
      </c>
      <c r="AE42" s="7">
        <f>'Database MK'!DK43-'Database MK'!DL43</f>
        <v>65</v>
      </c>
      <c r="AF42" s="7">
        <f>'Database MK'!DK43-'Database MK'!DO43</f>
        <v>54</v>
      </c>
      <c r="AG42" s="7">
        <f>'Database MK'!DU43-'Database MK'!DW43</f>
        <v>45508</v>
      </c>
      <c r="AH42" s="7" t="str">
        <f>IF('Database MK'!EB43="","Belum",'Database MK'!DU43-'Database MK'!EB43)</f>
        <v>Belum</v>
      </c>
      <c r="AI42" s="7" t="str">
        <f>IF('Database MK'!EN43="","Belum",'Database MK'!EL43-'Database MK'!EN43)</f>
        <v>Belum</v>
      </c>
      <c r="AJ42" s="7">
        <f>'Database MK'!FY43-'Database MK'!FZ43</f>
        <v>0</v>
      </c>
      <c r="AK42" s="7">
        <f>IF('Database MK'!GC43="","Belum",'Database MK'!GB43-'Database MK'!GC43)</f>
        <v>50</v>
      </c>
      <c r="AL42" s="7">
        <f>IF('Database MK'!GF43="","Belum",'Database MK'!GE43-'Database MK'!GF43)</f>
        <v>57</v>
      </c>
      <c r="AM42" s="309">
        <f>IF('Database MK'!GJ43="","Belum",'Database MK'!GI43-'Database MK'!GJ43)</f>
        <v>66</v>
      </c>
      <c r="AN42" s="7">
        <f>IF('Database MK'!HG43="","Belum",'Database MK'!HF43-'Database MK'!HG43)</f>
        <v>-63</v>
      </c>
      <c r="AO42" s="7">
        <f>IF('Database MK'!HP43="","Belum",'Database MK'!HN43-'Database MK'!HP43)</f>
        <v>-56</v>
      </c>
      <c r="AP42" s="7">
        <f>IF('Database MK'!HV43="","Belum",'Database MK'!HT43-'Database MK'!HV43)</f>
        <v>-54</v>
      </c>
    </row>
    <row r="43" spans="2:42" x14ac:dyDescent="0.2">
      <c r="B43" s="7">
        <f>SUBTOTAL(3,$C$4:C43)</f>
        <v>40</v>
      </c>
      <c r="C43" s="299" t="s">
        <v>244</v>
      </c>
      <c r="D43" s="299" t="s">
        <v>459</v>
      </c>
      <c r="E43" s="299" t="s">
        <v>460</v>
      </c>
      <c r="F43" s="300">
        <v>45748</v>
      </c>
      <c r="G43" s="4" t="s">
        <v>247</v>
      </c>
      <c r="H43" s="4" t="str">
        <f ca="1">'Database MK'!Q44</f>
        <v>DPPP</v>
      </c>
      <c r="I43" s="24">
        <f>'Database MK'!S44</f>
        <v>1</v>
      </c>
      <c r="J43" s="24">
        <f>'Database MK'!T44</f>
        <v>1</v>
      </c>
      <c r="K43" s="603">
        <f>'Database MK'!U44</f>
        <v>0</v>
      </c>
      <c r="L43" s="593">
        <f>'Database MK'!V44</f>
        <v>2919</v>
      </c>
      <c r="M43" s="593">
        <f>'Database MK'!W44</f>
        <v>2489</v>
      </c>
      <c r="N43" s="593">
        <f>Table3[[#This Row],[Total Panjang Pipa Aktual]]-Table3[[#This Row],[Volume
BA MC-0]]</f>
        <v>-430</v>
      </c>
      <c r="O43" s="7" t="str">
        <f ca="1">'Database MK'!DE44</f>
        <v>Belum, Delay</v>
      </c>
      <c r="P43" s="7" t="str">
        <f ca="1">'Database MK'!DI44</f>
        <v>Belum, Delay</v>
      </c>
      <c r="Q43" s="7" t="str">
        <f ca="1">'Database MK'!DN44</f>
        <v>Sudah, OnSchedule</v>
      </c>
      <c r="R43" s="7" t="str">
        <f ca="1">'Database MK'!DR44</f>
        <v>Sudah, OnSchedule</v>
      </c>
      <c r="S43" s="7" t="str">
        <f ca="1">'Database MK'!EA44</f>
        <v>Belum, Delay</v>
      </c>
      <c r="T43" s="7" t="str">
        <f ca="1">'Database MK'!EI44</f>
        <v>Belum, Delay</v>
      </c>
      <c r="U43" s="7" t="str">
        <f ca="1">'Database MK'!ET44</f>
        <v>Belum, Delay</v>
      </c>
      <c r="V43" s="7" t="str">
        <f ca="1">'Database MK'!GA44</f>
        <v>Belum, Delay</v>
      </c>
      <c r="W43" s="7" t="str">
        <f ca="1">'Database MK'!GD44</f>
        <v>Sudah, OnSchedule</v>
      </c>
      <c r="X43" s="7" t="str">
        <f ca="1">'Database MK'!GG44</f>
        <v>Sudah, OnSchedule</v>
      </c>
      <c r="Y43" s="7" t="str">
        <f ca="1">'Database MK'!GK44</f>
        <v>Sudah, OnSchedule</v>
      </c>
      <c r="Z43" s="7" t="str">
        <f ca="1">'Database MK'!HH44</f>
        <v>Sudah, Delay</v>
      </c>
      <c r="AA43" s="7" t="str">
        <f ca="1">'Database MK'!HQ44</f>
        <v>Sudah, Delay</v>
      </c>
      <c r="AB43" s="7" t="str">
        <f ca="1">'Database MK'!HW44</f>
        <v>Sudah, Delay</v>
      </c>
      <c r="AC43" s="7">
        <f>'Database MK'!DA44-'Database MK'!DB44</f>
        <v>45466</v>
      </c>
      <c r="AD43" s="7">
        <f>'Database MK'!DA44-'Database MK'!DF44</f>
        <v>45466</v>
      </c>
      <c r="AE43" s="7">
        <f>'Database MK'!DK44-'Database MK'!DL44</f>
        <v>61</v>
      </c>
      <c r="AF43" s="7">
        <f>'Database MK'!DK44-'Database MK'!DO44</f>
        <v>54</v>
      </c>
      <c r="AG43" s="7">
        <f>'Database MK'!DU44-'Database MK'!DW44</f>
        <v>45508</v>
      </c>
      <c r="AH43" s="7" t="str">
        <f>IF('Database MK'!EB44="","Belum",'Database MK'!DU44-'Database MK'!EB44)</f>
        <v>Belum</v>
      </c>
      <c r="AI43" s="7" t="str">
        <f>IF('Database MK'!EN44="","Belum",'Database MK'!EL44-'Database MK'!EN44)</f>
        <v>Belum</v>
      </c>
      <c r="AJ43" s="7">
        <f>'Database MK'!FY44-'Database MK'!FZ44</f>
        <v>0</v>
      </c>
      <c r="AK43" s="7">
        <f>IF('Database MK'!GC44="","Belum",'Database MK'!GB44-'Database MK'!GC44)</f>
        <v>50</v>
      </c>
      <c r="AL43" s="7">
        <f>IF('Database MK'!GF44="","Belum",'Database MK'!GE44-'Database MK'!GF44)</f>
        <v>57</v>
      </c>
      <c r="AM43" s="309">
        <f>IF('Database MK'!GJ44="","Belum",'Database MK'!GI44-'Database MK'!GJ44)</f>
        <v>66</v>
      </c>
      <c r="AN43" s="7">
        <f>IF('Database MK'!HG44="","Belum",'Database MK'!HF44-'Database MK'!HG44)</f>
        <v>-18</v>
      </c>
      <c r="AO43" s="7">
        <f>IF('Database MK'!HP44="","Belum",'Database MK'!HN44-'Database MK'!HP44)</f>
        <v>-35</v>
      </c>
      <c r="AP43" s="7">
        <f>IF('Database MK'!HV44="","Belum",'Database MK'!HT44-'Database MK'!HV44)</f>
        <v>-33</v>
      </c>
    </row>
    <row r="44" spans="2:42" x14ac:dyDescent="0.2">
      <c r="B44" s="7">
        <f>SUBTOTAL(3,$C$4:C44)</f>
        <v>41</v>
      </c>
      <c r="C44" s="299" t="s">
        <v>244</v>
      </c>
      <c r="D44" s="299" t="s">
        <v>464</v>
      </c>
      <c r="E44" s="299" t="s">
        <v>465</v>
      </c>
      <c r="F44" s="300">
        <v>45748</v>
      </c>
      <c r="G44" s="4" t="s">
        <v>247</v>
      </c>
      <c r="H44" s="4" t="str">
        <f ca="1">'Database MK'!Q45</f>
        <v>DPPP</v>
      </c>
      <c r="I44" s="24">
        <f>'Database MK'!S45</f>
        <v>1</v>
      </c>
      <c r="J44" s="24">
        <f>'Database MK'!T45</f>
        <v>1</v>
      </c>
      <c r="K44" s="603">
        <f>'Database MK'!U45</f>
        <v>0</v>
      </c>
      <c r="L44" s="593">
        <f>'Database MK'!V45</f>
        <v>4050</v>
      </c>
      <c r="M44" s="593">
        <f>'Database MK'!W45</f>
        <v>3486.5</v>
      </c>
      <c r="N44" s="593">
        <f>Table3[[#This Row],[Total Panjang Pipa Aktual]]-Table3[[#This Row],[Volume
BA MC-0]]</f>
        <v>-563.5</v>
      </c>
      <c r="O44" s="7" t="str">
        <f ca="1">'Database MK'!DE45</f>
        <v>Belum, Delay</v>
      </c>
      <c r="P44" s="7" t="str">
        <f ca="1">'Database MK'!DI45</f>
        <v>Belum, Delay</v>
      </c>
      <c r="Q44" s="7" t="str">
        <f ca="1">'Database MK'!DN45</f>
        <v>Sudah, OnSchedule</v>
      </c>
      <c r="R44" s="7" t="str">
        <f ca="1">'Database MK'!DR45</f>
        <v>Sudah, OnSchedule</v>
      </c>
      <c r="S44" s="7" t="str">
        <f ca="1">'Database MK'!EA45</f>
        <v>Belum, Delay</v>
      </c>
      <c r="T44" s="7" t="str">
        <f ca="1">'Database MK'!EI45</f>
        <v>Belum, Delay</v>
      </c>
      <c r="U44" s="7" t="str">
        <f ca="1">'Database MK'!ET45</f>
        <v>Belum, Delay</v>
      </c>
      <c r="V44" s="7" t="str">
        <f ca="1">'Database MK'!GA45</f>
        <v>Belum, Delay</v>
      </c>
      <c r="W44" s="7" t="str">
        <f ca="1">'Database MK'!GD45</f>
        <v>Sudah, OnSchedule</v>
      </c>
      <c r="X44" s="7" t="str">
        <f ca="1">'Database MK'!GG45</f>
        <v>Sudah, OnSchedule</v>
      </c>
      <c r="Y44" s="7" t="str">
        <f ca="1">'Database MK'!GK45</f>
        <v>Sudah, OnSchedule</v>
      </c>
      <c r="Z44" s="7" t="str">
        <f ca="1">'Database MK'!HH45</f>
        <v>Sudah, Delay</v>
      </c>
      <c r="AA44" s="7" t="str">
        <f ca="1">'Database MK'!HQ45</f>
        <v>Sudah, Delay</v>
      </c>
      <c r="AB44" s="7" t="str">
        <f ca="1">'Database MK'!HW45</f>
        <v>Sudah, Delay</v>
      </c>
      <c r="AC44" s="7">
        <f>'Database MK'!DA45-'Database MK'!DB45</f>
        <v>45466</v>
      </c>
      <c r="AD44" s="7">
        <f>'Database MK'!DA45-'Database MK'!DF45</f>
        <v>45466</v>
      </c>
      <c r="AE44" s="7">
        <f>'Database MK'!DK45-'Database MK'!DL45</f>
        <v>58</v>
      </c>
      <c r="AF44" s="7">
        <f>'Database MK'!DK45-'Database MK'!DO45</f>
        <v>53</v>
      </c>
      <c r="AG44" s="7">
        <f>'Database MK'!DU45-'Database MK'!DW45</f>
        <v>45508</v>
      </c>
      <c r="AH44" s="7" t="str">
        <f>IF('Database MK'!EB45="","Belum",'Database MK'!DU45-'Database MK'!EB45)</f>
        <v>Belum</v>
      </c>
      <c r="AI44" s="7" t="str">
        <f>IF('Database MK'!EN45="","Belum",'Database MK'!EL45-'Database MK'!EN45)</f>
        <v>Belum</v>
      </c>
      <c r="AJ44" s="7">
        <f>'Database MK'!FY45-'Database MK'!FZ45</f>
        <v>0</v>
      </c>
      <c r="AK44" s="7">
        <f>IF('Database MK'!GC45="","Belum",'Database MK'!GB45-'Database MK'!GC45)</f>
        <v>50</v>
      </c>
      <c r="AL44" s="7">
        <f>IF('Database MK'!GF45="","Belum",'Database MK'!GE45-'Database MK'!GF45)</f>
        <v>57</v>
      </c>
      <c r="AM44" s="309">
        <f>IF('Database MK'!GJ45="","Belum",'Database MK'!GI45-'Database MK'!GJ45)</f>
        <v>65</v>
      </c>
      <c r="AN44" s="7">
        <f>IF('Database MK'!HG45="","Belum",'Database MK'!HF45-'Database MK'!HG45)</f>
        <v>-19</v>
      </c>
      <c r="AO44" s="7">
        <f>IF('Database MK'!HP45="","Belum",'Database MK'!HN45-'Database MK'!HP45)</f>
        <v>-31</v>
      </c>
      <c r="AP44" s="7">
        <f>IF('Database MK'!HV45="","Belum",'Database MK'!HT45-'Database MK'!HV45)</f>
        <v>-29</v>
      </c>
    </row>
    <row r="45" spans="2:42" x14ac:dyDescent="0.2">
      <c r="B45" s="7">
        <f>SUBTOTAL(3,$C$4:C45)</f>
        <v>42</v>
      </c>
      <c r="C45" s="299" t="s">
        <v>244</v>
      </c>
      <c r="D45" s="299" t="s">
        <v>469</v>
      </c>
      <c r="E45" s="299" t="s">
        <v>470</v>
      </c>
      <c r="F45" s="300">
        <v>45748</v>
      </c>
      <c r="G45" s="4" t="s">
        <v>247</v>
      </c>
      <c r="H45" s="4" t="str">
        <f ca="1">'Database MK'!Q46</f>
        <v>DPPP</v>
      </c>
      <c r="I45" s="24">
        <f>'Database MK'!S46</f>
        <v>1</v>
      </c>
      <c r="J45" s="24">
        <f>'Database MK'!T46</f>
        <v>1</v>
      </c>
      <c r="K45" s="603">
        <f>'Database MK'!U46</f>
        <v>0</v>
      </c>
      <c r="L45" s="593">
        <f>'Database MK'!V46</f>
        <v>3548</v>
      </c>
      <c r="M45" s="593">
        <f>'Database MK'!W46</f>
        <v>1995</v>
      </c>
      <c r="N45" s="593">
        <f>Table3[[#This Row],[Total Panjang Pipa Aktual]]-Table3[[#This Row],[Volume
BA MC-0]]</f>
        <v>-1553</v>
      </c>
      <c r="O45" s="7" t="str">
        <f ca="1">'Database MK'!DE46</f>
        <v>Belum, Delay</v>
      </c>
      <c r="P45" s="7" t="str">
        <f ca="1">'Database MK'!DI46</f>
        <v>Belum, Delay</v>
      </c>
      <c r="Q45" s="7" t="str">
        <f ca="1">'Database MK'!DN46</f>
        <v>Sudah, OnSchedule</v>
      </c>
      <c r="R45" s="7" t="str">
        <f ca="1">'Database MK'!DR46</f>
        <v>Sudah, OnSchedule</v>
      </c>
      <c r="S45" s="7" t="str">
        <f ca="1">'Database MK'!EA46</f>
        <v>Belum, Delay</v>
      </c>
      <c r="T45" s="7" t="str">
        <f ca="1">'Database MK'!EI46</f>
        <v>Belum, Delay</v>
      </c>
      <c r="U45" s="7" t="str">
        <f ca="1">'Database MK'!ET46</f>
        <v>Belum, Delay</v>
      </c>
      <c r="V45" s="7" t="str">
        <f ca="1">'Database MK'!GA46</f>
        <v>Belum, Delay</v>
      </c>
      <c r="W45" s="7" t="str">
        <f ca="1">'Database MK'!GD46</f>
        <v>Sudah, OnSchedule</v>
      </c>
      <c r="X45" s="7" t="str">
        <f ca="1">'Database MK'!GG46</f>
        <v>Sudah, OnSchedule</v>
      </c>
      <c r="Y45" s="7" t="str">
        <f ca="1">'Database MK'!GK46</f>
        <v>Sudah, OnSchedule</v>
      </c>
      <c r="Z45" s="7" t="str">
        <f ca="1">'Database MK'!HH46</f>
        <v>Sudah, Delay</v>
      </c>
      <c r="AA45" s="7" t="str">
        <f ca="1">'Database MK'!HQ46</f>
        <v>Sudah, Delay</v>
      </c>
      <c r="AB45" s="7" t="str">
        <f ca="1">'Database MK'!HW46</f>
        <v>Sudah, Delay</v>
      </c>
      <c r="AC45" s="7">
        <f>'Database MK'!DA46-'Database MK'!DB46</f>
        <v>45466</v>
      </c>
      <c r="AD45" s="7">
        <f>'Database MK'!DA46-'Database MK'!DF46</f>
        <v>45466</v>
      </c>
      <c r="AE45" s="7">
        <f>'Database MK'!DK46-'Database MK'!DL46</f>
        <v>58</v>
      </c>
      <c r="AF45" s="7">
        <f>'Database MK'!DK46-'Database MK'!DO46</f>
        <v>33</v>
      </c>
      <c r="AG45" s="7">
        <f>'Database MK'!DU46-'Database MK'!DW46</f>
        <v>45508</v>
      </c>
      <c r="AH45" s="7" t="str">
        <f>IF('Database MK'!EB46="","Belum",'Database MK'!DU46-'Database MK'!EB46)</f>
        <v>Belum</v>
      </c>
      <c r="AI45" s="7" t="str">
        <f>IF('Database MK'!EN46="","Belum",'Database MK'!EL46-'Database MK'!EN46)</f>
        <v>Belum</v>
      </c>
      <c r="AJ45" s="7">
        <f>'Database MK'!FY46-'Database MK'!FZ46</f>
        <v>0</v>
      </c>
      <c r="AK45" s="7">
        <f>IF('Database MK'!GC46="","Belum",'Database MK'!GB46-'Database MK'!GC46)</f>
        <v>50</v>
      </c>
      <c r="AL45" s="7">
        <f>IF('Database MK'!GF46="","Belum",'Database MK'!GE46-'Database MK'!GF46)</f>
        <v>57</v>
      </c>
      <c r="AM45" s="309">
        <f>IF('Database MK'!GJ46="","Belum",'Database MK'!GI46-'Database MK'!GJ46)</f>
        <v>66</v>
      </c>
      <c r="AN45" s="7">
        <f>IF('Database MK'!HG46="","Belum",'Database MK'!HF46-'Database MK'!HG46)</f>
        <v>-20</v>
      </c>
      <c r="AO45" s="7">
        <f>IF('Database MK'!HP46="","Belum",'Database MK'!HN46-'Database MK'!HP46)</f>
        <v>-35</v>
      </c>
      <c r="AP45" s="7">
        <f>IF('Database MK'!HV46="","Belum",'Database MK'!HT46-'Database MK'!HV46)</f>
        <v>-33</v>
      </c>
    </row>
    <row r="46" spans="2:42" x14ac:dyDescent="0.2">
      <c r="B46" s="7">
        <f>SUBTOTAL(3,$C$4:C46)</f>
        <v>43</v>
      </c>
      <c r="C46" s="299" t="s">
        <v>244</v>
      </c>
      <c r="D46" s="299" t="s">
        <v>474</v>
      </c>
      <c r="E46" s="299" t="s">
        <v>475</v>
      </c>
      <c r="F46" s="300">
        <v>45748</v>
      </c>
      <c r="G46" s="4" t="s">
        <v>247</v>
      </c>
      <c r="H46" s="4" t="str">
        <f ca="1">'Database MK'!Q47</f>
        <v>DPPP</v>
      </c>
      <c r="I46" s="24">
        <f>'Database MK'!S47</f>
        <v>1</v>
      </c>
      <c r="J46" s="24">
        <f>'Database MK'!T47</f>
        <v>1</v>
      </c>
      <c r="K46" s="603">
        <f>'Database MK'!U47</f>
        <v>0</v>
      </c>
      <c r="L46" s="593">
        <f>'Database MK'!V47</f>
        <v>3290</v>
      </c>
      <c r="M46" s="593">
        <f>'Database MK'!W47</f>
        <v>3005.8</v>
      </c>
      <c r="N46" s="593">
        <f>Table3[[#This Row],[Total Panjang Pipa Aktual]]-Table3[[#This Row],[Volume
BA MC-0]]</f>
        <v>-284.19999999999982</v>
      </c>
      <c r="O46" s="7" t="str">
        <f ca="1">'Database MK'!DE47</f>
        <v>Belum, Delay</v>
      </c>
      <c r="P46" s="7" t="str">
        <f ca="1">'Database MK'!DI47</f>
        <v>Belum, Delay</v>
      </c>
      <c r="Q46" s="7" t="str">
        <f ca="1">'Database MK'!DN47</f>
        <v>Sudah, OnSchedule</v>
      </c>
      <c r="R46" s="7" t="str">
        <f ca="1">'Database MK'!DR47</f>
        <v>Sudah, OnSchedule</v>
      </c>
      <c r="S46" s="7" t="str">
        <f ca="1">'Database MK'!EA47</f>
        <v>Belum, Delay</v>
      </c>
      <c r="T46" s="7" t="str">
        <f ca="1">'Database MK'!EI47</f>
        <v>Belum, Delay</v>
      </c>
      <c r="U46" s="7" t="str">
        <f ca="1">'Database MK'!ET47</f>
        <v>Belum, Delay</v>
      </c>
      <c r="V46" s="7" t="str">
        <f ca="1">'Database MK'!GA47</f>
        <v>Belum, Delay</v>
      </c>
      <c r="W46" s="7" t="str">
        <f ca="1">'Database MK'!GD47</f>
        <v>Sudah, OnSchedule</v>
      </c>
      <c r="X46" s="7" t="str">
        <f ca="1">'Database MK'!GG47</f>
        <v>Sudah, OnSchedule</v>
      </c>
      <c r="Y46" s="7" t="str">
        <f ca="1">'Database MK'!GK47</f>
        <v>Sudah, OnSchedule</v>
      </c>
      <c r="Z46" s="7" t="str">
        <f ca="1">'Database MK'!HH47</f>
        <v>Sudah, Delay</v>
      </c>
      <c r="AA46" s="7" t="str">
        <f ca="1">'Database MK'!HQ47</f>
        <v>Sudah, Delay</v>
      </c>
      <c r="AB46" s="7" t="str">
        <f ca="1">'Database MK'!HW47</f>
        <v>Sudah, Delay</v>
      </c>
      <c r="AC46" s="7">
        <f>'Database MK'!DA47-'Database MK'!DB47</f>
        <v>45466</v>
      </c>
      <c r="AD46" s="7">
        <f>'Database MK'!DA47-'Database MK'!DF47</f>
        <v>45466</v>
      </c>
      <c r="AE46" s="7">
        <f>'Database MK'!DK47-'Database MK'!DL47</f>
        <v>60</v>
      </c>
      <c r="AF46" s="7">
        <f>'Database MK'!DK47-'Database MK'!DO47</f>
        <v>54</v>
      </c>
      <c r="AG46" s="7">
        <f>'Database MK'!DU47-'Database MK'!DW47</f>
        <v>45508</v>
      </c>
      <c r="AH46" s="7" t="str">
        <f>IF('Database MK'!EB47="","Belum",'Database MK'!DU47-'Database MK'!EB47)</f>
        <v>Belum</v>
      </c>
      <c r="AI46" s="7" t="str">
        <f>IF('Database MK'!EN47="","Belum",'Database MK'!EL47-'Database MK'!EN47)</f>
        <v>Belum</v>
      </c>
      <c r="AJ46" s="7">
        <f>'Database MK'!FY47-'Database MK'!FZ47</f>
        <v>0</v>
      </c>
      <c r="AK46" s="7">
        <f>IF('Database MK'!GC47="","Belum",'Database MK'!GB47-'Database MK'!GC47)</f>
        <v>50</v>
      </c>
      <c r="AL46" s="7">
        <f>IF('Database MK'!GF47="","Belum",'Database MK'!GE47-'Database MK'!GF47)</f>
        <v>57</v>
      </c>
      <c r="AM46" s="309">
        <f>IF('Database MK'!GJ47="","Belum",'Database MK'!GI47-'Database MK'!GJ47)</f>
        <v>66</v>
      </c>
      <c r="AN46" s="7">
        <f>IF('Database MK'!HG47="","Belum",'Database MK'!HF47-'Database MK'!HG47)</f>
        <v>-21</v>
      </c>
      <c r="AO46" s="7">
        <f>IF('Database MK'!HP47="","Belum",'Database MK'!HN47-'Database MK'!HP47)</f>
        <v>-31</v>
      </c>
      <c r="AP46" s="7">
        <f>IF('Database MK'!HV47="","Belum",'Database MK'!HT47-'Database MK'!HV47)</f>
        <v>-29</v>
      </c>
    </row>
    <row r="47" spans="2:42" x14ac:dyDescent="0.2">
      <c r="B47" s="7">
        <f>SUBTOTAL(3,$C$4:C47)</f>
        <v>44</v>
      </c>
      <c r="C47" s="299" t="s">
        <v>244</v>
      </c>
      <c r="D47" s="299" t="s">
        <v>480</v>
      </c>
      <c r="E47" s="299" t="s">
        <v>481</v>
      </c>
      <c r="F47" s="300">
        <v>45748</v>
      </c>
      <c r="G47" s="4" t="s">
        <v>247</v>
      </c>
      <c r="H47" s="4" t="str">
        <f ca="1">'Database MK'!Q48</f>
        <v>DPPP</v>
      </c>
      <c r="I47" s="24">
        <f>'Database MK'!S48</f>
        <v>1</v>
      </c>
      <c r="J47" s="24">
        <f>'Database MK'!T48</f>
        <v>1</v>
      </c>
      <c r="K47" s="603">
        <f>'Database MK'!U48</f>
        <v>0</v>
      </c>
      <c r="L47" s="593">
        <f>'Database MK'!V48</f>
        <v>5129</v>
      </c>
      <c r="M47" s="593">
        <f>'Database MK'!W48</f>
        <v>1976.5</v>
      </c>
      <c r="N47" s="593">
        <f>Table3[[#This Row],[Total Panjang Pipa Aktual]]-Table3[[#This Row],[Volume
BA MC-0]]</f>
        <v>-3152.5</v>
      </c>
      <c r="O47" s="7" t="str">
        <f ca="1">'Database MK'!DE48</f>
        <v>Belum, Delay</v>
      </c>
      <c r="P47" s="7" t="str">
        <f ca="1">'Database MK'!DI48</f>
        <v>Belum, Delay</v>
      </c>
      <c r="Q47" s="7" t="str">
        <f ca="1">'Database MK'!DN48</f>
        <v>Sudah, OnSchedule</v>
      </c>
      <c r="R47" s="7" t="str">
        <f ca="1">'Database MK'!DR48</f>
        <v>Sudah, OnSchedule</v>
      </c>
      <c r="S47" s="7" t="str">
        <f ca="1">'Database MK'!EA48</f>
        <v>Belum, Delay</v>
      </c>
      <c r="T47" s="7" t="str">
        <f ca="1">'Database MK'!EI48</f>
        <v>Belum, Delay</v>
      </c>
      <c r="U47" s="7" t="str">
        <f ca="1">'Database MK'!ET48</f>
        <v>Belum, Delay</v>
      </c>
      <c r="V47" s="7" t="str">
        <f ca="1">'Database MK'!GA48</f>
        <v>Belum, Delay</v>
      </c>
      <c r="W47" s="7" t="str">
        <f ca="1">'Database MK'!GD48</f>
        <v>Sudah, OnSchedule</v>
      </c>
      <c r="X47" s="7" t="str">
        <f ca="1">'Database MK'!GG48</f>
        <v>Sudah, OnSchedule</v>
      </c>
      <c r="Y47" s="7" t="str">
        <f ca="1">'Database MK'!GK48</f>
        <v>Sudah, OnSchedule</v>
      </c>
      <c r="Z47" s="7" t="str">
        <f ca="1">'Database MK'!HH48</f>
        <v>Sudah, Delay</v>
      </c>
      <c r="AA47" s="7" t="str">
        <f ca="1">'Database MK'!HQ48</f>
        <v>Sudah, Delay</v>
      </c>
      <c r="AB47" s="7" t="str">
        <f ca="1">'Database MK'!HW48</f>
        <v>Sudah, Delay</v>
      </c>
      <c r="AC47" s="7">
        <f>'Database MK'!DA48-'Database MK'!DB48</f>
        <v>45466</v>
      </c>
      <c r="AD47" s="7">
        <f>'Database MK'!DA48-'Database MK'!DF48</f>
        <v>45466</v>
      </c>
      <c r="AE47" s="7">
        <f>'Database MK'!DK48-'Database MK'!DL48</f>
        <v>38</v>
      </c>
      <c r="AF47" s="7">
        <f>'Database MK'!DK48-'Database MK'!DO48</f>
        <v>9</v>
      </c>
      <c r="AG47" s="7">
        <f>'Database MK'!DU48-'Database MK'!DW48</f>
        <v>45508</v>
      </c>
      <c r="AH47" s="7" t="str">
        <f>IF('Database MK'!EB48="","Belum",'Database MK'!DU48-'Database MK'!EB48)</f>
        <v>Belum</v>
      </c>
      <c r="AI47" s="7" t="str">
        <f>IF('Database MK'!EN48="","Belum",'Database MK'!EL48-'Database MK'!EN48)</f>
        <v>Belum</v>
      </c>
      <c r="AJ47" s="7">
        <f>'Database MK'!FY48-'Database MK'!FZ48</f>
        <v>0</v>
      </c>
      <c r="AK47" s="7">
        <f>IF('Database MK'!GC48="","Belum",'Database MK'!GB48-'Database MK'!GC48)</f>
        <v>19</v>
      </c>
      <c r="AL47" s="7">
        <f>IF('Database MK'!GF48="","Belum",'Database MK'!GE48-'Database MK'!GF48)</f>
        <v>26</v>
      </c>
      <c r="AM47" s="309">
        <f>IF('Database MK'!GJ48="","Belum",'Database MK'!GI48-'Database MK'!GJ48)</f>
        <v>4</v>
      </c>
      <c r="AN47" s="7">
        <f>IF('Database MK'!HG48="","Belum",'Database MK'!HF48-'Database MK'!HG48)</f>
        <v>-37</v>
      </c>
      <c r="AO47" s="7">
        <f>IF('Database MK'!HP48="","Belum",'Database MK'!HN48-'Database MK'!HP48)</f>
        <v>-108</v>
      </c>
      <c r="AP47" s="7">
        <f>IF('Database MK'!HV48="","Belum",'Database MK'!HT48-'Database MK'!HV48)</f>
        <v>-106</v>
      </c>
    </row>
    <row r="48" spans="2:42" x14ac:dyDescent="0.2">
      <c r="B48" s="7">
        <f>SUBTOTAL(3,$C$4:C48)</f>
        <v>45</v>
      </c>
      <c r="C48" s="299" t="s">
        <v>244</v>
      </c>
      <c r="D48" s="299" t="s">
        <v>486</v>
      </c>
      <c r="E48" s="299" t="s">
        <v>487</v>
      </c>
      <c r="F48" s="300">
        <v>45748</v>
      </c>
      <c r="G48" s="4" t="s">
        <v>247</v>
      </c>
      <c r="H48" s="4" t="str">
        <f ca="1">'Database MK'!Q49</f>
        <v>DPPP</v>
      </c>
      <c r="I48" s="24">
        <f>'Database MK'!S49</f>
        <v>1</v>
      </c>
      <c r="J48" s="24">
        <f>'Database MK'!T49</f>
        <v>1</v>
      </c>
      <c r="K48" s="603">
        <f>'Database MK'!U49</f>
        <v>0</v>
      </c>
      <c r="L48" s="593">
        <f>'Database MK'!V49</f>
        <v>6208</v>
      </c>
      <c r="M48" s="593">
        <f>'Database MK'!W49</f>
        <v>4127</v>
      </c>
      <c r="N48" s="593">
        <f>Table3[[#This Row],[Total Panjang Pipa Aktual]]-Table3[[#This Row],[Volume
BA MC-0]]</f>
        <v>-2081</v>
      </c>
      <c r="O48" s="7" t="str">
        <f ca="1">'Database MK'!DE49</f>
        <v>Belum, Delay</v>
      </c>
      <c r="P48" s="7" t="str">
        <f ca="1">'Database MK'!DI49</f>
        <v>Belum, Delay</v>
      </c>
      <c r="Q48" s="7" t="str">
        <f ca="1">'Database MK'!DN49</f>
        <v>Sudah, OnSchedule</v>
      </c>
      <c r="R48" s="7" t="str">
        <f ca="1">'Database MK'!DR49</f>
        <v>Sudah, OnSchedule</v>
      </c>
      <c r="S48" s="7" t="str">
        <f ca="1">'Database MK'!EA49</f>
        <v>Belum, Delay</v>
      </c>
      <c r="T48" s="7" t="str">
        <f ca="1">'Database MK'!EI49</f>
        <v>Belum, Delay</v>
      </c>
      <c r="U48" s="7" t="str">
        <f ca="1">'Database MK'!ET49</f>
        <v>Belum, Delay</v>
      </c>
      <c r="V48" s="7" t="str">
        <f ca="1">'Database MK'!GA49</f>
        <v>Belum, Delay</v>
      </c>
      <c r="W48" s="7" t="str">
        <f ca="1">'Database MK'!GD49</f>
        <v>Sudah, OnSchedule</v>
      </c>
      <c r="X48" s="7" t="str">
        <f ca="1">'Database MK'!GG49</f>
        <v>Sudah, OnSchedule</v>
      </c>
      <c r="Y48" s="7" t="str">
        <f ca="1">'Database MK'!GK49</f>
        <v>Sudah, OnSchedule</v>
      </c>
      <c r="Z48" s="7" t="str">
        <f ca="1">'Database MK'!HH49</f>
        <v>Sudah, Delay</v>
      </c>
      <c r="AA48" s="7" t="str">
        <f ca="1">'Database MK'!HQ49</f>
        <v>Sudah, Delay</v>
      </c>
      <c r="AB48" s="7" t="str">
        <f ca="1">'Database MK'!HW49</f>
        <v>Sudah, Delay</v>
      </c>
      <c r="AC48" s="7">
        <f>'Database MK'!DA49-'Database MK'!DB49</f>
        <v>45466</v>
      </c>
      <c r="AD48" s="7">
        <f>'Database MK'!DA49-'Database MK'!DF49</f>
        <v>45466</v>
      </c>
      <c r="AE48" s="7">
        <f>'Database MK'!DK49-'Database MK'!DL49</f>
        <v>38</v>
      </c>
      <c r="AF48" s="7">
        <f>'Database MK'!DK49-'Database MK'!DO49</f>
        <v>6</v>
      </c>
      <c r="AG48" s="7">
        <f>'Database MK'!DU49-'Database MK'!DW49</f>
        <v>45508</v>
      </c>
      <c r="AH48" s="7" t="str">
        <f>IF('Database MK'!EB49="","Belum",'Database MK'!DU49-'Database MK'!EB49)</f>
        <v>Belum</v>
      </c>
      <c r="AI48" s="7" t="str">
        <f>IF('Database MK'!EN49="","Belum",'Database MK'!EL49-'Database MK'!EN49)</f>
        <v>Belum</v>
      </c>
      <c r="AJ48" s="7">
        <f>'Database MK'!FY49-'Database MK'!FZ49</f>
        <v>0</v>
      </c>
      <c r="AK48" s="7">
        <f>IF('Database MK'!GC49="","Belum",'Database MK'!GB49-'Database MK'!GC49)</f>
        <v>19</v>
      </c>
      <c r="AL48" s="7">
        <f>IF('Database MK'!GF49="","Belum",'Database MK'!GE49-'Database MK'!GF49)</f>
        <v>26</v>
      </c>
      <c r="AM48" s="309">
        <f>IF('Database MK'!GJ49="","Belum",'Database MK'!GI49-'Database MK'!GJ49)</f>
        <v>34</v>
      </c>
      <c r="AN48" s="7">
        <f>IF('Database MK'!HG49="","Belum",'Database MK'!HF49-'Database MK'!HG49)</f>
        <v>-110</v>
      </c>
      <c r="AO48" s="7">
        <f>IF('Database MK'!HP49="","Belum",'Database MK'!HN49-'Database MK'!HP49)</f>
        <v>-103</v>
      </c>
      <c r="AP48" s="7">
        <f>IF('Database MK'!HV49="","Belum",'Database MK'!HT49-'Database MK'!HV49)</f>
        <v>-101</v>
      </c>
    </row>
    <row r="49" spans="2:42" x14ac:dyDescent="0.2">
      <c r="B49" s="7">
        <f>SUBTOTAL(3,$C$4:C49)</f>
        <v>46</v>
      </c>
      <c r="C49" s="299" t="s">
        <v>244</v>
      </c>
      <c r="D49" s="299" t="s">
        <v>491</v>
      </c>
      <c r="E49" s="299" t="s">
        <v>492</v>
      </c>
      <c r="F49" s="300">
        <v>45748</v>
      </c>
      <c r="G49" s="4" t="s">
        <v>247</v>
      </c>
      <c r="H49" s="4" t="str">
        <f ca="1">'Database MK'!Q50</f>
        <v>DPPP</v>
      </c>
      <c r="I49" s="24">
        <f>'Database MK'!S50</f>
        <v>1</v>
      </c>
      <c r="J49" s="24">
        <f>'Database MK'!T50</f>
        <v>1</v>
      </c>
      <c r="K49" s="603">
        <f>'Database MK'!U50</f>
        <v>0</v>
      </c>
      <c r="L49" s="593">
        <f>'Database MK'!V50</f>
        <v>500</v>
      </c>
      <c r="M49" s="593">
        <f>'Database MK'!W50</f>
        <v>466.9</v>
      </c>
      <c r="N49" s="593">
        <f>Table3[[#This Row],[Total Panjang Pipa Aktual]]-Table3[[#This Row],[Volume
BA MC-0]]</f>
        <v>-33.100000000000023</v>
      </c>
      <c r="O49" s="7" t="str">
        <f ca="1">'Database MK'!DE50</f>
        <v>Belum, Delay</v>
      </c>
      <c r="P49" s="7" t="str">
        <f ca="1">'Database MK'!DI50</f>
        <v>Belum, Delay</v>
      </c>
      <c r="Q49" s="7" t="str">
        <f ca="1">'Database MK'!DN50</f>
        <v>Sudah, OnSchedule</v>
      </c>
      <c r="R49" s="7" t="str">
        <f ca="1">'Database MK'!DR50</f>
        <v>Sudah, Delay</v>
      </c>
      <c r="S49" s="7" t="str">
        <f ca="1">'Database MK'!EA50</f>
        <v>Belum, Delay</v>
      </c>
      <c r="T49" s="7" t="str">
        <f ca="1">'Database MK'!EI50</f>
        <v>Belum, Delay</v>
      </c>
      <c r="U49" s="7" t="str">
        <f ca="1">'Database MK'!ET50</f>
        <v>Belum, Delay</v>
      </c>
      <c r="V49" s="7" t="str">
        <f ca="1">'Database MK'!GA50</f>
        <v>Belum, Delay</v>
      </c>
      <c r="W49" s="7" t="str">
        <f ca="1">'Database MK'!GD50</f>
        <v>Sudah, OnSchedule</v>
      </c>
      <c r="X49" s="7" t="str">
        <f ca="1">'Database MK'!GG50</f>
        <v>Sudah, OnSchedule</v>
      </c>
      <c r="Y49" s="7" t="str">
        <f ca="1">'Database MK'!GK50</f>
        <v>Sudah, OnSchedule</v>
      </c>
      <c r="Z49" s="7" t="str">
        <f ca="1">'Database MK'!HH50</f>
        <v>Sudah, Delay</v>
      </c>
      <c r="AA49" s="7" t="str">
        <f ca="1">'Database MK'!HQ50</f>
        <v>Sudah, Delay</v>
      </c>
      <c r="AB49" s="7" t="str">
        <f ca="1">'Database MK'!HW50</f>
        <v>Sudah, Delay</v>
      </c>
      <c r="AC49" s="7">
        <f>'Database MK'!DA50-'Database MK'!DB50</f>
        <v>45466</v>
      </c>
      <c r="AD49" s="7">
        <f>'Database MK'!DA50-'Database MK'!DF50</f>
        <v>45466</v>
      </c>
      <c r="AE49" s="7">
        <f>'Database MK'!DK50-'Database MK'!DL50</f>
        <v>10</v>
      </c>
      <c r="AF49" s="7">
        <f>'Database MK'!DK50-'Database MK'!DO50</f>
        <v>-24</v>
      </c>
      <c r="AG49" s="7">
        <f>'Database MK'!DU50-'Database MK'!DW50</f>
        <v>45508</v>
      </c>
      <c r="AH49" s="7" t="str">
        <f>IF('Database MK'!EB50="","Belum",'Database MK'!DU50-'Database MK'!EB50)</f>
        <v>Belum</v>
      </c>
      <c r="AI49" s="7" t="str">
        <f>IF('Database MK'!EN50="","Belum",'Database MK'!EL50-'Database MK'!EN50)</f>
        <v>Belum</v>
      </c>
      <c r="AJ49" s="7">
        <f>'Database MK'!FY50-'Database MK'!FZ50</f>
        <v>0</v>
      </c>
      <c r="AK49" s="7">
        <f>IF('Database MK'!GC50="","Belum",'Database MK'!GB50-'Database MK'!GC50)</f>
        <v>19</v>
      </c>
      <c r="AL49" s="7">
        <f>IF('Database MK'!GF50="","Belum",'Database MK'!GE50-'Database MK'!GF50)</f>
        <v>26</v>
      </c>
      <c r="AM49" s="309">
        <f>IF('Database MK'!GJ50="","Belum",'Database MK'!GI50-'Database MK'!GJ50)</f>
        <v>34</v>
      </c>
      <c r="AN49" s="7">
        <f>IF('Database MK'!HG50="","Belum",'Database MK'!HF50-'Database MK'!HG50)</f>
        <v>-40</v>
      </c>
      <c r="AO49" s="7">
        <f>IF('Database MK'!HP50="","Belum",'Database MK'!HN50-'Database MK'!HP50)</f>
        <v>-41</v>
      </c>
      <c r="AP49" s="7">
        <f>IF('Database MK'!HV50="","Belum",'Database MK'!HT50-'Database MK'!HV50)</f>
        <v>-39</v>
      </c>
    </row>
    <row r="50" spans="2:42" x14ac:dyDescent="0.2">
      <c r="B50" s="7">
        <f>SUBTOTAL(3,$C$4:C50)</f>
        <v>47</v>
      </c>
      <c r="C50" s="299" t="s">
        <v>244</v>
      </c>
      <c r="D50" s="299" t="s">
        <v>496</v>
      </c>
      <c r="E50" s="299" t="s">
        <v>497</v>
      </c>
      <c r="F50" s="300">
        <v>45748</v>
      </c>
      <c r="G50" s="4" t="s">
        <v>247</v>
      </c>
      <c r="H50" s="4" t="str">
        <f ca="1">'Database MK'!Q51</f>
        <v>DPPP</v>
      </c>
      <c r="I50" s="24">
        <f>'Database MK'!S51</f>
        <v>1</v>
      </c>
      <c r="J50" s="24">
        <f>'Database MK'!T51</f>
        <v>1</v>
      </c>
      <c r="K50" s="603">
        <f>'Database MK'!U51</f>
        <v>0</v>
      </c>
      <c r="L50" s="593">
        <f>'Database MK'!V51</f>
        <v>1447</v>
      </c>
      <c r="M50" s="593">
        <f>'Database MK'!W51</f>
        <v>1284.3</v>
      </c>
      <c r="N50" s="593">
        <f>Table3[[#This Row],[Total Panjang Pipa Aktual]]-Table3[[#This Row],[Volume
BA MC-0]]</f>
        <v>-162.70000000000005</v>
      </c>
      <c r="O50" s="7" t="str">
        <f ca="1">'Database MK'!DE51</f>
        <v>Belum, Delay</v>
      </c>
      <c r="P50" s="7" t="str">
        <f ca="1">'Database MK'!DI51</f>
        <v>Belum, Delay</v>
      </c>
      <c r="Q50" s="7" t="str">
        <f ca="1">'Database MK'!DN51</f>
        <v>Sudah, OnSchedule</v>
      </c>
      <c r="R50" s="7" t="str">
        <f ca="1">'Database MK'!DR51</f>
        <v>Sudah, OnSchedule</v>
      </c>
      <c r="S50" s="7" t="str">
        <f ca="1">'Database MK'!EA51</f>
        <v>Belum, Delay</v>
      </c>
      <c r="T50" s="7" t="str">
        <f ca="1">'Database MK'!EI51</f>
        <v>Belum, Delay</v>
      </c>
      <c r="U50" s="7" t="str">
        <f ca="1">'Database MK'!ET51</f>
        <v>Belum, Delay</v>
      </c>
      <c r="V50" s="7" t="str">
        <f ca="1">'Database MK'!GA51</f>
        <v>Belum, Delay</v>
      </c>
      <c r="W50" s="7" t="str">
        <f ca="1">'Database MK'!GD51</f>
        <v>Sudah, OnSchedule</v>
      </c>
      <c r="X50" s="7" t="str">
        <f ca="1">'Database MK'!GG51</f>
        <v>Sudah, OnSchedule</v>
      </c>
      <c r="Y50" s="7" t="str">
        <f ca="1">'Database MK'!GK51</f>
        <v>Sudah, OnSchedule</v>
      </c>
      <c r="Z50" s="7" t="str">
        <f ca="1">'Database MK'!HH51</f>
        <v>Sudah, Delay</v>
      </c>
      <c r="AA50" s="7" t="str">
        <f ca="1">'Database MK'!HQ51</f>
        <v>Sudah, Delay</v>
      </c>
      <c r="AB50" s="7" t="str">
        <f ca="1">'Database MK'!HW51</f>
        <v>Sudah, Delay</v>
      </c>
      <c r="AC50" s="7">
        <f>'Database MK'!DA51-'Database MK'!DB51</f>
        <v>45466</v>
      </c>
      <c r="AD50" s="7">
        <f>'Database MK'!DA51-'Database MK'!DF51</f>
        <v>45466</v>
      </c>
      <c r="AE50" s="7">
        <f>'Database MK'!DK51-'Database MK'!DL51</f>
        <v>31</v>
      </c>
      <c r="AF50" s="7">
        <f>'Database MK'!DK51-'Database MK'!DO51</f>
        <v>6</v>
      </c>
      <c r="AG50" s="7">
        <f>'Database MK'!DU51-'Database MK'!DW51</f>
        <v>45508</v>
      </c>
      <c r="AH50" s="7" t="str">
        <f>IF('Database MK'!EB51="","Belum",'Database MK'!DU51-'Database MK'!EB51)</f>
        <v>Belum</v>
      </c>
      <c r="AI50" s="7" t="str">
        <f>IF('Database MK'!EN51="","Belum",'Database MK'!EL51-'Database MK'!EN51)</f>
        <v>Belum</v>
      </c>
      <c r="AJ50" s="7">
        <f>'Database MK'!FY51-'Database MK'!FZ51</f>
        <v>0</v>
      </c>
      <c r="AK50" s="7">
        <f>IF('Database MK'!GC51="","Belum",'Database MK'!GB51-'Database MK'!GC51)</f>
        <v>19</v>
      </c>
      <c r="AL50" s="7">
        <f>IF('Database MK'!GF51="","Belum",'Database MK'!GE51-'Database MK'!GF51)</f>
        <v>26</v>
      </c>
      <c r="AM50" s="309">
        <f>IF('Database MK'!GJ51="","Belum",'Database MK'!GI51-'Database MK'!GJ51)</f>
        <v>30</v>
      </c>
      <c r="AN50" s="7">
        <f>IF('Database MK'!HG51="","Belum",'Database MK'!HF51-'Database MK'!HG51)</f>
        <v>-34</v>
      </c>
      <c r="AO50" s="7">
        <f>IF('Database MK'!HP51="","Belum",'Database MK'!HN51-'Database MK'!HP51)</f>
        <v>-56</v>
      </c>
      <c r="AP50" s="7">
        <f>IF('Database MK'!HV51="","Belum",'Database MK'!HT51-'Database MK'!HV51)</f>
        <v>-54</v>
      </c>
    </row>
    <row r="51" spans="2:42" x14ac:dyDescent="0.2">
      <c r="B51" s="7">
        <f>SUBTOTAL(3,$C$4:C51)</f>
        <v>48</v>
      </c>
      <c r="C51" s="299" t="s">
        <v>244</v>
      </c>
      <c r="D51" s="299" t="s">
        <v>502</v>
      </c>
      <c r="E51" s="299" t="s">
        <v>503</v>
      </c>
      <c r="F51" s="300">
        <v>45748</v>
      </c>
      <c r="G51" s="4" t="s">
        <v>247</v>
      </c>
      <c r="H51" s="4" t="str">
        <f ca="1">'Database MK'!Q52</f>
        <v>DPPP</v>
      </c>
      <c r="I51" s="24">
        <f>'Database MK'!S52</f>
        <v>1</v>
      </c>
      <c r="J51" s="24">
        <f>'Database MK'!T52</f>
        <v>1</v>
      </c>
      <c r="K51" s="603">
        <f>'Database MK'!U52</f>
        <v>0</v>
      </c>
      <c r="L51" s="593">
        <f>'Database MK'!V52</f>
        <v>1140</v>
      </c>
      <c r="M51" s="593">
        <f>'Database MK'!W52</f>
        <v>536.4</v>
      </c>
      <c r="N51" s="593">
        <f>Table3[[#This Row],[Total Panjang Pipa Aktual]]-Table3[[#This Row],[Volume
BA MC-0]]</f>
        <v>-603.6</v>
      </c>
      <c r="O51" s="7" t="str">
        <f ca="1">'Database MK'!DE52</f>
        <v>Belum, Delay</v>
      </c>
      <c r="P51" s="7" t="str">
        <f ca="1">'Database MK'!DI52</f>
        <v>Belum, Delay</v>
      </c>
      <c r="Q51" s="7" t="str">
        <f ca="1">'Database MK'!DN52</f>
        <v>Sudah, OnSchedule</v>
      </c>
      <c r="R51" s="7" t="str">
        <f ca="1">'Database MK'!DR52</f>
        <v>Sudah, OnSchedule</v>
      </c>
      <c r="S51" s="7" t="str">
        <f ca="1">'Database MK'!EA52</f>
        <v>Belum, Delay</v>
      </c>
      <c r="T51" s="7" t="str">
        <f ca="1">'Database MK'!EI52</f>
        <v>Belum, Delay</v>
      </c>
      <c r="U51" s="7" t="str">
        <f ca="1">'Database MK'!ET52</f>
        <v>Belum, Delay</v>
      </c>
      <c r="V51" s="7" t="str">
        <f ca="1">'Database MK'!GA52</f>
        <v>Belum, Delay</v>
      </c>
      <c r="W51" s="7" t="str">
        <f ca="1">'Database MK'!GD52</f>
        <v>Sudah, OnSchedule</v>
      </c>
      <c r="X51" s="7" t="str">
        <f ca="1">'Database MK'!GG52</f>
        <v>Sudah, OnSchedule</v>
      </c>
      <c r="Y51" s="7" t="str">
        <f ca="1">'Database MK'!GK52</f>
        <v>Sudah, OnSchedule</v>
      </c>
      <c r="Z51" s="7" t="str">
        <f ca="1">'Database MK'!HH52</f>
        <v>Sudah, Delay</v>
      </c>
      <c r="AA51" s="7" t="str">
        <f ca="1">'Database MK'!HQ52</f>
        <v>Sudah, Delay</v>
      </c>
      <c r="AB51" s="7" t="str">
        <f ca="1">'Database MK'!HW52</f>
        <v>Sudah, Delay</v>
      </c>
      <c r="AC51" s="7">
        <f>'Database MK'!DA52-'Database MK'!DB52</f>
        <v>45466</v>
      </c>
      <c r="AD51" s="7">
        <f>'Database MK'!DA52-'Database MK'!DF52</f>
        <v>45466</v>
      </c>
      <c r="AE51" s="7">
        <f>'Database MK'!DK52-'Database MK'!DL52</f>
        <v>31</v>
      </c>
      <c r="AF51" s="7">
        <f>'Database MK'!DK52-'Database MK'!DO52</f>
        <v>9</v>
      </c>
      <c r="AG51" s="7">
        <f>'Database MK'!DU52-'Database MK'!DW52</f>
        <v>45508</v>
      </c>
      <c r="AH51" s="7" t="str">
        <f>IF('Database MK'!EB52="","Belum",'Database MK'!DU52-'Database MK'!EB52)</f>
        <v>Belum</v>
      </c>
      <c r="AI51" s="7" t="str">
        <f>IF('Database MK'!EN52="","Belum",'Database MK'!EL52-'Database MK'!EN52)</f>
        <v>Belum</v>
      </c>
      <c r="AJ51" s="7">
        <f>'Database MK'!FY52-'Database MK'!FZ52</f>
        <v>0</v>
      </c>
      <c r="AK51" s="7">
        <f>IF('Database MK'!GC52="","Belum",'Database MK'!GB52-'Database MK'!GC52)</f>
        <v>19</v>
      </c>
      <c r="AL51" s="7">
        <f>IF('Database MK'!GF52="","Belum",'Database MK'!GE52-'Database MK'!GF52)</f>
        <v>26</v>
      </c>
      <c r="AM51" s="309">
        <f>IF('Database MK'!GJ52="","Belum",'Database MK'!GI52-'Database MK'!GJ52)</f>
        <v>29</v>
      </c>
      <c r="AN51" s="7">
        <f>IF('Database MK'!HG52="","Belum",'Database MK'!HF52-'Database MK'!HG52)</f>
        <v>-57</v>
      </c>
      <c r="AO51" s="7">
        <f>IF('Database MK'!HP52="","Belum",'Database MK'!HN52-'Database MK'!HP52)</f>
        <v>-56</v>
      </c>
      <c r="AP51" s="7">
        <f>IF('Database MK'!HV52="","Belum",'Database MK'!HT52-'Database MK'!HV52)</f>
        <v>-54</v>
      </c>
    </row>
    <row r="52" spans="2:42" x14ac:dyDescent="0.2">
      <c r="B52" s="7">
        <f>SUBTOTAL(3,$C$4:C52)</f>
        <v>49</v>
      </c>
      <c r="C52" s="299" t="s">
        <v>244</v>
      </c>
      <c r="D52" s="299" t="s">
        <v>507</v>
      </c>
      <c r="E52" s="299" t="s">
        <v>508</v>
      </c>
      <c r="F52" s="300">
        <v>45748</v>
      </c>
      <c r="G52" s="4" t="s">
        <v>247</v>
      </c>
      <c r="H52" s="4" t="str">
        <f ca="1">'Database MK'!Q53</f>
        <v>DPPP</v>
      </c>
      <c r="I52" s="24">
        <f>'Database MK'!S53</f>
        <v>1</v>
      </c>
      <c r="J52" s="24">
        <f>'Database MK'!T53</f>
        <v>1</v>
      </c>
      <c r="K52" s="603">
        <f>'Database MK'!U53</f>
        <v>0</v>
      </c>
      <c r="L52" s="593">
        <f>'Database MK'!V53</f>
        <v>3069</v>
      </c>
      <c r="M52" s="593">
        <f>'Database MK'!W53</f>
        <v>1709.5</v>
      </c>
      <c r="N52" s="593">
        <f>Table3[[#This Row],[Total Panjang Pipa Aktual]]-Table3[[#This Row],[Volume
BA MC-0]]</f>
        <v>-1359.5</v>
      </c>
      <c r="O52" s="7" t="str">
        <f ca="1">'Database MK'!DE53</f>
        <v>Belum, Delay</v>
      </c>
      <c r="P52" s="7" t="str">
        <f ca="1">'Database MK'!DI53</f>
        <v>Belum, Delay</v>
      </c>
      <c r="Q52" s="7" t="str">
        <f ca="1">'Database MK'!DN53</f>
        <v>Sudah, OnSchedule</v>
      </c>
      <c r="R52" s="7" t="str">
        <f ca="1">'Database MK'!DR53</f>
        <v>Sudah, OnSchedule</v>
      </c>
      <c r="S52" s="7" t="str">
        <f ca="1">'Database MK'!EA53</f>
        <v>Belum, Delay</v>
      </c>
      <c r="T52" s="7" t="str">
        <f ca="1">'Database MK'!EI53</f>
        <v>Belum, Delay</v>
      </c>
      <c r="U52" s="7" t="str">
        <f ca="1">'Database MK'!ET53</f>
        <v>Belum, Delay</v>
      </c>
      <c r="V52" s="7" t="str">
        <f ca="1">'Database MK'!GA53</f>
        <v>Belum, Delay</v>
      </c>
      <c r="W52" s="7" t="str">
        <f ca="1">'Database MK'!GD53</f>
        <v>Sudah, OnSchedule</v>
      </c>
      <c r="X52" s="7" t="str">
        <f ca="1">'Database MK'!GG53</f>
        <v>Sudah, OnSchedule</v>
      </c>
      <c r="Y52" s="7" t="str">
        <f ca="1">'Database MK'!GK53</f>
        <v>Sudah, OnSchedule</v>
      </c>
      <c r="Z52" s="7" t="str">
        <f ca="1">'Database MK'!HH53</f>
        <v>Sudah, Delay</v>
      </c>
      <c r="AA52" s="7" t="str">
        <f ca="1">'Database MK'!HQ53</f>
        <v>Sudah, Delay</v>
      </c>
      <c r="AB52" s="7" t="str">
        <f ca="1">'Database MK'!HW53</f>
        <v>Sudah, Delay</v>
      </c>
      <c r="AC52" s="7">
        <f>'Database MK'!DA53-'Database MK'!DB53</f>
        <v>45466</v>
      </c>
      <c r="AD52" s="7">
        <f>'Database MK'!DA53-'Database MK'!DF53</f>
        <v>45466</v>
      </c>
      <c r="AE52" s="7">
        <f>'Database MK'!DK53-'Database MK'!DL53</f>
        <v>30</v>
      </c>
      <c r="AF52" s="7">
        <f>'Database MK'!DK53-'Database MK'!DO53</f>
        <v>9</v>
      </c>
      <c r="AG52" s="7">
        <f>'Database MK'!DU53-'Database MK'!DW53</f>
        <v>45508</v>
      </c>
      <c r="AH52" s="7" t="str">
        <f>IF('Database MK'!EB53="","Belum",'Database MK'!DU53-'Database MK'!EB53)</f>
        <v>Belum</v>
      </c>
      <c r="AI52" s="7" t="str">
        <f>IF('Database MK'!EN53="","Belum",'Database MK'!EL53-'Database MK'!EN53)</f>
        <v>Belum</v>
      </c>
      <c r="AJ52" s="7">
        <f>'Database MK'!FY53-'Database MK'!FZ53</f>
        <v>0</v>
      </c>
      <c r="AK52" s="7">
        <f>IF('Database MK'!GC53="","Belum",'Database MK'!GB53-'Database MK'!GC53)</f>
        <v>19</v>
      </c>
      <c r="AL52" s="7">
        <f>IF('Database MK'!GF53="","Belum",'Database MK'!GE53-'Database MK'!GF53)</f>
        <v>26</v>
      </c>
      <c r="AM52" s="309">
        <f>IF('Database MK'!GJ53="","Belum",'Database MK'!GI53-'Database MK'!GJ53)</f>
        <v>27</v>
      </c>
      <c r="AN52" s="7">
        <f>IF('Database MK'!HG53="","Belum",'Database MK'!HF53-'Database MK'!HG53)</f>
        <v>-59</v>
      </c>
      <c r="AO52" s="7">
        <f>IF('Database MK'!HP53="","Belum",'Database MK'!HN53-'Database MK'!HP53)</f>
        <v>-56</v>
      </c>
      <c r="AP52" s="7">
        <f>IF('Database MK'!HV53="","Belum",'Database MK'!HT53-'Database MK'!HV53)</f>
        <v>-54</v>
      </c>
    </row>
    <row r="53" spans="2:42" x14ac:dyDescent="0.2">
      <c r="B53" s="7">
        <f>SUBTOTAL(3,$C$4:C53)</f>
        <v>50</v>
      </c>
      <c r="C53" s="299" t="s">
        <v>244</v>
      </c>
      <c r="D53" s="299" t="s">
        <v>512</v>
      </c>
      <c r="E53" s="299" t="s">
        <v>513</v>
      </c>
      <c r="F53" s="300">
        <v>45748</v>
      </c>
      <c r="G53" s="4" t="s">
        <v>247</v>
      </c>
      <c r="H53" s="4" t="str">
        <f ca="1">'Database MK'!Q54</f>
        <v>DPPP</v>
      </c>
      <c r="I53" s="24">
        <f>'Database MK'!S54</f>
        <v>1</v>
      </c>
      <c r="J53" s="24">
        <f>'Database MK'!T54</f>
        <v>1</v>
      </c>
      <c r="K53" s="603">
        <f>'Database MK'!U54</f>
        <v>0</v>
      </c>
      <c r="L53" s="593">
        <f>'Database MK'!V54</f>
        <v>2197</v>
      </c>
      <c r="M53" s="593">
        <f>'Database MK'!W54</f>
        <v>1357.6</v>
      </c>
      <c r="N53" s="593">
        <f>Table3[[#This Row],[Total Panjang Pipa Aktual]]-Table3[[#This Row],[Volume
BA MC-0]]</f>
        <v>-839.40000000000009</v>
      </c>
      <c r="O53" s="7" t="str">
        <f ca="1">'Database MK'!DE54</f>
        <v>Belum, Delay</v>
      </c>
      <c r="P53" s="7" t="str">
        <f ca="1">'Database MK'!DI54</f>
        <v>Belum, Delay</v>
      </c>
      <c r="Q53" s="7" t="str">
        <f ca="1">'Database MK'!DN54</f>
        <v>Sudah, OnSchedule</v>
      </c>
      <c r="R53" s="7" t="str">
        <f ca="1">'Database MK'!DR54</f>
        <v>Sudah, OnSchedule</v>
      </c>
      <c r="S53" s="7" t="str">
        <f ca="1">'Database MK'!EA54</f>
        <v>Belum, Delay</v>
      </c>
      <c r="T53" s="7" t="str">
        <f ca="1">'Database MK'!EI54</f>
        <v>Belum, Delay</v>
      </c>
      <c r="U53" s="7" t="str">
        <f ca="1">'Database MK'!ET54</f>
        <v>Belum, Delay</v>
      </c>
      <c r="V53" s="7" t="str">
        <f ca="1">'Database MK'!GA54</f>
        <v>Belum, Delay</v>
      </c>
      <c r="W53" s="7" t="str">
        <f ca="1">'Database MK'!GD54</f>
        <v>Sudah, OnSchedule</v>
      </c>
      <c r="X53" s="7" t="str">
        <f ca="1">'Database MK'!GG54</f>
        <v>Sudah, OnSchedule</v>
      </c>
      <c r="Y53" s="7" t="str">
        <f ca="1">'Database MK'!GK54</f>
        <v>Sudah, OnSchedule</v>
      </c>
      <c r="Z53" s="7" t="str">
        <f ca="1">'Database MK'!HH54</f>
        <v>Sudah, Delay</v>
      </c>
      <c r="AA53" s="7" t="str">
        <f ca="1">'Database MK'!HQ54</f>
        <v>Sudah, Delay</v>
      </c>
      <c r="AB53" s="7" t="str">
        <f ca="1">'Database MK'!HW54</f>
        <v>Sudah, Delay</v>
      </c>
      <c r="AC53" s="7">
        <f>'Database MK'!DA54-'Database MK'!DB54</f>
        <v>45466</v>
      </c>
      <c r="AD53" s="7">
        <f>'Database MK'!DA54-'Database MK'!DF54</f>
        <v>45466</v>
      </c>
      <c r="AE53" s="7">
        <f>'Database MK'!DK54-'Database MK'!DL54</f>
        <v>47</v>
      </c>
      <c r="AF53" s="7">
        <f>'Database MK'!DK54-'Database MK'!DO54</f>
        <v>13</v>
      </c>
      <c r="AG53" s="7">
        <f>'Database MK'!DU54-'Database MK'!DW54</f>
        <v>45508</v>
      </c>
      <c r="AH53" s="7" t="str">
        <f>IF('Database MK'!EB54="","Belum",'Database MK'!DU54-'Database MK'!EB54)</f>
        <v>Belum</v>
      </c>
      <c r="AI53" s="7" t="str">
        <f>IF('Database MK'!EN54="","Belum",'Database MK'!EL54-'Database MK'!EN54)</f>
        <v>Belum</v>
      </c>
      <c r="AJ53" s="7">
        <f>'Database MK'!FY54-'Database MK'!FZ54</f>
        <v>0</v>
      </c>
      <c r="AK53" s="7">
        <f>IF('Database MK'!GC54="","Belum",'Database MK'!GB54-'Database MK'!GC54)</f>
        <v>19</v>
      </c>
      <c r="AL53" s="7">
        <f>IF('Database MK'!GF54="","Belum",'Database MK'!GE54-'Database MK'!GF54)</f>
        <v>26</v>
      </c>
      <c r="AM53" s="309">
        <f>IF('Database MK'!GJ54="","Belum",'Database MK'!GI54-'Database MK'!GJ54)</f>
        <v>25</v>
      </c>
      <c r="AN53" s="7">
        <f>IF('Database MK'!HG54="","Belum",'Database MK'!HF54-'Database MK'!HG54)</f>
        <v>-45</v>
      </c>
      <c r="AO53" s="7">
        <f>IF('Database MK'!HP54="","Belum",'Database MK'!HN54-'Database MK'!HP54)</f>
        <v>-37</v>
      </c>
      <c r="AP53" s="7">
        <f>IF('Database MK'!HV54="","Belum",'Database MK'!HT54-'Database MK'!HV54)</f>
        <v>-35</v>
      </c>
    </row>
    <row r="54" spans="2:42" x14ac:dyDescent="0.2">
      <c r="B54" s="7">
        <f>SUBTOTAL(3,$C$4:C54)</f>
        <v>51</v>
      </c>
      <c r="C54" s="299" t="s">
        <v>244</v>
      </c>
      <c r="D54" s="299" t="s">
        <v>517</v>
      </c>
      <c r="E54" s="299" t="s">
        <v>518</v>
      </c>
      <c r="F54" s="300">
        <v>45748</v>
      </c>
      <c r="G54" s="4" t="s">
        <v>247</v>
      </c>
      <c r="H54" s="4" t="str">
        <f ca="1">'Database MK'!Q55</f>
        <v>DPPP</v>
      </c>
      <c r="I54" s="24">
        <f>'Database MK'!S55</f>
        <v>1</v>
      </c>
      <c r="J54" s="24">
        <f>'Database MK'!T55</f>
        <v>1</v>
      </c>
      <c r="K54" s="603">
        <f>'Database MK'!U55</f>
        <v>0</v>
      </c>
      <c r="L54" s="593">
        <f>'Database MK'!V55</f>
        <v>2304</v>
      </c>
      <c r="M54" s="593">
        <f>'Database MK'!W55</f>
        <v>1142</v>
      </c>
      <c r="N54" s="593">
        <f>Table3[[#This Row],[Total Panjang Pipa Aktual]]-Table3[[#This Row],[Volume
BA MC-0]]</f>
        <v>-1162</v>
      </c>
      <c r="O54" s="7" t="str">
        <f ca="1">'Database MK'!DE55</f>
        <v>Belum, Delay</v>
      </c>
      <c r="P54" s="7" t="str">
        <f ca="1">'Database MK'!DI55</f>
        <v>Belum, Delay</v>
      </c>
      <c r="Q54" s="7" t="str">
        <f ca="1">'Database MK'!DN55</f>
        <v>Sudah, OnSchedule</v>
      </c>
      <c r="R54" s="7" t="str">
        <f ca="1">'Database MK'!DR55</f>
        <v>Sudah, OnSchedule</v>
      </c>
      <c r="S54" s="7" t="str">
        <f ca="1">'Database MK'!EA55</f>
        <v>Belum, Delay</v>
      </c>
      <c r="T54" s="7" t="str">
        <f ca="1">'Database MK'!EI55</f>
        <v>Belum, Delay</v>
      </c>
      <c r="U54" s="7" t="str">
        <f ca="1">'Database MK'!ET55</f>
        <v>Belum, Delay</v>
      </c>
      <c r="V54" s="7" t="str">
        <f ca="1">'Database MK'!GA55</f>
        <v>Belum, Delay</v>
      </c>
      <c r="W54" s="7" t="str">
        <f ca="1">'Database MK'!GD55</f>
        <v>Sudah, OnSchedule</v>
      </c>
      <c r="X54" s="7" t="str">
        <f ca="1">'Database MK'!GG55</f>
        <v>Sudah, OnSchedule</v>
      </c>
      <c r="Y54" s="7" t="str">
        <f ca="1">'Database MK'!GK55</f>
        <v>Sudah, OnSchedule</v>
      </c>
      <c r="Z54" s="7" t="str">
        <f ca="1">'Database MK'!HH55</f>
        <v>Sudah, Delay</v>
      </c>
      <c r="AA54" s="7" t="str">
        <f ca="1">'Database MK'!HQ55</f>
        <v>Sudah, Delay</v>
      </c>
      <c r="AB54" s="7" t="str">
        <f ca="1">'Database MK'!HW55</f>
        <v>Sudah, Delay</v>
      </c>
      <c r="AC54" s="7">
        <f>'Database MK'!DA55-'Database MK'!DB55</f>
        <v>45466</v>
      </c>
      <c r="AD54" s="7">
        <f>'Database MK'!DA55-'Database MK'!DF55</f>
        <v>45466</v>
      </c>
      <c r="AE54" s="7">
        <f>'Database MK'!DK55-'Database MK'!DL55</f>
        <v>10</v>
      </c>
      <c r="AF54" s="7">
        <f>'Database MK'!DK55-'Database MK'!DO55</f>
        <v>6</v>
      </c>
      <c r="AG54" s="7">
        <f>'Database MK'!DU55-'Database MK'!DW55</f>
        <v>45508</v>
      </c>
      <c r="AH54" s="7" t="str">
        <f>IF('Database MK'!EB55="","Belum",'Database MK'!DU55-'Database MK'!EB55)</f>
        <v>Belum</v>
      </c>
      <c r="AI54" s="7" t="str">
        <f>IF('Database MK'!EN55="","Belum",'Database MK'!EL55-'Database MK'!EN55)</f>
        <v>Belum</v>
      </c>
      <c r="AJ54" s="7">
        <f>'Database MK'!FY55-'Database MK'!FZ55</f>
        <v>0</v>
      </c>
      <c r="AK54" s="7">
        <f>IF('Database MK'!GC55="","Belum",'Database MK'!GB55-'Database MK'!GC55)</f>
        <v>19</v>
      </c>
      <c r="AL54" s="7">
        <f>IF('Database MK'!GF55="","Belum",'Database MK'!GE55-'Database MK'!GF55)</f>
        <v>26</v>
      </c>
      <c r="AM54" s="309">
        <f>IF('Database MK'!GJ55="","Belum",'Database MK'!GI55-'Database MK'!GJ55)</f>
        <v>24</v>
      </c>
      <c r="AN54" s="7">
        <f>IF('Database MK'!HG55="","Belum",'Database MK'!HF55-'Database MK'!HG55)</f>
        <v>-43</v>
      </c>
      <c r="AO54" s="7">
        <f>IF('Database MK'!HP55="","Belum",'Database MK'!HN55-'Database MK'!HP55)</f>
        <v>-37</v>
      </c>
      <c r="AP54" s="7">
        <f>IF('Database MK'!HV55="","Belum",'Database MK'!HT55-'Database MK'!HV55)</f>
        <v>-35</v>
      </c>
    </row>
    <row r="55" spans="2:42" x14ac:dyDescent="0.2">
      <c r="B55" s="7">
        <f>SUBTOTAL(3,$C$4:C55)</f>
        <v>52</v>
      </c>
      <c r="C55" s="299" t="s">
        <v>244</v>
      </c>
      <c r="D55" s="299" t="s">
        <v>522</v>
      </c>
      <c r="E55" s="299" t="s">
        <v>523</v>
      </c>
      <c r="F55" s="300">
        <v>45748</v>
      </c>
      <c r="G55" s="4" t="s">
        <v>247</v>
      </c>
      <c r="H55" s="4" t="str">
        <f ca="1">'Database MK'!Q56</f>
        <v>DPPP</v>
      </c>
      <c r="I55" s="24">
        <f>'Database MK'!S56</f>
        <v>1</v>
      </c>
      <c r="J55" s="24">
        <f>'Database MK'!T56</f>
        <v>1</v>
      </c>
      <c r="K55" s="603">
        <f>'Database MK'!U56</f>
        <v>0</v>
      </c>
      <c r="L55" s="593">
        <f>'Database MK'!V56</f>
        <v>4487</v>
      </c>
      <c r="M55" s="593">
        <f>'Database MK'!W56</f>
        <v>3206.6000000000004</v>
      </c>
      <c r="N55" s="593">
        <f>Table3[[#This Row],[Total Panjang Pipa Aktual]]-Table3[[#This Row],[Volume
BA MC-0]]</f>
        <v>-1280.3999999999996</v>
      </c>
      <c r="O55" s="7" t="str">
        <f ca="1">'Database MK'!DE56</f>
        <v>Belum, Delay</v>
      </c>
      <c r="P55" s="7" t="str">
        <f ca="1">'Database MK'!DI56</f>
        <v>Belum, Delay</v>
      </c>
      <c r="Q55" s="7" t="str">
        <f ca="1">'Database MK'!DN56</f>
        <v>Sudah, OnSchedule</v>
      </c>
      <c r="R55" s="7" t="str">
        <f ca="1">'Database MK'!DR56</f>
        <v>Sudah, OnSchedule</v>
      </c>
      <c r="S55" s="7" t="str">
        <f ca="1">'Database MK'!EA56</f>
        <v>Belum, Delay</v>
      </c>
      <c r="T55" s="7" t="str">
        <f ca="1">'Database MK'!EI56</f>
        <v>Belum, Delay</v>
      </c>
      <c r="U55" s="7" t="str">
        <f ca="1">'Database MK'!ET56</f>
        <v>Belum, Delay</v>
      </c>
      <c r="V55" s="7" t="str">
        <f ca="1">'Database MK'!GA56</f>
        <v>Belum, Delay</v>
      </c>
      <c r="W55" s="7" t="str">
        <f ca="1">'Database MK'!GD56</f>
        <v>Sudah, OnSchedule</v>
      </c>
      <c r="X55" s="7" t="str">
        <f ca="1">'Database MK'!GG56</f>
        <v>Sudah, OnSchedule</v>
      </c>
      <c r="Y55" s="7" t="str">
        <f ca="1">'Database MK'!GK56</f>
        <v>Sudah, OnSchedule</v>
      </c>
      <c r="Z55" s="7" t="str">
        <f ca="1">'Database MK'!HH56</f>
        <v>Sudah, Delay</v>
      </c>
      <c r="AA55" s="7" t="str">
        <f ca="1">'Database MK'!HQ56</f>
        <v>Sudah, Delay</v>
      </c>
      <c r="AB55" s="7" t="str">
        <f ca="1">'Database MK'!HW56</f>
        <v>Sudah, Delay</v>
      </c>
      <c r="AC55" s="7">
        <f>'Database MK'!DA56-'Database MK'!DB56</f>
        <v>45466</v>
      </c>
      <c r="AD55" s="7">
        <f>'Database MK'!DA56-'Database MK'!DF56</f>
        <v>45466</v>
      </c>
      <c r="AE55" s="7">
        <f>'Database MK'!DK56-'Database MK'!DL56</f>
        <v>47</v>
      </c>
      <c r="AF55" s="7">
        <f>'Database MK'!DK56-'Database MK'!DO56</f>
        <v>13</v>
      </c>
      <c r="AG55" s="7">
        <f>'Database MK'!DU56-'Database MK'!DW56</f>
        <v>45508</v>
      </c>
      <c r="AH55" s="7" t="str">
        <f>IF('Database MK'!EB56="","Belum",'Database MK'!DU56-'Database MK'!EB56)</f>
        <v>Belum</v>
      </c>
      <c r="AI55" s="7" t="str">
        <f>IF('Database MK'!EN56="","Belum",'Database MK'!EL56-'Database MK'!EN56)</f>
        <v>Belum</v>
      </c>
      <c r="AJ55" s="7">
        <f>'Database MK'!FY56-'Database MK'!FZ56</f>
        <v>0</v>
      </c>
      <c r="AK55" s="7">
        <f>IF('Database MK'!GC56="","Belum",'Database MK'!GB56-'Database MK'!GC56)</f>
        <v>19</v>
      </c>
      <c r="AL55" s="7">
        <f>IF('Database MK'!GF56="","Belum",'Database MK'!GE56-'Database MK'!GF56)</f>
        <v>26</v>
      </c>
      <c r="AM55" s="309">
        <f>IF('Database MK'!GJ56="","Belum",'Database MK'!GI56-'Database MK'!GJ56)</f>
        <v>26</v>
      </c>
      <c r="AN55" s="7">
        <f>IF('Database MK'!HG56="","Belum",'Database MK'!HF56-'Database MK'!HG56)</f>
        <v>-45</v>
      </c>
      <c r="AO55" s="7">
        <f>IF('Database MK'!HP56="","Belum",'Database MK'!HN56-'Database MK'!HP56)</f>
        <v>-37</v>
      </c>
      <c r="AP55" s="7">
        <f>IF('Database MK'!HV56="","Belum",'Database MK'!HT56-'Database MK'!HV56)</f>
        <v>-35</v>
      </c>
    </row>
    <row r="56" spans="2:42" x14ac:dyDescent="0.2">
      <c r="B56" s="7">
        <f>SUBTOTAL(3,$C$4:C56)</f>
        <v>53</v>
      </c>
      <c r="C56" s="301" t="s">
        <v>244</v>
      </c>
      <c r="D56" s="301" t="s">
        <v>527</v>
      </c>
      <c r="E56" s="301" t="s">
        <v>528</v>
      </c>
      <c r="F56" s="302">
        <v>45748</v>
      </c>
      <c r="G56" s="77" t="s">
        <v>247</v>
      </c>
      <c r="H56" s="77" t="str">
        <f>'Database MK'!Q57</f>
        <v>BATAL / CANCEL</v>
      </c>
      <c r="I56" s="604">
        <f>'Database MK'!S57</f>
        <v>1</v>
      </c>
      <c r="J56" s="604">
        <f>'Database MK'!T57</f>
        <v>0</v>
      </c>
      <c r="K56" s="605">
        <f>'Database MK'!U57</f>
        <v>-1</v>
      </c>
      <c r="L56" s="594">
        <f>'Database MK'!V57</f>
        <v>0</v>
      </c>
      <c r="M56" s="594">
        <f>'Database MK'!W57</f>
        <v>0</v>
      </c>
      <c r="N56" s="594">
        <f>Table3[[#This Row],[Total Panjang Pipa Aktual]]-Table3[[#This Row],[Volume
BA MC-0]]</f>
        <v>0</v>
      </c>
      <c r="O56" s="7" t="str">
        <f ca="1">'Database MK'!DE57</f>
        <v>Belum, Delay</v>
      </c>
      <c r="P56" s="7" t="str">
        <f ca="1">'Database MK'!DI57</f>
        <v>Belum, Delay</v>
      </c>
      <c r="Q56" s="7" t="str">
        <f ca="1">'Database MK'!DN57</f>
        <v>Sudah, OnSchedule</v>
      </c>
      <c r="R56" s="7" t="str">
        <f ca="1">'Database MK'!DR57</f>
        <v>Sudah, OnSchedule</v>
      </c>
      <c r="S56" s="7" t="str">
        <f ca="1">'Database MK'!EA57</f>
        <v>Belum, Delay</v>
      </c>
      <c r="T56" s="7" t="str">
        <f ca="1">'Database MK'!EI57</f>
        <v>Belum, Delay</v>
      </c>
      <c r="U56" s="7" t="str">
        <f ca="1">'Database MK'!ET57</f>
        <v>Belum, Delay</v>
      </c>
      <c r="V56" s="7" t="str">
        <f ca="1">'Database MK'!GA57</f>
        <v>Belum, Delay</v>
      </c>
      <c r="W56" s="7" t="str">
        <f ca="1">'Database MK'!GD57</f>
        <v>Sudah, OnSchedule</v>
      </c>
      <c r="X56" s="7" t="str">
        <f ca="1">'Database MK'!GG57</f>
        <v>Sudah, OnSchedule</v>
      </c>
      <c r="Y56" s="7" t="str">
        <f ca="1">'Database MK'!GK57</f>
        <v>Sudah, OnSchedule</v>
      </c>
      <c r="Z56" s="7" t="str">
        <f ca="1">'Database MK'!HH57</f>
        <v>Belum, Delay</v>
      </c>
      <c r="AA56" s="7" t="str">
        <f ca="1">'Database MK'!HQ57</f>
        <v>Belum, Delay</v>
      </c>
      <c r="AB56" s="7" t="str">
        <f ca="1">'Database MK'!HW57</f>
        <v>Belum, Delay</v>
      </c>
      <c r="AC56" s="7">
        <f>'Database MK'!DA57-'Database MK'!DB57</f>
        <v>45466</v>
      </c>
      <c r="AD56" s="7">
        <f>'Database MK'!DA57-'Database MK'!DF57</f>
        <v>45466</v>
      </c>
      <c r="AE56" s="7">
        <f>'Database MK'!DK57-'Database MK'!DL57</f>
        <v>46</v>
      </c>
      <c r="AF56" s="7">
        <f>'Database MK'!DK57-'Database MK'!DO57</f>
        <v>28</v>
      </c>
      <c r="AG56" s="7">
        <f>'Database MK'!DU57-'Database MK'!DW57</f>
        <v>45508</v>
      </c>
      <c r="AH56" s="7" t="str">
        <f>IF('Database MK'!EB57="","Belum",'Database MK'!DU57-'Database MK'!EB57)</f>
        <v>Belum</v>
      </c>
      <c r="AI56" s="7" t="str">
        <f>IF('Database MK'!EN57="","Belum",'Database MK'!EL57-'Database MK'!EN57)</f>
        <v>Belum</v>
      </c>
      <c r="AJ56" s="7">
        <f>'Database MK'!FY57-'Database MK'!FZ57</f>
        <v>0</v>
      </c>
      <c r="AK56" s="7">
        <f>IF('Database MK'!GC57="","Belum",'Database MK'!GB57-'Database MK'!GC57)</f>
        <v>19</v>
      </c>
      <c r="AL56" s="7">
        <f>IF('Database MK'!GF57="","Belum",'Database MK'!GE57-'Database MK'!GF57)</f>
        <v>26</v>
      </c>
      <c r="AM56" s="309">
        <f>IF('Database MK'!GJ57="","Belum",'Database MK'!GI57-'Database MK'!GJ57)</f>
        <v>39</v>
      </c>
      <c r="AN56" s="7" t="str">
        <f>IF('Database MK'!HG57="","Belum",'Database MK'!HF57-'Database MK'!HG57)</f>
        <v>Belum</v>
      </c>
      <c r="AO56" s="7" t="str">
        <f>IF('Database MK'!HP57="","Belum",'Database MK'!HN57-'Database MK'!HP57)</f>
        <v>Belum</v>
      </c>
      <c r="AP56" s="7" t="str">
        <f>IF('Database MK'!HV57="","Belum",'Database MK'!HT57-'Database MK'!HV57)</f>
        <v>Belum</v>
      </c>
    </row>
    <row r="57" spans="2:42" x14ac:dyDescent="0.2">
      <c r="B57" s="7">
        <f>SUBTOTAL(3,$C$4:C57)</f>
        <v>54</v>
      </c>
      <c r="C57" s="299" t="s">
        <v>244</v>
      </c>
      <c r="D57" s="299" t="s">
        <v>532</v>
      </c>
      <c r="E57" s="299" t="s">
        <v>533</v>
      </c>
      <c r="F57" s="300">
        <v>45748</v>
      </c>
      <c r="G57" s="4" t="s">
        <v>247</v>
      </c>
      <c r="H57" s="4" t="str">
        <f ca="1">'Database MK'!Q58</f>
        <v>DPPP</v>
      </c>
      <c r="I57" s="24">
        <f>'Database MK'!S58</f>
        <v>1</v>
      </c>
      <c r="J57" s="24">
        <f>'Database MK'!T58</f>
        <v>1</v>
      </c>
      <c r="K57" s="603">
        <f>'Database MK'!U58</f>
        <v>0</v>
      </c>
      <c r="L57" s="593">
        <f>'Database MK'!V58</f>
        <v>3785</v>
      </c>
      <c r="M57" s="593">
        <f>'Database MK'!W58</f>
        <v>2718.8</v>
      </c>
      <c r="N57" s="593">
        <f>Table3[[#This Row],[Total Panjang Pipa Aktual]]-Table3[[#This Row],[Volume
BA MC-0]]</f>
        <v>-1066.1999999999998</v>
      </c>
      <c r="O57" s="7" t="str">
        <f ca="1">'Database MK'!DE58</f>
        <v>Belum, Delay</v>
      </c>
      <c r="P57" s="7" t="str">
        <f ca="1">'Database MK'!DI58</f>
        <v>Belum, Delay</v>
      </c>
      <c r="Q57" s="7" t="str">
        <f ca="1">'Database MK'!DN58</f>
        <v>Sudah, OnSchedule</v>
      </c>
      <c r="R57" s="7" t="str">
        <f ca="1">'Database MK'!DR58</f>
        <v>Sudah, Delay</v>
      </c>
      <c r="S57" s="7" t="str">
        <f ca="1">'Database MK'!EA58</f>
        <v>Belum, Delay</v>
      </c>
      <c r="T57" s="7" t="str">
        <f ca="1">'Database MK'!EI58</f>
        <v>Belum, Delay</v>
      </c>
      <c r="U57" s="7" t="str">
        <f ca="1">'Database MK'!ET58</f>
        <v>Belum, Delay</v>
      </c>
      <c r="V57" s="7" t="str">
        <f ca="1">'Database MK'!GA58</f>
        <v>Belum, Delay</v>
      </c>
      <c r="W57" s="7" t="str">
        <f ca="1">'Database MK'!GD58</f>
        <v>Sudah, OnSchedule</v>
      </c>
      <c r="X57" s="7" t="str">
        <f ca="1">'Database MK'!GG58</f>
        <v>Sudah, OnSchedule</v>
      </c>
      <c r="Y57" s="7" t="str">
        <f ca="1">'Database MK'!GK58</f>
        <v>Sudah, OnSchedule</v>
      </c>
      <c r="Z57" s="7" t="str">
        <f ca="1">'Database MK'!HH58</f>
        <v>Sudah, Delay</v>
      </c>
      <c r="AA57" s="7" t="str">
        <f ca="1">'Database MK'!HQ58</f>
        <v>Sudah, Delay</v>
      </c>
      <c r="AB57" s="7" t="str">
        <f ca="1">'Database MK'!HW58</f>
        <v>Sudah, Delay</v>
      </c>
      <c r="AC57" s="7">
        <f>'Database MK'!DA58-'Database MK'!DB58</f>
        <v>45466</v>
      </c>
      <c r="AD57" s="7">
        <f>'Database MK'!DA58-'Database MK'!DF58</f>
        <v>45466</v>
      </c>
      <c r="AE57" s="7">
        <f>'Database MK'!DK58-'Database MK'!DL58</f>
        <v>10</v>
      </c>
      <c r="AF57" s="7">
        <f>'Database MK'!DK58-'Database MK'!DO58</f>
        <v>-4</v>
      </c>
      <c r="AG57" s="7">
        <f>'Database MK'!DU58-'Database MK'!DW58</f>
        <v>45508</v>
      </c>
      <c r="AH57" s="7" t="str">
        <f>IF('Database MK'!EB58="","Belum",'Database MK'!DU58-'Database MK'!EB58)</f>
        <v>Belum</v>
      </c>
      <c r="AI57" s="7" t="str">
        <f>IF('Database MK'!EN58="","Belum",'Database MK'!EL58-'Database MK'!EN58)</f>
        <v>Belum</v>
      </c>
      <c r="AJ57" s="7">
        <f>'Database MK'!FY58-'Database MK'!FZ58</f>
        <v>0</v>
      </c>
      <c r="AK57" s="7">
        <f>IF('Database MK'!GC58="","Belum",'Database MK'!GB58-'Database MK'!GC58)</f>
        <v>19</v>
      </c>
      <c r="AL57" s="7">
        <f>IF('Database MK'!GF58="","Belum",'Database MK'!GE58-'Database MK'!GF58)</f>
        <v>26</v>
      </c>
      <c r="AM57" s="309">
        <f>IF('Database MK'!GJ58="","Belum",'Database MK'!GI58-'Database MK'!GJ58)</f>
        <v>22</v>
      </c>
      <c r="AN57" s="7">
        <f>IF('Database MK'!HG58="","Belum",'Database MK'!HF58-'Database MK'!HG58)</f>
        <v>-37</v>
      </c>
      <c r="AO57" s="7">
        <f>IF('Database MK'!HP58="","Belum",'Database MK'!HN58-'Database MK'!HP58)</f>
        <v>-37</v>
      </c>
      <c r="AP57" s="7">
        <f>IF('Database MK'!HV58="","Belum",'Database MK'!HT58-'Database MK'!HV58)</f>
        <v>-35</v>
      </c>
    </row>
    <row r="58" spans="2:42" x14ac:dyDescent="0.2">
      <c r="B58" s="7">
        <f>SUBTOTAL(3,$C$4:C58)</f>
        <v>55</v>
      </c>
      <c r="C58" s="299" t="s">
        <v>244</v>
      </c>
      <c r="D58" s="299" t="s">
        <v>537</v>
      </c>
      <c r="E58" s="299" t="s">
        <v>538</v>
      </c>
      <c r="F58" s="300">
        <v>45748</v>
      </c>
      <c r="G58" s="4" t="s">
        <v>247</v>
      </c>
      <c r="H58" s="4" t="str">
        <f ca="1">'Database MK'!Q59</f>
        <v>DPPP</v>
      </c>
      <c r="I58" s="24">
        <f>'Database MK'!S59</f>
        <v>1</v>
      </c>
      <c r="J58" s="24">
        <f>'Database MK'!T59</f>
        <v>1</v>
      </c>
      <c r="K58" s="603">
        <f>'Database MK'!U59</f>
        <v>0</v>
      </c>
      <c r="L58" s="593">
        <f>'Database MK'!V59</f>
        <v>3794</v>
      </c>
      <c r="M58" s="593">
        <f>'Database MK'!W59</f>
        <v>2346.1</v>
      </c>
      <c r="N58" s="593">
        <f>Table3[[#This Row],[Total Panjang Pipa Aktual]]-Table3[[#This Row],[Volume
BA MC-0]]</f>
        <v>-1447.9</v>
      </c>
      <c r="O58" s="7" t="str">
        <f ca="1">'Database MK'!DE59</f>
        <v>Belum, Delay</v>
      </c>
      <c r="P58" s="7" t="str">
        <f ca="1">'Database MK'!DI59</f>
        <v>Belum, Delay</v>
      </c>
      <c r="Q58" s="7" t="str">
        <f ca="1">'Database MK'!DN59</f>
        <v>Sudah, OnSchedule</v>
      </c>
      <c r="R58" s="7" t="str">
        <f ca="1">'Database MK'!DR59</f>
        <v>Sudah, OnSchedule</v>
      </c>
      <c r="S58" s="7" t="str">
        <f ca="1">'Database MK'!EA59</f>
        <v>Belum, Delay</v>
      </c>
      <c r="T58" s="7" t="str">
        <f ca="1">'Database MK'!EI59</f>
        <v>Belum, Delay</v>
      </c>
      <c r="U58" s="7" t="str">
        <f ca="1">'Database MK'!ET59</f>
        <v>Belum, Delay</v>
      </c>
      <c r="V58" s="7" t="str">
        <f ca="1">'Database MK'!GA59</f>
        <v>Belum, Delay</v>
      </c>
      <c r="W58" s="7" t="str">
        <f ca="1">'Database MK'!GD59</f>
        <v>Sudah, OnSchedule</v>
      </c>
      <c r="X58" s="7" t="str">
        <f ca="1">'Database MK'!GG59</f>
        <v>Sudah, OnSchedule</v>
      </c>
      <c r="Y58" s="7" t="str">
        <f ca="1">'Database MK'!GK59</f>
        <v>Sudah, OnSchedule</v>
      </c>
      <c r="Z58" s="7" t="str">
        <f ca="1">'Database MK'!HH59</f>
        <v>Sudah, Delay</v>
      </c>
      <c r="AA58" s="7" t="str">
        <f ca="1">'Database MK'!HQ59</f>
        <v>Sudah, Delay</v>
      </c>
      <c r="AB58" s="7" t="str">
        <f ca="1">'Database MK'!HW59</f>
        <v>Sudah, Delay</v>
      </c>
      <c r="AC58" s="7">
        <f>'Database MK'!DA59-'Database MK'!DB59</f>
        <v>45466</v>
      </c>
      <c r="AD58" s="7">
        <f>'Database MK'!DA59-'Database MK'!DF59</f>
        <v>45466</v>
      </c>
      <c r="AE58" s="7">
        <f>'Database MK'!DK59-'Database MK'!DL59</f>
        <v>45</v>
      </c>
      <c r="AF58" s="7">
        <f>'Database MK'!DK59-'Database MK'!DO59</f>
        <v>28</v>
      </c>
      <c r="AG58" s="7">
        <f>'Database MK'!DU59-'Database MK'!DW59</f>
        <v>45508</v>
      </c>
      <c r="AH58" s="7" t="str">
        <f>IF('Database MK'!EB59="","Belum",'Database MK'!DU59-'Database MK'!EB59)</f>
        <v>Belum</v>
      </c>
      <c r="AI58" s="7" t="str">
        <f>IF('Database MK'!EN59="","Belum",'Database MK'!EL59-'Database MK'!EN59)</f>
        <v>Belum</v>
      </c>
      <c r="AJ58" s="7">
        <f>'Database MK'!FY59-'Database MK'!FZ59</f>
        <v>0</v>
      </c>
      <c r="AK58" s="7">
        <f>IF('Database MK'!GC59="","Belum",'Database MK'!GB59-'Database MK'!GC59)</f>
        <v>19</v>
      </c>
      <c r="AL58" s="7">
        <f>IF('Database MK'!GF59="","Belum",'Database MK'!GE59-'Database MK'!GF59)</f>
        <v>26</v>
      </c>
      <c r="AM58" s="309">
        <f>IF('Database MK'!GJ59="","Belum",'Database MK'!GI59-'Database MK'!GJ59)</f>
        <v>20</v>
      </c>
      <c r="AN58" s="7">
        <f>IF('Database MK'!HG59="","Belum",'Database MK'!HF59-'Database MK'!HG59)</f>
        <v>-36</v>
      </c>
      <c r="AO58" s="7">
        <f>IF('Database MK'!HP59="","Belum",'Database MK'!HN59-'Database MK'!HP59)</f>
        <v>-37</v>
      </c>
      <c r="AP58" s="7">
        <f>IF('Database MK'!HV59="","Belum",'Database MK'!HT59-'Database MK'!HV59)</f>
        <v>-35</v>
      </c>
    </row>
    <row r="59" spans="2:42" x14ac:dyDescent="0.2">
      <c r="B59" s="7">
        <f>SUBTOTAL(3,$C$4:C59)</f>
        <v>56</v>
      </c>
      <c r="C59" s="299" t="s">
        <v>244</v>
      </c>
      <c r="D59" s="299" t="s">
        <v>542</v>
      </c>
      <c r="E59" s="299" t="s">
        <v>543</v>
      </c>
      <c r="F59" s="300">
        <v>45748</v>
      </c>
      <c r="G59" s="4" t="s">
        <v>247</v>
      </c>
      <c r="H59" s="4" t="str">
        <f ca="1">'Database MK'!Q60</f>
        <v>DPPP</v>
      </c>
      <c r="I59" s="24">
        <f>'Database MK'!S60</f>
        <v>1</v>
      </c>
      <c r="J59" s="24">
        <f>'Database MK'!T60</f>
        <v>1</v>
      </c>
      <c r="K59" s="603">
        <f>'Database MK'!U60</f>
        <v>0</v>
      </c>
      <c r="L59" s="593">
        <f>'Database MK'!V60</f>
        <v>3699</v>
      </c>
      <c r="M59" s="593">
        <f>'Database MK'!W60</f>
        <v>3853.7</v>
      </c>
      <c r="N59" s="593">
        <f>Table3[[#This Row],[Total Panjang Pipa Aktual]]-Table3[[#This Row],[Volume
BA MC-0]]</f>
        <v>154.69999999999982</v>
      </c>
      <c r="O59" s="7" t="str">
        <f ca="1">'Database MK'!DE60</f>
        <v>Belum, Delay</v>
      </c>
      <c r="P59" s="7" t="str">
        <f ca="1">'Database MK'!DI60</f>
        <v>Belum, Delay</v>
      </c>
      <c r="Q59" s="7" t="str">
        <f ca="1">'Database MK'!DN60</f>
        <v>Sudah, OnSchedule</v>
      </c>
      <c r="R59" s="7" t="str">
        <f ca="1">'Database MK'!DR60</f>
        <v>Sudah, OnSchedule</v>
      </c>
      <c r="S59" s="7" t="str">
        <f ca="1">'Database MK'!EA60</f>
        <v>Belum, Delay</v>
      </c>
      <c r="T59" s="7" t="str">
        <f ca="1">'Database MK'!EI60</f>
        <v>Belum, Delay</v>
      </c>
      <c r="U59" s="7" t="str">
        <f ca="1">'Database MK'!ET60</f>
        <v>Belum, Delay</v>
      </c>
      <c r="V59" s="7" t="str">
        <f ca="1">'Database MK'!GA60</f>
        <v>Belum, Delay</v>
      </c>
      <c r="W59" s="7" t="str">
        <f ca="1">'Database MK'!GD60</f>
        <v>Sudah, OnSchedule</v>
      </c>
      <c r="X59" s="7" t="str">
        <f ca="1">'Database MK'!GG60</f>
        <v>Sudah, OnSchedule</v>
      </c>
      <c r="Y59" s="7" t="str">
        <f ca="1">'Database MK'!GK60</f>
        <v>Sudah, OnSchedule</v>
      </c>
      <c r="Z59" s="7" t="str">
        <f ca="1">'Database MK'!HH60</f>
        <v>Sudah, Delay</v>
      </c>
      <c r="AA59" s="7" t="str">
        <f ca="1">'Database MK'!HQ60</f>
        <v>Sudah, Delay</v>
      </c>
      <c r="AB59" s="7" t="str">
        <f ca="1">'Database MK'!HW60</f>
        <v>Sudah, Delay</v>
      </c>
      <c r="AC59" s="7">
        <f>'Database MK'!DA60-'Database MK'!DB60</f>
        <v>45466</v>
      </c>
      <c r="AD59" s="7">
        <f>'Database MK'!DA60-'Database MK'!DF60</f>
        <v>45466</v>
      </c>
      <c r="AE59" s="7">
        <f>'Database MK'!DK60-'Database MK'!DL60</f>
        <v>59</v>
      </c>
      <c r="AF59" s="7">
        <f>'Database MK'!DK60-'Database MK'!DO60</f>
        <v>51</v>
      </c>
      <c r="AG59" s="7">
        <f>'Database MK'!DU60-'Database MK'!DW60</f>
        <v>45508</v>
      </c>
      <c r="AH59" s="7" t="str">
        <f>IF('Database MK'!EB60="","Belum",'Database MK'!DU60-'Database MK'!EB60)</f>
        <v>Belum</v>
      </c>
      <c r="AI59" s="7" t="str">
        <f>IF('Database MK'!EN60="","Belum",'Database MK'!EL60-'Database MK'!EN60)</f>
        <v>Belum</v>
      </c>
      <c r="AJ59" s="7">
        <f>'Database MK'!FY60-'Database MK'!FZ60</f>
        <v>0</v>
      </c>
      <c r="AK59" s="7">
        <f>IF('Database MK'!GC60="","Belum",'Database MK'!GB60-'Database MK'!GC60)</f>
        <v>50</v>
      </c>
      <c r="AL59" s="7">
        <f>IF('Database MK'!GF60="","Belum",'Database MK'!GE60-'Database MK'!GF60)</f>
        <v>57</v>
      </c>
      <c r="AM59" s="309">
        <f>IF('Database MK'!GJ60="","Belum",'Database MK'!GI60-'Database MK'!GJ60)</f>
        <v>62</v>
      </c>
      <c r="AN59" s="7">
        <f>IF('Database MK'!HG60="","Belum",'Database MK'!HF60-'Database MK'!HG60)</f>
        <v>-45</v>
      </c>
      <c r="AO59" s="7">
        <f>IF('Database MK'!HP60="","Belum",'Database MK'!HN60-'Database MK'!HP60)</f>
        <v>-41</v>
      </c>
      <c r="AP59" s="7">
        <f>IF('Database MK'!HV60="","Belum",'Database MK'!HT60-'Database MK'!HV60)</f>
        <v>-39</v>
      </c>
    </row>
    <row r="60" spans="2:42" x14ac:dyDescent="0.2">
      <c r="B60" s="7">
        <f>SUBTOTAL(3,$C$4:C60)</f>
        <v>57</v>
      </c>
      <c r="C60" s="299" t="s">
        <v>244</v>
      </c>
      <c r="D60" s="299" t="s">
        <v>547</v>
      </c>
      <c r="E60" s="299" t="s">
        <v>548</v>
      </c>
      <c r="F60" s="300">
        <v>45748</v>
      </c>
      <c r="G60" s="4" t="s">
        <v>247</v>
      </c>
      <c r="H60" s="4" t="str">
        <f ca="1">'Database MK'!Q61</f>
        <v>DPPP</v>
      </c>
      <c r="I60" s="24">
        <f>'Database MK'!S61</f>
        <v>1</v>
      </c>
      <c r="J60" s="24">
        <f>'Database MK'!T61</f>
        <v>1</v>
      </c>
      <c r="K60" s="603">
        <f>'Database MK'!U61</f>
        <v>0</v>
      </c>
      <c r="L60" s="593">
        <f>'Database MK'!V61</f>
        <v>4580</v>
      </c>
      <c r="M60" s="593">
        <f>'Database MK'!W61</f>
        <v>2219</v>
      </c>
      <c r="N60" s="593">
        <f>Table3[[#This Row],[Total Panjang Pipa Aktual]]-Table3[[#This Row],[Volume
BA MC-0]]</f>
        <v>-2361</v>
      </c>
      <c r="O60" s="7" t="str">
        <f ca="1">'Database MK'!DE61</f>
        <v>Belum, Delay</v>
      </c>
      <c r="P60" s="7" t="str">
        <f ca="1">'Database MK'!DI61</f>
        <v>Belum, Delay</v>
      </c>
      <c r="Q60" s="7" t="str">
        <f ca="1">'Database MK'!DN61</f>
        <v>Sudah, OnSchedule</v>
      </c>
      <c r="R60" s="7" t="str">
        <f ca="1">'Database MK'!DR61</f>
        <v>Sudah, OnSchedule</v>
      </c>
      <c r="S60" s="7" t="str">
        <f ca="1">'Database MK'!EA61</f>
        <v>Belum, Delay</v>
      </c>
      <c r="T60" s="7" t="str">
        <f ca="1">'Database MK'!EI61</f>
        <v>Belum, Delay</v>
      </c>
      <c r="U60" s="7" t="str">
        <f ca="1">'Database MK'!ET61</f>
        <v>Belum, Delay</v>
      </c>
      <c r="V60" s="7" t="str">
        <f ca="1">'Database MK'!GA61</f>
        <v>Belum, Delay</v>
      </c>
      <c r="W60" s="7" t="str">
        <f ca="1">'Database MK'!GD61</f>
        <v>Sudah, OnSchedule</v>
      </c>
      <c r="X60" s="7" t="str">
        <f ca="1">'Database MK'!GG61</f>
        <v>Sudah, OnSchedule</v>
      </c>
      <c r="Y60" s="7" t="str">
        <f ca="1">'Database MK'!GK61</f>
        <v>Sudah, OnSchedule</v>
      </c>
      <c r="Z60" s="7" t="str">
        <f ca="1">'Database MK'!HH61</f>
        <v>Sudah, Delay</v>
      </c>
      <c r="AA60" s="7" t="str">
        <f ca="1">'Database MK'!HQ61</f>
        <v>Sudah, Delay</v>
      </c>
      <c r="AB60" s="7" t="str">
        <f ca="1">'Database MK'!HW61</f>
        <v>Sudah, Delay</v>
      </c>
      <c r="AC60" s="7">
        <f>'Database MK'!DA61-'Database MK'!DB61</f>
        <v>45466</v>
      </c>
      <c r="AD60" s="7">
        <f>'Database MK'!DA61-'Database MK'!DF61</f>
        <v>45466</v>
      </c>
      <c r="AE60" s="7">
        <f>'Database MK'!DK61-'Database MK'!DL61</f>
        <v>60</v>
      </c>
      <c r="AF60" s="7">
        <f>'Database MK'!DK61-'Database MK'!DO61</f>
        <v>51</v>
      </c>
      <c r="AG60" s="7">
        <f>'Database MK'!DU61-'Database MK'!DW61</f>
        <v>45508</v>
      </c>
      <c r="AH60" s="7" t="str">
        <f>IF('Database MK'!EB61="","Belum",'Database MK'!DU61-'Database MK'!EB61)</f>
        <v>Belum</v>
      </c>
      <c r="AI60" s="7" t="str">
        <f>IF('Database MK'!EN61="","Belum",'Database MK'!EL61-'Database MK'!EN61)</f>
        <v>Belum</v>
      </c>
      <c r="AJ60" s="7">
        <f>'Database MK'!FY61-'Database MK'!FZ61</f>
        <v>0</v>
      </c>
      <c r="AK60" s="7">
        <f>IF('Database MK'!GC61="","Belum",'Database MK'!GB61-'Database MK'!GC61)</f>
        <v>50</v>
      </c>
      <c r="AL60" s="7">
        <f>IF('Database MK'!GF61="","Belum",'Database MK'!GE61-'Database MK'!GF61)</f>
        <v>57</v>
      </c>
      <c r="AM60" s="309">
        <f>IF('Database MK'!GJ61="","Belum",'Database MK'!GI61-'Database MK'!GJ61)</f>
        <v>59</v>
      </c>
      <c r="AN60" s="7">
        <f>IF('Database MK'!HG61="","Belum",'Database MK'!HF61-'Database MK'!HG61)</f>
        <v>-45</v>
      </c>
      <c r="AO60" s="7">
        <f>IF('Database MK'!HP61="","Belum",'Database MK'!HN61-'Database MK'!HP61)</f>
        <v>-40</v>
      </c>
      <c r="AP60" s="7">
        <f>IF('Database MK'!HV61="","Belum",'Database MK'!HT61-'Database MK'!HV61)</f>
        <v>-38</v>
      </c>
    </row>
    <row r="61" spans="2:42" x14ac:dyDescent="0.2">
      <c r="B61" s="7">
        <f>SUBTOTAL(3,$C$4:C61)</f>
        <v>58</v>
      </c>
      <c r="C61" s="299" t="s">
        <v>244</v>
      </c>
      <c r="D61" s="299" t="s">
        <v>551</v>
      </c>
      <c r="E61" s="299" t="s">
        <v>552</v>
      </c>
      <c r="F61" s="300">
        <v>45748</v>
      </c>
      <c r="G61" s="4" t="s">
        <v>247</v>
      </c>
      <c r="H61" s="4" t="str">
        <f ca="1">'Database MK'!Q62</f>
        <v>DPPP</v>
      </c>
      <c r="I61" s="24">
        <f>'Database MK'!S62</f>
        <v>1</v>
      </c>
      <c r="J61" s="24">
        <f>'Database MK'!T62</f>
        <v>1</v>
      </c>
      <c r="K61" s="603">
        <f>'Database MK'!U62</f>
        <v>0</v>
      </c>
      <c r="L61" s="593">
        <f>'Database MK'!V62</f>
        <v>2919</v>
      </c>
      <c r="M61" s="593">
        <f>'Database MK'!W62</f>
        <v>1261.9000000000001</v>
      </c>
      <c r="N61" s="593">
        <f>Table3[[#This Row],[Total Panjang Pipa Aktual]]-Table3[[#This Row],[Volume
BA MC-0]]</f>
        <v>-1657.1</v>
      </c>
      <c r="O61" s="7" t="str">
        <f ca="1">'Database MK'!DE62</f>
        <v>Belum, Delay</v>
      </c>
      <c r="P61" s="7" t="str">
        <f ca="1">'Database MK'!DI62</f>
        <v>Belum, Delay</v>
      </c>
      <c r="Q61" s="7" t="str">
        <f ca="1">'Database MK'!DN62</f>
        <v>Sudah, OnSchedule</v>
      </c>
      <c r="R61" s="7" t="str">
        <f ca="1">'Database MK'!DR62</f>
        <v>Sudah, OnSchedule</v>
      </c>
      <c r="S61" s="7" t="str">
        <f ca="1">'Database MK'!EA62</f>
        <v>Belum, Delay</v>
      </c>
      <c r="T61" s="7" t="str">
        <f ca="1">'Database MK'!EI62</f>
        <v>Belum, Delay</v>
      </c>
      <c r="U61" s="7" t="str">
        <f ca="1">'Database MK'!ET62</f>
        <v>Belum, Delay</v>
      </c>
      <c r="V61" s="7" t="str">
        <f ca="1">'Database MK'!GA62</f>
        <v>Belum, Delay</v>
      </c>
      <c r="W61" s="7" t="str">
        <f ca="1">'Database MK'!GD62</f>
        <v>Sudah, OnSchedule</v>
      </c>
      <c r="X61" s="7" t="str">
        <f ca="1">'Database MK'!GG62</f>
        <v>Sudah, OnSchedule</v>
      </c>
      <c r="Y61" s="7" t="str">
        <f ca="1">'Database MK'!GK62</f>
        <v>Sudah, OnSchedule</v>
      </c>
      <c r="Z61" s="7" t="str">
        <f ca="1">'Database MK'!HH62</f>
        <v>Sudah, Delay</v>
      </c>
      <c r="AA61" s="7" t="str">
        <f ca="1">'Database MK'!HQ62</f>
        <v>Sudah, Delay</v>
      </c>
      <c r="AB61" s="7" t="str">
        <f ca="1">'Database MK'!HW62</f>
        <v>Sudah, Delay</v>
      </c>
      <c r="AC61" s="7">
        <f>'Database MK'!DA62-'Database MK'!DB62</f>
        <v>45466</v>
      </c>
      <c r="AD61" s="7">
        <f>'Database MK'!DA62-'Database MK'!DF62</f>
        <v>45466</v>
      </c>
      <c r="AE61" s="7">
        <f>'Database MK'!DK62-'Database MK'!DL62</f>
        <v>57</v>
      </c>
      <c r="AF61" s="7">
        <f>'Database MK'!DK62-'Database MK'!DO62</f>
        <v>51</v>
      </c>
      <c r="AG61" s="7">
        <f>'Database MK'!DU62-'Database MK'!DW62</f>
        <v>45508</v>
      </c>
      <c r="AH61" s="7" t="str">
        <f>IF('Database MK'!EB62="","Belum",'Database MK'!DU62-'Database MK'!EB62)</f>
        <v>Belum</v>
      </c>
      <c r="AI61" s="7" t="str">
        <f>IF('Database MK'!EN62="","Belum",'Database MK'!EL62-'Database MK'!EN62)</f>
        <v>Belum</v>
      </c>
      <c r="AJ61" s="7">
        <f>'Database MK'!FY62-'Database MK'!FZ62</f>
        <v>0</v>
      </c>
      <c r="AK61" s="7">
        <f>IF('Database MK'!GC62="","Belum",'Database MK'!GB62-'Database MK'!GC62)</f>
        <v>50</v>
      </c>
      <c r="AL61" s="7">
        <f>IF('Database MK'!GF62="","Belum",'Database MK'!GE62-'Database MK'!GF62)</f>
        <v>57</v>
      </c>
      <c r="AM61" s="309">
        <f>IF('Database MK'!GJ62="","Belum",'Database MK'!GI62-'Database MK'!GJ62)</f>
        <v>55</v>
      </c>
      <c r="AN61" s="7">
        <f>IF('Database MK'!HG62="","Belum",'Database MK'!HF62-'Database MK'!HG62)</f>
        <v>-25</v>
      </c>
      <c r="AO61" s="7">
        <f>IF('Database MK'!HP62="","Belum",'Database MK'!HN62-'Database MK'!HP62)</f>
        <v>-40</v>
      </c>
      <c r="AP61" s="7">
        <f>IF('Database MK'!HV62="","Belum",'Database MK'!HT62-'Database MK'!HV62)</f>
        <v>-38</v>
      </c>
    </row>
    <row r="62" spans="2:42" x14ac:dyDescent="0.2">
      <c r="B62" s="7">
        <f>SUBTOTAL(3,$C$4:C62)</f>
        <v>59</v>
      </c>
      <c r="C62" s="299" t="s">
        <v>244</v>
      </c>
      <c r="D62" s="299" t="s">
        <v>555</v>
      </c>
      <c r="E62" s="299" t="s">
        <v>556</v>
      </c>
      <c r="F62" s="300">
        <v>45748</v>
      </c>
      <c r="G62" s="4" t="s">
        <v>247</v>
      </c>
      <c r="H62" s="4" t="str">
        <f ca="1">'Database MK'!Q63</f>
        <v>DPPP</v>
      </c>
      <c r="I62" s="24">
        <f>'Database MK'!S63</f>
        <v>1</v>
      </c>
      <c r="J62" s="24">
        <f>'Database MK'!T63</f>
        <v>1</v>
      </c>
      <c r="K62" s="603">
        <f>'Database MK'!U63</f>
        <v>0</v>
      </c>
      <c r="L62" s="593">
        <f>'Database MK'!V63</f>
        <v>1266</v>
      </c>
      <c r="M62" s="593">
        <f>'Database MK'!W63</f>
        <v>1136.0999999999999</v>
      </c>
      <c r="N62" s="593">
        <f>Table3[[#This Row],[Total Panjang Pipa Aktual]]-Table3[[#This Row],[Volume
BA MC-0]]</f>
        <v>-129.90000000000009</v>
      </c>
      <c r="O62" s="7" t="str">
        <f ca="1">'Database MK'!DE63</f>
        <v>Belum, Delay</v>
      </c>
      <c r="P62" s="7" t="str">
        <f ca="1">'Database MK'!DI63</f>
        <v>Belum, Delay</v>
      </c>
      <c r="Q62" s="7" t="str">
        <f ca="1">'Database MK'!DN63</f>
        <v>Sudah, OnSchedule</v>
      </c>
      <c r="R62" s="7" t="str">
        <f ca="1">'Database MK'!DR63</f>
        <v>Sudah, OnSchedule</v>
      </c>
      <c r="S62" s="7" t="str">
        <f ca="1">'Database MK'!EA63</f>
        <v>Belum, Delay</v>
      </c>
      <c r="T62" s="7" t="str">
        <f ca="1">'Database MK'!EI63</f>
        <v>Belum, Delay</v>
      </c>
      <c r="U62" s="7" t="str">
        <f ca="1">'Database MK'!ET63</f>
        <v>Belum, Delay</v>
      </c>
      <c r="V62" s="7" t="str">
        <f ca="1">'Database MK'!GA63</f>
        <v>Belum, Delay</v>
      </c>
      <c r="W62" s="7" t="str">
        <f ca="1">'Database MK'!GD63</f>
        <v>Sudah, OnSchedule</v>
      </c>
      <c r="X62" s="7" t="str">
        <f ca="1">'Database MK'!GG63</f>
        <v>Sudah, OnSchedule</v>
      </c>
      <c r="Y62" s="7" t="str">
        <f ca="1">'Database MK'!GK63</f>
        <v>Sudah, OnSchedule</v>
      </c>
      <c r="Z62" s="7" t="str">
        <f ca="1">'Database MK'!HH63</f>
        <v>Sudah, Delay</v>
      </c>
      <c r="AA62" s="7" t="str">
        <f ca="1">'Database MK'!HQ63</f>
        <v>Sudah, Delay</v>
      </c>
      <c r="AB62" s="7" t="str">
        <f ca="1">'Database MK'!HW63</f>
        <v>Sudah, Delay</v>
      </c>
      <c r="AC62" s="7">
        <f>'Database MK'!DA63-'Database MK'!DB63</f>
        <v>45466</v>
      </c>
      <c r="AD62" s="7">
        <f>'Database MK'!DA63-'Database MK'!DF63</f>
        <v>45466</v>
      </c>
      <c r="AE62" s="7">
        <f>'Database MK'!DK63-'Database MK'!DL63</f>
        <v>54</v>
      </c>
      <c r="AF62" s="7">
        <f>'Database MK'!DK63-'Database MK'!DO63</f>
        <v>47</v>
      </c>
      <c r="AG62" s="7">
        <f>'Database MK'!DU63-'Database MK'!DW63</f>
        <v>45508</v>
      </c>
      <c r="AH62" s="7" t="str">
        <f>IF('Database MK'!EB63="","Belum",'Database MK'!DU63-'Database MK'!EB63)</f>
        <v>Belum</v>
      </c>
      <c r="AI62" s="7" t="str">
        <f>IF('Database MK'!EN63="","Belum",'Database MK'!EL63-'Database MK'!EN63)</f>
        <v>Belum</v>
      </c>
      <c r="AJ62" s="7">
        <f>'Database MK'!FY63-'Database MK'!FZ63</f>
        <v>0</v>
      </c>
      <c r="AK62" s="7">
        <f>IF('Database MK'!GC63="","Belum",'Database MK'!GB63-'Database MK'!GC63)</f>
        <v>50</v>
      </c>
      <c r="AL62" s="7">
        <f>IF('Database MK'!GF63="","Belum",'Database MK'!GE63-'Database MK'!GF63)</f>
        <v>57</v>
      </c>
      <c r="AM62" s="309">
        <f>IF('Database MK'!GJ63="","Belum",'Database MK'!GI63-'Database MK'!GJ63)</f>
        <v>51</v>
      </c>
      <c r="AN62" s="7">
        <f>IF('Database MK'!HG63="","Belum",'Database MK'!HF63-'Database MK'!HG63)</f>
        <v>-25</v>
      </c>
      <c r="AO62" s="7">
        <f>IF('Database MK'!HP63="","Belum",'Database MK'!HN63-'Database MK'!HP63)</f>
        <v>-40</v>
      </c>
      <c r="AP62" s="7">
        <f>IF('Database MK'!HV63="","Belum",'Database MK'!HT63-'Database MK'!HV63)</f>
        <v>-38</v>
      </c>
    </row>
    <row r="63" spans="2:42" x14ac:dyDescent="0.2">
      <c r="B63" s="7">
        <f>SUBTOTAL(3,$C$4:C63)</f>
        <v>60</v>
      </c>
      <c r="C63" s="299" t="s">
        <v>244</v>
      </c>
      <c r="D63" s="299" t="s">
        <v>561</v>
      </c>
      <c r="E63" s="299" t="s">
        <v>562</v>
      </c>
      <c r="F63" s="300">
        <v>45748</v>
      </c>
      <c r="G63" s="4" t="s">
        <v>247</v>
      </c>
      <c r="H63" s="4" t="str">
        <f ca="1">'Database MK'!Q64</f>
        <v>DPPP</v>
      </c>
      <c r="I63" s="24">
        <f>'Database MK'!S64</f>
        <v>1</v>
      </c>
      <c r="J63" s="24">
        <f>'Database MK'!T64</f>
        <v>1</v>
      </c>
      <c r="K63" s="603">
        <f>'Database MK'!U64</f>
        <v>0</v>
      </c>
      <c r="L63" s="593">
        <f>'Database MK'!V64</f>
        <v>1975</v>
      </c>
      <c r="M63" s="593">
        <f>'Database MK'!W64</f>
        <v>2010</v>
      </c>
      <c r="N63" s="593">
        <f>Table3[[#This Row],[Total Panjang Pipa Aktual]]-Table3[[#This Row],[Volume
BA MC-0]]</f>
        <v>35</v>
      </c>
      <c r="O63" s="7" t="str">
        <f ca="1">'Database MK'!DE64</f>
        <v>Belum, Delay</v>
      </c>
      <c r="P63" s="7" t="str">
        <f ca="1">'Database MK'!DI64</f>
        <v>Belum, Delay</v>
      </c>
      <c r="Q63" s="7" t="str">
        <f ca="1">'Database MK'!DN64</f>
        <v>Sudah, OnSchedule</v>
      </c>
      <c r="R63" s="7" t="str">
        <f ca="1">'Database MK'!DR64</f>
        <v>Sudah, OnSchedule</v>
      </c>
      <c r="S63" s="7" t="str">
        <f ca="1">'Database MK'!EA64</f>
        <v>Belum, Delay</v>
      </c>
      <c r="T63" s="7" t="str">
        <f ca="1">'Database MK'!EI64</f>
        <v>Belum, Delay</v>
      </c>
      <c r="U63" s="7" t="str">
        <f ca="1">'Database MK'!ET64</f>
        <v>Belum, Delay</v>
      </c>
      <c r="V63" s="7" t="str">
        <f ca="1">'Database MK'!GA64</f>
        <v>Belum, Delay</v>
      </c>
      <c r="W63" s="7" t="str">
        <f ca="1">'Database MK'!GD64</f>
        <v>Sudah, OnSchedule</v>
      </c>
      <c r="X63" s="7" t="str">
        <f ca="1">'Database MK'!GG64</f>
        <v>Sudah, OnSchedule</v>
      </c>
      <c r="Y63" s="7" t="str">
        <f ca="1">'Database MK'!GK64</f>
        <v>Sudah, OnSchedule</v>
      </c>
      <c r="Z63" s="7" t="str">
        <f ca="1">'Database MK'!HH64</f>
        <v>Sudah, Delay</v>
      </c>
      <c r="AA63" s="7" t="str">
        <f ca="1">'Database MK'!HQ64</f>
        <v>Sudah, Delay</v>
      </c>
      <c r="AB63" s="7" t="str">
        <f ca="1">'Database MK'!HW64</f>
        <v>Sudah, Delay</v>
      </c>
      <c r="AC63" s="7">
        <f>'Database MK'!DA64-'Database MK'!DB64</f>
        <v>45466</v>
      </c>
      <c r="AD63" s="7">
        <f>'Database MK'!DA64-'Database MK'!DF64</f>
        <v>45466</v>
      </c>
      <c r="AE63" s="7">
        <f>'Database MK'!DK64-'Database MK'!DL64</f>
        <v>56</v>
      </c>
      <c r="AF63" s="7">
        <f>'Database MK'!DK64-'Database MK'!DO64</f>
        <v>51</v>
      </c>
      <c r="AG63" s="7">
        <f>'Database MK'!DU64-'Database MK'!DW64</f>
        <v>45508</v>
      </c>
      <c r="AH63" s="7" t="str">
        <f>IF('Database MK'!EB64="","Belum",'Database MK'!DU64-'Database MK'!EB64)</f>
        <v>Belum</v>
      </c>
      <c r="AI63" s="7" t="str">
        <f>IF('Database MK'!EN64="","Belum",'Database MK'!EL64-'Database MK'!EN64)</f>
        <v>Belum</v>
      </c>
      <c r="AJ63" s="7">
        <f>'Database MK'!FY64-'Database MK'!FZ64</f>
        <v>0</v>
      </c>
      <c r="AK63" s="7">
        <f>IF('Database MK'!GC64="","Belum",'Database MK'!GB64-'Database MK'!GC64)</f>
        <v>50</v>
      </c>
      <c r="AL63" s="7">
        <f>IF('Database MK'!GF64="","Belum",'Database MK'!GE64-'Database MK'!GF64)</f>
        <v>57</v>
      </c>
      <c r="AM63" s="309">
        <f>IF('Database MK'!GJ64="","Belum",'Database MK'!GI64-'Database MK'!GJ64)</f>
        <v>50</v>
      </c>
      <c r="AN63" s="7">
        <f>IF('Database MK'!HG64="","Belum",'Database MK'!HF64-'Database MK'!HG64)</f>
        <v>-45</v>
      </c>
      <c r="AO63" s="7">
        <f>IF('Database MK'!HP64="","Belum",'Database MK'!HN64-'Database MK'!HP64)</f>
        <v>-41</v>
      </c>
      <c r="AP63" s="7">
        <f>IF('Database MK'!HV64="","Belum",'Database MK'!HT64-'Database MK'!HV64)</f>
        <v>-39</v>
      </c>
    </row>
    <row r="64" spans="2:42" x14ac:dyDescent="0.2">
      <c r="B64" s="7">
        <f>SUBTOTAL(3,$C$4:C64)</f>
        <v>61</v>
      </c>
      <c r="C64" s="299" t="s">
        <v>244</v>
      </c>
      <c r="D64" s="299" t="s">
        <v>566</v>
      </c>
      <c r="E64" s="299" t="s">
        <v>567</v>
      </c>
      <c r="F64" s="300">
        <v>45748</v>
      </c>
      <c r="G64" s="4" t="s">
        <v>247</v>
      </c>
      <c r="H64" s="4" t="str">
        <f ca="1">'Database MK'!Q65</f>
        <v>DPPP</v>
      </c>
      <c r="I64" s="24">
        <f>'Database MK'!S65</f>
        <v>1</v>
      </c>
      <c r="J64" s="24">
        <f>'Database MK'!T65</f>
        <v>1</v>
      </c>
      <c r="K64" s="603">
        <f>'Database MK'!U65</f>
        <v>0</v>
      </c>
      <c r="L64" s="593">
        <f>'Database MK'!V65</f>
        <v>1511</v>
      </c>
      <c r="M64" s="593">
        <f>'Database MK'!W65</f>
        <v>603.4</v>
      </c>
      <c r="N64" s="593">
        <f>Table3[[#This Row],[Total Panjang Pipa Aktual]]-Table3[[#This Row],[Volume
BA MC-0]]</f>
        <v>-907.6</v>
      </c>
      <c r="O64" s="7" t="str">
        <f ca="1">'Database MK'!DE65</f>
        <v>Belum, Delay</v>
      </c>
      <c r="P64" s="7" t="str">
        <f ca="1">'Database MK'!DI65</f>
        <v>Belum, Delay</v>
      </c>
      <c r="Q64" s="7" t="str">
        <f ca="1">'Database MK'!DN65</f>
        <v>Sudah, OnSchedule</v>
      </c>
      <c r="R64" s="7" t="str">
        <f ca="1">'Database MK'!DR65</f>
        <v>Sudah, OnSchedule</v>
      </c>
      <c r="S64" s="7" t="str">
        <f ca="1">'Database MK'!EA65</f>
        <v>Belum, Delay</v>
      </c>
      <c r="T64" s="7" t="str">
        <f ca="1">'Database MK'!EI65</f>
        <v>Belum, Delay</v>
      </c>
      <c r="U64" s="7" t="str">
        <f ca="1">'Database MK'!ET65</f>
        <v>Belum, Delay</v>
      </c>
      <c r="V64" s="7" t="str">
        <f ca="1">'Database MK'!GA65</f>
        <v>Belum, Delay</v>
      </c>
      <c r="W64" s="7" t="str">
        <f ca="1">'Database MK'!GD65</f>
        <v>Sudah, OnSchedule</v>
      </c>
      <c r="X64" s="7" t="str">
        <f ca="1">'Database MK'!GG65</f>
        <v>Sudah, OnSchedule</v>
      </c>
      <c r="Y64" s="7" t="str">
        <f ca="1">'Database MK'!GK65</f>
        <v>Sudah, OnSchedule</v>
      </c>
      <c r="Z64" s="7" t="str">
        <f ca="1">'Database MK'!HH65</f>
        <v>Sudah, Delay</v>
      </c>
      <c r="AA64" s="7" t="str">
        <f ca="1">'Database MK'!HQ65</f>
        <v>Sudah, Delay</v>
      </c>
      <c r="AB64" s="7" t="str">
        <f ca="1">'Database MK'!HW65</f>
        <v>Sudah, Delay</v>
      </c>
      <c r="AC64" s="7">
        <f>'Database MK'!DA65-'Database MK'!DB65</f>
        <v>45466</v>
      </c>
      <c r="AD64" s="7">
        <f>'Database MK'!DA65-'Database MK'!DF65</f>
        <v>45466</v>
      </c>
      <c r="AE64" s="7">
        <f>'Database MK'!DK65-'Database MK'!DL65</f>
        <v>56</v>
      </c>
      <c r="AF64" s="7">
        <f>'Database MK'!DK65-'Database MK'!DO65</f>
        <v>51</v>
      </c>
      <c r="AG64" s="7">
        <f>'Database MK'!DU65-'Database MK'!DW65</f>
        <v>45508</v>
      </c>
      <c r="AH64" s="7" t="str">
        <f>IF('Database MK'!EB65="","Belum",'Database MK'!DU65-'Database MK'!EB65)</f>
        <v>Belum</v>
      </c>
      <c r="AI64" s="7" t="str">
        <f>IF('Database MK'!EN65="","Belum",'Database MK'!EL65-'Database MK'!EN65)</f>
        <v>Belum</v>
      </c>
      <c r="AJ64" s="7">
        <f>'Database MK'!FY65-'Database MK'!FZ65</f>
        <v>0</v>
      </c>
      <c r="AK64" s="7">
        <f>IF('Database MK'!GC65="","Belum",'Database MK'!GB65-'Database MK'!GC65)</f>
        <v>50</v>
      </c>
      <c r="AL64" s="7">
        <f>IF('Database MK'!GF65="","Belum",'Database MK'!GE65-'Database MK'!GF65)</f>
        <v>57</v>
      </c>
      <c r="AM64" s="309">
        <f>IF('Database MK'!GJ65="","Belum",'Database MK'!GI65-'Database MK'!GJ65)</f>
        <v>49</v>
      </c>
      <c r="AN64" s="7">
        <f>IF('Database MK'!HG65="","Belum",'Database MK'!HF65-'Database MK'!HG65)</f>
        <v>-45</v>
      </c>
      <c r="AO64" s="7">
        <f>IF('Database MK'!HP65="","Belum",'Database MK'!HN65-'Database MK'!HP65)</f>
        <v>-41</v>
      </c>
      <c r="AP64" s="7">
        <f>IF('Database MK'!HV65="","Belum",'Database MK'!HT65-'Database MK'!HV65)</f>
        <v>-39</v>
      </c>
    </row>
    <row r="65" spans="2:42" x14ac:dyDescent="0.2">
      <c r="B65" s="7">
        <f>SUBTOTAL(3,$C$4:C65)</f>
        <v>62</v>
      </c>
      <c r="C65" s="299" t="s">
        <v>244</v>
      </c>
      <c r="D65" s="299" t="s">
        <v>570</v>
      </c>
      <c r="E65" s="299" t="s">
        <v>571</v>
      </c>
      <c r="F65" s="300">
        <v>45748</v>
      </c>
      <c r="G65" s="4" t="s">
        <v>247</v>
      </c>
      <c r="H65" s="4" t="str">
        <f ca="1">'Database MK'!Q66</f>
        <v>DPPP</v>
      </c>
      <c r="I65" s="24">
        <f>'Database MK'!S66</f>
        <v>1</v>
      </c>
      <c r="J65" s="24">
        <f>'Database MK'!T66</f>
        <v>1</v>
      </c>
      <c r="K65" s="603">
        <f>'Database MK'!U66</f>
        <v>0</v>
      </c>
      <c r="L65" s="593">
        <f>'Database MK'!V66</f>
        <v>73</v>
      </c>
      <c r="M65" s="593">
        <f>'Database MK'!W66</f>
        <v>48</v>
      </c>
      <c r="N65" s="593">
        <f>Table3[[#This Row],[Total Panjang Pipa Aktual]]-Table3[[#This Row],[Volume
BA MC-0]]</f>
        <v>-25</v>
      </c>
      <c r="O65" s="7" t="str">
        <f ca="1">'Database MK'!DE66</f>
        <v>Belum, Delay</v>
      </c>
      <c r="P65" s="7" t="str">
        <f ca="1">'Database MK'!DI66</f>
        <v>Belum, Delay</v>
      </c>
      <c r="Q65" s="7" t="str">
        <f ca="1">'Database MK'!DN66</f>
        <v>Sudah, OnSchedule</v>
      </c>
      <c r="R65" s="7" t="str">
        <f ca="1">'Database MK'!DR66</f>
        <v>Sudah, OnSchedule</v>
      </c>
      <c r="S65" s="7" t="str">
        <f ca="1">'Database MK'!EA66</f>
        <v>Belum, Delay</v>
      </c>
      <c r="T65" s="7" t="str">
        <f ca="1">'Database MK'!EI66</f>
        <v>Belum, Delay</v>
      </c>
      <c r="U65" s="7" t="str">
        <f ca="1">'Database MK'!ET66</f>
        <v>Belum, Delay</v>
      </c>
      <c r="V65" s="7" t="str">
        <f ca="1">'Database MK'!GA66</f>
        <v>Belum, Delay</v>
      </c>
      <c r="W65" s="7" t="str">
        <f ca="1">'Database MK'!GD66</f>
        <v>Sudah, Delay</v>
      </c>
      <c r="X65" s="7" t="str">
        <f ca="1">'Database MK'!GG66</f>
        <v>Sudah, Delay</v>
      </c>
      <c r="Y65" s="7" t="str">
        <f ca="1">'Database MK'!GK66</f>
        <v>Sudah, OnSchedule</v>
      </c>
      <c r="Z65" s="7" t="str">
        <f ca="1">'Database MK'!HH66</f>
        <v>Sudah, Delay</v>
      </c>
      <c r="AA65" s="7" t="str">
        <f ca="1">'Database MK'!HQ66</f>
        <v>Sudah, Delay</v>
      </c>
      <c r="AB65" s="7" t="str">
        <f ca="1">'Database MK'!HW66</f>
        <v>Sudah, Delay</v>
      </c>
      <c r="AC65" s="7">
        <f>'Database MK'!DA66-'Database MK'!DB66</f>
        <v>45543</v>
      </c>
      <c r="AD65" s="7">
        <f>'Database MK'!DA66-'Database MK'!DF66</f>
        <v>45543</v>
      </c>
      <c r="AE65" s="7">
        <f>'Database MK'!DK66-'Database MK'!DL66</f>
        <v>31</v>
      </c>
      <c r="AF65" s="7">
        <f>'Database MK'!DK66-'Database MK'!DO66</f>
        <v>6</v>
      </c>
      <c r="AG65" s="7">
        <f>'Database MK'!DU66-'Database MK'!DW66</f>
        <v>45571</v>
      </c>
      <c r="AH65" s="7" t="str">
        <f>IF('Database MK'!EB66="","Belum",'Database MK'!DU66-'Database MK'!EB66)</f>
        <v>Belum</v>
      </c>
      <c r="AI65" s="7" t="str">
        <f>IF('Database MK'!EN66="","Belum",'Database MK'!EL66-'Database MK'!EN66)</f>
        <v>Belum</v>
      </c>
      <c r="AJ65" s="7">
        <f>'Database MK'!FY66-'Database MK'!FZ66</f>
        <v>0</v>
      </c>
      <c r="AK65" s="7">
        <f>IF('Database MK'!GC66="","Belum",'Database MK'!GB66-'Database MK'!GC66)</f>
        <v>-62</v>
      </c>
      <c r="AL65" s="7">
        <f>IF('Database MK'!GF66="","Belum",'Database MK'!GE66-'Database MK'!GF66)</f>
        <v>-55</v>
      </c>
      <c r="AM65" s="309">
        <f>IF('Database MK'!GJ66="","Belum",'Database MK'!GI66-'Database MK'!GJ66)</f>
        <v>13</v>
      </c>
      <c r="AN65" s="7">
        <f>IF('Database MK'!HG66="","Belum",'Database MK'!HF66-'Database MK'!HG66)</f>
        <v>-66</v>
      </c>
      <c r="AO65" s="7">
        <f>IF('Database MK'!HP66="","Belum",'Database MK'!HN66-'Database MK'!HP66)</f>
        <v>-104</v>
      </c>
      <c r="AP65" s="7">
        <f>IF('Database MK'!HV66="","Belum",'Database MK'!HT66-'Database MK'!HV66)</f>
        <v>-102</v>
      </c>
    </row>
    <row r="66" spans="2:42" x14ac:dyDescent="0.2">
      <c r="B66" s="7">
        <f>SUBTOTAL(3,$C$4:C66)</f>
        <v>63</v>
      </c>
      <c r="C66" s="299" t="s">
        <v>244</v>
      </c>
      <c r="D66" s="299" t="s">
        <v>575</v>
      </c>
      <c r="E66" s="299" t="s">
        <v>576</v>
      </c>
      <c r="F66" s="300">
        <v>45748</v>
      </c>
      <c r="G66" s="4" t="s">
        <v>247</v>
      </c>
      <c r="H66" s="4" t="str">
        <f ca="1">'Database MK'!Q67</f>
        <v>DPPP</v>
      </c>
      <c r="I66" s="24">
        <f>'Database MK'!S67</f>
        <v>1</v>
      </c>
      <c r="J66" s="24">
        <f>'Database MK'!T67</f>
        <v>1</v>
      </c>
      <c r="K66" s="603">
        <f>'Database MK'!U67</f>
        <v>0</v>
      </c>
      <c r="L66" s="593">
        <f>'Database MK'!V67</f>
        <v>57</v>
      </c>
      <c r="M66" s="593">
        <f>'Database MK'!W67</f>
        <v>61</v>
      </c>
      <c r="N66" s="593">
        <f>Table3[[#This Row],[Total Panjang Pipa Aktual]]-Table3[[#This Row],[Volume
BA MC-0]]</f>
        <v>4</v>
      </c>
      <c r="O66" s="7" t="str">
        <f ca="1">'Database MK'!DE67</f>
        <v>Belum, Delay</v>
      </c>
      <c r="P66" s="7" t="str">
        <f ca="1">'Database MK'!DI67</f>
        <v>Belum, Delay</v>
      </c>
      <c r="Q66" s="7" t="str">
        <f ca="1">'Database MK'!DN67</f>
        <v>Sudah, OnSchedule</v>
      </c>
      <c r="R66" s="7" t="str">
        <f ca="1">'Database MK'!DR67</f>
        <v>Sudah, OnSchedule</v>
      </c>
      <c r="S66" s="7" t="str">
        <f ca="1">'Database MK'!EA67</f>
        <v>Belum, Delay</v>
      </c>
      <c r="T66" s="7" t="str">
        <f ca="1">'Database MK'!EI67</f>
        <v>Belum, Delay</v>
      </c>
      <c r="U66" s="7" t="str">
        <f ca="1">'Database MK'!ET67</f>
        <v>Belum, Delay</v>
      </c>
      <c r="V66" s="7" t="str">
        <f ca="1">'Database MK'!GA67</f>
        <v>Belum, Delay</v>
      </c>
      <c r="W66" s="7" t="str">
        <f ca="1">'Database MK'!GD67</f>
        <v>Sudah, Delay</v>
      </c>
      <c r="X66" s="7" t="str">
        <f ca="1">'Database MK'!GG67</f>
        <v>Sudah, Delay</v>
      </c>
      <c r="Y66" s="7" t="str">
        <f ca="1">'Database MK'!GK67</f>
        <v>Sudah, OnSchedule</v>
      </c>
      <c r="Z66" s="7" t="str">
        <f ca="1">'Database MK'!HH67</f>
        <v>Sudah, Delay</v>
      </c>
      <c r="AA66" s="7" t="str">
        <f ca="1">'Database MK'!HQ67</f>
        <v>Sudah, Delay</v>
      </c>
      <c r="AB66" s="7" t="str">
        <f ca="1">'Database MK'!HW67</f>
        <v>Sudah, Delay</v>
      </c>
      <c r="AC66" s="7">
        <f>'Database MK'!DA67-'Database MK'!DB67</f>
        <v>45543</v>
      </c>
      <c r="AD66" s="7">
        <f>'Database MK'!DA67-'Database MK'!DF67</f>
        <v>45543</v>
      </c>
      <c r="AE66" s="7">
        <f>'Database MK'!DK67-'Database MK'!DL67</f>
        <v>31</v>
      </c>
      <c r="AF66" s="7">
        <f>'Database MK'!DK67-'Database MK'!DO67</f>
        <v>6</v>
      </c>
      <c r="AG66" s="7">
        <f>'Database MK'!DU67-'Database MK'!DW67</f>
        <v>45571</v>
      </c>
      <c r="AH66" s="7" t="str">
        <f>IF('Database MK'!EB67="","Belum",'Database MK'!DU67-'Database MK'!EB67)</f>
        <v>Belum</v>
      </c>
      <c r="AI66" s="7" t="str">
        <f>IF('Database MK'!EN67="","Belum",'Database MK'!EL67-'Database MK'!EN67)</f>
        <v>Belum</v>
      </c>
      <c r="AJ66" s="7">
        <f>'Database MK'!FY67-'Database MK'!FZ67</f>
        <v>0</v>
      </c>
      <c r="AK66" s="7">
        <f>IF('Database MK'!GC67="","Belum",'Database MK'!GB67-'Database MK'!GC67)</f>
        <v>-62</v>
      </c>
      <c r="AL66" s="7">
        <f>IF('Database MK'!GF67="","Belum",'Database MK'!GE67-'Database MK'!GF67)</f>
        <v>-55</v>
      </c>
      <c r="AM66" s="309">
        <f>IF('Database MK'!GJ67="","Belum",'Database MK'!GI67-'Database MK'!GJ67)</f>
        <v>13</v>
      </c>
      <c r="AN66" s="7">
        <f>IF('Database MK'!HG67="","Belum",'Database MK'!HF67-'Database MK'!HG67)</f>
        <v>-57</v>
      </c>
      <c r="AO66" s="7">
        <f>IF('Database MK'!HP67="","Belum",'Database MK'!HN67-'Database MK'!HP67)</f>
        <v>-82</v>
      </c>
      <c r="AP66" s="7">
        <f>IF('Database MK'!HV67="","Belum",'Database MK'!HT67-'Database MK'!HV67)</f>
        <v>-80</v>
      </c>
    </row>
    <row r="67" spans="2:42" x14ac:dyDescent="0.2">
      <c r="B67" s="7">
        <f>SUBTOTAL(3,$C$4:C67)</f>
        <v>64</v>
      </c>
      <c r="C67" s="303" t="s">
        <v>244</v>
      </c>
      <c r="D67" s="303" t="s">
        <v>580</v>
      </c>
      <c r="E67" s="303" t="s">
        <v>581</v>
      </c>
      <c r="F67" s="304">
        <v>45748</v>
      </c>
      <c r="G67" s="252" t="s">
        <v>247</v>
      </c>
      <c r="H67" s="252" t="str">
        <f ca="1">'Database MK'!Q68</f>
        <v>DPPP</v>
      </c>
      <c r="I67" s="606">
        <f>'Database MK'!S68</f>
        <v>1</v>
      </c>
      <c r="J67" s="606">
        <f>'Database MK'!T68</f>
        <v>1</v>
      </c>
      <c r="K67" s="607">
        <f>'Database MK'!U68</f>
        <v>0</v>
      </c>
      <c r="L67" s="595">
        <f>'Database MK'!V68</f>
        <v>83</v>
      </c>
      <c r="M67" s="595">
        <f>'Database MK'!W68</f>
        <v>316</v>
      </c>
      <c r="N67" s="595">
        <f>Table3[[#This Row],[Total Panjang Pipa Aktual]]-Table3[[#This Row],[Volume
BA MC-0]]</f>
        <v>233</v>
      </c>
      <c r="O67" s="7" t="str">
        <f ca="1">'Database MK'!DE68</f>
        <v>Belum, Delay</v>
      </c>
      <c r="P67" s="7" t="str">
        <f ca="1">'Database MK'!DI68</f>
        <v>Belum, Delay</v>
      </c>
      <c r="Q67" s="7" t="str">
        <f ca="1">'Database MK'!DN68</f>
        <v>Sudah, Delay</v>
      </c>
      <c r="R67" s="7" t="str">
        <f ca="1">'Database MK'!DR68</f>
        <v>Sudah, Delay</v>
      </c>
      <c r="S67" s="7" t="str">
        <f ca="1">'Database MK'!EA68</f>
        <v>Belum, Delay</v>
      </c>
      <c r="T67" s="7" t="str">
        <f ca="1">'Database MK'!EI68</f>
        <v>Belum, Delay</v>
      </c>
      <c r="U67" s="7" t="str">
        <f ca="1">'Database MK'!ET68</f>
        <v>Belum, Delay</v>
      </c>
      <c r="V67" s="7" t="str">
        <f ca="1">'Database MK'!GA68</f>
        <v>Belum, Delay</v>
      </c>
      <c r="W67" s="7" t="str">
        <f ca="1">'Database MK'!GD68</f>
        <v>Sudah, Delay</v>
      </c>
      <c r="X67" s="7" t="str">
        <f ca="1">'Database MK'!GG68</f>
        <v>Sudah, Delay</v>
      </c>
      <c r="Y67" s="7" t="str">
        <f ca="1">'Database MK'!GK68</f>
        <v>Sudah, Delay</v>
      </c>
      <c r="Z67" s="7" t="str">
        <f ca="1">'Database MK'!HH68</f>
        <v>Sudah, Delay</v>
      </c>
      <c r="AA67" s="7" t="str">
        <f ca="1">'Database MK'!HQ68</f>
        <v>Sudah, Delay</v>
      </c>
      <c r="AB67" s="7" t="str">
        <f ca="1">'Database MK'!HW68</f>
        <v>Sudah, Delay</v>
      </c>
      <c r="AC67" s="7">
        <f>'Database MK'!DA68-'Database MK'!DB68</f>
        <v>45543</v>
      </c>
      <c r="AD67" s="7">
        <f>'Database MK'!DA68-'Database MK'!DF68</f>
        <v>45543</v>
      </c>
      <c r="AE67" s="7">
        <f>'Database MK'!DK68-'Database MK'!DL68</f>
        <v>-48</v>
      </c>
      <c r="AF67" s="7">
        <f>'Database MK'!DK68-'Database MK'!DO68</f>
        <v>-58</v>
      </c>
      <c r="AG67" s="7">
        <f>'Database MK'!DU68-'Database MK'!DW68</f>
        <v>45571</v>
      </c>
      <c r="AH67" s="7" t="str">
        <f>IF('Database MK'!EB68="","Belum",'Database MK'!DU68-'Database MK'!EB68)</f>
        <v>Belum</v>
      </c>
      <c r="AI67" s="7" t="str">
        <f>IF('Database MK'!EN68="","Belum",'Database MK'!EL68-'Database MK'!EN68)</f>
        <v>Belum</v>
      </c>
      <c r="AJ67" s="7">
        <f>'Database MK'!FY68-'Database MK'!FZ68</f>
        <v>0</v>
      </c>
      <c r="AK67" s="7">
        <f>IF('Database MK'!GC68="","Belum",'Database MK'!GB68-'Database MK'!GC68)</f>
        <v>-62</v>
      </c>
      <c r="AL67" s="7">
        <f>IF('Database MK'!GF68="","Belum",'Database MK'!GE68-'Database MK'!GF68)</f>
        <v>-55</v>
      </c>
      <c r="AM67" s="309">
        <f>IF('Database MK'!GJ68="","Belum",'Database MK'!GI68-'Database MK'!GJ68)</f>
        <v>-37</v>
      </c>
      <c r="AN67" s="7">
        <f>IF('Database MK'!HG68="","Belum",'Database MK'!HF68-'Database MK'!HG68)</f>
        <v>-96</v>
      </c>
      <c r="AO67" s="7">
        <f>IF('Database MK'!HP68="","Belum",'Database MK'!HN68-'Database MK'!HP68)</f>
        <v>-104</v>
      </c>
      <c r="AP67" s="7">
        <f>IF('Database MK'!HV68="","Belum",'Database MK'!HT68-'Database MK'!HV68)</f>
        <v>-102</v>
      </c>
    </row>
    <row r="68" spans="2:42" x14ac:dyDescent="0.2">
      <c r="B68" s="7">
        <f>SUBTOTAL(3,$C$4:C68)</f>
        <v>65</v>
      </c>
      <c r="C68" s="299" t="s">
        <v>244</v>
      </c>
      <c r="D68" s="299" t="s">
        <v>585</v>
      </c>
      <c r="E68" s="299" t="s">
        <v>586</v>
      </c>
      <c r="F68" s="300">
        <v>45748</v>
      </c>
      <c r="G68" s="4" t="s">
        <v>247</v>
      </c>
      <c r="H68" s="4" t="str">
        <f ca="1">'Database MK'!Q69</f>
        <v>DPPP</v>
      </c>
      <c r="I68" s="24">
        <f>'Database MK'!S69</f>
        <v>1</v>
      </c>
      <c r="J68" s="24">
        <f>'Database MK'!T69</f>
        <v>1</v>
      </c>
      <c r="K68" s="603">
        <f>'Database MK'!U69</f>
        <v>0</v>
      </c>
      <c r="L68" s="593">
        <f>'Database MK'!V69</f>
        <v>24</v>
      </c>
      <c r="M68" s="593">
        <f>'Database MK'!W69</f>
        <v>26</v>
      </c>
      <c r="N68" s="593">
        <f>Table3[[#This Row],[Total Panjang Pipa Aktual]]-Table3[[#This Row],[Volume
BA MC-0]]</f>
        <v>2</v>
      </c>
      <c r="O68" s="7" t="str">
        <f ca="1">'Database MK'!DE69</f>
        <v>Belum, Delay</v>
      </c>
      <c r="P68" s="7" t="str">
        <f ca="1">'Database MK'!DI69</f>
        <v>Belum, Delay</v>
      </c>
      <c r="Q68" s="7" t="str">
        <f ca="1">'Database MK'!DN69</f>
        <v>Sudah, OnSchedule</v>
      </c>
      <c r="R68" s="7" t="str">
        <f ca="1">'Database MK'!DR69</f>
        <v>Sudah, OnSchedule</v>
      </c>
      <c r="S68" s="7" t="str">
        <f ca="1">'Database MK'!EA69</f>
        <v>Belum, Delay</v>
      </c>
      <c r="T68" s="7" t="str">
        <f ca="1">'Database MK'!EI69</f>
        <v>Belum, Delay</v>
      </c>
      <c r="U68" s="7" t="str">
        <f ca="1">'Database MK'!ET69</f>
        <v>Belum, Delay</v>
      </c>
      <c r="V68" s="7" t="str">
        <f ca="1">'Database MK'!GA69</f>
        <v>Belum, Delay</v>
      </c>
      <c r="W68" s="7" t="str">
        <f ca="1">'Database MK'!GD69</f>
        <v>Sudah, Delay</v>
      </c>
      <c r="X68" s="7" t="str">
        <f ca="1">'Database MK'!GG69</f>
        <v>Sudah, Delay</v>
      </c>
      <c r="Y68" s="7" t="str">
        <f ca="1">'Database MK'!GK69</f>
        <v>Sudah, OnSchedule</v>
      </c>
      <c r="Z68" s="7" t="str">
        <f ca="1">'Database MK'!HH69</f>
        <v>Sudah, Delay</v>
      </c>
      <c r="AA68" s="7" t="str">
        <f ca="1">'Database MK'!HQ69</f>
        <v>Sudah, Delay</v>
      </c>
      <c r="AB68" s="7" t="str">
        <f ca="1">'Database MK'!HW69</f>
        <v>Sudah, Delay</v>
      </c>
      <c r="AC68" s="7">
        <f>'Database MK'!DA69-'Database MK'!DB69</f>
        <v>45543</v>
      </c>
      <c r="AD68" s="7">
        <f>'Database MK'!DA69-'Database MK'!DF69</f>
        <v>45543</v>
      </c>
      <c r="AE68" s="7">
        <f>'Database MK'!DK69-'Database MK'!DL69</f>
        <v>32</v>
      </c>
      <c r="AF68" s="7">
        <f>'Database MK'!DK69-'Database MK'!DO69</f>
        <v>6</v>
      </c>
      <c r="AG68" s="7">
        <f>'Database MK'!DU69-'Database MK'!DW69</f>
        <v>45571</v>
      </c>
      <c r="AH68" s="7" t="str">
        <f>IF('Database MK'!EB69="","Belum",'Database MK'!DU69-'Database MK'!EB69)</f>
        <v>Belum</v>
      </c>
      <c r="AI68" s="7" t="str">
        <f>IF('Database MK'!EN69="","Belum",'Database MK'!EL69-'Database MK'!EN69)</f>
        <v>Belum</v>
      </c>
      <c r="AJ68" s="7">
        <f>'Database MK'!FY69-'Database MK'!FZ69</f>
        <v>0</v>
      </c>
      <c r="AK68" s="7">
        <f>IF('Database MK'!GC69="","Belum",'Database MK'!GB69-'Database MK'!GC69)</f>
        <v>-62</v>
      </c>
      <c r="AL68" s="7">
        <f>IF('Database MK'!GF69="","Belum",'Database MK'!GE69-'Database MK'!GF69)</f>
        <v>-55</v>
      </c>
      <c r="AM68" s="309">
        <f>IF('Database MK'!GJ69="","Belum",'Database MK'!GI69-'Database MK'!GJ69)</f>
        <v>11</v>
      </c>
      <c r="AN68" s="7">
        <f>IF('Database MK'!HG69="","Belum",'Database MK'!HF69-'Database MK'!HG69)</f>
        <v>-57</v>
      </c>
      <c r="AO68" s="7">
        <f>IF('Database MK'!HP69="","Belum",'Database MK'!HN69-'Database MK'!HP69)</f>
        <v>-82</v>
      </c>
      <c r="AP68" s="7">
        <f>IF('Database MK'!HV69="","Belum",'Database MK'!HT69-'Database MK'!HV69)</f>
        <v>-80</v>
      </c>
    </row>
    <row r="69" spans="2:42" x14ac:dyDescent="0.2">
      <c r="B69" s="7">
        <f>SUBTOTAL(3,$C$4:C69)</f>
        <v>66</v>
      </c>
      <c r="C69" s="299" t="s">
        <v>244</v>
      </c>
      <c r="D69" s="299" t="s">
        <v>590</v>
      </c>
      <c r="E69" s="299" t="s">
        <v>591</v>
      </c>
      <c r="F69" s="300">
        <v>45748</v>
      </c>
      <c r="G69" s="4" t="s">
        <v>247</v>
      </c>
      <c r="H69" s="4" t="str">
        <f ca="1">'Database MK'!Q70</f>
        <v>DPPP</v>
      </c>
      <c r="I69" s="24">
        <f>'Database MK'!S70</f>
        <v>1</v>
      </c>
      <c r="J69" s="24">
        <f>'Database MK'!T70</f>
        <v>1</v>
      </c>
      <c r="K69" s="603">
        <f>'Database MK'!U70</f>
        <v>0</v>
      </c>
      <c r="L69" s="593">
        <f>'Database MK'!V70</f>
        <v>66</v>
      </c>
      <c r="M69" s="593">
        <f>'Database MK'!W70</f>
        <v>68.8</v>
      </c>
      <c r="N69" s="593">
        <f>Table3[[#This Row],[Total Panjang Pipa Aktual]]-Table3[[#This Row],[Volume
BA MC-0]]</f>
        <v>2.7999999999999972</v>
      </c>
      <c r="O69" s="7" t="str">
        <f ca="1">'Database MK'!DE70</f>
        <v>Belum, Delay</v>
      </c>
      <c r="P69" s="7" t="str">
        <f ca="1">'Database MK'!DI70</f>
        <v>Belum, Delay</v>
      </c>
      <c r="Q69" s="7" t="str">
        <f ca="1">'Database MK'!DN70</f>
        <v>Sudah, Delay</v>
      </c>
      <c r="R69" s="7" t="str">
        <f ca="1">'Database MK'!DR70</f>
        <v>Sudah, Delay</v>
      </c>
      <c r="S69" s="7" t="str">
        <f ca="1">'Database MK'!EA70</f>
        <v>Belum, Delay</v>
      </c>
      <c r="T69" s="7" t="str">
        <f ca="1">'Database MK'!EI70</f>
        <v>Belum, Delay</v>
      </c>
      <c r="U69" s="7" t="str">
        <f ca="1">'Database MK'!ET70</f>
        <v>Belum, Delay</v>
      </c>
      <c r="V69" s="7" t="str">
        <f ca="1">'Database MK'!GA70</f>
        <v>Belum, Delay</v>
      </c>
      <c r="W69" s="7" t="str">
        <f ca="1">'Database MK'!GD70</f>
        <v>Sudah, Delay</v>
      </c>
      <c r="X69" s="7" t="str">
        <f ca="1">'Database MK'!GG70</f>
        <v>Sudah, Delay</v>
      </c>
      <c r="Y69" s="7" t="str">
        <f ca="1">'Database MK'!GK70</f>
        <v>Sudah, Delay</v>
      </c>
      <c r="Z69" s="7" t="str">
        <f ca="1">'Database MK'!HH70</f>
        <v>Sudah, Delay</v>
      </c>
      <c r="AA69" s="7" t="str">
        <f ca="1">'Database MK'!HQ70</f>
        <v>Sudah, Delay</v>
      </c>
      <c r="AB69" s="7" t="str">
        <f ca="1">'Database MK'!HW70</f>
        <v>Sudah, Delay</v>
      </c>
      <c r="AC69" s="7">
        <f>'Database MK'!DA70-'Database MK'!DB70</f>
        <v>45543</v>
      </c>
      <c r="AD69" s="7">
        <f>'Database MK'!DA70-'Database MK'!DF70</f>
        <v>45543</v>
      </c>
      <c r="AE69" s="7">
        <f>'Database MK'!DK70-'Database MK'!DL70</f>
        <v>-48</v>
      </c>
      <c r="AF69" s="7">
        <f>'Database MK'!DK70-'Database MK'!DO70</f>
        <v>-60</v>
      </c>
      <c r="AG69" s="7">
        <f>'Database MK'!DU70-'Database MK'!DW70</f>
        <v>45571</v>
      </c>
      <c r="AH69" s="7" t="str">
        <f>IF('Database MK'!EB70="","Belum",'Database MK'!DU70-'Database MK'!EB70)</f>
        <v>Belum</v>
      </c>
      <c r="AI69" s="7" t="str">
        <f>IF('Database MK'!EN70="","Belum",'Database MK'!EL70-'Database MK'!EN70)</f>
        <v>Belum</v>
      </c>
      <c r="AJ69" s="7">
        <f>'Database MK'!FY70-'Database MK'!FZ70</f>
        <v>0</v>
      </c>
      <c r="AK69" s="7">
        <f>IF('Database MK'!GC70="","Belum",'Database MK'!GB70-'Database MK'!GC70)</f>
        <v>-62</v>
      </c>
      <c r="AL69" s="7">
        <f>IF('Database MK'!GF70="","Belum",'Database MK'!GE70-'Database MK'!GF70)</f>
        <v>-55</v>
      </c>
      <c r="AM69" s="309">
        <f>IF('Database MK'!GJ70="","Belum",'Database MK'!GI70-'Database MK'!GJ70)</f>
        <v>-45</v>
      </c>
      <c r="AN69" s="7">
        <f>IF('Database MK'!HG70="","Belum",'Database MK'!HF70-'Database MK'!HG70)</f>
        <v>-99</v>
      </c>
      <c r="AO69" s="7">
        <f>IF('Database MK'!HP70="","Belum",'Database MK'!HN70-'Database MK'!HP70)</f>
        <v>-104</v>
      </c>
      <c r="AP69" s="7">
        <f>IF('Database MK'!HV70="","Belum",'Database MK'!HT70-'Database MK'!HV70)</f>
        <v>-102</v>
      </c>
    </row>
    <row r="70" spans="2:42" x14ac:dyDescent="0.2">
      <c r="B70" s="7">
        <f>SUBTOTAL(3,$C$4:C70)</f>
        <v>67</v>
      </c>
      <c r="C70" s="299" t="s">
        <v>244</v>
      </c>
      <c r="D70" s="299" t="s">
        <v>595</v>
      </c>
      <c r="E70" s="299" t="s">
        <v>596</v>
      </c>
      <c r="F70" s="300">
        <v>45748</v>
      </c>
      <c r="G70" s="4" t="s">
        <v>247</v>
      </c>
      <c r="H70" s="4" t="str">
        <f ca="1">'Database MK'!Q71</f>
        <v>DPPP</v>
      </c>
      <c r="I70" s="24">
        <f>'Database MK'!S71</f>
        <v>1</v>
      </c>
      <c r="J70" s="24">
        <f>'Database MK'!T71</f>
        <v>1</v>
      </c>
      <c r="K70" s="603">
        <f>'Database MK'!U71</f>
        <v>0</v>
      </c>
      <c r="L70" s="593">
        <f>'Database MK'!V71</f>
        <v>147</v>
      </c>
      <c r="M70" s="593">
        <f>'Database MK'!W71</f>
        <v>145</v>
      </c>
      <c r="N70" s="593">
        <f>Table3[[#This Row],[Total Panjang Pipa Aktual]]-Table3[[#This Row],[Volume
BA MC-0]]</f>
        <v>-2</v>
      </c>
      <c r="O70" s="7" t="str">
        <f ca="1">'Database MK'!DE71</f>
        <v>Belum, Delay</v>
      </c>
      <c r="P70" s="7" t="str">
        <f ca="1">'Database MK'!DI71</f>
        <v>Belum, Delay</v>
      </c>
      <c r="Q70" s="7" t="str">
        <f ca="1">'Database MK'!DN71</f>
        <v>Sudah, OnSchedule</v>
      </c>
      <c r="R70" s="7" t="str">
        <f ca="1">'Database MK'!DR71</f>
        <v>Sudah, OnSchedule</v>
      </c>
      <c r="S70" s="7" t="str">
        <f ca="1">'Database MK'!EA71</f>
        <v>Belum, Delay</v>
      </c>
      <c r="T70" s="7" t="str">
        <f ca="1">'Database MK'!EI71</f>
        <v>Belum, Delay</v>
      </c>
      <c r="U70" s="7" t="str">
        <f ca="1">'Database MK'!ET71</f>
        <v>Belum, Delay</v>
      </c>
      <c r="V70" s="7" t="str">
        <f ca="1">'Database MK'!GA71</f>
        <v>Belum, Delay</v>
      </c>
      <c r="W70" s="7" t="str">
        <f ca="1">'Database MK'!GD71</f>
        <v>Sudah, OnSchedule</v>
      </c>
      <c r="X70" s="7" t="str">
        <f ca="1">'Database MK'!GG71</f>
        <v>Sudah, OnSchedule</v>
      </c>
      <c r="Y70" s="7" t="str">
        <f ca="1">'Database MK'!GK71</f>
        <v>Sudah, OnSchedule</v>
      </c>
      <c r="Z70" s="7" t="str">
        <f ca="1">'Database MK'!HH71</f>
        <v>Sudah, Delay</v>
      </c>
      <c r="AA70" s="7" t="str">
        <f ca="1">'Database MK'!HQ71</f>
        <v>Sudah, Delay</v>
      </c>
      <c r="AB70" s="7" t="str">
        <f ca="1">'Database MK'!HW71</f>
        <v>Sudah, Delay</v>
      </c>
      <c r="AC70" s="7">
        <f>'Database MK'!DA71-'Database MK'!DB71</f>
        <v>45543</v>
      </c>
      <c r="AD70" s="7">
        <f>'Database MK'!DA71-'Database MK'!DF71</f>
        <v>45543</v>
      </c>
      <c r="AE70" s="7">
        <f>'Database MK'!DK71-'Database MK'!DL71</f>
        <v>37</v>
      </c>
      <c r="AF70" s="7">
        <f>'Database MK'!DK71-'Database MK'!DO71</f>
        <v>6</v>
      </c>
      <c r="AG70" s="7">
        <f>'Database MK'!DU71-'Database MK'!DW71</f>
        <v>45571</v>
      </c>
      <c r="AH70" s="7" t="str">
        <f>IF('Database MK'!EB71="","Belum",'Database MK'!DU71-'Database MK'!EB71)</f>
        <v>Belum</v>
      </c>
      <c r="AI70" s="7" t="str">
        <f>IF('Database MK'!EN71="","Belum",'Database MK'!EL71-'Database MK'!EN71)</f>
        <v>Belum</v>
      </c>
      <c r="AJ70" s="7">
        <f>'Database MK'!FY71-'Database MK'!FZ71</f>
        <v>0</v>
      </c>
      <c r="AK70" s="7">
        <f>IF('Database MK'!GC71="","Belum",'Database MK'!GB71-'Database MK'!GC71)</f>
        <v>25</v>
      </c>
      <c r="AL70" s="7">
        <f>IF('Database MK'!GF71="","Belum",'Database MK'!GE71-'Database MK'!GF71)</f>
        <v>32</v>
      </c>
      <c r="AM70" s="309">
        <f>IF('Database MK'!GJ71="","Belum",'Database MK'!GI71-'Database MK'!GJ71)</f>
        <v>41</v>
      </c>
      <c r="AN70" s="7">
        <f>IF('Database MK'!HG71="","Belum",'Database MK'!HF71-'Database MK'!HG71)</f>
        <v>-54</v>
      </c>
      <c r="AO70" s="7">
        <f>IF('Database MK'!HP71="","Belum",'Database MK'!HN71-'Database MK'!HP71)</f>
        <v>-82</v>
      </c>
      <c r="AP70" s="7">
        <f>IF('Database MK'!HV71="","Belum",'Database MK'!HT71-'Database MK'!HV71)</f>
        <v>-80</v>
      </c>
    </row>
    <row r="71" spans="2:42" x14ac:dyDescent="0.2">
      <c r="B71" s="7">
        <f>SUBTOTAL(3,$C$4:C71)</f>
        <v>68</v>
      </c>
      <c r="C71" s="299" t="s">
        <v>244</v>
      </c>
      <c r="D71" s="299" t="s">
        <v>600</v>
      </c>
      <c r="E71" s="299" t="s">
        <v>601</v>
      </c>
      <c r="F71" s="300">
        <v>45748</v>
      </c>
      <c r="G71" s="4" t="s">
        <v>247</v>
      </c>
      <c r="H71" s="4" t="str">
        <f ca="1">'Database MK'!Q72</f>
        <v>DPPP</v>
      </c>
      <c r="I71" s="24">
        <f>'Database MK'!S72</f>
        <v>1</v>
      </c>
      <c r="J71" s="24">
        <f>'Database MK'!T72</f>
        <v>1</v>
      </c>
      <c r="K71" s="603">
        <f>'Database MK'!U72</f>
        <v>0</v>
      </c>
      <c r="L71" s="593">
        <f>'Database MK'!V72</f>
        <v>1373</v>
      </c>
      <c r="M71" s="593">
        <f>'Database MK'!W72</f>
        <v>1369</v>
      </c>
      <c r="N71" s="593">
        <f>Table3[[#This Row],[Total Panjang Pipa Aktual]]-Table3[[#This Row],[Volume
BA MC-0]]</f>
        <v>-4</v>
      </c>
      <c r="O71" s="7" t="str">
        <f ca="1">'Database MK'!DE72</f>
        <v>Belum, Delay</v>
      </c>
      <c r="P71" s="7" t="str">
        <f ca="1">'Database MK'!DI72</f>
        <v>Belum, Delay</v>
      </c>
      <c r="Q71" s="7" t="str">
        <f ca="1">'Database MK'!DN72</f>
        <v>Belum, Delay</v>
      </c>
      <c r="R71" s="7" t="str">
        <f ca="1">'Database MK'!DR72</f>
        <v>Belum, Delay</v>
      </c>
      <c r="S71" s="7" t="str">
        <f ca="1">'Database MK'!EA72</f>
        <v>Belum, Delay</v>
      </c>
      <c r="T71" s="7" t="str">
        <f ca="1">'Database MK'!EI72</f>
        <v>Belum, Delay</v>
      </c>
      <c r="U71" s="7" t="str">
        <f ca="1">'Database MK'!ET72</f>
        <v>Belum, Delay</v>
      </c>
      <c r="V71" s="7" t="str">
        <f ca="1">'Database MK'!GA72</f>
        <v>Belum, Delay</v>
      </c>
      <c r="W71" s="7" t="str">
        <f ca="1">'Database MK'!GD72</f>
        <v>Sudah, Delay</v>
      </c>
      <c r="X71" s="7" t="str">
        <f ca="1">'Database MK'!GG72</f>
        <v>Sudah, Delay</v>
      </c>
      <c r="Y71" s="7" t="str">
        <f ca="1">'Database MK'!GK72</f>
        <v>Sudah, Delay</v>
      </c>
      <c r="Z71" s="7" t="str">
        <f ca="1">'Database MK'!HH72</f>
        <v>Sudah, Delay</v>
      </c>
      <c r="AA71" s="7" t="str">
        <f ca="1">'Database MK'!HQ72</f>
        <v>Sudah, Delay</v>
      </c>
      <c r="AB71" s="7" t="str">
        <f ca="1">'Database MK'!HW72</f>
        <v>Sudah, Delay</v>
      </c>
      <c r="AC71" s="7">
        <f>'Database MK'!DA72-'Database MK'!DB72</f>
        <v>45557</v>
      </c>
      <c r="AD71" s="7">
        <f>'Database MK'!DA72-'Database MK'!DF72</f>
        <v>45557</v>
      </c>
      <c r="AE71" s="7">
        <f>'Database MK'!DK72-'Database MK'!DL72</f>
        <v>45592</v>
      </c>
      <c r="AF71" s="7">
        <f>'Database MK'!DK72-'Database MK'!DO72</f>
        <v>45592</v>
      </c>
      <c r="AG71" s="7">
        <f>'Database MK'!DU72-'Database MK'!DW72</f>
        <v>45599</v>
      </c>
      <c r="AH71" s="7" t="str">
        <f>IF('Database MK'!EB72="","Belum",'Database MK'!DU72-'Database MK'!EB72)</f>
        <v>Belum</v>
      </c>
      <c r="AI71" s="7" t="str">
        <f>IF('Database MK'!EN72="","Belum",'Database MK'!EL72-'Database MK'!EN72)</f>
        <v>Belum</v>
      </c>
      <c r="AJ71" s="7">
        <f>'Database MK'!FY72-'Database MK'!FZ72</f>
        <v>0</v>
      </c>
      <c r="AK71" s="7">
        <f>IF('Database MK'!GC72="","Belum",'Database MK'!GB72-'Database MK'!GC72)</f>
        <v>-62</v>
      </c>
      <c r="AL71" s="7">
        <f>IF('Database MK'!GF72="","Belum",'Database MK'!GE72-'Database MK'!GF72)</f>
        <v>-55</v>
      </c>
      <c r="AM71" s="309">
        <f>IF('Database MK'!GJ72="","Belum",'Database MK'!GI72-'Database MK'!GJ72)</f>
        <v>-52</v>
      </c>
      <c r="AN71" s="7">
        <f>IF('Database MK'!HG72="","Belum",'Database MK'!HF72-'Database MK'!HG72)</f>
        <v>-47</v>
      </c>
      <c r="AO71" s="7">
        <f>IF('Database MK'!HP72="","Belum",'Database MK'!HN72-'Database MK'!HP72)</f>
        <v>-41</v>
      </c>
      <c r="AP71" s="7">
        <f>IF('Database MK'!HV72="","Belum",'Database MK'!HT72-'Database MK'!HV72)</f>
        <v>-39</v>
      </c>
    </row>
    <row r="72" spans="2:42" x14ac:dyDescent="0.2">
      <c r="B72" s="7">
        <f>SUBTOTAL(3,$C$4:C72)</f>
        <v>69</v>
      </c>
      <c r="C72" s="299" t="s">
        <v>244</v>
      </c>
      <c r="D72" s="299" t="s">
        <v>603</v>
      </c>
      <c r="E72" s="299" t="s">
        <v>604</v>
      </c>
      <c r="F72" s="300">
        <v>45748</v>
      </c>
      <c r="G72" s="4" t="s">
        <v>247</v>
      </c>
      <c r="H72" s="4" t="str">
        <f ca="1">'Database MK'!Q73</f>
        <v>DPPP</v>
      </c>
      <c r="I72" s="24">
        <f>'Database MK'!S73</f>
        <v>1</v>
      </c>
      <c r="J72" s="24">
        <f>'Database MK'!T73</f>
        <v>1</v>
      </c>
      <c r="K72" s="603">
        <f>'Database MK'!U73</f>
        <v>0</v>
      </c>
      <c r="L72" s="593">
        <f>'Database MK'!V73</f>
        <v>578</v>
      </c>
      <c r="M72" s="593">
        <f>'Database MK'!W73</f>
        <v>621.9</v>
      </c>
      <c r="N72" s="593">
        <f>Table3[[#This Row],[Total Panjang Pipa Aktual]]-Table3[[#This Row],[Volume
BA MC-0]]</f>
        <v>43.899999999999977</v>
      </c>
      <c r="O72" s="7" t="str">
        <f ca="1">'Database MK'!DE73</f>
        <v>Belum, Delay</v>
      </c>
      <c r="P72" s="7" t="str">
        <f ca="1">'Database MK'!DI73</f>
        <v>Belum, Delay</v>
      </c>
      <c r="Q72" s="7" t="str">
        <f ca="1">'Database MK'!DN73</f>
        <v>Belum, Delay</v>
      </c>
      <c r="R72" s="7" t="str">
        <f ca="1">'Database MK'!DR73</f>
        <v>Belum, Delay</v>
      </c>
      <c r="S72" s="7" t="str">
        <f ca="1">'Database MK'!EA73</f>
        <v>Belum, Delay</v>
      </c>
      <c r="T72" s="7" t="str">
        <f ca="1">'Database MK'!EI73</f>
        <v>Belum, Delay</v>
      </c>
      <c r="U72" s="7" t="str">
        <f ca="1">'Database MK'!ET73</f>
        <v>Belum, Delay</v>
      </c>
      <c r="V72" s="7" t="str">
        <f ca="1">'Database MK'!GA73</f>
        <v>Belum, Delay</v>
      </c>
      <c r="W72" s="7" t="str">
        <f ca="1">'Database MK'!GD73</f>
        <v>Sudah, Delay</v>
      </c>
      <c r="X72" s="7" t="str">
        <f ca="1">'Database MK'!GG73</f>
        <v>Sudah, Delay</v>
      </c>
      <c r="Y72" s="7" t="str">
        <f ca="1">'Database MK'!GK73</f>
        <v>Sudah, Delay</v>
      </c>
      <c r="Z72" s="7" t="str">
        <f ca="1">'Database MK'!HH73</f>
        <v>Sudah, Delay</v>
      </c>
      <c r="AA72" s="7" t="str">
        <f ca="1">'Database MK'!HQ73</f>
        <v>Sudah, Delay</v>
      </c>
      <c r="AB72" s="7" t="str">
        <f ca="1">'Database MK'!HW73</f>
        <v>Sudah, Delay</v>
      </c>
      <c r="AC72" s="7">
        <f>'Database MK'!DA73-'Database MK'!DB73</f>
        <v>45557</v>
      </c>
      <c r="AD72" s="7">
        <f>'Database MK'!DA73-'Database MK'!DF73</f>
        <v>45557</v>
      </c>
      <c r="AE72" s="7">
        <f>'Database MK'!DK73-'Database MK'!DL73</f>
        <v>45592</v>
      </c>
      <c r="AF72" s="7">
        <f>'Database MK'!DK73-'Database MK'!DO73</f>
        <v>45592</v>
      </c>
      <c r="AG72" s="7">
        <f>'Database MK'!DU73-'Database MK'!DW73</f>
        <v>45599</v>
      </c>
      <c r="AH72" s="7" t="str">
        <f>IF('Database MK'!EB73="","Belum",'Database MK'!DU73-'Database MK'!EB73)</f>
        <v>Belum</v>
      </c>
      <c r="AI72" s="7" t="str">
        <f>IF('Database MK'!EN73="","Belum",'Database MK'!EL73-'Database MK'!EN73)</f>
        <v>Belum</v>
      </c>
      <c r="AJ72" s="7">
        <f>'Database MK'!FY73-'Database MK'!FZ73</f>
        <v>0</v>
      </c>
      <c r="AK72" s="7">
        <f>IF('Database MK'!GC73="","Belum",'Database MK'!GB73-'Database MK'!GC73)</f>
        <v>-62</v>
      </c>
      <c r="AL72" s="7">
        <f>IF('Database MK'!GF73="","Belum",'Database MK'!GE73-'Database MK'!GF73)</f>
        <v>-55</v>
      </c>
      <c r="AM72" s="309">
        <f>IF('Database MK'!GJ73="","Belum",'Database MK'!GI73-'Database MK'!GJ73)</f>
        <v>-52</v>
      </c>
      <c r="AN72" s="7">
        <f>IF('Database MK'!HG73="","Belum",'Database MK'!HF73-'Database MK'!HG73)</f>
        <v>-47</v>
      </c>
      <c r="AO72" s="7">
        <f>IF('Database MK'!HP73="","Belum",'Database MK'!HN73-'Database MK'!HP73)</f>
        <v>-41</v>
      </c>
      <c r="AP72" s="7">
        <f>IF('Database MK'!HV73="","Belum",'Database MK'!HT73-'Database MK'!HV73)</f>
        <v>-39</v>
      </c>
    </row>
    <row r="73" spans="2:42" x14ac:dyDescent="0.2">
      <c r="B73" s="7">
        <f>SUBTOTAL(3,$C$4:C73)</f>
        <v>70</v>
      </c>
      <c r="C73" s="301" t="s">
        <v>244</v>
      </c>
      <c r="D73" s="301" t="s">
        <v>606</v>
      </c>
      <c r="E73" s="301" t="s">
        <v>607</v>
      </c>
      <c r="F73" s="302">
        <v>45748</v>
      </c>
      <c r="G73" s="77" t="s">
        <v>247</v>
      </c>
      <c r="H73" s="77" t="str">
        <f>'Database MK'!Q74</f>
        <v>BATAL / CANCEL</v>
      </c>
      <c r="I73" s="604">
        <f>'Database MK'!S74</f>
        <v>1</v>
      </c>
      <c r="J73" s="604">
        <f>'Database MK'!T74</f>
        <v>0</v>
      </c>
      <c r="K73" s="605">
        <f>'Database MK'!U74</f>
        <v>-1</v>
      </c>
      <c r="L73" s="594">
        <f>'Database MK'!V74</f>
        <v>0</v>
      </c>
      <c r="M73" s="594">
        <f>'Database MK'!W74</f>
        <v>0</v>
      </c>
      <c r="N73" s="594">
        <f>Table3[[#This Row],[Total Panjang Pipa Aktual]]-Table3[[#This Row],[Volume
BA MC-0]]</f>
        <v>0</v>
      </c>
      <c r="O73" s="7" t="str">
        <f ca="1">'Database MK'!DE74</f>
        <v>Belum, Delay</v>
      </c>
      <c r="P73" s="7" t="str">
        <f ca="1">'Database MK'!DI74</f>
        <v>Belum, Delay</v>
      </c>
      <c r="Q73" s="7" t="str">
        <f ca="1">'Database MK'!DN74</f>
        <v>Belum, Delay</v>
      </c>
      <c r="R73" s="7" t="str">
        <f ca="1">'Database MK'!DR74</f>
        <v>Belum, Delay</v>
      </c>
      <c r="S73" s="7" t="str">
        <f ca="1">'Database MK'!EA74</f>
        <v>Belum, Delay</v>
      </c>
      <c r="T73" s="7" t="str">
        <f ca="1">'Database MK'!EI74</f>
        <v>Belum, Delay</v>
      </c>
      <c r="U73" s="7" t="str">
        <f ca="1">'Database MK'!ET74</f>
        <v>Belum, Delay</v>
      </c>
      <c r="V73" s="7" t="str">
        <f ca="1">'Database MK'!GA74</f>
        <v>Belum, Delay</v>
      </c>
      <c r="W73" s="7" t="str">
        <f ca="1">'Database MK'!GD74</f>
        <v>Belum, Delay</v>
      </c>
      <c r="X73" s="7" t="str">
        <f ca="1">'Database MK'!GG74</f>
        <v>Belum, Delay</v>
      </c>
      <c r="Y73" s="7" t="str">
        <f ca="1">'Database MK'!GK74</f>
        <v>Belum, Delay</v>
      </c>
      <c r="Z73" s="7" t="str">
        <f ca="1">'Database MK'!HH74</f>
        <v>Belum, Delay</v>
      </c>
      <c r="AA73" s="7" t="str">
        <f ca="1">'Database MK'!HQ74</f>
        <v>Belum, Delay</v>
      </c>
      <c r="AB73" s="7" t="str">
        <f ca="1">'Database MK'!HW74</f>
        <v>Belum, Delay</v>
      </c>
      <c r="AC73" s="7">
        <f>'Database MK'!DA74-'Database MK'!DB74</f>
        <v>45543</v>
      </c>
      <c r="AD73" s="7">
        <f>'Database MK'!DA74-'Database MK'!DF74</f>
        <v>45543</v>
      </c>
      <c r="AE73" s="7">
        <f>'Database MK'!DK74-'Database MK'!DL74</f>
        <v>45592</v>
      </c>
      <c r="AF73" s="7">
        <f>'Database MK'!DK74-'Database MK'!DO74</f>
        <v>45592</v>
      </c>
      <c r="AG73" s="7">
        <f>'Database MK'!DU74-'Database MK'!DW74</f>
        <v>45571</v>
      </c>
      <c r="AH73" s="7" t="str">
        <f>IF('Database MK'!EB74="","Belum",'Database MK'!DU74-'Database MK'!EB74)</f>
        <v>Belum</v>
      </c>
      <c r="AI73" s="7" t="str">
        <f>IF('Database MK'!EN74="","Belum",'Database MK'!EL74-'Database MK'!EN74)</f>
        <v>Belum</v>
      </c>
      <c r="AJ73" s="7">
        <f>'Database MK'!FY74-'Database MK'!FZ74</f>
        <v>0</v>
      </c>
      <c r="AK73" s="7" t="str">
        <f>IF('Database MK'!GC74="","Belum",'Database MK'!GB74-'Database MK'!GC74)</f>
        <v>Belum</v>
      </c>
      <c r="AL73" s="7" t="str">
        <f>IF('Database MK'!GF74="","Belum",'Database MK'!GE74-'Database MK'!GF74)</f>
        <v>Belum</v>
      </c>
      <c r="AM73" s="309" t="str">
        <f>IF('Database MK'!GJ74="","Belum",'Database MK'!GI74-'Database MK'!GJ74)</f>
        <v>Belum</v>
      </c>
      <c r="AN73" s="7" t="str">
        <f>IF('Database MK'!HG74="","Belum",'Database MK'!HF74-'Database MK'!HG74)</f>
        <v>Belum</v>
      </c>
      <c r="AO73" s="7" t="str">
        <f>IF('Database MK'!HP74="","Belum",'Database MK'!HN74-'Database MK'!HP74)</f>
        <v>Belum</v>
      </c>
      <c r="AP73" s="7" t="str">
        <f>IF('Database MK'!HV74="","Belum",'Database MK'!HT74-'Database MK'!HV74)</f>
        <v>Belum</v>
      </c>
    </row>
    <row r="74" spans="2:42" x14ac:dyDescent="0.2">
      <c r="B74" s="7">
        <f>SUBTOTAL(3,$C$4:C74)</f>
        <v>71</v>
      </c>
      <c r="C74" s="301" t="s">
        <v>244</v>
      </c>
      <c r="D74" s="301" t="s">
        <v>609</v>
      </c>
      <c r="E74" s="301" t="s">
        <v>610</v>
      </c>
      <c r="F74" s="302">
        <v>45748</v>
      </c>
      <c r="G74" s="77" t="s">
        <v>247</v>
      </c>
      <c r="H74" s="77" t="str">
        <f>'Database MK'!Q75</f>
        <v>BATAL / CANCEL</v>
      </c>
      <c r="I74" s="604">
        <f>'Database MK'!S75</f>
        <v>1</v>
      </c>
      <c r="J74" s="604">
        <f>'Database MK'!T75</f>
        <v>0</v>
      </c>
      <c r="K74" s="605">
        <f>'Database MK'!U75</f>
        <v>-1</v>
      </c>
      <c r="L74" s="594">
        <f>'Database MK'!V75</f>
        <v>0</v>
      </c>
      <c r="M74" s="594">
        <f>'Database MK'!W75</f>
        <v>0</v>
      </c>
      <c r="N74" s="594">
        <f>Table3[[#This Row],[Total Panjang Pipa Aktual]]-Table3[[#This Row],[Volume
BA MC-0]]</f>
        <v>0</v>
      </c>
      <c r="O74" s="7" t="str">
        <f ca="1">'Database MK'!DE75</f>
        <v>Belum, Delay</v>
      </c>
      <c r="P74" s="7" t="str">
        <f ca="1">'Database MK'!DI75</f>
        <v>Belum, Delay</v>
      </c>
      <c r="Q74" s="7" t="str">
        <f ca="1">'Database MK'!DN75</f>
        <v>Sudah, Delay</v>
      </c>
      <c r="R74" s="7" t="str">
        <f ca="1">'Database MK'!DR75</f>
        <v>Sudah, Delay</v>
      </c>
      <c r="S74" s="7" t="str">
        <f ca="1">'Database MK'!EA75</f>
        <v>Belum, Delay</v>
      </c>
      <c r="T74" s="7" t="str">
        <f ca="1">'Database MK'!EI75</f>
        <v>Belum, Delay</v>
      </c>
      <c r="U74" s="7" t="str">
        <f ca="1">'Database MK'!ET75</f>
        <v>Belum, Delay</v>
      </c>
      <c r="V74" s="7" t="str">
        <f ca="1">'Database MK'!GA75</f>
        <v>Belum, Delay</v>
      </c>
      <c r="W74" s="7" t="str">
        <f ca="1">'Database MK'!GD75</f>
        <v>Belum, Delay</v>
      </c>
      <c r="X74" s="7" t="str">
        <f ca="1">'Database MK'!GG75</f>
        <v>Belum, Delay</v>
      </c>
      <c r="Y74" s="7" t="str">
        <f ca="1">'Database MK'!GK75</f>
        <v>Belum, Delay</v>
      </c>
      <c r="Z74" s="7" t="str">
        <f ca="1">'Database MK'!HH75</f>
        <v>Belum, Delay</v>
      </c>
      <c r="AA74" s="7" t="str">
        <f ca="1">'Database MK'!HQ75</f>
        <v>Belum, Delay</v>
      </c>
      <c r="AB74" s="7" t="str">
        <f ca="1">'Database MK'!HW75</f>
        <v>Belum, Delay</v>
      </c>
      <c r="AC74" s="7">
        <f>'Database MK'!DA75-'Database MK'!DB75</f>
        <v>45543</v>
      </c>
      <c r="AD74" s="7">
        <f>'Database MK'!DA75-'Database MK'!DF75</f>
        <v>45543</v>
      </c>
      <c r="AE74" s="7">
        <f>'Database MK'!DK75-'Database MK'!DL75</f>
        <v>-47</v>
      </c>
      <c r="AF74" s="7">
        <f>'Database MK'!DK75-'Database MK'!DO75</f>
        <v>-58</v>
      </c>
      <c r="AG74" s="7">
        <f>'Database MK'!DU75-'Database MK'!DW75</f>
        <v>45571</v>
      </c>
      <c r="AH74" s="7" t="str">
        <f>IF('Database MK'!EB75="","Belum",'Database MK'!DU75-'Database MK'!EB75)</f>
        <v>Belum</v>
      </c>
      <c r="AI74" s="7" t="str">
        <f>IF('Database MK'!EN75="","Belum",'Database MK'!EL75-'Database MK'!EN75)</f>
        <v>Belum</v>
      </c>
      <c r="AJ74" s="7">
        <f>'Database MK'!FY75-'Database MK'!FZ75</f>
        <v>0</v>
      </c>
      <c r="AK74" s="7" t="str">
        <f>IF('Database MK'!GC75="","Belum",'Database MK'!GB75-'Database MK'!GC75)</f>
        <v>Belum</v>
      </c>
      <c r="AL74" s="7" t="str">
        <f>IF('Database MK'!GF75="","Belum",'Database MK'!GE75-'Database MK'!GF75)</f>
        <v>Belum</v>
      </c>
      <c r="AM74" s="309" t="str">
        <f>IF('Database MK'!GJ75="","Belum",'Database MK'!GI75-'Database MK'!GJ75)</f>
        <v>Belum</v>
      </c>
      <c r="AN74" s="7" t="str">
        <f>IF('Database MK'!HG75="","Belum",'Database MK'!HF75-'Database MK'!HG75)</f>
        <v>Belum</v>
      </c>
      <c r="AO74" s="7" t="str">
        <f>IF('Database MK'!HP75="","Belum",'Database MK'!HN75-'Database MK'!HP75)</f>
        <v>Belum</v>
      </c>
      <c r="AP74" s="7" t="str">
        <f>IF('Database MK'!HV75="","Belum",'Database MK'!HT75-'Database MK'!HV75)</f>
        <v>Belum</v>
      </c>
    </row>
    <row r="75" spans="2:42" x14ac:dyDescent="0.2">
      <c r="B75" s="7">
        <f>SUBTOTAL(3,$C$4:C75)</f>
        <v>72</v>
      </c>
      <c r="C75" s="301" t="s">
        <v>244</v>
      </c>
      <c r="D75" s="301" t="s">
        <v>614</v>
      </c>
      <c r="E75" s="301" t="s">
        <v>615</v>
      </c>
      <c r="F75" s="302">
        <v>45748</v>
      </c>
      <c r="G75" s="77" t="s">
        <v>247</v>
      </c>
      <c r="H75" s="77" t="str">
        <f>'Database MK'!Q76</f>
        <v>BATAL / CANCEL</v>
      </c>
      <c r="I75" s="604">
        <f>'Database MK'!S76</f>
        <v>1</v>
      </c>
      <c r="J75" s="604">
        <f>'Database MK'!T76</f>
        <v>0</v>
      </c>
      <c r="K75" s="605">
        <f>'Database MK'!U76</f>
        <v>-1</v>
      </c>
      <c r="L75" s="594">
        <f>'Database MK'!V76</f>
        <v>0</v>
      </c>
      <c r="M75" s="594">
        <f>'Database MK'!W76</f>
        <v>0</v>
      </c>
      <c r="N75" s="594">
        <f>Table3[[#This Row],[Total Panjang Pipa Aktual]]-Table3[[#This Row],[Volume
BA MC-0]]</f>
        <v>0</v>
      </c>
      <c r="O75" s="7" t="str">
        <f ca="1">'Database MK'!DE76</f>
        <v>Belum, Delay</v>
      </c>
      <c r="P75" s="7" t="str">
        <f ca="1">'Database MK'!DI76</f>
        <v>Belum, Delay</v>
      </c>
      <c r="Q75" s="7" t="str">
        <f ca="1">'Database MK'!DN76</f>
        <v>Sudah, Delay</v>
      </c>
      <c r="R75" s="7" t="str">
        <f ca="1">'Database MK'!DR76</f>
        <v>Sudah, Delay</v>
      </c>
      <c r="S75" s="7" t="str">
        <f ca="1">'Database MK'!EA76</f>
        <v>Belum, Delay</v>
      </c>
      <c r="T75" s="7" t="str">
        <f ca="1">'Database MK'!EI76</f>
        <v>Belum, Delay</v>
      </c>
      <c r="U75" s="7" t="str">
        <f ca="1">'Database MK'!ET76</f>
        <v>Belum, Delay</v>
      </c>
      <c r="V75" s="7" t="str">
        <f ca="1">'Database MK'!GA76</f>
        <v>Belum, Delay</v>
      </c>
      <c r="W75" s="7" t="str">
        <f ca="1">'Database MK'!GD76</f>
        <v>Belum, Delay</v>
      </c>
      <c r="X75" s="7" t="str">
        <f ca="1">'Database MK'!GG76</f>
        <v>Belum, Delay</v>
      </c>
      <c r="Y75" s="7" t="str">
        <f ca="1">'Database MK'!GK76</f>
        <v>Belum, Delay</v>
      </c>
      <c r="Z75" s="7" t="str">
        <f ca="1">'Database MK'!HH76</f>
        <v>Belum, Delay</v>
      </c>
      <c r="AA75" s="7" t="str">
        <f ca="1">'Database MK'!HQ76</f>
        <v>Belum, Delay</v>
      </c>
      <c r="AB75" s="7" t="str">
        <f ca="1">'Database MK'!HW76</f>
        <v>Belum, Delay</v>
      </c>
      <c r="AC75" s="7">
        <f>'Database MK'!DA76-'Database MK'!DB76</f>
        <v>45543</v>
      </c>
      <c r="AD75" s="7">
        <f>'Database MK'!DA76-'Database MK'!DF76</f>
        <v>45543</v>
      </c>
      <c r="AE75" s="7">
        <f>'Database MK'!DK76-'Database MK'!DL76</f>
        <v>-48</v>
      </c>
      <c r="AF75" s="7">
        <f>'Database MK'!DK76-'Database MK'!DO76</f>
        <v>-60</v>
      </c>
      <c r="AG75" s="7">
        <f>'Database MK'!DU76-'Database MK'!DW76</f>
        <v>45571</v>
      </c>
      <c r="AH75" s="7" t="str">
        <f>IF('Database MK'!EB76="","Belum",'Database MK'!DU76-'Database MK'!EB76)</f>
        <v>Belum</v>
      </c>
      <c r="AI75" s="7" t="str">
        <f>IF('Database MK'!EN76="","Belum",'Database MK'!EL76-'Database MK'!EN76)</f>
        <v>Belum</v>
      </c>
      <c r="AJ75" s="7">
        <f>'Database MK'!FY76-'Database MK'!FZ76</f>
        <v>0</v>
      </c>
      <c r="AK75" s="7" t="str">
        <f>IF('Database MK'!GC76="","Belum",'Database MK'!GB76-'Database MK'!GC76)</f>
        <v>Belum</v>
      </c>
      <c r="AL75" s="7" t="str">
        <f>IF('Database MK'!GF76="","Belum",'Database MK'!GE76-'Database MK'!GF76)</f>
        <v>Belum</v>
      </c>
      <c r="AM75" s="309" t="str">
        <f>IF('Database MK'!GJ76="","Belum",'Database MK'!GI76-'Database MK'!GJ76)</f>
        <v>Belum</v>
      </c>
      <c r="AN75" s="7" t="str">
        <f>IF('Database MK'!HG76="","Belum",'Database MK'!HF76-'Database MK'!HG76)</f>
        <v>Belum</v>
      </c>
      <c r="AO75" s="7" t="str">
        <f>IF('Database MK'!HP76="","Belum",'Database MK'!HN76-'Database MK'!HP76)</f>
        <v>Belum</v>
      </c>
      <c r="AP75" s="7" t="str">
        <f>IF('Database MK'!HV76="","Belum",'Database MK'!HT76-'Database MK'!HV76)</f>
        <v>Belum</v>
      </c>
    </row>
    <row r="76" spans="2:42" x14ac:dyDescent="0.2">
      <c r="B76" s="7">
        <f>SUBTOTAL(3,$C$4:C76)</f>
        <v>73</v>
      </c>
      <c r="C76" s="301" t="s">
        <v>244</v>
      </c>
      <c r="D76" s="301" t="s">
        <v>619</v>
      </c>
      <c r="E76" s="301" t="s">
        <v>620</v>
      </c>
      <c r="F76" s="302">
        <v>45748</v>
      </c>
      <c r="G76" s="77" t="s">
        <v>247</v>
      </c>
      <c r="H76" s="77" t="str">
        <f>'Database MK'!Q77</f>
        <v>BATAL / CANCEL</v>
      </c>
      <c r="I76" s="604">
        <f>'Database MK'!S77</f>
        <v>1</v>
      </c>
      <c r="J76" s="604">
        <f>'Database MK'!T77</f>
        <v>0</v>
      </c>
      <c r="K76" s="605">
        <f>'Database MK'!U77</f>
        <v>-1</v>
      </c>
      <c r="L76" s="594">
        <f>'Database MK'!V77</f>
        <v>0</v>
      </c>
      <c r="M76" s="594">
        <f>'Database MK'!W77</f>
        <v>0</v>
      </c>
      <c r="N76" s="594">
        <f>Table3[[#This Row],[Total Panjang Pipa Aktual]]-Table3[[#This Row],[Volume
BA MC-0]]</f>
        <v>0</v>
      </c>
      <c r="O76" s="7" t="str">
        <f ca="1">'Database MK'!DE77</f>
        <v>Belum, Delay</v>
      </c>
      <c r="P76" s="7" t="str">
        <f ca="1">'Database MK'!DI77</f>
        <v>Belum, Delay</v>
      </c>
      <c r="Q76" s="7" t="str">
        <f ca="1">'Database MK'!DN77</f>
        <v>Sudah, Delay</v>
      </c>
      <c r="R76" s="7" t="str">
        <f ca="1">'Database MK'!DR77</f>
        <v>Sudah, Delay</v>
      </c>
      <c r="S76" s="7" t="str">
        <f ca="1">'Database MK'!EA77</f>
        <v>Belum, Delay</v>
      </c>
      <c r="T76" s="7" t="str">
        <f ca="1">'Database MK'!EI77</f>
        <v>Belum, Delay</v>
      </c>
      <c r="U76" s="7" t="str">
        <f ca="1">'Database MK'!ET77</f>
        <v>Belum, Delay</v>
      </c>
      <c r="V76" s="7" t="str">
        <f ca="1">'Database MK'!GA77</f>
        <v>Belum, Delay</v>
      </c>
      <c r="W76" s="7" t="str">
        <f ca="1">'Database MK'!GD77</f>
        <v>Belum, Delay</v>
      </c>
      <c r="X76" s="7" t="str">
        <f ca="1">'Database MK'!GG77</f>
        <v>Belum, Delay</v>
      </c>
      <c r="Y76" s="7" t="str">
        <f ca="1">'Database MK'!GK77</f>
        <v>Belum, Delay</v>
      </c>
      <c r="Z76" s="7" t="str">
        <f ca="1">'Database MK'!HH77</f>
        <v>Belum, Delay</v>
      </c>
      <c r="AA76" s="7" t="str">
        <f ca="1">'Database MK'!HQ77</f>
        <v>Belum, Delay</v>
      </c>
      <c r="AB76" s="7" t="str">
        <f ca="1">'Database MK'!HW77</f>
        <v>Belum, Delay</v>
      </c>
      <c r="AC76" s="7">
        <f>'Database MK'!DA77-'Database MK'!DB77</f>
        <v>45543</v>
      </c>
      <c r="AD76" s="7">
        <f>'Database MK'!DA77-'Database MK'!DF77</f>
        <v>45543</v>
      </c>
      <c r="AE76" s="7">
        <f>'Database MK'!DK77-'Database MK'!DL77</f>
        <v>-48</v>
      </c>
      <c r="AF76" s="7">
        <f>'Database MK'!DK77-'Database MK'!DO77</f>
        <v>-58</v>
      </c>
      <c r="AG76" s="7">
        <f>'Database MK'!DU77-'Database MK'!DW77</f>
        <v>45571</v>
      </c>
      <c r="AH76" s="7" t="str">
        <f>IF('Database MK'!EB77="","Belum",'Database MK'!DU77-'Database MK'!EB77)</f>
        <v>Belum</v>
      </c>
      <c r="AI76" s="7" t="str">
        <f>IF('Database MK'!EN77="","Belum",'Database MK'!EL77-'Database MK'!EN77)</f>
        <v>Belum</v>
      </c>
      <c r="AJ76" s="7">
        <f>'Database MK'!FY77-'Database MK'!FZ77</f>
        <v>0</v>
      </c>
      <c r="AK76" s="7" t="str">
        <f>IF('Database MK'!GC77="","Belum",'Database MK'!GB77-'Database MK'!GC77)</f>
        <v>Belum</v>
      </c>
      <c r="AL76" s="7" t="str">
        <f>IF('Database MK'!GF77="","Belum",'Database MK'!GE77-'Database MK'!GF77)</f>
        <v>Belum</v>
      </c>
      <c r="AM76" s="309" t="str">
        <f>IF('Database MK'!GJ77="","Belum",'Database MK'!GI77-'Database MK'!GJ77)</f>
        <v>Belum</v>
      </c>
      <c r="AN76" s="7" t="str">
        <f>IF('Database MK'!HG77="","Belum",'Database MK'!HF77-'Database MK'!HG77)</f>
        <v>Belum</v>
      </c>
      <c r="AO76" s="7" t="str">
        <f>IF('Database MK'!HP77="","Belum",'Database MK'!HN77-'Database MK'!HP77)</f>
        <v>Belum</v>
      </c>
      <c r="AP76" s="7" t="str">
        <f>IF('Database MK'!HV77="","Belum",'Database MK'!HT77-'Database MK'!HV77)</f>
        <v>Belum</v>
      </c>
    </row>
    <row r="77" spans="2:42" x14ac:dyDescent="0.2">
      <c r="B77" s="7">
        <f>SUBTOTAL(3,$C$4:C77)</f>
        <v>74</v>
      </c>
      <c r="C77" s="301" t="s">
        <v>244</v>
      </c>
      <c r="D77" s="301" t="s">
        <v>624</v>
      </c>
      <c r="E77" s="301" t="s">
        <v>625</v>
      </c>
      <c r="F77" s="302">
        <v>45748</v>
      </c>
      <c r="G77" s="77" t="s">
        <v>247</v>
      </c>
      <c r="H77" s="77" t="str">
        <f>'Database MK'!Q78</f>
        <v>BATAL / CANCEL</v>
      </c>
      <c r="I77" s="604">
        <f>'Database MK'!S78</f>
        <v>1</v>
      </c>
      <c r="J77" s="604">
        <f>'Database MK'!T78</f>
        <v>0</v>
      </c>
      <c r="K77" s="605">
        <f>'Database MK'!U78</f>
        <v>-1</v>
      </c>
      <c r="L77" s="594">
        <f>'Database MK'!V78</f>
        <v>0</v>
      </c>
      <c r="M77" s="594">
        <f>'Database MK'!W78</f>
        <v>0</v>
      </c>
      <c r="N77" s="594">
        <f>Table3[[#This Row],[Total Panjang Pipa Aktual]]-Table3[[#This Row],[Volume
BA MC-0]]</f>
        <v>0</v>
      </c>
      <c r="O77" s="7" t="str">
        <f ca="1">'Database MK'!DE78</f>
        <v>Belum, Delay</v>
      </c>
      <c r="P77" s="7" t="str">
        <f ca="1">'Database MK'!DI78</f>
        <v>Belum, Delay</v>
      </c>
      <c r="Q77" s="7" t="str">
        <f ca="1">'Database MK'!DN78</f>
        <v>Sudah, Delay</v>
      </c>
      <c r="R77" s="7" t="str">
        <f ca="1">'Database MK'!DR78</f>
        <v>Sudah, Delay</v>
      </c>
      <c r="S77" s="7" t="str">
        <f ca="1">'Database MK'!EA78</f>
        <v>Belum, Delay</v>
      </c>
      <c r="T77" s="7" t="str">
        <f ca="1">'Database MK'!EI78</f>
        <v>Belum, Delay</v>
      </c>
      <c r="U77" s="7" t="str">
        <f ca="1">'Database MK'!ET78</f>
        <v>Belum, Delay</v>
      </c>
      <c r="V77" s="7" t="str">
        <f ca="1">'Database MK'!GA78</f>
        <v>Belum, Delay</v>
      </c>
      <c r="W77" s="7" t="str">
        <f ca="1">'Database MK'!GD78</f>
        <v>Belum, Delay</v>
      </c>
      <c r="X77" s="7" t="str">
        <f ca="1">'Database MK'!GG78</f>
        <v>Belum, Delay</v>
      </c>
      <c r="Y77" s="7" t="str">
        <f ca="1">'Database MK'!GK78</f>
        <v>Belum, Delay</v>
      </c>
      <c r="Z77" s="7" t="str">
        <f ca="1">'Database MK'!HH78</f>
        <v>Belum, Delay</v>
      </c>
      <c r="AA77" s="7" t="str">
        <f ca="1">'Database MK'!HQ78</f>
        <v>Belum, Delay</v>
      </c>
      <c r="AB77" s="7" t="str">
        <f ca="1">'Database MK'!HW78</f>
        <v>Belum, Delay</v>
      </c>
      <c r="AC77" s="7">
        <f>'Database MK'!DA78-'Database MK'!DB78</f>
        <v>45557</v>
      </c>
      <c r="AD77" s="7">
        <f>'Database MK'!DA78-'Database MK'!DF78</f>
        <v>45557</v>
      </c>
      <c r="AE77" s="7">
        <f>'Database MK'!DK78-'Database MK'!DL78</f>
        <v>-48</v>
      </c>
      <c r="AF77" s="7">
        <f>'Database MK'!DK78-'Database MK'!DO78</f>
        <v>-58</v>
      </c>
      <c r="AG77" s="7">
        <f>'Database MK'!DU78-'Database MK'!DW78</f>
        <v>45599</v>
      </c>
      <c r="AH77" s="7" t="str">
        <f>IF('Database MK'!EB78="","Belum",'Database MK'!DU78-'Database MK'!EB78)</f>
        <v>Belum</v>
      </c>
      <c r="AI77" s="7" t="str">
        <f>IF('Database MK'!EN78="","Belum",'Database MK'!EL78-'Database MK'!EN78)</f>
        <v>Belum</v>
      </c>
      <c r="AJ77" s="7">
        <f>'Database MK'!FY78-'Database MK'!FZ78</f>
        <v>0</v>
      </c>
      <c r="AK77" s="7" t="str">
        <f>IF('Database MK'!GC78="","Belum",'Database MK'!GB78-'Database MK'!GC78)</f>
        <v>Belum</v>
      </c>
      <c r="AL77" s="7" t="str">
        <f>IF('Database MK'!GF78="","Belum",'Database MK'!GE78-'Database MK'!GF78)</f>
        <v>Belum</v>
      </c>
      <c r="AM77" s="309" t="str">
        <f>IF('Database MK'!GJ78="","Belum",'Database MK'!GI78-'Database MK'!GJ78)</f>
        <v>Belum</v>
      </c>
      <c r="AN77" s="7" t="str">
        <f>IF('Database MK'!HG78="","Belum",'Database MK'!HF78-'Database MK'!HG78)</f>
        <v>Belum</v>
      </c>
      <c r="AO77" s="7" t="str">
        <f>IF('Database MK'!HP78="","Belum",'Database MK'!HN78-'Database MK'!HP78)</f>
        <v>Belum</v>
      </c>
      <c r="AP77" s="7" t="str">
        <f>IF('Database MK'!HV78="","Belum",'Database MK'!HT78-'Database MK'!HV78)</f>
        <v>Belum</v>
      </c>
    </row>
    <row r="78" spans="2:42" hidden="1" x14ac:dyDescent="0.2">
      <c r="B78" s="7">
        <f>SUBTOTAL(3,$C$4:C78)</f>
        <v>74</v>
      </c>
      <c r="C78" s="4" t="s">
        <v>629</v>
      </c>
      <c r="D78" s="299" t="s">
        <v>630</v>
      </c>
      <c r="E78" s="299" t="s">
        <v>631</v>
      </c>
      <c r="F78" s="300">
        <v>45748</v>
      </c>
      <c r="G78" s="4" t="s">
        <v>247</v>
      </c>
      <c r="H78" s="4" t="str">
        <f ca="1">'Database MK'!Q79</f>
        <v>DPPP</v>
      </c>
      <c r="I78" s="24">
        <f>'Database MK'!S79</f>
        <v>1</v>
      </c>
      <c r="J78" s="24">
        <f>'Database MK'!T79</f>
        <v>1</v>
      </c>
      <c r="K78" s="603">
        <f>'Database MK'!U79</f>
        <v>0</v>
      </c>
      <c r="L78" s="593">
        <f>'Database MK'!V79</f>
        <v>145</v>
      </c>
      <c r="M78" s="593">
        <f>'Database MK'!W79</f>
        <v>145</v>
      </c>
      <c r="N78" s="593">
        <f>Table3[[#This Row],[Total Panjang Pipa Aktual]]-Table3[[#This Row],[Volume
BA MC-0]]</f>
        <v>0</v>
      </c>
      <c r="O78" s="7" t="str">
        <f ca="1">'Database MK'!DE79</f>
        <v>Belum, Delay</v>
      </c>
      <c r="P78" s="7" t="str">
        <f ca="1">'Database MK'!DI79</f>
        <v>Belum, Delay</v>
      </c>
      <c r="Q78" s="7" t="str">
        <f ca="1">'Database MK'!DN79</f>
        <v>Sudah, OnSchedule</v>
      </c>
      <c r="R78" s="7" t="str">
        <f ca="1">'Database MK'!DR79</f>
        <v>Sudah, OnSchedule</v>
      </c>
      <c r="S78" s="7" t="str">
        <f ca="1">'Database MK'!EA79</f>
        <v>Belum, Delay</v>
      </c>
      <c r="T78" s="7" t="str">
        <f ca="1">'Database MK'!EI79</f>
        <v>Belum, Delay</v>
      </c>
      <c r="U78" s="7" t="str">
        <f ca="1">'Database MK'!ET79</f>
        <v>Belum, Delay</v>
      </c>
      <c r="V78" s="7" t="str">
        <f ca="1">'Database MK'!GA79</f>
        <v>Sudah, Delay</v>
      </c>
      <c r="W78" s="7" t="str">
        <f ca="1">'Database MK'!GD79</f>
        <v>Sudah, OnSchedule</v>
      </c>
      <c r="X78" s="7" t="str">
        <f ca="1">'Database MK'!GG79</f>
        <v>Sudah, OnSchedule</v>
      </c>
      <c r="Y78" s="7" t="str">
        <f ca="1">'Database MK'!GK79</f>
        <v>Sudah, OnSchedule</v>
      </c>
      <c r="Z78" s="7" t="str">
        <f ca="1">'Database MK'!HH79</f>
        <v>Sudah, OnSchedule</v>
      </c>
      <c r="AA78" s="7" t="str">
        <f ca="1">'Database MK'!HQ79</f>
        <v>Sudah, OnSchedule</v>
      </c>
      <c r="AB78" s="7" t="str">
        <f ca="1">'Database MK'!HW79</f>
        <v>Sudah, OnSchedule</v>
      </c>
      <c r="AC78" s="7">
        <f>'Database MK'!DA79-'Database MK'!DB79</f>
        <v>45438</v>
      </c>
      <c r="AD78" s="7">
        <f>'Database MK'!DA79-'Database MK'!DF79</f>
        <v>45438</v>
      </c>
      <c r="AE78" s="7">
        <f>'Database MK'!DK79-'Database MK'!DL79</f>
        <v>33</v>
      </c>
      <c r="AF78" s="7">
        <f>'Database MK'!DK79-'Database MK'!DO79</f>
        <v>32</v>
      </c>
      <c r="AG78" s="7">
        <f>'Database MK'!DU79-'Database MK'!DW79</f>
        <v>45480</v>
      </c>
      <c r="AH78" s="7" t="str">
        <f>IF('Database MK'!EB79="","Belum",'Database MK'!DU79-'Database MK'!EB79)</f>
        <v>Belum</v>
      </c>
      <c r="AI78" s="7" t="str">
        <f>IF('Database MK'!EN79="","Belum",'Database MK'!EL79-'Database MK'!EN79)</f>
        <v>Belum</v>
      </c>
      <c r="AJ78" s="7">
        <f>'Database MK'!FY79-'Database MK'!FZ79</f>
        <v>-45582</v>
      </c>
      <c r="AK78" s="7">
        <f>IF('Database MK'!GC79="","Belum",'Database MK'!GB79-'Database MK'!GC79)</f>
        <v>46</v>
      </c>
      <c r="AL78" s="7">
        <f>IF('Database MK'!GF79="","Belum",'Database MK'!GE79-'Database MK'!GF79)</f>
        <v>53</v>
      </c>
      <c r="AM78" s="309">
        <f>IF('Database MK'!GJ79="","Belum",'Database MK'!GI79-'Database MK'!GJ79)</f>
        <v>60</v>
      </c>
      <c r="AN78" s="7">
        <f>IF('Database MK'!HG79="","Belum",'Database MK'!HF79-'Database MK'!HG79)</f>
        <v>19</v>
      </c>
      <c r="AO78" s="7">
        <f>IF('Database MK'!HP79="","Belum",'Database MK'!HN79-'Database MK'!HP79)</f>
        <v>31</v>
      </c>
      <c r="AP78" s="7">
        <f>IF('Database MK'!HV79="","Belum",'Database MK'!HT79-'Database MK'!HV79)</f>
        <v>33</v>
      </c>
    </row>
    <row r="79" spans="2:42" hidden="1" x14ac:dyDescent="0.2">
      <c r="B79" s="7">
        <f>SUBTOTAL(3,$C$4:C79)</f>
        <v>74</v>
      </c>
      <c r="C79" s="4" t="s">
        <v>629</v>
      </c>
      <c r="D79" s="299" t="s">
        <v>636</v>
      </c>
      <c r="E79" s="299" t="s">
        <v>637</v>
      </c>
      <c r="F79" s="300">
        <v>45748</v>
      </c>
      <c r="G79" s="4" t="s">
        <v>247</v>
      </c>
      <c r="H79" s="4" t="str">
        <f ca="1">'Database MK'!Q80</f>
        <v>DPPP</v>
      </c>
      <c r="I79" s="24">
        <f>'Database MK'!S80</f>
        <v>1</v>
      </c>
      <c r="J79" s="24">
        <f>'Database MK'!T80</f>
        <v>1</v>
      </c>
      <c r="K79" s="603">
        <f>'Database MK'!U80</f>
        <v>0</v>
      </c>
      <c r="L79" s="593">
        <f>'Database MK'!V80</f>
        <v>346</v>
      </c>
      <c r="M79" s="593">
        <f>'Database MK'!W80</f>
        <v>338</v>
      </c>
      <c r="N79" s="593">
        <f>Table3[[#This Row],[Total Panjang Pipa Aktual]]-Table3[[#This Row],[Volume
BA MC-0]]</f>
        <v>-8</v>
      </c>
      <c r="O79" s="7" t="str">
        <f ca="1">'Database MK'!DE80</f>
        <v>Belum, Delay</v>
      </c>
      <c r="P79" s="7" t="str">
        <f ca="1">'Database MK'!DI80</f>
        <v>Belum, Delay</v>
      </c>
      <c r="Q79" s="7" t="str">
        <f ca="1">'Database MK'!DN80</f>
        <v>Sudah, OnSchedule</v>
      </c>
      <c r="R79" s="7" t="str">
        <f ca="1">'Database MK'!DR80</f>
        <v>Sudah, OnSchedule</v>
      </c>
      <c r="S79" s="7" t="str">
        <f ca="1">'Database MK'!EA80</f>
        <v>Belum, Delay</v>
      </c>
      <c r="T79" s="7" t="str">
        <f ca="1">'Database MK'!EI80</f>
        <v>Belum, Delay</v>
      </c>
      <c r="U79" s="7" t="str">
        <f ca="1">'Database MK'!ET80</f>
        <v>Belum, Delay</v>
      </c>
      <c r="V79" s="7" t="str">
        <f ca="1">'Database MK'!GA80</f>
        <v>Sudah, Delay</v>
      </c>
      <c r="W79" s="7" t="str">
        <f ca="1">'Database MK'!GD80</f>
        <v>Sudah, OnSchedule</v>
      </c>
      <c r="X79" s="7" t="str">
        <f ca="1">'Database MK'!GG80</f>
        <v>Sudah, OnSchedule</v>
      </c>
      <c r="Y79" s="7" t="str">
        <f ca="1">'Database MK'!GK80</f>
        <v>Sudah, OnSchedule</v>
      </c>
      <c r="Z79" s="7" t="str">
        <f ca="1">'Database MK'!HH80</f>
        <v>Sudah, OnSchedule</v>
      </c>
      <c r="AA79" s="7" t="str">
        <f ca="1">'Database MK'!HQ80</f>
        <v>Sudah, OnSchedule</v>
      </c>
      <c r="AB79" s="7" t="str">
        <f ca="1">'Database MK'!HW80</f>
        <v>Sudah, OnSchedule</v>
      </c>
      <c r="AC79" s="7">
        <f>'Database MK'!DA80-'Database MK'!DB80</f>
        <v>45438</v>
      </c>
      <c r="AD79" s="7">
        <f>'Database MK'!DA80-'Database MK'!DF80</f>
        <v>45438</v>
      </c>
      <c r="AE79" s="7">
        <f>'Database MK'!DK80-'Database MK'!DL80</f>
        <v>33</v>
      </c>
      <c r="AF79" s="7">
        <f>'Database MK'!DK80-'Database MK'!DO80</f>
        <v>32</v>
      </c>
      <c r="AG79" s="7">
        <f>'Database MK'!DU80-'Database MK'!DW80</f>
        <v>45480</v>
      </c>
      <c r="AH79" s="7" t="str">
        <f>IF('Database MK'!EB80="","Belum",'Database MK'!DU80-'Database MK'!EB80)</f>
        <v>Belum</v>
      </c>
      <c r="AI79" s="7" t="str">
        <f>IF('Database MK'!EN80="","Belum",'Database MK'!EL80-'Database MK'!EN80)</f>
        <v>Belum</v>
      </c>
      <c r="AJ79" s="7">
        <f>'Database MK'!FY80-'Database MK'!FZ80</f>
        <v>-45582</v>
      </c>
      <c r="AK79" s="7">
        <f>IF('Database MK'!GC80="","Belum",'Database MK'!GB80-'Database MK'!GC80)</f>
        <v>46</v>
      </c>
      <c r="AL79" s="7">
        <f>IF('Database MK'!GF80="","Belum",'Database MK'!GE80-'Database MK'!GF80)</f>
        <v>53</v>
      </c>
      <c r="AM79" s="309">
        <f>IF('Database MK'!GJ80="","Belum",'Database MK'!GI80-'Database MK'!GJ80)</f>
        <v>60</v>
      </c>
      <c r="AN79" s="7">
        <f>IF('Database MK'!HG80="","Belum",'Database MK'!HF80-'Database MK'!HG80)</f>
        <v>19</v>
      </c>
      <c r="AO79" s="7">
        <f>IF('Database MK'!HP80="","Belum",'Database MK'!HN80-'Database MK'!HP80)</f>
        <v>31</v>
      </c>
      <c r="AP79" s="7">
        <f>IF('Database MK'!HV80="","Belum",'Database MK'!HT80-'Database MK'!HV80)</f>
        <v>33</v>
      </c>
    </row>
    <row r="80" spans="2:42" hidden="1" x14ac:dyDescent="0.2">
      <c r="B80" s="7">
        <f>SUBTOTAL(3,$C$4:C80)</f>
        <v>74</v>
      </c>
      <c r="C80" s="4" t="s">
        <v>629</v>
      </c>
      <c r="D80" s="299" t="s">
        <v>641</v>
      </c>
      <c r="E80" s="299" t="s">
        <v>642</v>
      </c>
      <c r="F80" s="300">
        <v>45748</v>
      </c>
      <c r="G80" s="4" t="s">
        <v>247</v>
      </c>
      <c r="H80" s="4" t="str">
        <f ca="1">'Database MK'!Q81</f>
        <v>DPPP</v>
      </c>
      <c r="I80" s="24">
        <f>'Database MK'!S81</f>
        <v>1</v>
      </c>
      <c r="J80" s="24">
        <f>'Database MK'!T81</f>
        <v>1</v>
      </c>
      <c r="K80" s="603">
        <f>'Database MK'!U81</f>
        <v>0</v>
      </c>
      <c r="L80" s="593">
        <f>'Database MK'!V81</f>
        <v>2650</v>
      </c>
      <c r="M80" s="593">
        <f>'Database MK'!W81</f>
        <v>2654</v>
      </c>
      <c r="N80" s="593">
        <f>Table3[[#This Row],[Total Panjang Pipa Aktual]]-Table3[[#This Row],[Volume
BA MC-0]]</f>
        <v>4</v>
      </c>
      <c r="O80" s="7" t="str">
        <f ca="1">'Database MK'!DE81</f>
        <v>Belum, Delay</v>
      </c>
      <c r="P80" s="7" t="str">
        <f ca="1">'Database MK'!DI81</f>
        <v>Belum, Delay</v>
      </c>
      <c r="Q80" s="7" t="str">
        <f ca="1">'Database MK'!DN81</f>
        <v>Sudah, Delay</v>
      </c>
      <c r="R80" s="7" t="str">
        <f ca="1">'Database MK'!DR81</f>
        <v>Sudah, Delay</v>
      </c>
      <c r="S80" s="7" t="str">
        <f ca="1">'Database MK'!EA81</f>
        <v>Belum, Delay</v>
      </c>
      <c r="T80" s="7" t="str">
        <f ca="1">'Database MK'!EI81</f>
        <v>Belum, Delay</v>
      </c>
      <c r="U80" s="7" t="str">
        <f ca="1">'Database MK'!ET81</f>
        <v>Belum, Delay</v>
      </c>
      <c r="V80" s="7" t="str">
        <f ca="1">'Database MK'!GA81</f>
        <v>Sudah, Delay</v>
      </c>
      <c r="W80" s="7" t="str">
        <f ca="1">'Database MK'!GD81</f>
        <v>Sudah, Delay</v>
      </c>
      <c r="X80" s="7" t="str">
        <f ca="1">'Database MK'!GG81</f>
        <v>Sudah, Delay</v>
      </c>
      <c r="Y80" s="7" t="str">
        <f ca="1">'Database MK'!GK81</f>
        <v>Sudah, Delay</v>
      </c>
      <c r="Z80" s="7" t="str">
        <f ca="1">'Database MK'!HH81</f>
        <v>Sudah, Delay</v>
      </c>
      <c r="AA80" s="7" t="str">
        <f ca="1">'Database MK'!HQ81</f>
        <v>Sudah, Delay</v>
      </c>
      <c r="AB80" s="7" t="str">
        <f ca="1">'Database MK'!HW81</f>
        <v>Sudah, Delay</v>
      </c>
      <c r="AC80" s="7">
        <f>'Database MK'!DA81-'Database MK'!DB81</f>
        <v>45354</v>
      </c>
      <c r="AD80" s="7">
        <f>'Database MK'!DA81-'Database MK'!DF81</f>
        <v>45354</v>
      </c>
      <c r="AE80" s="7">
        <f>'Database MK'!DK81-'Database MK'!DL81</f>
        <v>-135</v>
      </c>
      <c r="AF80" s="7">
        <f>'Database MK'!DK81-'Database MK'!DO81</f>
        <v>-151</v>
      </c>
      <c r="AG80" s="7">
        <f>'Database MK'!DU81-'Database MK'!DW81</f>
        <v>45403</v>
      </c>
      <c r="AH80" s="7" t="str">
        <f>IF('Database MK'!EB81="","Belum",'Database MK'!DU81-'Database MK'!EB81)</f>
        <v>Belum</v>
      </c>
      <c r="AI80" s="7" t="str">
        <f>IF('Database MK'!EN81="","Belum",'Database MK'!EL81-'Database MK'!EN81)</f>
        <v>Belum</v>
      </c>
      <c r="AJ80" s="7">
        <f>'Database MK'!FY81-'Database MK'!FZ81</f>
        <v>-45582</v>
      </c>
      <c r="AK80" s="7">
        <f>IF('Database MK'!GC81="","Belum",'Database MK'!GB81-'Database MK'!GC81)</f>
        <v>-270</v>
      </c>
      <c r="AL80" s="7">
        <f>IF('Database MK'!GF81="","Belum",'Database MK'!GE81-'Database MK'!GF81)</f>
        <v>-262</v>
      </c>
      <c r="AM80" s="309">
        <f>IF('Database MK'!GJ81="","Belum",'Database MK'!GI81-'Database MK'!GJ81)</f>
        <v>-285</v>
      </c>
      <c r="AN80" s="7">
        <f>IF('Database MK'!HG81="","Belum",'Database MK'!HF81-'Database MK'!HG81)</f>
        <v>-61</v>
      </c>
      <c r="AO80" s="7">
        <f>IF('Database MK'!HP81="","Belum",'Database MK'!HN81-'Database MK'!HP81)</f>
        <v>-55</v>
      </c>
      <c r="AP80" s="7">
        <f>IF('Database MK'!HV81="","Belum",'Database MK'!HT81-'Database MK'!HV81)</f>
        <v>-53</v>
      </c>
    </row>
    <row r="81" spans="2:42" hidden="1" x14ac:dyDescent="0.2">
      <c r="B81" s="7">
        <f>SUBTOTAL(3,$C$4:C81)</f>
        <v>74</v>
      </c>
      <c r="C81" s="4" t="s">
        <v>629</v>
      </c>
      <c r="D81" s="299" t="s">
        <v>647</v>
      </c>
      <c r="E81" s="299" t="s">
        <v>648</v>
      </c>
      <c r="F81" s="300">
        <v>45748</v>
      </c>
      <c r="G81" s="4" t="s">
        <v>247</v>
      </c>
      <c r="H81" s="4" t="str">
        <f ca="1">'Database MK'!Q82</f>
        <v>DPPP</v>
      </c>
      <c r="I81" s="24">
        <f>'Database MK'!S82</f>
        <v>1</v>
      </c>
      <c r="J81" s="24">
        <f>'Database MK'!T82</f>
        <v>1</v>
      </c>
      <c r="K81" s="603">
        <f>'Database MK'!U82</f>
        <v>0</v>
      </c>
      <c r="L81" s="593">
        <f>'Database MK'!V82</f>
        <v>413</v>
      </c>
      <c r="M81" s="593">
        <f>'Database MK'!W82</f>
        <v>413.3</v>
      </c>
      <c r="N81" s="593">
        <f>Table3[[#This Row],[Total Panjang Pipa Aktual]]-Table3[[#This Row],[Volume
BA MC-0]]</f>
        <v>0.30000000000001137</v>
      </c>
      <c r="O81" s="7" t="str">
        <f ca="1">'Database MK'!DE82</f>
        <v>Sudah, OnSchedule</v>
      </c>
      <c r="P81" s="7" t="str">
        <f ca="1">'Database MK'!DI82</f>
        <v>Sudah, OnSchedule</v>
      </c>
      <c r="Q81" s="7" t="str">
        <f ca="1">'Database MK'!DN82</f>
        <v>Sudah, Delay</v>
      </c>
      <c r="R81" s="7" t="str">
        <f ca="1">'Database MK'!DR82</f>
        <v>Sudah, Delay</v>
      </c>
      <c r="S81" s="7" t="str">
        <f ca="1">'Database MK'!EA82</f>
        <v>Belum, Delay</v>
      </c>
      <c r="T81" s="7" t="str">
        <f ca="1">'Database MK'!EI82</f>
        <v>Belum, Delay</v>
      </c>
      <c r="U81" s="7" t="str">
        <f ca="1">'Database MK'!ET82</f>
        <v>Belum, Delay</v>
      </c>
      <c r="V81" s="7" t="str">
        <f ca="1">'Database MK'!GA82</f>
        <v>Sudah, Delay</v>
      </c>
      <c r="W81" s="7" t="str">
        <f ca="1">'Database MK'!GD82</f>
        <v>Sudah, OnSchedule</v>
      </c>
      <c r="X81" s="7" t="str">
        <f ca="1">'Database MK'!GG82</f>
        <v>Sudah, OnSchedule</v>
      </c>
      <c r="Y81" s="7" t="str">
        <f ca="1">'Database MK'!GK82</f>
        <v>Sudah, OnSchedule</v>
      </c>
      <c r="Z81" s="7" t="str">
        <f ca="1">'Database MK'!HH82</f>
        <v>Sudah, Delay</v>
      </c>
      <c r="AA81" s="7" t="str">
        <f ca="1">'Database MK'!HQ82</f>
        <v>Sudah, Delay</v>
      </c>
      <c r="AB81" s="7" t="str">
        <f ca="1">'Database MK'!HW82</f>
        <v>Sudah, Delay</v>
      </c>
      <c r="AC81" s="7">
        <f>'Database MK'!DA82-'Database MK'!DB82</f>
        <v>129</v>
      </c>
      <c r="AD81" s="7">
        <f>'Database MK'!DA82-'Database MK'!DF82</f>
        <v>107</v>
      </c>
      <c r="AE81" s="7">
        <f>'Database MK'!DK82-'Database MK'!DL82</f>
        <v>-66</v>
      </c>
      <c r="AF81" s="7">
        <f>'Database MK'!DK82-'Database MK'!DO82</f>
        <v>-106</v>
      </c>
      <c r="AG81" s="7">
        <f>'Database MK'!DU82-'Database MK'!DW82</f>
        <v>45431</v>
      </c>
      <c r="AH81" s="7" t="str">
        <f>IF('Database MK'!EB82="","Belum",'Database MK'!DU82-'Database MK'!EB82)</f>
        <v>Belum</v>
      </c>
      <c r="AI81" s="7" t="str">
        <f>IF('Database MK'!EN82="","Belum",'Database MK'!EL82-'Database MK'!EN82)</f>
        <v>Belum</v>
      </c>
      <c r="AJ81" s="7">
        <f>'Database MK'!FY82-'Database MK'!FZ82</f>
        <v>-45582</v>
      </c>
      <c r="AK81" s="7">
        <f>IF('Database MK'!GC82="","Belum",'Database MK'!GB82-'Database MK'!GC82)</f>
        <v>18</v>
      </c>
      <c r="AL81" s="7">
        <f>IF('Database MK'!GF82="","Belum",'Database MK'!GE82-'Database MK'!GF82)</f>
        <v>25</v>
      </c>
      <c r="AM81" s="309">
        <f>IF('Database MK'!GJ82="","Belum",'Database MK'!GI82-'Database MK'!GJ82)</f>
        <v>32</v>
      </c>
      <c r="AN81" s="7">
        <f>IF('Database MK'!HG82="","Belum",'Database MK'!HF82-'Database MK'!HG82)</f>
        <v>-61</v>
      </c>
      <c r="AO81" s="7">
        <f>IF('Database MK'!HP82="","Belum",'Database MK'!HN82-'Database MK'!HP82)</f>
        <v>-55</v>
      </c>
      <c r="AP81" s="7">
        <f>IF('Database MK'!HV82="","Belum",'Database MK'!HT82-'Database MK'!HV82)</f>
        <v>-53</v>
      </c>
    </row>
    <row r="82" spans="2:42" hidden="1" x14ac:dyDescent="0.2">
      <c r="B82" s="7">
        <f>SUBTOTAL(3,$C$4:C82)</f>
        <v>74</v>
      </c>
      <c r="C82" s="4" t="s">
        <v>629</v>
      </c>
      <c r="D82" s="299" t="s">
        <v>654</v>
      </c>
      <c r="E82" s="299" t="s">
        <v>655</v>
      </c>
      <c r="F82" s="300">
        <v>45748</v>
      </c>
      <c r="G82" s="4" t="s">
        <v>247</v>
      </c>
      <c r="H82" s="4" t="str">
        <f ca="1">'Database MK'!Q83</f>
        <v>DPPP</v>
      </c>
      <c r="I82" s="24">
        <f>'Database MK'!S83</f>
        <v>1</v>
      </c>
      <c r="J82" s="24">
        <f>'Database MK'!T83</f>
        <v>1</v>
      </c>
      <c r="K82" s="603">
        <f>'Database MK'!U83</f>
        <v>0</v>
      </c>
      <c r="L82" s="593">
        <f>'Database MK'!V83</f>
        <v>644</v>
      </c>
      <c r="M82" s="593">
        <f>'Database MK'!W83</f>
        <v>599</v>
      </c>
      <c r="N82" s="593">
        <f>Table3[[#This Row],[Total Panjang Pipa Aktual]]-Table3[[#This Row],[Volume
BA MC-0]]</f>
        <v>-45</v>
      </c>
      <c r="O82" s="7" t="str">
        <f ca="1">'Database MK'!DE83</f>
        <v>Belum, Delay</v>
      </c>
      <c r="P82" s="7" t="str">
        <f ca="1">'Database MK'!DI83</f>
        <v>Belum, Delay</v>
      </c>
      <c r="Q82" s="7" t="str">
        <f ca="1">'Database MK'!DN83</f>
        <v>Sudah, OnSchedule</v>
      </c>
      <c r="R82" s="7" t="str">
        <f ca="1">'Database MK'!DR83</f>
        <v>Sudah, Delay</v>
      </c>
      <c r="S82" s="7" t="str">
        <f ca="1">'Database MK'!EA83</f>
        <v>Belum, Delay</v>
      </c>
      <c r="T82" s="7" t="str">
        <f ca="1">'Database MK'!EI83</f>
        <v>Belum, Delay</v>
      </c>
      <c r="U82" s="7" t="str">
        <f ca="1">'Database MK'!ET83</f>
        <v>Belum, Delay</v>
      </c>
      <c r="V82" s="7" t="str">
        <f ca="1">'Database MK'!GA83</f>
        <v>Sudah, Delay</v>
      </c>
      <c r="W82" s="7" t="str">
        <f ca="1">'Database MK'!GD83</f>
        <v>Sudah, OnSchedule</v>
      </c>
      <c r="X82" s="7" t="str">
        <f ca="1">'Database MK'!GG83</f>
        <v>Sudah, OnSchedule</v>
      </c>
      <c r="Y82" s="7" t="str">
        <f ca="1">'Database MK'!GK83</f>
        <v>Sudah, OnSchedule</v>
      </c>
      <c r="Z82" s="7" t="str">
        <f ca="1">'Database MK'!HH83</f>
        <v>Sudah, OnSchedule</v>
      </c>
      <c r="AA82" s="7" t="str">
        <f ca="1">'Database MK'!HQ83</f>
        <v>Sudah, Delay</v>
      </c>
      <c r="AB82" s="7" t="str">
        <f ca="1">'Database MK'!HW83</f>
        <v>Sudah, Delay</v>
      </c>
      <c r="AC82" s="7">
        <f>'Database MK'!DA83-'Database MK'!DB83</f>
        <v>45557</v>
      </c>
      <c r="AD82" s="7">
        <f>'Database MK'!DA83-'Database MK'!DF83</f>
        <v>45557</v>
      </c>
      <c r="AE82" s="7">
        <f>'Database MK'!DK83-'Database MK'!DL83</f>
        <v>1</v>
      </c>
      <c r="AF82" s="7">
        <f>'Database MK'!DK83-'Database MK'!DO83</f>
        <v>-8</v>
      </c>
      <c r="AG82" s="7">
        <f>'Database MK'!DU83-'Database MK'!DW83</f>
        <v>45599</v>
      </c>
      <c r="AH82" s="7" t="str">
        <f>IF('Database MK'!EB83="","Belum",'Database MK'!DU83-'Database MK'!EB83)</f>
        <v>Belum</v>
      </c>
      <c r="AI82" s="7" t="str">
        <f>IF('Database MK'!EN83="","Belum",'Database MK'!EL83-'Database MK'!EN83)</f>
        <v>Belum</v>
      </c>
      <c r="AJ82" s="7">
        <f>'Database MK'!FY83-'Database MK'!FZ83</f>
        <v>-45582</v>
      </c>
      <c r="AK82" s="7">
        <f>IF('Database MK'!GC83="","Belum",'Database MK'!GB83-'Database MK'!GC83)</f>
        <v>19</v>
      </c>
      <c r="AL82" s="7">
        <f>IF('Database MK'!GF83="","Belum",'Database MK'!GE83-'Database MK'!GF83)</f>
        <v>26</v>
      </c>
      <c r="AM82" s="309">
        <f>IF('Database MK'!GJ83="","Belum",'Database MK'!GI83-'Database MK'!GJ83)</f>
        <v>34</v>
      </c>
      <c r="AN82" s="7">
        <f>IF('Database MK'!HG83="","Belum",'Database MK'!HF83-'Database MK'!HG83)</f>
        <v>322</v>
      </c>
      <c r="AO82" s="7">
        <f>IF('Database MK'!HP83="","Belum",'Database MK'!HN83-'Database MK'!HP83)</f>
        <v>-41</v>
      </c>
      <c r="AP82" s="7">
        <f>IF('Database MK'!HV83="","Belum",'Database MK'!HT83-'Database MK'!HV83)</f>
        <v>-39</v>
      </c>
    </row>
    <row r="83" spans="2:42" hidden="1" x14ac:dyDescent="0.2">
      <c r="B83" s="7">
        <f>SUBTOTAL(3,$C$4:C83)</f>
        <v>74</v>
      </c>
      <c r="C83" s="4" t="s">
        <v>629</v>
      </c>
      <c r="D83" s="299" t="s">
        <v>659</v>
      </c>
      <c r="E83" s="299" t="s">
        <v>660</v>
      </c>
      <c r="F83" s="300">
        <v>45748</v>
      </c>
      <c r="G83" s="4" t="s">
        <v>247</v>
      </c>
      <c r="H83" s="4" t="str">
        <f ca="1">'Database MK'!Q84</f>
        <v>DPPP</v>
      </c>
      <c r="I83" s="24">
        <f>'Database MK'!S84</f>
        <v>1</v>
      </c>
      <c r="J83" s="24">
        <f>'Database MK'!T84</f>
        <v>1</v>
      </c>
      <c r="K83" s="603">
        <f>'Database MK'!U84</f>
        <v>0</v>
      </c>
      <c r="L83" s="593">
        <f>'Database MK'!V84</f>
        <v>160</v>
      </c>
      <c r="M83" s="593">
        <f>'Database MK'!W84</f>
        <v>167</v>
      </c>
      <c r="N83" s="593">
        <f>Table3[[#This Row],[Total Panjang Pipa Aktual]]-Table3[[#This Row],[Volume
BA MC-0]]</f>
        <v>7</v>
      </c>
      <c r="O83" s="7" t="str">
        <f ca="1">'Database MK'!DE84</f>
        <v>Belum, Delay</v>
      </c>
      <c r="P83" s="7" t="str">
        <f ca="1">'Database MK'!DI84</f>
        <v>Belum, Delay</v>
      </c>
      <c r="Q83" s="7" t="str">
        <f ca="1">'Database MK'!DN84</f>
        <v>Belum, Delay</v>
      </c>
      <c r="R83" s="7" t="str">
        <f ca="1">'Database MK'!DR84</f>
        <v>Belum, Delay</v>
      </c>
      <c r="S83" s="7" t="str">
        <f ca="1">'Database MK'!EA84</f>
        <v>Belum, Delay</v>
      </c>
      <c r="T83" s="7" t="str">
        <f ca="1">'Database MK'!EI84</f>
        <v>Belum, Delay</v>
      </c>
      <c r="U83" s="7" t="str">
        <f ca="1">'Database MK'!ET84</f>
        <v>Belum, Delay</v>
      </c>
      <c r="V83" s="7" t="str">
        <f ca="1">'Database MK'!GA84</f>
        <v>Sudah, Delay</v>
      </c>
      <c r="W83" s="7" t="str">
        <f ca="1">'Database MK'!GD84</f>
        <v>Sudah, OnSchedule</v>
      </c>
      <c r="X83" s="7" t="str">
        <f ca="1">'Database MK'!GG84</f>
        <v>Sudah, OnSchedule</v>
      </c>
      <c r="Y83" s="7" t="str">
        <f ca="1">'Database MK'!GK84</f>
        <v>Sudah, OnSchedule</v>
      </c>
      <c r="Z83" s="7" t="str">
        <f ca="1">'Database MK'!HH84</f>
        <v>Sudah, OnSchedule</v>
      </c>
      <c r="AA83" s="7" t="str">
        <f ca="1">'Database MK'!HQ84</f>
        <v>Sudah, Delay</v>
      </c>
      <c r="AB83" s="7" t="str">
        <f ca="1">'Database MK'!HW84</f>
        <v>Sudah, Delay</v>
      </c>
      <c r="AC83" s="7">
        <f>'Database MK'!DA84-'Database MK'!DB84</f>
        <v>45557</v>
      </c>
      <c r="AD83" s="7">
        <f>'Database MK'!DA84-'Database MK'!DF84</f>
        <v>45557</v>
      </c>
      <c r="AE83" s="7">
        <f>'Database MK'!DK84-'Database MK'!DL84</f>
        <v>45613</v>
      </c>
      <c r="AF83" s="7">
        <f>'Database MK'!DK84-'Database MK'!DO84</f>
        <v>45613</v>
      </c>
      <c r="AG83" s="7">
        <f>'Database MK'!DU84-'Database MK'!DW84</f>
        <v>45599</v>
      </c>
      <c r="AH83" s="7" t="str">
        <f>IF('Database MK'!EB84="","Belum",'Database MK'!DU84-'Database MK'!EB84)</f>
        <v>Belum</v>
      </c>
      <c r="AI83" s="7" t="str">
        <f>IF('Database MK'!EN84="","Belum",'Database MK'!EL84-'Database MK'!EN84)</f>
        <v>Belum</v>
      </c>
      <c r="AJ83" s="7">
        <f>'Database MK'!FY84-'Database MK'!FZ84</f>
        <v>-45582</v>
      </c>
      <c r="AK83" s="7">
        <f>IF('Database MK'!GC84="","Belum",'Database MK'!GB84-'Database MK'!GC84)</f>
        <v>60</v>
      </c>
      <c r="AL83" s="7">
        <f>IF('Database MK'!GF84="","Belum",'Database MK'!GE84-'Database MK'!GF84)</f>
        <v>67</v>
      </c>
      <c r="AM83" s="309">
        <f>IF('Database MK'!GJ84="","Belum",'Database MK'!GI84-'Database MK'!GJ84)</f>
        <v>73</v>
      </c>
      <c r="AN83" s="7">
        <f>IF('Database MK'!HG84="","Belum",'Database MK'!HF84-'Database MK'!HG84)</f>
        <v>299</v>
      </c>
      <c r="AO83" s="7">
        <f>IF('Database MK'!HP84="","Belum",'Database MK'!HN84-'Database MK'!HP84)</f>
        <v>-69</v>
      </c>
      <c r="AP83" s="7">
        <f>IF('Database MK'!HV84="","Belum",'Database MK'!HT84-'Database MK'!HV84)</f>
        <v>-67</v>
      </c>
    </row>
    <row r="84" spans="2:42" hidden="1" x14ac:dyDescent="0.2">
      <c r="B84" s="7">
        <f>SUBTOTAL(3,$C$4:C84)</f>
        <v>74</v>
      </c>
      <c r="C84" s="4" t="s">
        <v>629</v>
      </c>
      <c r="D84" s="299" t="s">
        <v>662</v>
      </c>
      <c r="E84" s="299" t="s">
        <v>663</v>
      </c>
      <c r="F84" s="300">
        <v>45748</v>
      </c>
      <c r="G84" s="4" t="s">
        <v>247</v>
      </c>
      <c r="H84" s="4" t="str">
        <f ca="1">'Database MK'!Q85</f>
        <v>DPPP</v>
      </c>
      <c r="I84" s="24">
        <f>'Database MK'!S85</f>
        <v>1</v>
      </c>
      <c r="J84" s="24">
        <f>'Database MK'!T85</f>
        <v>1</v>
      </c>
      <c r="K84" s="603">
        <f>'Database MK'!U85</f>
        <v>0</v>
      </c>
      <c r="L84" s="593">
        <f>'Database MK'!V85</f>
        <v>2199</v>
      </c>
      <c r="M84" s="593">
        <f>'Database MK'!W85</f>
        <v>2190</v>
      </c>
      <c r="N84" s="593">
        <f>Table3[[#This Row],[Total Panjang Pipa Aktual]]-Table3[[#This Row],[Volume
BA MC-0]]</f>
        <v>-9</v>
      </c>
      <c r="O84" s="7" t="str">
        <f ca="1">'Database MK'!DE85</f>
        <v>Belum, Delay</v>
      </c>
      <c r="P84" s="7" t="str">
        <f ca="1">'Database MK'!DI85</f>
        <v>Belum, Delay</v>
      </c>
      <c r="Q84" s="7" t="str">
        <f ca="1">'Database MK'!DN85</f>
        <v>Belum, Delay</v>
      </c>
      <c r="R84" s="7" t="str">
        <f ca="1">'Database MK'!DR85</f>
        <v>Belum, Delay</v>
      </c>
      <c r="S84" s="7" t="str">
        <f ca="1">'Database MK'!EA85</f>
        <v>Belum, Delay</v>
      </c>
      <c r="T84" s="7" t="str">
        <f ca="1">'Database MK'!EI85</f>
        <v>Belum, Delay</v>
      </c>
      <c r="U84" s="7" t="str">
        <f ca="1">'Database MK'!ET85</f>
        <v>Belum, Delay</v>
      </c>
      <c r="V84" s="7" t="str">
        <f ca="1">'Database MK'!GA85</f>
        <v>Sudah, Delay</v>
      </c>
      <c r="W84" s="7" t="str">
        <f ca="1">'Database MK'!GD85</f>
        <v>Sudah, OnSchedule</v>
      </c>
      <c r="X84" s="7" t="str">
        <f ca="1">'Database MK'!GG85</f>
        <v>Sudah, OnSchedule</v>
      </c>
      <c r="Y84" s="7" t="str">
        <f ca="1">'Database MK'!GK85</f>
        <v>Sudah, OnSchedule</v>
      </c>
      <c r="Z84" s="7" t="str">
        <f ca="1">'Database MK'!HH85</f>
        <v>Sudah, Delay</v>
      </c>
      <c r="AA84" s="7" t="str">
        <f ca="1">'Database MK'!HQ85</f>
        <v>Sudah, Delay</v>
      </c>
      <c r="AB84" s="7" t="str">
        <f ca="1">'Database MK'!HW85</f>
        <v>Sudah, Delay</v>
      </c>
      <c r="AC84" s="7">
        <f>'Database MK'!DA85-'Database MK'!DB85</f>
        <v>45557</v>
      </c>
      <c r="AD84" s="7">
        <f>'Database MK'!DA85-'Database MK'!DF85</f>
        <v>45557</v>
      </c>
      <c r="AE84" s="7">
        <f>'Database MK'!DK85-'Database MK'!DL85</f>
        <v>45627</v>
      </c>
      <c r="AF84" s="7">
        <f>'Database MK'!DK85-'Database MK'!DO85</f>
        <v>45627</v>
      </c>
      <c r="AG84" s="7">
        <f>'Database MK'!DU85-'Database MK'!DW85</f>
        <v>45599</v>
      </c>
      <c r="AH84" s="7" t="str">
        <f>IF('Database MK'!EB85="","Belum",'Database MK'!DU85-'Database MK'!EB85)</f>
        <v>Belum</v>
      </c>
      <c r="AI84" s="7" t="str">
        <f>IF('Database MK'!EN85="","Belum",'Database MK'!EL85-'Database MK'!EN85)</f>
        <v>Belum</v>
      </c>
      <c r="AJ84" s="7">
        <f>'Database MK'!FY85-'Database MK'!FZ85</f>
        <v>-45582</v>
      </c>
      <c r="AK84" s="7">
        <f>IF('Database MK'!GC85="","Belum",'Database MK'!GB85-'Database MK'!GC85)</f>
        <v>74</v>
      </c>
      <c r="AL84" s="7">
        <f>IF('Database MK'!GF85="","Belum",'Database MK'!GE85-'Database MK'!GF85)</f>
        <v>81</v>
      </c>
      <c r="AM84" s="309">
        <f>IF('Database MK'!GJ85="","Belum",'Database MK'!GI85-'Database MK'!GJ85)</f>
        <v>87</v>
      </c>
      <c r="AN84" s="7">
        <f>IF('Database MK'!HG85="","Belum",'Database MK'!HF85-'Database MK'!HG85)</f>
        <v>-32</v>
      </c>
      <c r="AO84" s="7">
        <f>IF('Database MK'!HP85="","Belum",'Database MK'!HN85-'Database MK'!HP85)</f>
        <v>-48</v>
      </c>
      <c r="AP84" s="7">
        <f>IF('Database MK'!HV85="","Belum",'Database MK'!HT85-'Database MK'!HV85)</f>
        <v>-46</v>
      </c>
    </row>
    <row r="85" spans="2:42" hidden="1" x14ac:dyDescent="0.2">
      <c r="B85" s="7">
        <f>SUBTOTAL(3,$C$4:C85)</f>
        <v>74</v>
      </c>
      <c r="C85" s="4" t="s">
        <v>629</v>
      </c>
      <c r="D85" s="299" t="s">
        <v>665</v>
      </c>
      <c r="E85" s="299" t="s">
        <v>666</v>
      </c>
      <c r="F85" s="300">
        <v>45748</v>
      </c>
      <c r="G85" s="4" t="s">
        <v>247</v>
      </c>
      <c r="H85" s="4" t="str">
        <f ca="1">'Database MK'!Q86</f>
        <v>DPPP</v>
      </c>
      <c r="I85" s="24">
        <f>'Database MK'!S86</f>
        <v>1</v>
      </c>
      <c r="J85" s="24">
        <f>'Database MK'!T86</f>
        <v>1</v>
      </c>
      <c r="K85" s="603">
        <f>'Database MK'!U86</f>
        <v>0</v>
      </c>
      <c r="L85" s="593">
        <f>'Database MK'!V86</f>
        <v>75</v>
      </c>
      <c r="M85" s="593">
        <f>'Database MK'!W86</f>
        <v>75</v>
      </c>
      <c r="N85" s="593">
        <f>Table3[[#This Row],[Total Panjang Pipa Aktual]]-Table3[[#This Row],[Volume
BA MC-0]]</f>
        <v>0</v>
      </c>
      <c r="O85" s="7" t="str">
        <f ca="1">'Database MK'!DE86</f>
        <v>Belum, Delay</v>
      </c>
      <c r="P85" s="7" t="str">
        <f ca="1">'Database MK'!DI86</f>
        <v>Belum, Delay</v>
      </c>
      <c r="Q85" s="7" t="str">
        <f ca="1">'Database MK'!DN86</f>
        <v>Belum, Delay</v>
      </c>
      <c r="R85" s="7" t="str">
        <f ca="1">'Database MK'!DR86</f>
        <v>Belum, Delay</v>
      </c>
      <c r="S85" s="7" t="str">
        <f ca="1">'Database MK'!EA86</f>
        <v>Belum, Delay</v>
      </c>
      <c r="T85" s="7" t="str">
        <f ca="1">'Database MK'!EI86</f>
        <v>Belum, Delay</v>
      </c>
      <c r="U85" s="7" t="str">
        <f ca="1">'Database MK'!ET86</f>
        <v>Belum, Delay</v>
      </c>
      <c r="V85" s="7" t="str">
        <f ca="1">'Database MK'!GA86</f>
        <v>Sudah, Delay</v>
      </c>
      <c r="W85" s="7" t="str">
        <f ca="1">'Database MK'!GD86</f>
        <v>Sudah, OnSchedule</v>
      </c>
      <c r="X85" s="7" t="str">
        <f ca="1">'Database MK'!GG86</f>
        <v>Sudah, OnSchedule</v>
      </c>
      <c r="Y85" s="7" t="str">
        <f ca="1">'Database MK'!GK86</f>
        <v>Sudah, OnSchedule</v>
      </c>
      <c r="Z85" s="7" t="str">
        <f ca="1">'Database MK'!HH86</f>
        <v>Sudah, Delay</v>
      </c>
      <c r="AA85" s="7" t="str">
        <f ca="1">'Database MK'!HQ86</f>
        <v>Sudah, OnSchedule</v>
      </c>
      <c r="AB85" s="7" t="str">
        <f ca="1">'Database MK'!HW86</f>
        <v>Sudah, OnSchedule</v>
      </c>
      <c r="AC85" s="7">
        <f>'Database MK'!DA86-'Database MK'!DB86</f>
        <v>45557</v>
      </c>
      <c r="AD85" s="7">
        <f>'Database MK'!DA86-'Database MK'!DF86</f>
        <v>45557</v>
      </c>
      <c r="AE85" s="7">
        <f>'Database MK'!DK86-'Database MK'!DL86</f>
        <v>45613</v>
      </c>
      <c r="AF85" s="7">
        <f>'Database MK'!DK86-'Database MK'!DO86</f>
        <v>45613</v>
      </c>
      <c r="AG85" s="7">
        <f>'Database MK'!DU86-'Database MK'!DW86</f>
        <v>45599</v>
      </c>
      <c r="AH85" s="7" t="str">
        <f>IF('Database MK'!EB86="","Belum",'Database MK'!DU86-'Database MK'!EB86)</f>
        <v>Belum</v>
      </c>
      <c r="AI85" s="7" t="str">
        <f>IF('Database MK'!EN86="","Belum",'Database MK'!EL86-'Database MK'!EN86)</f>
        <v>Belum</v>
      </c>
      <c r="AJ85" s="7">
        <f>'Database MK'!FY86-'Database MK'!FZ86</f>
        <v>-45582</v>
      </c>
      <c r="AK85" s="7">
        <f>IF('Database MK'!GC86="","Belum",'Database MK'!GB86-'Database MK'!GC86)</f>
        <v>5</v>
      </c>
      <c r="AL85" s="7">
        <f>IF('Database MK'!GF86="","Belum",'Database MK'!GE86-'Database MK'!GF86)</f>
        <v>12</v>
      </c>
      <c r="AM85" s="309">
        <f>IF('Database MK'!GJ86="","Belum",'Database MK'!GI86-'Database MK'!GJ86)</f>
        <v>20</v>
      </c>
      <c r="AN85" s="7">
        <f>IF('Database MK'!HG86="","Belum",'Database MK'!HF86-'Database MK'!HG86)</f>
        <v>-88</v>
      </c>
      <c r="AO85" s="7">
        <f>IF('Database MK'!HP86="","Belum",'Database MK'!HN86-'Database MK'!HP86)</f>
        <v>269</v>
      </c>
      <c r="AP85" s="7">
        <f>IF('Database MK'!HV86="","Belum",'Database MK'!HT86-'Database MK'!HV86)</f>
        <v>271</v>
      </c>
    </row>
    <row r="86" spans="2:42" hidden="1" x14ac:dyDescent="0.2">
      <c r="B86" s="7">
        <f>SUBTOTAL(3,$C$4:C86)</f>
        <v>74</v>
      </c>
      <c r="C86" s="4" t="s">
        <v>629</v>
      </c>
      <c r="D86" s="299" t="s">
        <v>668</v>
      </c>
      <c r="E86" s="299" t="s">
        <v>669</v>
      </c>
      <c r="F86" s="300">
        <v>45748</v>
      </c>
      <c r="G86" s="4" t="s">
        <v>247</v>
      </c>
      <c r="H86" s="4" t="str">
        <f ca="1">'Database MK'!Q87</f>
        <v>DPPP</v>
      </c>
      <c r="I86" s="24">
        <f>'Database MK'!S87</f>
        <v>1</v>
      </c>
      <c r="J86" s="24">
        <f>'Database MK'!T87</f>
        <v>1</v>
      </c>
      <c r="K86" s="603">
        <f>'Database MK'!U87</f>
        <v>0</v>
      </c>
      <c r="L86" s="593">
        <f>'Database MK'!V87</f>
        <v>256</v>
      </c>
      <c r="M86" s="593">
        <f>'Database MK'!W87</f>
        <v>239.1</v>
      </c>
      <c r="N86" s="593">
        <f>Table3[[#This Row],[Total Panjang Pipa Aktual]]-Table3[[#This Row],[Volume
BA MC-0]]</f>
        <v>-16.900000000000006</v>
      </c>
      <c r="O86" s="7" t="str">
        <f ca="1">'Database MK'!DE87</f>
        <v>Belum, Delay</v>
      </c>
      <c r="P86" s="7" t="str">
        <f ca="1">'Database MK'!DI87</f>
        <v>Belum, Delay</v>
      </c>
      <c r="Q86" s="7" t="str">
        <f ca="1">'Database MK'!DN87</f>
        <v>Sudah, Delay</v>
      </c>
      <c r="R86" s="7" t="str">
        <f ca="1">'Database MK'!DR87</f>
        <v>Sudah, Delay</v>
      </c>
      <c r="S86" s="7" t="str">
        <f ca="1">'Database MK'!EA87</f>
        <v>Belum, Delay</v>
      </c>
      <c r="T86" s="7" t="str">
        <f ca="1">'Database MK'!EI87</f>
        <v>Belum, Delay</v>
      </c>
      <c r="U86" s="7" t="str">
        <f ca="1">'Database MK'!ET87</f>
        <v>Belum, Delay</v>
      </c>
      <c r="V86" s="7" t="str">
        <f ca="1">'Database MK'!GA87</f>
        <v>Sudah, Delay</v>
      </c>
      <c r="W86" s="7" t="str">
        <f ca="1">'Database MK'!GD87</f>
        <v>Sudah, OnSchedule</v>
      </c>
      <c r="X86" s="7" t="str">
        <f ca="1">'Database MK'!GG87</f>
        <v>Sudah, OnSchedule</v>
      </c>
      <c r="Y86" s="7" t="str">
        <f ca="1">'Database MK'!GK87</f>
        <v>Sudah, OnSchedule</v>
      </c>
      <c r="Z86" s="7" t="str">
        <f ca="1">'Database MK'!HH87</f>
        <v>Sudah, Delay</v>
      </c>
      <c r="AA86" s="7" t="str">
        <f ca="1">'Database MK'!HQ87</f>
        <v>Sudah, Delay</v>
      </c>
      <c r="AB86" s="7" t="str">
        <f ca="1">'Database MK'!HW87</f>
        <v>Sudah, Delay</v>
      </c>
      <c r="AC86" s="7">
        <f>'Database MK'!DA87-'Database MK'!DB87</f>
        <v>45557</v>
      </c>
      <c r="AD86" s="7">
        <f>'Database MK'!DA87-'Database MK'!DF87</f>
        <v>45557</v>
      </c>
      <c r="AE86" s="7">
        <f>'Database MK'!DK87-'Database MK'!DL87</f>
        <v>-311</v>
      </c>
      <c r="AF86" s="7">
        <f>'Database MK'!DK87-'Database MK'!DO87</f>
        <v>-316</v>
      </c>
      <c r="AG86" s="7">
        <f>'Database MK'!DU87-'Database MK'!DW87</f>
        <v>45599</v>
      </c>
      <c r="AH86" s="7" t="str">
        <f>IF('Database MK'!EB87="","Belum",'Database MK'!DU87-'Database MK'!EB87)</f>
        <v>Belum</v>
      </c>
      <c r="AI86" s="7" t="str">
        <f>IF('Database MK'!EN87="","Belum",'Database MK'!EL87-'Database MK'!EN87)</f>
        <v>Belum</v>
      </c>
      <c r="AJ86" s="7">
        <f>'Database MK'!FY87-'Database MK'!FZ87</f>
        <v>-45582</v>
      </c>
      <c r="AK86" s="7">
        <f>IF('Database MK'!GC87="","Belum",'Database MK'!GB87-'Database MK'!GC87)</f>
        <v>5</v>
      </c>
      <c r="AL86" s="7">
        <f>IF('Database MK'!GF87="","Belum",'Database MK'!GE87-'Database MK'!GF87)</f>
        <v>12</v>
      </c>
      <c r="AM86" s="309">
        <f>IF('Database MK'!GJ87="","Belum",'Database MK'!GI87-'Database MK'!GJ87)</f>
        <v>20</v>
      </c>
      <c r="AN86" s="7">
        <f>IF('Database MK'!HG87="","Belum",'Database MK'!HF87-'Database MK'!HG87)</f>
        <v>-184</v>
      </c>
      <c r="AO86" s="7">
        <f>IF('Database MK'!HP87="","Belum",'Database MK'!HN87-'Database MK'!HP87)</f>
        <v>-237</v>
      </c>
      <c r="AP86" s="7">
        <f>IF('Database MK'!HV87="","Belum",'Database MK'!HT87-'Database MK'!HV87)</f>
        <v>-235</v>
      </c>
    </row>
    <row r="87" spans="2:42" hidden="1" x14ac:dyDescent="0.2">
      <c r="B87" s="7">
        <f>SUBTOTAL(3,$C$4:C87)</f>
        <v>74</v>
      </c>
      <c r="C87" s="299" t="s">
        <v>673</v>
      </c>
      <c r="D87" s="299" t="s">
        <v>674</v>
      </c>
      <c r="E87" s="299" t="s">
        <v>675</v>
      </c>
      <c r="F87" s="300">
        <v>45748</v>
      </c>
      <c r="G87" s="4" t="s">
        <v>247</v>
      </c>
      <c r="H87" s="4" t="str">
        <f ca="1">'Database MK'!Q88</f>
        <v>DPPP</v>
      </c>
      <c r="I87" s="24">
        <f>'Database MK'!S88</f>
        <v>1</v>
      </c>
      <c r="J87" s="24">
        <f>'Database MK'!T88</f>
        <v>1</v>
      </c>
      <c r="K87" s="603">
        <f>'Database MK'!U88</f>
        <v>0</v>
      </c>
      <c r="L87" s="593">
        <f>'Database MK'!V88</f>
        <v>1193.4000000000001</v>
      </c>
      <c r="M87" s="593">
        <f>'Database MK'!W88</f>
        <v>4324</v>
      </c>
      <c r="N87" s="593">
        <f>Table3[[#This Row],[Total Panjang Pipa Aktual]]-Table3[[#This Row],[Volume
BA MC-0]]</f>
        <v>3130.6</v>
      </c>
      <c r="O87" s="7" t="str">
        <f ca="1">'Database MK'!DE88</f>
        <v>Belum, Delay</v>
      </c>
      <c r="P87" s="7" t="str">
        <f ca="1">'Database MK'!DI88</f>
        <v>Belum, Delay</v>
      </c>
      <c r="Q87" s="7" t="str">
        <f ca="1">'Database MK'!DN88</f>
        <v>Belum, Delay</v>
      </c>
      <c r="R87" s="7" t="str">
        <f ca="1">'Database MK'!DR88</f>
        <v>Belum, Delay</v>
      </c>
      <c r="S87" s="7" t="str">
        <f ca="1">'Database MK'!EA88</f>
        <v>Belum, Delay</v>
      </c>
      <c r="T87" s="7" t="str">
        <f ca="1">'Database MK'!EI88</f>
        <v>Belum, Delay</v>
      </c>
      <c r="U87" s="7" t="str">
        <f ca="1">'Database MK'!ET88</f>
        <v>Belum, Delay</v>
      </c>
      <c r="V87" s="7" t="str">
        <f ca="1">'Database MK'!GA88</f>
        <v>Belum, Delay</v>
      </c>
      <c r="W87" s="7" t="str">
        <f ca="1">'Database MK'!GD88</f>
        <v>Sudah, Delay</v>
      </c>
      <c r="X87" s="7" t="str">
        <f ca="1">'Database MK'!GG88</f>
        <v>Sudah, Delay</v>
      </c>
      <c r="Y87" s="7" t="str">
        <f ca="1">'Database MK'!GK88</f>
        <v>Sudah, OnSchedule</v>
      </c>
      <c r="Z87" s="7" t="str">
        <f ca="1">'Database MK'!HH88</f>
        <v>Sudah, Delay</v>
      </c>
      <c r="AA87" s="7" t="str">
        <f ca="1">'Database MK'!HQ88</f>
        <v>Sudah, Delay</v>
      </c>
      <c r="AB87" s="7" t="str">
        <f ca="1">'Database MK'!HW88</f>
        <v>Sudah, Delay</v>
      </c>
      <c r="AC87" s="7">
        <f>'Database MK'!DA88-'Database MK'!DB88</f>
        <v>45221</v>
      </c>
      <c r="AD87" s="7">
        <f>'Database MK'!DA88-'Database MK'!DF88</f>
        <v>45221</v>
      </c>
      <c r="AE87" s="7">
        <f>'Database MK'!DK88-'Database MK'!DL88</f>
        <v>45291</v>
      </c>
      <c r="AF87" s="7">
        <f>'Database MK'!DK88-'Database MK'!DO88</f>
        <v>45291</v>
      </c>
      <c r="AG87" s="7">
        <f>'Database MK'!DU88-'Database MK'!DW88</f>
        <v>45263</v>
      </c>
      <c r="AH87" s="7" t="str">
        <f>IF('Database MK'!EB88="","Belum",'Database MK'!DU88-'Database MK'!EB88)</f>
        <v>Belum</v>
      </c>
      <c r="AI87" s="7" t="str">
        <f>IF('Database MK'!EN88="","Belum",'Database MK'!EL88-'Database MK'!EN88)</f>
        <v>Belum</v>
      </c>
      <c r="AJ87" s="7">
        <f>'Database MK'!FY88-'Database MK'!FZ88</f>
        <v>0</v>
      </c>
      <c r="AK87" s="7">
        <f>IF('Database MK'!GC88="","Belum",'Database MK'!GB88-'Database MK'!GC88)</f>
        <v>-620</v>
      </c>
      <c r="AL87" s="7">
        <f>IF('Database MK'!GF88="","Belum",'Database MK'!GE88-'Database MK'!GF88)</f>
        <v>-613</v>
      </c>
      <c r="AM87" s="309">
        <f>IF('Database MK'!GJ88="","Belum",'Database MK'!GI88-'Database MK'!GJ88)</f>
        <v>103</v>
      </c>
      <c r="AN87" s="7">
        <f>IF('Database MK'!HG88="","Belum",'Database MK'!HF88-'Database MK'!HG88)</f>
        <v>-2</v>
      </c>
      <c r="AO87" s="7">
        <f>IF('Database MK'!HP88="","Belum",'Database MK'!HN88-'Database MK'!HP88)</f>
        <v>-152</v>
      </c>
      <c r="AP87" s="7">
        <f>IF('Database MK'!HV88="","Belum",'Database MK'!HT88-'Database MK'!HV88)</f>
        <v>-150</v>
      </c>
    </row>
    <row r="88" spans="2:42" hidden="1" x14ac:dyDescent="0.2">
      <c r="B88" s="7">
        <f>SUBTOTAL(3,$C$4:C88)</f>
        <v>74</v>
      </c>
      <c r="C88" s="299" t="s">
        <v>673</v>
      </c>
      <c r="D88" s="299" t="s">
        <v>679</v>
      </c>
      <c r="E88" s="299" t="s">
        <v>680</v>
      </c>
      <c r="F88" s="300">
        <v>45748</v>
      </c>
      <c r="G88" s="4" t="s">
        <v>681</v>
      </c>
      <c r="H88" s="4" t="str">
        <f ca="1">'Database MK'!Q89</f>
        <v>DPPP</v>
      </c>
      <c r="I88" s="24">
        <f>'Database MK'!S89</f>
        <v>1</v>
      </c>
      <c r="J88" s="24">
        <f>'Database MK'!T89</f>
        <v>1</v>
      </c>
      <c r="K88" s="603">
        <f>'Database MK'!U89</f>
        <v>0</v>
      </c>
      <c r="L88" s="593">
        <f>'Database MK'!V89</f>
        <v>135</v>
      </c>
      <c r="M88" s="593">
        <f>'Database MK'!W89</f>
        <v>135</v>
      </c>
      <c r="N88" s="593">
        <f>Table3[[#This Row],[Total Panjang Pipa Aktual]]-Table3[[#This Row],[Volume
BA MC-0]]</f>
        <v>0</v>
      </c>
      <c r="O88" s="7" t="str">
        <f ca="1">'Database MK'!DE89</f>
        <v>Belum, Delay</v>
      </c>
      <c r="P88" s="7" t="str">
        <f ca="1">'Database MK'!DI89</f>
        <v>Belum, Delay</v>
      </c>
      <c r="Q88" s="7" t="str">
        <f ca="1">'Database MK'!DN89</f>
        <v>Sudah, OnSchedule</v>
      </c>
      <c r="R88" s="7" t="str">
        <f ca="1">'Database MK'!DR89</f>
        <v>Sudah, OnSchedule</v>
      </c>
      <c r="S88" s="7" t="str">
        <f ca="1">'Database MK'!EA89</f>
        <v>Belum, Delay</v>
      </c>
      <c r="T88" s="7" t="str">
        <f ca="1">'Database MK'!EI89</f>
        <v>Belum, Delay</v>
      </c>
      <c r="U88" s="7" t="str">
        <f ca="1">'Database MK'!ET89</f>
        <v>Belum, Delay</v>
      </c>
      <c r="V88" s="7" t="str">
        <f ca="1">'Database MK'!GA89</f>
        <v>Belum, Delay</v>
      </c>
      <c r="W88" s="7" t="str">
        <f ca="1">'Database MK'!GD89</f>
        <v>Sudah, OnSchedule</v>
      </c>
      <c r="X88" s="7" t="str">
        <f ca="1">'Database MK'!GG89</f>
        <v>Sudah, OnSchedule</v>
      </c>
      <c r="Y88" s="7" t="str">
        <f ca="1">'Database MK'!GK89</f>
        <v>Sudah, OnSchedule</v>
      </c>
      <c r="Z88" s="7" t="str">
        <f ca="1">'Database MK'!HH89</f>
        <v>Sudah, OnSchedule</v>
      </c>
      <c r="AA88" s="7" t="str">
        <f ca="1">'Database MK'!HQ89</f>
        <v>Sudah, Delay</v>
      </c>
      <c r="AB88" s="7" t="str">
        <f ca="1">'Database MK'!HW89</f>
        <v>Sudah, Delay</v>
      </c>
      <c r="AC88" s="7">
        <f>'Database MK'!DA89-'Database MK'!DB89</f>
        <v>45550</v>
      </c>
      <c r="AD88" s="7">
        <f>'Database MK'!DA89-'Database MK'!DF89</f>
        <v>45550</v>
      </c>
      <c r="AE88" s="7">
        <f>'Database MK'!DK89-'Database MK'!DL89</f>
        <v>235</v>
      </c>
      <c r="AF88" s="7">
        <f>'Database MK'!DK89-'Database MK'!DO89</f>
        <v>223</v>
      </c>
      <c r="AG88" s="7">
        <f>'Database MK'!DU89-'Database MK'!DW89</f>
        <v>45585</v>
      </c>
      <c r="AH88" s="7" t="str">
        <f>IF('Database MK'!EB89="","Belum",'Database MK'!DU89-'Database MK'!EB89)</f>
        <v>Belum</v>
      </c>
      <c r="AI88" s="7" t="str">
        <f>IF('Database MK'!EN89="","Belum",'Database MK'!EL89-'Database MK'!EN89)</f>
        <v>Belum</v>
      </c>
      <c r="AJ88" s="7">
        <f>'Database MK'!FY89-'Database MK'!FZ89</f>
        <v>0</v>
      </c>
      <c r="AK88" s="7">
        <f>IF('Database MK'!GC89="","Belum",'Database MK'!GB89-'Database MK'!GC89)</f>
        <v>272</v>
      </c>
      <c r="AL88" s="7">
        <f>IF('Database MK'!GF89="","Belum",'Database MK'!GE89-'Database MK'!GF89)</f>
        <v>279</v>
      </c>
      <c r="AM88" s="309">
        <f>IF('Database MK'!GJ89="","Belum",'Database MK'!GI89-'Database MK'!GJ89)</f>
        <v>275</v>
      </c>
      <c r="AN88" s="7">
        <f>IF('Database MK'!HG89="","Belum",'Database MK'!HF89-'Database MK'!HG89)</f>
        <v>96</v>
      </c>
      <c r="AO88" s="7">
        <f>IF('Database MK'!HP89="","Belum",'Database MK'!HN89-'Database MK'!HP89)</f>
        <v>-61</v>
      </c>
      <c r="AP88" s="7">
        <f>IF('Database MK'!HV89="","Belum",'Database MK'!HT89-'Database MK'!HV89)</f>
        <v>-59</v>
      </c>
    </row>
    <row r="89" spans="2:42" hidden="1" x14ac:dyDescent="0.2">
      <c r="B89" s="7">
        <f>SUBTOTAL(3,$C$4:C89)</f>
        <v>74</v>
      </c>
      <c r="C89" s="299" t="s">
        <v>673</v>
      </c>
      <c r="D89" s="299" t="s">
        <v>686</v>
      </c>
      <c r="E89" s="299" t="s">
        <v>687</v>
      </c>
      <c r="F89" s="300">
        <v>45748</v>
      </c>
      <c r="G89" s="4" t="s">
        <v>247</v>
      </c>
      <c r="H89" s="4" t="str">
        <f ca="1">'Database MK'!Q90</f>
        <v>DPPP</v>
      </c>
      <c r="I89" s="24">
        <f>'Database MK'!S90</f>
        <v>1</v>
      </c>
      <c r="J89" s="24">
        <f>'Database MK'!T90</f>
        <v>1</v>
      </c>
      <c r="K89" s="603">
        <f>'Database MK'!U90</f>
        <v>0</v>
      </c>
      <c r="L89" s="593">
        <f>'Database MK'!V90</f>
        <v>152</v>
      </c>
      <c r="M89" s="593">
        <f>'Database MK'!W90</f>
        <v>140</v>
      </c>
      <c r="N89" s="593">
        <f>Table3[[#This Row],[Total Panjang Pipa Aktual]]-Table3[[#This Row],[Volume
BA MC-0]]</f>
        <v>-12</v>
      </c>
      <c r="O89" s="7" t="str">
        <f ca="1">'Database MK'!DE90</f>
        <v>Belum, Delay</v>
      </c>
      <c r="P89" s="7" t="str">
        <f ca="1">'Database MK'!DI90</f>
        <v>Belum, Delay</v>
      </c>
      <c r="Q89" s="7" t="str">
        <f ca="1">'Database MK'!DN90</f>
        <v>Sudah, OnSchedule</v>
      </c>
      <c r="R89" s="7" t="str">
        <f ca="1">'Database MK'!DR90</f>
        <v>Sudah, OnSchedule</v>
      </c>
      <c r="S89" s="7" t="str">
        <f ca="1">'Database MK'!EA90</f>
        <v>Belum, Delay</v>
      </c>
      <c r="T89" s="7" t="str">
        <f ca="1">'Database MK'!EI90</f>
        <v>Belum, Delay</v>
      </c>
      <c r="U89" s="7" t="str">
        <f ca="1">'Database MK'!ET90</f>
        <v>Sudah, Delay</v>
      </c>
      <c r="V89" s="7" t="str">
        <f ca="1">'Database MK'!GA90</f>
        <v>Belum, Delay</v>
      </c>
      <c r="W89" s="7" t="str">
        <f ca="1">'Database MK'!GD90</f>
        <v>Sudah, OnSchedule</v>
      </c>
      <c r="X89" s="7" t="str">
        <f ca="1">'Database MK'!GG90</f>
        <v>Sudah, OnSchedule</v>
      </c>
      <c r="Y89" s="7" t="str">
        <f ca="1">'Database MK'!GK90</f>
        <v>Sudah, OnSchedule</v>
      </c>
      <c r="Z89" s="7" t="str">
        <f ca="1">'Database MK'!HH90</f>
        <v>Sudah, OnSchedule</v>
      </c>
      <c r="AA89" s="7" t="str">
        <f ca="1">'Database MK'!HQ90</f>
        <v>Sudah, Delay</v>
      </c>
      <c r="AB89" s="7" t="str">
        <f ca="1">'Database MK'!HW90</f>
        <v>Sudah, Delay</v>
      </c>
      <c r="AC89" s="7">
        <f>'Database MK'!DA90-'Database MK'!DB90</f>
        <v>45466</v>
      </c>
      <c r="AD89" s="7">
        <f>'Database MK'!DA90-'Database MK'!DF90</f>
        <v>45466</v>
      </c>
      <c r="AE89" s="7">
        <f>'Database MK'!DK90-'Database MK'!DL90</f>
        <v>103</v>
      </c>
      <c r="AF89" s="7">
        <f>'Database MK'!DK90-'Database MK'!DO90</f>
        <v>90</v>
      </c>
      <c r="AG89" s="7">
        <f>'Database MK'!DU90-'Database MK'!DW90</f>
        <v>45508</v>
      </c>
      <c r="AH89" s="7" t="str">
        <f>IF('Database MK'!EB90="","Belum",'Database MK'!DU90-'Database MK'!EB90)</f>
        <v>Belum</v>
      </c>
      <c r="AI89" s="7">
        <f>IF('Database MK'!EN90="","Belum",'Database MK'!EL90-'Database MK'!EN90)</f>
        <v>-361</v>
      </c>
      <c r="AJ89" s="7">
        <f>'Database MK'!FY90-'Database MK'!FZ90</f>
        <v>0</v>
      </c>
      <c r="AK89" s="7">
        <f>IF('Database MK'!GC90="","Belum",'Database MK'!GB90-'Database MK'!GC90)</f>
        <v>159</v>
      </c>
      <c r="AL89" s="7">
        <f>IF('Database MK'!GF90="","Belum",'Database MK'!GE90-'Database MK'!GF90)</f>
        <v>166</v>
      </c>
      <c r="AM89" s="309">
        <f>IF('Database MK'!GJ90="","Belum",'Database MK'!GI90-'Database MK'!GJ90)</f>
        <v>170</v>
      </c>
      <c r="AN89" s="7">
        <f>IF('Database MK'!HG90="","Belum",'Database MK'!HF90-'Database MK'!HG90)</f>
        <v>63</v>
      </c>
      <c r="AO89" s="7">
        <f>IF('Database MK'!HP90="","Belum",'Database MK'!HN90-'Database MK'!HP90)</f>
        <v>-87</v>
      </c>
      <c r="AP89" s="7">
        <f>IF('Database MK'!HV90="","Belum",'Database MK'!HT90-'Database MK'!HV90)</f>
        <v>-85</v>
      </c>
    </row>
    <row r="90" spans="2:42" hidden="1" x14ac:dyDescent="0.2">
      <c r="B90" s="7">
        <f>SUBTOTAL(3,$C$4:C90)</f>
        <v>74</v>
      </c>
      <c r="C90" s="299" t="s">
        <v>673</v>
      </c>
      <c r="D90" s="299" t="s">
        <v>691</v>
      </c>
      <c r="E90" s="299" t="s">
        <v>692</v>
      </c>
      <c r="F90" s="300">
        <v>45748</v>
      </c>
      <c r="G90" s="4" t="s">
        <v>247</v>
      </c>
      <c r="H90" s="4" t="str">
        <f ca="1">'Database MK'!Q91</f>
        <v>DPPP</v>
      </c>
      <c r="I90" s="24">
        <f>'Database MK'!S91</f>
        <v>1</v>
      </c>
      <c r="J90" s="24">
        <f>'Database MK'!T91</f>
        <v>1</v>
      </c>
      <c r="K90" s="603">
        <f>'Database MK'!U91</f>
        <v>0</v>
      </c>
      <c r="L90" s="593">
        <f>'Database MK'!V91</f>
        <v>473</v>
      </c>
      <c r="M90" s="593">
        <f>'Database MK'!W91</f>
        <v>473</v>
      </c>
      <c r="N90" s="593">
        <f>Table3[[#This Row],[Total Panjang Pipa Aktual]]-Table3[[#This Row],[Volume
BA MC-0]]</f>
        <v>0</v>
      </c>
      <c r="O90" s="7" t="str">
        <f ca="1">'Database MK'!DE91</f>
        <v>Belum, Delay</v>
      </c>
      <c r="P90" s="7" t="str">
        <f ca="1">'Database MK'!DI91</f>
        <v>Belum, Delay</v>
      </c>
      <c r="Q90" s="7" t="str">
        <f ca="1">'Database MK'!DN91</f>
        <v>Sudah, OnSchedule</v>
      </c>
      <c r="R90" s="7" t="str">
        <f ca="1">'Database MK'!DR91</f>
        <v>Sudah, OnSchedule</v>
      </c>
      <c r="S90" s="7" t="str">
        <f ca="1">'Database MK'!EA91</f>
        <v>Belum, Delay</v>
      </c>
      <c r="T90" s="7" t="str">
        <f ca="1">'Database MK'!EI91</f>
        <v>Belum, Delay</v>
      </c>
      <c r="U90" s="7" t="str">
        <f ca="1">'Database MK'!ET91</f>
        <v>Sudah, OnSchedule</v>
      </c>
      <c r="V90" s="7" t="str">
        <f ca="1">'Database MK'!GA91</f>
        <v>Belum, Delay</v>
      </c>
      <c r="W90" s="7" t="str">
        <f ca="1">'Database MK'!GD91</f>
        <v>Sudah, OnSchedule</v>
      </c>
      <c r="X90" s="7" t="str">
        <f ca="1">'Database MK'!GG91</f>
        <v>Sudah, OnSchedule</v>
      </c>
      <c r="Y90" s="7" t="str">
        <f ca="1">'Database MK'!GK91</f>
        <v>Sudah, OnSchedule</v>
      </c>
      <c r="Z90" s="7" t="str">
        <f ca="1">'Database MK'!HH91</f>
        <v>Sudah, OnSchedule</v>
      </c>
      <c r="AA90" s="7" t="str">
        <f ca="1">'Database MK'!HQ91</f>
        <v>Sudah, Delay</v>
      </c>
      <c r="AB90" s="7" t="str">
        <f ca="1">'Database MK'!HW91</f>
        <v>Sudah, Delay</v>
      </c>
      <c r="AC90" s="7">
        <f>'Database MK'!DA91-'Database MK'!DB91</f>
        <v>45466</v>
      </c>
      <c r="AD90" s="7">
        <f>'Database MK'!DA91-'Database MK'!DF91</f>
        <v>45466</v>
      </c>
      <c r="AE90" s="7">
        <f>'Database MK'!DK91-'Database MK'!DL91</f>
        <v>69</v>
      </c>
      <c r="AF90" s="7">
        <f>'Database MK'!DK91-'Database MK'!DO91</f>
        <v>61</v>
      </c>
      <c r="AG90" s="7">
        <f>'Database MK'!DU91-'Database MK'!DW91</f>
        <v>45508</v>
      </c>
      <c r="AH90" s="7" t="str">
        <f>IF('Database MK'!EB91="","Belum",'Database MK'!DU91-'Database MK'!EB91)</f>
        <v>Belum</v>
      </c>
      <c r="AI90" s="7">
        <f>IF('Database MK'!EN91="","Belum",'Database MK'!EL91-'Database MK'!EN91)</f>
        <v>4</v>
      </c>
      <c r="AJ90" s="7">
        <f>'Database MK'!FY91-'Database MK'!FZ91</f>
        <v>0</v>
      </c>
      <c r="AK90" s="7">
        <f>IF('Database MK'!GC91="","Belum",'Database MK'!GB91-'Database MK'!GC91)</f>
        <v>95</v>
      </c>
      <c r="AL90" s="7">
        <f>IF('Database MK'!GF91="","Belum",'Database MK'!GE91-'Database MK'!GF91)</f>
        <v>102</v>
      </c>
      <c r="AM90" s="309">
        <f>IF('Database MK'!GJ91="","Belum",'Database MK'!GI91-'Database MK'!GJ91)</f>
        <v>109</v>
      </c>
      <c r="AN90" s="7">
        <f>IF('Database MK'!HG91="","Belum",'Database MK'!HF91-'Database MK'!HG91)</f>
        <v>63</v>
      </c>
      <c r="AO90" s="7">
        <f>IF('Database MK'!HP91="","Belum",'Database MK'!HN91-'Database MK'!HP91)</f>
        <v>-88</v>
      </c>
      <c r="AP90" s="7">
        <f>IF('Database MK'!HV91="","Belum",'Database MK'!HT91-'Database MK'!HV91)</f>
        <v>-86</v>
      </c>
    </row>
    <row r="91" spans="2:42" hidden="1" x14ac:dyDescent="0.2">
      <c r="B91" s="7">
        <f>SUBTOTAL(3,$C$4:C91)</f>
        <v>74</v>
      </c>
      <c r="C91" s="299" t="s">
        <v>673</v>
      </c>
      <c r="D91" s="299" t="s">
        <v>697</v>
      </c>
      <c r="E91" s="299" t="s">
        <v>698</v>
      </c>
      <c r="F91" s="300">
        <v>45748</v>
      </c>
      <c r="G91" s="4" t="s">
        <v>247</v>
      </c>
      <c r="H91" s="4" t="str">
        <f ca="1">'Database MK'!Q92</f>
        <v>DPPP</v>
      </c>
      <c r="I91" s="24">
        <f>'Database MK'!S92</f>
        <v>1</v>
      </c>
      <c r="J91" s="24">
        <f>'Database MK'!T92</f>
        <v>1</v>
      </c>
      <c r="K91" s="603">
        <f>'Database MK'!U92</f>
        <v>0</v>
      </c>
      <c r="L91" s="593">
        <f>'Database MK'!V92</f>
        <v>122</v>
      </c>
      <c r="M91" s="593">
        <f>'Database MK'!W92</f>
        <v>122</v>
      </c>
      <c r="N91" s="593">
        <f>Table3[[#This Row],[Total Panjang Pipa Aktual]]-Table3[[#This Row],[Volume
BA MC-0]]</f>
        <v>0</v>
      </c>
      <c r="O91" s="7" t="str">
        <f ca="1">'Database MK'!DE92</f>
        <v>Belum, Delay</v>
      </c>
      <c r="P91" s="7" t="str">
        <f ca="1">'Database MK'!DI92</f>
        <v>Belum, Delay</v>
      </c>
      <c r="Q91" s="7" t="str">
        <f ca="1">'Database MK'!DN92</f>
        <v>Sudah, OnSchedule</v>
      </c>
      <c r="R91" s="7" t="str">
        <f ca="1">'Database MK'!DR92</f>
        <v>Sudah, OnSchedule</v>
      </c>
      <c r="S91" s="7" t="str">
        <f ca="1">'Database MK'!EA92</f>
        <v>Belum, Delay</v>
      </c>
      <c r="T91" s="7" t="str">
        <f ca="1">'Database MK'!EI92</f>
        <v>Belum, Delay</v>
      </c>
      <c r="U91" s="7" t="str">
        <f ca="1">'Database MK'!ET92</f>
        <v>Sudah, OnSchedule</v>
      </c>
      <c r="V91" s="7" t="str">
        <f ca="1">'Database MK'!GA92</f>
        <v>Belum, Delay</v>
      </c>
      <c r="W91" s="7" t="str">
        <f ca="1">'Database MK'!GD92</f>
        <v>Sudah, OnSchedule</v>
      </c>
      <c r="X91" s="7" t="str">
        <f ca="1">'Database MK'!GG92</f>
        <v>Sudah, OnSchedule</v>
      </c>
      <c r="Y91" s="7" t="str">
        <f ca="1">'Database MK'!GK92</f>
        <v>Sudah, OnSchedule</v>
      </c>
      <c r="Z91" s="7" t="str">
        <f ca="1">'Database MK'!HH92</f>
        <v>Sudah, OnSchedule</v>
      </c>
      <c r="AA91" s="7" t="str">
        <f ca="1">'Database MK'!HQ92</f>
        <v>Sudah, Delay</v>
      </c>
      <c r="AB91" s="7" t="str">
        <f ca="1">'Database MK'!HW92</f>
        <v>Sudah, Delay</v>
      </c>
      <c r="AC91" s="7">
        <f>'Database MK'!DA92-'Database MK'!DB92</f>
        <v>45466</v>
      </c>
      <c r="AD91" s="7">
        <f>'Database MK'!DA92-'Database MK'!DF92</f>
        <v>45466</v>
      </c>
      <c r="AE91" s="7">
        <f>'Database MK'!DK92-'Database MK'!DL92</f>
        <v>69</v>
      </c>
      <c r="AF91" s="7">
        <f>'Database MK'!DK92-'Database MK'!DO92</f>
        <v>61</v>
      </c>
      <c r="AG91" s="7">
        <f>'Database MK'!DU92-'Database MK'!DW92</f>
        <v>45508</v>
      </c>
      <c r="AH91" s="7" t="str">
        <f>IF('Database MK'!EB92="","Belum",'Database MK'!DU92-'Database MK'!EB92)</f>
        <v>Belum</v>
      </c>
      <c r="AI91" s="7">
        <f>IF('Database MK'!EN92="","Belum",'Database MK'!EL92-'Database MK'!EN92)</f>
        <v>4</v>
      </c>
      <c r="AJ91" s="7">
        <f>'Database MK'!FY92-'Database MK'!FZ92</f>
        <v>0</v>
      </c>
      <c r="AK91" s="7">
        <f>IF('Database MK'!GC92="","Belum",'Database MK'!GB92-'Database MK'!GC92)</f>
        <v>95</v>
      </c>
      <c r="AL91" s="7">
        <f>IF('Database MK'!GF92="","Belum",'Database MK'!GE92-'Database MK'!GF92)</f>
        <v>102</v>
      </c>
      <c r="AM91" s="309">
        <f>IF('Database MK'!GJ92="","Belum",'Database MK'!GI92-'Database MK'!GJ92)</f>
        <v>109</v>
      </c>
      <c r="AN91" s="7">
        <f>IF('Database MK'!HG92="","Belum",'Database MK'!HF92-'Database MK'!HG92)</f>
        <v>63</v>
      </c>
      <c r="AO91" s="7">
        <f>IF('Database MK'!HP92="","Belum",'Database MK'!HN92-'Database MK'!HP92)</f>
        <v>-88</v>
      </c>
      <c r="AP91" s="7">
        <f>IF('Database MK'!HV92="","Belum",'Database MK'!HT92-'Database MK'!HV92)</f>
        <v>-86</v>
      </c>
    </row>
    <row r="92" spans="2:42" hidden="1" x14ac:dyDescent="0.2">
      <c r="B92" s="7">
        <f>SUBTOTAL(3,$C$4:C92)</f>
        <v>74</v>
      </c>
      <c r="C92" s="299" t="s">
        <v>673</v>
      </c>
      <c r="D92" s="299" t="s">
        <v>701</v>
      </c>
      <c r="E92" s="299" t="s">
        <v>702</v>
      </c>
      <c r="F92" s="300">
        <v>45748</v>
      </c>
      <c r="G92" s="4" t="s">
        <v>247</v>
      </c>
      <c r="H92" s="4" t="str">
        <f ca="1">'Database MK'!Q93</f>
        <v>DPPP</v>
      </c>
      <c r="I92" s="24">
        <f>'Database MK'!S93</f>
        <v>1</v>
      </c>
      <c r="J92" s="24">
        <f>'Database MK'!T93</f>
        <v>1</v>
      </c>
      <c r="K92" s="603">
        <f>'Database MK'!U93</f>
        <v>0</v>
      </c>
      <c r="L92" s="593">
        <f>'Database MK'!V93</f>
        <v>103</v>
      </c>
      <c r="M92" s="593">
        <f>'Database MK'!W93</f>
        <v>103</v>
      </c>
      <c r="N92" s="593">
        <f>Table3[[#This Row],[Total Panjang Pipa Aktual]]-Table3[[#This Row],[Volume
BA MC-0]]</f>
        <v>0</v>
      </c>
      <c r="O92" s="7" t="str">
        <f ca="1">'Database MK'!DE93</f>
        <v>Belum, Delay</v>
      </c>
      <c r="P92" s="7" t="str">
        <f ca="1">'Database MK'!DI93</f>
        <v>Belum, Delay</v>
      </c>
      <c r="Q92" s="7" t="str">
        <f ca="1">'Database MK'!DN93</f>
        <v>Sudah, OnSchedule</v>
      </c>
      <c r="R92" s="7" t="str">
        <f ca="1">'Database MK'!DR93</f>
        <v>Sudah, OnSchedule</v>
      </c>
      <c r="S92" s="7" t="str">
        <f ca="1">'Database MK'!EA93</f>
        <v>Belum, Delay</v>
      </c>
      <c r="T92" s="7" t="str">
        <f ca="1">'Database MK'!EI93</f>
        <v>Belum, Delay</v>
      </c>
      <c r="U92" s="7" t="str">
        <f ca="1">'Database MK'!ET93</f>
        <v>Sudah, Delay</v>
      </c>
      <c r="V92" s="7" t="str">
        <f ca="1">'Database MK'!GA93</f>
        <v>Belum, Delay</v>
      </c>
      <c r="W92" s="7" t="str">
        <f ca="1">'Database MK'!GD93</f>
        <v>Sudah, OnSchedule</v>
      </c>
      <c r="X92" s="7" t="str">
        <f ca="1">'Database MK'!GG93</f>
        <v>Sudah, OnSchedule</v>
      </c>
      <c r="Y92" s="7" t="str">
        <f ca="1">'Database MK'!GK93</f>
        <v>Sudah, OnSchedule</v>
      </c>
      <c r="Z92" s="7" t="str">
        <f ca="1">'Database MK'!HH93</f>
        <v>Sudah, OnSchedule</v>
      </c>
      <c r="AA92" s="7" t="str">
        <f ca="1">'Database MK'!HQ93</f>
        <v>Sudah, Delay</v>
      </c>
      <c r="AB92" s="7" t="str">
        <f ca="1">'Database MK'!HW93</f>
        <v>Sudah, Delay</v>
      </c>
      <c r="AC92" s="7">
        <f>'Database MK'!DA93-'Database MK'!DB93</f>
        <v>45466</v>
      </c>
      <c r="AD92" s="7">
        <f>'Database MK'!DA93-'Database MK'!DF93</f>
        <v>45466</v>
      </c>
      <c r="AE92" s="7">
        <f>'Database MK'!DK93-'Database MK'!DL93</f>
        <v>69</v>
      </c>
      <c r="AF92" s="7">
        <f>'Database MK'!DK93-'Database MK'!DO93</f>
        <v>61</v>
      </c>
      <c r="AG92" s="7">
        <f>'Database MK'!DU93-'Database MK'!DW93</f>
        <v>45508</v>
      </c>
      <c r="AH92" s="7" t="str">
        <f>IF('Database MK'!EB93="","Belum",'Database MK'!DU93-'Database MK'!EB93)</f>
        <v>Belum</v>
      </c>
      <c r="AI92" s="7">
        <f>IF('Database MK'!EN93="","Belum",'Database MK'!EL93-'Database MK'!EN93)</f>
        <v>-540</v>
      </c>
      <c r="AJ92" s="7">
        <f>'Database MK'!FY93-'Database MK'!FZ93</f>
        <v>0</v>
      </c>
      <c r="AK92" s="7">
        <f>IF('Database MK'!GC93="","Belum",'Database MK'!GB93-'Database MK'!GC93)</f>
        <v>95</v>
      </c>
      <c r="AL92" s="7">
        <f>IF('Database MK'!GF93="","Belum",'Database MK'!GE93-'Database MK'!GF93)</f>
        <v>102</v>
      </c>
      <c r="AM92" s="309">
        <f>IF('Database MK'!GJ93="","Belum",'Database MK'!GI93-'Database MK'!GJ93)</f>
        <v>109</v>
      </c>
      <c r="AN92" s="7">
        <f>IF('Database MK'!HG93="","Belum",'Database MK'!HF93-'Database MK'!HG93)</f>
        <v>63</v>
      </c>
      <c r="AO92" s="7">
        <f>IF('Database MK'!HP93="","Belum",'Database MK'!HN93-'Database MK'!HP93)</f>
        <v>-88</v>
      </c>
      <c r="AP92" s="7">
        <f>IF('Database MK'!HV93="","Belum",'Database MK'!HT93-'Database MK'!HV93)</f>
        <v>-86</v>
      </c>
    </row>
    <row r="93" spans="2:42" hidden="1" x14ac:dyDescent="0.2">
      <c r="B93" s="7">
        <f>SUBTOTAL(3,$C$4:C93)</f>
        <v>74</v>
      </c>
      <c r="C93" s="299" t="s">
        <v>673</v>
      </c>
      <c r="D93" s="299" t="s">
        <v>705</v>
      </c>
      <c r="E93" s="299" t="s">
        <v>706</v>
      </c>
      <c r="F93" s="300">
        <v>45748</v>
      </c>
      <c r="G93" s="4" t="s">
        <v>247</v>
      </c>
      <c r="H93" s="4" t="str">
        <f ca="1">'Database MK'!Q94</f>
        <v>DPPP</v>
      </c>
      <c r="I93" s="24">
        <f>'Database MK'!S94</f>
        <v>1</v>
      </c>
      <c r="J93" s="24">
        <f>'Database MK'!T94</f>
        <v>1</v>
      </c>
      <c r="K93" s="603">
        <f>'Database MK'!U94</f>
        <v>0</v>
      </c>
      <c r="L93" s="593">
        <f>'Database MK'!V94</f>
        <v>262</v>
      </c>
      <c r="M93" s="593">
        <f>'Database MK'!W94</f>
        <v>262</v>
      </c>
      <c r="N93" s="593">
        <f>Table3[[#This Row],[Total Panjang Pipa Aktual]]-Table3[[#This Row],[Volume
BA MC-0]]</f>
        <v>0</v>
      </c>
      <c r="O93" s="7" t="str">
        <f ca="1">'Database MK'!DE94</f>
        <v>Belum, Delay</v>
      </c>
      <c r="P93" s="7" t="str">
        <f ca="1">'Database MK'!DI94</f>
        <v>Belum, Delay</v>
      </c>
      <c r="Q93" s="7" t="str">
        <f ca="1">'Database MK'!DN94</f>
        <v>Sudah, OnSchedule</v>
      </c>
      <c r="R93" s="7" t="str">
        <f ca="1">'Database MK'!DR94</f>
        <v>Sudah, OnSchedule</v>
      </c>
      <c r="S93" s="7" t="str">
        <f ca="1">'Database MK'!EA94</f>
        <v>Belum, Delay</v>
      </c>
      <c r="T93" s="7" t="str">
        <f ca="1">'Database MK'!EI94</f>
        <v>Belum, Delay</v>
      </c>
      <c r="U93" s="7" t="str">
        <f ca="1">'Database MK'!ET94</f>
        <v>Sudah, Delay</v>
      </c>
      <c r="V93" s="7" t="str">
        <f ca="1">'Database MK'!GA94</f>
        <v>Belum, Delay</v>
      </c>
      <c r="W93" s="7" t="str">
        <f ca="1">'Database MK'!GD94</f>
        <v>Sudah, OnSchedule</v>
      </c>
      <c r="X93" s="7" t="str">
        <f ca="1">'Database MK'!GG94</f>
        <v>Sudah, OnSchedule</v>
      </c>
      <c r="Y93" s="7" t="str">
        <f ca="1">'Database MK'!GK94</f>
        <v>Sudah, OnSchedule</v>
      </c>
      <c r="Z93" s="7" t="str">
        <f ca="1">'Database MK'!HH94</f>
        <v>Sudah, OnSchedule</v>
      </c>
      <c r="AA93" s="7" t="str">
        <f ca="1">'Database MK'!HQ94</f>
        <v>Sudah, Delay</v>
      </c>
      <c r="AB93" s="7" t="str">
        <f ca="1">'Database MK'!HW94</f>
        <v>Sudah, Delay</v>
      </c>
      <c r="AC93" s="7">
        <f>'Database MK'!DA94-'Database MK'!DB94</f>
        <v>45466</v>
      </c>
      <c r="AD93" s="7">
        <f>'Database MK'!DA94-'Database MK'!DF94</f>
        <v>45466</v>
      </c>
      <c r="AE93" s="7">
        <f>'Database MK'!DK94-'Database MK'!DL94</f>
        <v>69</v>
      </c>
      <c r="AF93" s="7">
        <f>'Database MK'!DK94-'Database MK'!DO94</f>
        <v>61</v>
      </c>
      <c r="AG93" s="7">
        <f>'Database MK'!DU94-'Database MK'!DW94</f>
        <v>45508</v>
      </c>
      <c r="AH93" s="7" t="str">
        <f>IF('Database MK'!EB94="","Belum",'Database MK'!DU94-'Database MK'!EB94)</f>
        <v>Belum</v>
      </c>
      <c r="AI93" s="7">
        <f>IF('Database MK'!EN94="","Belum",'Database MK'!EL94-'Database MK'!EN94)</f>
        <v>-540</v>
      </c>
      <c r="AJ93" s="7">
        <f>'Database MK'!FY94-'Database MK'!FZ94</f>
        <v>0</v>
      </c>
      <c r="AK93" s="7">
        <f>IF('Database MK'!GC94="","Belum",'Database MK'!GB94-'Database MK'!GC94)</f>
        <v>95</v>
      </c>
      <c r="AL93" s="7">
        <f>IF('Database MK'!GF94="","Belum",'Database MK'!GE94-'Database MK'!GF94)</f>
        <v>102</v>
      </c>
      <c r="AM93" s="309">
        <f>IF('Database MK'!GJ94="","Belum",'Database MK'!GI94-'Database MK'!GJ94)</f>
        <v>109</v>
      </c>
      <c r="AN93" s="7">
        <f>IF('Database MK'!HG94="","Belum",'Database MK'!HF94-'Database MK'!HG94)</f>
        <v>63</v>
      </c>
      <c r="AO93" s="7">
        <f>IF('Database MK'!HP94="","Belum",'Database MK'!HN94-'Database MK'!HP94)</f>
        <v>-88</v>
      </c>
      <c r="AP93" s="7">
        <f>IF('Database MK'!HV94="","Belum",'Database MK'!HT94-'Database MK'!HV94)</f>
        <v>-86</v>
      </c>
    </row>
    <row r="94" spans="2:42" hidden="1" x14ac:dyDescent="0.2">
      <c r="B94" s="7">
        <f>SUBTOTAL(3,$C$4:C94)</f>
        <v>74</v>
      </c>
      <c r="C94" s="299" t="s">
        <v>673</v>
      </c>
      <c r="D94" s="299" t="s">
        <v>709</v>
      </c>
      <c r="E94" s="299" t="s">
        <v>710</v>
      </c>
      <c r="F94" s="300">
        <v>45748</v>
      </c>
      <c r="G94" s="4" t="s">
        <v>247</v>
      </c>
      <c r="H94" s="4" t="str">
        <f ca="1">'Database MK'!Q95</f>
        <v>DPPP</v>
      </c>
      <c r="I94" s="24">
        <f>'Database MK'!S95</f>
        <v>1</v>
      </c>
      <c r="J94" s="24">
        <f>'Database MK'!T95</f>
        <v>1</v>
      </c>
      <c r="K94" s="603">
        <f>'Database MK'!U95</f>
        <v>0</v>
      </c>
      <c r="L94" s="593">
        <f>'Database MK'!V95</f>
        <v>57</v>
      </c>
      <c r="M94" s="593">
        <f>'Database MK'!W95</f>
        <v>283</v>
      </c>
      <c r="N94" s="593">
        <f>Table3[[#This Row],[Total Panjang Pipa Aktual]]-Table3[[#This Row],[Volume
BA MC-0]]</f>
        <v>226</v>
      </c>
      <c r="O94" s="7" t="str">
        <f ca="1">'Database MK'!DE95</f>
        <v>Belum, Delay</v>
      </c>
      <c r="P94" s="7" t="str">
        <f ca="1">'Database MK'!DI95</f>
        <v>Belum, Delay</v>
      </c>
      <c r="Q94" s="7" t="str">
        <f ca="1">'Database MK'!DN95</f>
        <v>Sudah, Delay</v>
      </c>
      <c r="R94" s="7" t="str">
        <f ca="1">'Database MK'!DR95</f>
        <v>Sudah, Delay</v>
      </c>
      <c r="S94" s="7" t="str">
        <f ca="1">'Database MK'!EA95</f>
        <v>Belum, Delay</v>
      </c>
      <c r="T94" s="7" t="str">
        <f ca="1">'Database MK'!EI95</f>
        <v>Belum, Delay</v>
      </c>
      <c r="U94" s="7" t="str">
        <f ca="1">'Database MK'!ET95</f>
        <v>Sudah, Delay</v>
      </c>
      <c r="V94" s="7" t="str">
        <f ca="1">'Database MK'!GA95</f>
        <v>Belum, Delay</v>
      </c>
      <c r="W94" s="7" t="str">
        <f ca="1">'Database MK'!GD95</f>
        <v>Sudah, OnSchedule</v>
      </c>
      <c r="X94" s="7" t="str">
        <f ca="1">'Database MK'!GG95</f>
        <v>Sudah, OnSchedule</v>
      </c>
      <c r="Y94" s="7" t="str">
        <f ca="1">'Database MK'!GK95</f>
        <v>Sudah, OnSchedule</v>
      </c>
      <c r="Z94" s="7" t="str">
        <f ca="1">'Database MK'!HH95</f>
        <v>Sudah, Delay</v>
      </c>
      <c r="AA94" s="7" t="str">
        <f ca="1">'Database MK'!HQ95</f>
        <v>Sudah, Delay</v>
      </c>
      <c r="AB94" s="7" t="str">
        <f ca="1">'Database MK'!HW95</f>
        <v>Sudah, Delay</v>
      </c>
      <c r="AC94" s="7">
        <f>'Database MK'!DA95-'Database MK'!DB95</f>
        <v>45438</v>
      </c>
      <c r="AD94" s="7">
        <f>'Database MK'!DA95-'Database MK'!DF95</f>
        <v>45438</v>
      </c>
      <c r="AE94" s="7">
        <f>'Database MK'!DK95-'Database MK'!DL95</f>
        <v>-164</v>
      </c>
      <c r="AF94" s="7">
        <f>'Database MK'!DK95-'Database MK'!DO95</f>
        <v>-312</v>
      </c>
      <c r="AG94" s="7">
        <f>'Database MK'!DU95-'Database MK'!DW95</f>
        <v>45480</v>
      </c>
      <c r="AH94" s="7" t="str">
        <f>IF('Database MK'!EB95="","Belum",'Database MK'!DU95-'Database MK'!EB95)</f>
        <v>Belum</v>
      </c>
      <c r="AI94" s="7">
        <f>IF('Database MK'!EN95="","Belum",'Database MK'!EL95-'Database MK'!EN95)</f>
        <v>-352</v>
      </c>
      <c r="AJ94" s="7">
        <f>'Database MK'!FY95-'Database MK'!FZ95</f>
        <v>0</v>
      </c>
      <c r="AK94" s="7">
        <f>IF('Database MK'!GC95="","Belum",'Database MK'!GB95-'Database MK'!GC95)</f>
        <v>124</v>
      </c>
      <c r="AL94" s="7">
        <f>IF('Database MK'!GF95="","Belum",'Database MK'!GE95-'Database MK'!GF95)</f>
        <v>131</v>
      </c>
      <c r="AM94" s="309">
        <f>IF('Database MK'!GJ95="","Belum",'Database MK'!GI95-'Database MK'!GJ95)</f>
        <v>135</v>
      </c>
      <c r="AN94" s="7">
        <f>IF('Database MK'!HG95="","Belum",'Database MK'!HF95-'Database MK'!HG95)</f>
        <v>-176</v>
      </c>
      <c r="AO94" s="7">
        <f>IF('Database MK'!HP95="","Belum",'Database MK'!HN95-'Database MK'!HP95)</f>
        <v>-178</v>
      </c>
      <c r="AP94" s="7">
        <f>IF('Database MK'!HV95="","Belum",'Database MK'!HT95-'Database MK'!HV95)</f>
        <v>-176</v>
      </c>
    </row>
    <row r="95" spans="2:42" hidden="1" x14ac:dyDescent="0.2">
      <c r="B95" s="7">
        <f>SUBTOTAL(3,$C$4:C95)</f>
        <v>74</v>
      </c>
      <c r="C95" s="299" t="s">
        <v>673</v>
      </c>
      <c r="D95" s="299" t="s">
        <v>714</v>
      </c>
      <c r="E95" s="299" t="s">
        <v>715</v>
      </c>
      <c r="F95" s="300">
        <v>45748</v>
      </c>
      <c r="G95" s="4" t="s">
        <v>247</v>
      </c>
      <c r="H95" s="4" t="str">
        <f ca="1">'Database MK'!Q96</f>
        <v>DPPP</v>
      </c>
      <c r="I95" s="24">
        <f>'Database MK'!S96</f>
        <v>1</v>
      </c>
      <c r="J95" s="24">
        <f>'Database MK'!T96</f>
        <v>1</v>
      </c>
      <c r="K95" s="603">
        <f>'Database MK'!U96</f>
        <v>0</v>
      </c>
      <c r="L95" s="593">
        <f>'Database MK'!V96</f>
        <v>42</v>
      </c>
      <c r="M95" s="593">
        <f>'Database MK'!W96</f>
        <v>44</v>
      </c>
      <c r="N95" s="593">
        <f>Table3[[#This Row],[Total Panjang Pipa Aktual]]-Table3[[#This Row],[Volume
BA MC-0]]</f>
        <v>2</v>
      </c>
      <c r="O95" s="7" t="str">
        <f ca="1">'Database MK'!DE96</f>
        <v>Belum, Delay</v>
      </c>
      <c r="P95" s="7" t="str">
        <f ca="1">'Database MK'!DI96</f>
        <v>Belum, Delay</v>
      </c>
      <c r="Q95" s="7" t="str">
        <f ca="1">'Database MK'!DN96</f>
        <v>Sudah, OnSchedule</v>
      </c>
      <c r="R95" s="7" t="str">
        <f ca="1">'Database MK'!DR96</f>
        <v>Sudah, OnSchedule</v>
      </c>
      <c r="S95" s="7" t="str">
        <f ca="1">'Database MK'!EA96</f>
        <v>Belum, Delay</v>
      </c>
      <c r="T95" s="7" t="str">
        <f ca="1">'Database MK'!EI96</f>
        <v>Belum, Delay</v>
      </c>
      <c r="U95" s="7" t="str">
        <f ca="1">'Database MK'!ET96</f>
        <v>Sudah, Delay</v>
      </c>
      <c r="V95" s="7" t="str">
        <f ca="1">'Database MK'!GA96</f>
        <v>Belum, Delay</v>
      </c>
      <c r="W95" s="7" t="str">
        <f ca="1">'Database MK'!GD96</f>
        <v>Sudah, OnSchedule</v>
      </c>
      <c r="X95" s="7" t="str">
        <f ca="1">'Database MK'!GG96</f>
        <v>Sudah, OnSchedule</v>
      </c>
      <c r="Y95" s="7" t="str">
        <f ca="1">'Database MK'!GK96</f>
        <v>Sudah, OnSchedule</v>
      </c>
      <c r="Z95" s="7" t="str">
        <f ca="1">'Database MK'!HH96</f>
        <v>Sudah, Delay</v>
      </c>
      <c r="AA95" s="7" t="str">
        <f ca="1">'Database MK'!HQ96</f>
        <v>Sudah, Delay</v>
      </c>
      <c r="AB95" s="7" t="str">
        <f ca="1">'Database MK'!HW96</f>
        <v>Sudah, Delay</v>
      </c>
      <c r="AC95" s="7">
        <f>'Database MK'!DA96-'Database MK'!DB96</f>
        <v>45438</v>
      </c>
      <c r="AD95" s="7">
        <f>'Database MK'!DA96-'Database MK'!DF96</f>
        <v>45438</v>
      </c>
      <c r="AE95" s="7">
        <f>'Database MK'!DK96-'Database MK'!DL96</f>
        <v>75</v>
      </c>
      <c r="AF95" s="7">
        <f>'Database MK'!DK96-'Database MK'!DO96</f>
        <v>62</v>
      </c>
      <c r="AG95" s="7">
        <f>'Database MK'!DU96-'Database MK'!DW96</f>
        <v>45480</v>
      </c>
      <c r="AH95" s="7" t="str">
        <f>IF('Database MK'!EB96="","Belum",'Database MK'!DU96-'Database MK'!EB96)</f>
        <v>Belum</v>
      </c>
      <c r="AI95" s="7">
        <f>IF('Database MK'!EN96="","Belum",'Database MK'!EL96-'Database MK'!EN96)</f>
        <v>-431</v>
      </c>
      <c r="AJ95" s="7">
        <f>'Database MK'!FY96-'Database MK'!FZ96</f>
        <v>0</v>
      </c>
      <c r="AK95" s="7">
        <f>IF('Database MK'!GC96="","Belum",'Database MK'!GB96-'Database MK'!GC96)</f>
        <v>124</v>
      </c>
      <c r="AL95" s="7">
        <f>IF('Database MK'!GF96="","Belum",'Database MK'!GE96-'Database MK'!GF96)</f>
        <v>131</v>
      </c>
      <c r="AM95" s="309">
        <f>IF('Database MK'!GJ96="","Belum",'Database MK'!GI96-'Database MK'!GJ96)</f>
        <v>135</v>
      </c>
      <c r="AN95" s="7">
        <f>IF('Database MK'!HG96="","Belum",'Database MK'!HF96-'Database MK'!HG96)</f>
        <v>-17</v>
      </c>
      <c r="AO95" s="7">
        <f>IF('Database MK'!HP96="","Belum",'Database MK'!HN96-'Database MK'!HP96)</f>
        <v>-178</v>
      </c>
      <c r="AP95" s="7">
        <f>IF('Database MK'!HV96="","Belum",'Database MK'!HT96-'Database MK'!HV96)</f>
        <v>-176</v>
      </c>
    </row>
    <row r="96" spans="2:42" hidden="1" x14ac:dyDescent="0.2">
      <c r="B96" s="7">
        <f>SUBTOTAL(3,$C$4:C96)</f>
        <v>74</v>
      </c>
      <c r="C96" s="299" t="s">
        <v>673</v>
      </c>
      <c r="D96" s="299" t="s">
        <v>718</v>
      </c>
      <c r="E96" s="299" t="s">
        <v>719</v>
      </c>
      <c r="F96" s="300">
        <v>45748</v>
      </c>
      <c r="G96" s="4" t="s">
        <v>247</v>
      </c>
      <c r="H96" s="4" t="str">
        <f ca="1">'Database MK'!Q97</f>
        <v>DPPP</v>
      </c>
      <c r="I96" s="24">
        <f>'Database MK'!S97</f>
        <v>1</v>
      </c>
      <c r="J96" s="24">
        <f>'Database MK'!T97</f>
        <v>1</v>
      </c>
      <c r="K96" s="603">
        <f>'Database MK'!U97</f>
        <v>0</v>
      </c>
      <c r="L96" s="593">
        <f>'Database MK'!V97</f>
        <v>447</v>
      </c>
      <c r="M96" s="593">
        <f>'Database MK'!W97</f>
        <v>533</v>
      </c>
      <c r="N96" s="593">
        <f>Table3[[#This Row],[Total Panjang Pipa Aktual]]-Table3[[#This Row],[Volume
BA MC-0]]</f>
        <v>86</v>
      </c>
      <c r="O96" s="7" t="str">
        <f ca="1">'Database MK'!DE97</f>
        <v>Belum, Delay</v>
      </c>
      <c r="P96" s="7" t="str">
        <f ca="1">'Database MK'!DI97</f>
        <v>Belum, Delay</v>
      </c>
      <c r="Q96" s="7" t="str">
        <f ca="1">'Database MK'!DN97</f>
        <v>Sudah, OnSchedule</v>
      </c>
      <c r="R96" s="7" t="str">
        <f ca="1">'Database MK'!DR97</f>
        <v>Sudah, OnSchedule</v>
      </c>
      <c r="S96" s="7" t="str">
        <f ca="1">'Database MK'!EA97</f>
        <v>Belum, Delay</v>
      </c>
      <c r="T96" s="7" t="str">
        <f ca="1">'Database MK'!EI97</f>
        <v>Belum, Delay</v>
      </c>
      <c r="U96" s="7" t="str">
        <f ca="1">'Database MK'!ET97</f>
        <v>Sudah, OnSchedule</v>
      </c>
      <c r="V96" s="7" t="str">
        <f ca="1">'Database MK'!GA97</f>
        <v>Belum, Delay</v>
      </c>
      <c r="W96" s="7" t="str">
        <f ca="1">'Database MK'!GD97</f>
        <v>Sudah, OnSchedule</v>
      </c>
      <c r="X96" s="7" t="str">
        <f ca="1">'Database MK'!GG97</f>
        <v>Sudah, OnSchedule</v>
      </c>
      <c r="Y96" s="7" t="str">
        <f ca="1">'Database MK'!GK97</f>
        <v>Sudah, OnSchedule</v>
      </c>
      <c r="Z96" s="7" t="str">
        <f ca="1">'Database MK'!HH97</f>
        <v>Sudah, Delay</v>
      </c>
      <c r="AA96" s="7" t="str">
        <f ca="1">'Database MK'!HQ97</f>
        <v>Sudah, Delay</v>
      </c>
      <c r="AB96" s="7" t="str">
        <f ca="1">'Database MK'!HW97</f>
        <v>Sudah, Delay</v>
      </c>
      <c r="AC96" s="7">
        <f>'Database MK'!DA97-'Database MK'!DB97</f>
        <v>45438</v>
      </c>
      <c r="AD96" s="7">
        <f>'Database MK'!DA97-'Database MK'!DF97</f>
        <v>45438</v>
      </c>
      <c r="AE96" s="7">
        <f>'Database MK'!DK97-'Database MK'!DL97</f>
        <v>75</v>
      </c>
      <c r="AF96" s="7">
        <f>'Database MK'!DK97-'Database MK'!DO97</f>
        <v>62</v>
      </c>
      <c r="AG96" s="7">
        <f>'Database MK'!DU97-'Database MK'!DW97</f>
        <v>45480</v>
      </c>
      <c r="AH96" s="7" t="str">
        <f>IF('Database MK'!EB97="","Belum",'Database MK'!DU97-'Database MK'!EB97)</f>
        <v>Belum</v>
      </c>
      <c r="AI96" s="7">
        <f>IF('Database MK'!EN97="","Belum",'Database MK'!EL97-'Database MK'!EN97)</f>
        <v>6</v>
      </c>
      <c r="AJ96" s="7">
        <f>'Database MK'!FY97-'Database MK'!FZ97</f>
        <v>0</v>
      </c>
      <c r="AK96" s="7">
        <f>IF('Database MK'!GC97="","Belum",'Database MK'!GB97-'Database MK'!GC97)</f>
        <v>124</v>
      </c>
      <c r="AL96" s="7">
        <f>IF('Database MK'!GF97="","Belum",'Database MK'!GE97-'Database MK'!GF97)</f>
        <v>131</v>
      </c>
      <c r="AM96" s="309">
        <f>IF('Database MK'!GJ97="","Belum",'Database MK'!GI97-'Database MK'!GJ97)</f>
        <v>136</v>
      </c>
      <c r="AN96" s="7">
        <f>IF('Database MK'!HG97="","Belum",'Database MK'!HF97-'Database MK'!HG97)</f>
        <v>-16</v>
      </c>
      <c r="AO96" s="7">
        <f>IF('Database MK'!HP97="","Belum",'Database MK'!HN97-'Database MK'!HP97)</f>
        <v>-179</v>
      </c>
      <c r="AP96" s="7">
        <f>IF('Database MK'!HV97="","Belum",'Database MK'!HT97-'Database MK'!HV97)</f>
        <v>-177</v>
      </c>
    </row>
    <row r="97" spans="2:42" hidden="1" x14ac:dyDescent="0.2">
      <c r="B97" s="7">
        <f>SUBTOTAL(3,$C$4:C97)</f>
        <v>74</v>
      </c>
      <c r="C97" s="299" t="s">
        <v>673</v>
      </c>
      <c r="D97" s="299" t="s">
        <v>723</v>
      </c>
      <c r="E97" s="299" t="s">
        <v>724</v>
      </c>
      <c r="F97" s="300">
        <v>45748</v>
      </c>
      <c r="G97" s="4" t="s">
        <v>247</v>
      </c>
      <c r="H97" s="4" t="str">
        <f ca="1">'Database MK'!Q98</f>
        <v>DPPP</v>
      </c>
      <c r="I97" s="24">
        <f>'Database MK'!S98</f>
        <v>1</v>
      </c>
      <c r="J97" s="24">
        <f>'Database MK'!T98</f>
        <v>1</v>
      </c>
      <c r="K97" s="603">
        <f>'Database MK'!U98</f>
        <v>0</v>
      </c>
      <c r="L97" s="593">
        <f>'Database MK'!V98</f>
        <v>125</v>
      </c>
      <c r="M97" s="593">
        <f>'Database MK'!W98</f>
        <v>125</v>
      </c>
      <c r="N97" s="593">
        <f>Table3[[#This Row],[Total Panjang Pipa Aktual]]-Table3[[#This Row],[Volume
BA MC-0]]</f>
        <v>0</v>
      </c>
      <c r="O97" s="7" t="str">
        <f ca="1">'Database MK'!DE98</f>
        <v>Belum, Delay</v>
      </c>
      <c r="P97" s="7" t="str">
        <f ca="1">'Database MK'!DI98</f>
        <v>Belum, Delay</v>
      </c>
      <c r="Q97" s="7" t="str">
        <f ca="1">'Database MK'!DN98</f>
        <v>Belum, Delay</v>
      </c>
      <c r="R97" s="7" t="str">
        <f ca="1">'Database MK'!DR98</f>
        <v>Belum, Delay</v>
      </c>
      <c r="S97" s="7" t="str">
        <f ca="1">'Database MK'!EA98</f>
        <v>Belum, Delay</v>
      </c>
      <c r="T97" s="7" t="str">
        <f ca="1">'Database MK'!EI98</f>
        <v>Belum, Delay</v>
      </c>
      <c r="U97" s="7" t="str">
        <f ca="1">'Database MK'!ET98</f>
        <v>Belum, Delay</v>
      </c>
      <c r="V97" s="7" t="str">
        <f ca="1">'Database MK'!GA98</f>
        <v>Belum, Delay</v>
      </c>
      <c r="W97" s="7" t="str">
        <f ca="1">'Database MK'!GD98</f>
        <v>Sudah, OnSchedule</v>
      </c>
      <c r="X97" s="7" t="str">
        <f ca="1">'Database MK'!GG98</f>
        <v>Sudah, OnSchedule</v>
      </c>
      <c r="Y97" s="7" t="str">
        <f ca="1">'Database MK'!GK98</f>
        <v>Sudah, OnSchedule</v>
      </c>
      <c r="Z97" s="7" t="str">
        <f ca="1">'Database MK'!HH98</f>
        <v>Sudah, Delay</v>
      </c>
      <c r="AA97" s="7" t="str">
        <f ca="1">'Database MK'!HQ98</f>
        <v>Sudah, Delay</v>
      </c>
      <c r="AB97" s="7" t="str">
        <f ca="1">'Database MK'!HW98</f>
        <v>Sudah, Delay</v>
      </c>
      <c r="AC97" s="7">
        <f>'Database MK'!DA98-'Database MK'!DB98</f>
        <v>45438</v>
      </c>
      <c r="AD97" s="7">
        <f>'Database MK'!DA98-'Database MK'!DF98</f>
        <v>45438</v>
      </c>
      <c r="AE97" s="7">
        <f>'Database MK'!DK98-'Database MK'!DL98</f>
        <v>45480</v>
      </c>
      <c r="AF97" s="7">
        <f>'Database MK'!DK98-'Database MK'!DO98</f>
        <v>45480</v>
      </c>
      <c r="AG97" s="7">
        <f>'Database MK'!DU98-'Database MK'!DW98</f>
        <v>45480</v>
      </c>
      <c r="AH97" s="7" t="str">
        <f>IF('Database MK'!EB98="","Belum",'Database MK'!DU98-'Database MK'!EB98)</f>
        <v>Belum</v>
      </c>
      <c r="AI97" s="7" t="str">
        <f>IF('Database MK'!EN98="","Belum",'Database MK'!EL98-'Database MK'!EN98)</f>
        <v>Belum</v>
      </c>
      <c r="AJ97" s="7">
        <f>'Database MK'!FY98-'Database MK'!FZ98</f>
        <v>0</v>
      </c>
      <c r="AK97" s="7">
        <f>IF('Database MK'!GC98="","Belum",'Database MK'!GB98-'Database MK'!GC98)</f>
        <v>60</v>
      </c>
      <c r="AL97" s="7">
        <f>IF('Database MK'!GF98="","Belum",'Database MK'!GE98-'Database MK'!GF98)</f>
        <v>67</v>
      </c>
      <c r="AM97" s="309">
        <f>IF('Database MK'!GJ98="","Belum",'Database MK'!GI98-'Database MK'!GJ98)</f>
        <v>74</v>
      </c>
      <c r="AN97" s="7">
        <f>IF('Database MK'!HG98="","Belum",'Database MK'!HF98-'Database MK'!HG98)</f>
        <v>-23</v>
      </c>
      <c r="AO97" s="7">
        <f>IF('Database MK'!HP98="","Belum",'Database MK'!HN98-'Database MK'!HP98)</f>
        <v>-180</v>
      </c>
      <c r="AP97" s="7">
        <f>IF('Database MK'!HV98="","Belum",'Database MK'!HT98-'Database MK'!HV98)</f>
        <v>-178</v>
      </c>
    </row>
    <row r="98" spans="2:42" hidden="1" x14ac:dyDescent="0.2">
      <c r="B98" s="7">
        <f>SUBTOTAL(3,$C$4:C98)</f>
        <v>74</v>
      </c>
      <c r="C98" s="299" t="s">
        <v>673</v>
      </c>
      <c r="D98" s="299" t="s">
        <v>726</v>
      </c>
      <c r="E98" s="299" t="s">
        <v>727</v>
      </c>
      <c r="F98" s="300">
        <v>45748</v>
      </c>
      <c r="G98" s="4" t="s">
        <v>247</v>
      </c>
      <c r="H98" s="4" t="str">
        <f ca="1">'Database MK'!Q99</f>
        <v>DPPP</v>
      </c>
      <c r="I98" s="24">
        <f>'Database MK'!S99</f>
        <v>1</v>
      </c>
      <c r="J98" s="24">
        <f>'Database MK'!T99</f>
        <v>1</v>
      </c>
      <c r="K98" s="603">
        <f>'Database MK'!U99</f>
        <v>0</v>
      </c>
      <c r="L98" s="593">
        <f>'Database MK'!V99</f>
        <v>397</v>
      </c>
      <c r="M98" s="593">
        <f>'Database MK'!W99</f>
        <v>397</v>
      </c>
      <c r="N98" s="593">
        <f>Table3[[#This Row],[Total Panjang Pipa Aktual]]-Table3[[#This Row],[Volume
BA MC-0]]</f>
        <v>0</v>
      </c>
      <c r="O98" s="7" t="str">
        <f ca="1">'Database MK'!DE99</f>
        <v>Belum, Delay</v>
      </c>
      <c r="P98" s="7" t="str">
        <f ca="1">'Database MK'!DI99</f>
        <v>Belum, Delay</v>
      </c>
      <c r="Q98" s="7" t="str">
        <f ca="1">'Database MK'!DN99</f>
        <v>Sudah, OnSchedule</v>
      </c>
      <c r="R98" s="7" t="str">
        <f ca="1">'Database MK'!DR99</f>
        <v>Sudah, OnSchedule</v>
      </c>
      <c r="S98" s="7" t="str">
        <f ca="1">'Database MK'!EA99</f>
        <v>Belum, Delay</v>
      </c>
      <c r="T98" s="7" t="str">
        <f ca="1">'Database MK'!EI99</f>
        <v>Belum, Delay</v>
      </c>
      <c r="U98" s="7" t="str">
        <f ca="1">'Database MK'!ET99</f>
        <v>Sudah, OnSchedule</v>
      </c>
      <c r="V98" s="7" t="str">
        <f ca="1">'Database MK'!GA99</f>
        <v>Belum, Delay</v>
      </c>
      <c r="W98" s="7" t="str">
        <f ca="1">'Database MK'!GD99</f>
        <v>Sudah, OnSchedule</v>
      </c>
      <c r="X98" s="7" t="str">
        <f ca="1">'Database MK'!GG99</f>
        <v>Sudah, OnSchedule</v>
      </c>
      <c r="Y98" s="7" t="str">
        <f ca="1">'Database MK'!GK99</f>
        <v>Sudah, OnSchedule</v>
      </c>
      <c r="Z98" s="7" t="str">
        <f ca="1">'Database MK'!HH99</f>
        <v>Sudah, OnSchedule</v>
      </c>
      <c r="AA98" s="7" t="str">
        <f ca="1">'Database MK'!HQ99</f>
        <v>Sudah, Delay</v>
      </c>
      <c r="AB98" s="7" t="str">
        <f ca="1">'Database MK'!HW99</f>
        <v>Sudah, Delay</v>
      </c>
      <c r="AC98" s="7">
        <f>'Database MK'!DA99-'Database MK'!DB99</f>
        <v>45466</v>
      </c>
      <c r="AD98" s="7">
        <f>'Database MK'!DA99-'Database MK'!DF99</f>
        <v>45466</v>
      </c>
      <c r="AE98" s="7">
        <f>'Database MK'!DK99-'Database MK'!DL99</f>
        <v>69</v>
      </c>
      <c r="AF98" s="7">
        <f>'Database MK'!DK99-'Database MK'!DO99</f>
        <v>61</v>
      </c>
      <c r="AG98" s="7">
        <f>'Database MK'!DU99-'Database MK'!DW99</f>
        <v>45508</v>
      </c>
      <c r="AH98" s="7" t="str">
        <f>IF('Database MK'!EB99="","Belum",'Database MK'!DU99-'Database MK'!EB99)</f>
        <v>Belum</v>
      </c>
      <c r="AI98" s="7">
        <f>IF('Database MK'!EN99="","Belum",'Database MK'!EL99-'Database MK'!EN99)</f>
        <v>4</v>
      </c>
      <c r="AJ98" s="7">
        <f>'Database MK'!FY99-'Database MK'!FZ99</f>
        <v>0</v>
      </c>
      <c r="AK98" s="7">
        <f>IF('Database MK'!GC99="","Belum",'Database MK'!GB99-'Database MK'!GC99)</f>
        <v>95</v>
      </c>
      <c r="AL98" s="7">
        <f>IF('Database MK'!GF99="","Belum",'Database MK'!GE99-'Database MK'!GF99)</f>
        <v>102</v>
      </c>
      <c r="AM98" s="309">
        <f>IF('Database MK'!GJ99="","Belum",'Database MK'!GI99-'Database MK'!GJ99)</f>
        <v>109</v>
      </c>
      <c r="AN98" s="7">
        <f>IF('Database MK'!HG99="","Belum",'Database MK'!HF99-'Database MK'!HG99)</f>
        <v>57</v>
      </c>
      <c r="AO98" s="7">
        <f>IF('Database MK'!HP99="","Belum",'Database MK'!HN99-'Database MK'!HP99)</f>
        <v>-87</v>
      </c>
      <c r="AP98" s="7">
        <f>IF('Database MK'!HV99="","Belum",'Database MK'!HT99-'Database MK'!HV99)</f>
        <v>-85</v>
      </c>
    </row>
    <row r="99" spans="2:42" hidden="1" x14ac:dyDescent="0.2">
      <c r="B99" s="7">
        <f>SUBTOTAL(3,$C$4:C99)</f>
        <v>74</v>
      </c>
      <c r="C99" s="299" t="s">
        <v>673</v>
      </c>
      <c r="D99" s="299" t="s">
        <v>730</v>
      </c>
      <c r="E99" s="299" t="s">
        <v>731</v>
      </c>
      <c r="F99" s="300">
        <v>45748</v>
      </c>
      <c r="G99" s="4" t="s">
        <v>247</v>
      </c>
      <c r="H99" s="4" t="str">
        <f ca="1">'Database MK'!Q100</f>
        <v>DPPP</v>
      </c>
      <c r="I99" s="24">
        <f>'Database MK'!S100</f>
        <v>1</v>
      </c>
      <c r="J99" s="24">
        <f>'Database MK'!T100</f>
        <v>1</v>
      </c>
      <c r="K99" s="603">
        <f>'Database MK'!U100</f>
        <v>0</v>
      </c>
      <c r="L99" s="593">
        <f>'Database MK'!V100</f>
        <v>124</v>
      </c>
      <c r="M99" s="593">
        <f>'Database MK'!W100</f>
        <v>126</v>
      </c>
      <c r="N99" s="593">
        <f>Table3[[#This Row],[Total Panjang Pipa Aktual]]-Table3[[#This Row],[Volume
BA MC-0]]</f>
        <v>2</v>
      </c>
      <c r="O99" s="7" t="str">
        <f ca="1">'Database MK'!DE100</f>
        <v>Belum, Delay</v>
      </c>
      <c r="P99" s="7" t="str">
        <f ca="1">'Database MK'!DI100</f>
        <v>Belum, Delay</v>
      </c>
      <c r="Q99" s="7" t="str">
        <f ca="1">'Database MK'!DN100</f>
        <v>Sudah, OnSchedule</v>
      </c>
      <c r="R99" s="7" t="str">
        <f ca="1">'Database MK'!DR100</f>
        <v>Sudah, OnSchedule</v>
      </c>
      <c r="S99" s="7" t="str">
        <f ca="1">'Database MK'!EA100</f>
        <v>Belum, Delay</v>
      </c>
      <c r="T99" s="7" t="str">
        <f ca="1">'Database MK'!EI100</f>
        <v>Belum, Delay</v>
      </c>
      <c r="U99" s="7" t="str">
        <f ca="1">'Database MK'!ET100</f>
        <v>Sudah, OnSchedule</v>
      </c>
      <c r="V99" s="7" t="str">
        <f ca="1">'Database MK'!GA100</f>
        <v>Belum, Delay</v>
      </c>
      <c r="W99" s="7" t="str">
        <f ca="1">'Database MK'!GD100</f>
        <v>Sudah, OnSchedule</v>
      </c>
      <c r="X99" s="7" t="str">
        <f ca="1">'Database MK'!GG100</f>
        <v>Sudah, OnSchedule</v>
      </c>
      <c r="Y99" s="7" t="str">
        <f ca="1">'Database MK'!GK100</f>
        <v>Sudah, OnSchedule</v>
      </c>
      <c r="Z99" s="7" t="str">
        <f ca="1">'Database MK'!HH100</f>
        <v>Sudah, Delay</v>
      </c>
      <c r="AA99" s="7" t="str">
        <f ca="1">'Database MK'!HQ100</f>
        <v>Sudah, Delay</v>
      </c>
      <c r="AB99" s="7" t="str">
        <f ca="1">'Database MK'!HW100</f>
        <v>Sudah, Delay</v>
      </c>
      <c r="AC99" s="7">
        <f>'Database MK'!DA100-'Database MK'!DB100</f>
        <v>45438</v>
      </c>
      <c r="AD99" s="7">
        <f>'Database MK'!DA100-'Database MK'!DF100</f>
        <v>45438</v>
      </c>
      <c r="AE99" s="7">
        <f>'Database MK'!DK100-'Database MK'!DL100</f>
        <v>41</v>
      </c>
      <c r="AF99" s="7">
        <f>'Database MK'!DK100-'Database MK'!DO100</f>
        <v>33</v>
      </c>
      <c r="AG99" s="7">
        <f>'Database MK'!DU100-'Database MK'!DW100</f>
        <v>45480</v>
      </c>
      <c r="AH99" s="7" t="str">
        <f>IF('Database MK'!EB100="","Belum",'Database MK'!DU100-'Database MK'!EB100)</f>
        <v>Belum</v>
      </c>
      <c r="AI99" s="7">
        <f>IF('Database MK'!EN100="","Belum",'Database MK'!EL100-'Database MK'!EN100)</f>
        <v>2</v>
      </c>
      <c r="AJ99" s="7">
        <f>'Database MK'!FY100-'Database MK'!FZ100</f>
        <v>0</v>
      </c>
      <c r="AK99" s="7">
        <f>IF('Database MK'!GC100="","Belum",'Database MK'!GB100-'Database MK'!GC100)</f>
        <v>60</v>
      </c>
      <c r="AL99" s="7">
        <f>IF('Database MK'!GF100="","Belum",'Database MK'!GE100-'Database MK'!GF100)</f>
        <v>67</v>
      </c>
      <c r="AM99" s="309">
        <f>IF('Database MK'!GJ100="","Belum",'Database MK'!GI100-'Database MK'!GJ100)</f>
        <v>74</v>
      </c>
      <c r="AN99" s="7">
        <f>IF('Database MK'!HG100="","Belum",'Database MK'!HF100-'Database MK'!HG100)</f>
        <v>-23</v>
      </c>
      <c r="AO99" s="7">
        <f>IF('Database MK'!HP100="","Belum",'Database MK'!HN100-'Database MK'!HP100)</f>
        <v>-179</v>
      </c>
      <c r="AP99" s="7">
        <f>IF('Database MK'!HV100="","Belum",'Database MK'!HT100-'Database MK'!HV100)</f>
        <v>-177</v>
      </c>
    </row>
    <row r="100" spans="2:42" hidden="1" x14ac:dyDescent="0.2">
      <c r="B100" s="7">
        <f>SUBTOTAL(3,$C$4:C100)</f>
        <v>74</v>
      </c>
      <c r="C100" s="299" t="s">
        <v>673</v>
      </c>
      <c r="D100" s="299" t="s">
        <v>734</v>
      </c>
      <c r="E100" s="299" t="s">
        <v>735</v>
      </c>
      <c r="F100" s="300">
        <v>45748</v>
      </c>
      <c r="G100" s="4" t="s">
        <v>247</v>
      </c>
      <c r="H100" s="4" t="str">
        <f ca="1">'Database MK'!Q101</f>
        <v>DPPP</v>
      </c>
      <c r="I100" s="24">
        <f>'Database MK'!S101</f>
        <v>1</v>
      </c>
      <c r="J100" s="24">
        <f>'Database MK'!T101</f>
        <v>1</v>
      </c>
      <c r="K100" s="603">
        <f>'Database MK'!U101</f>
        <v>0</v>
      </c>
      <c r="L100" s="593">
        <f>'Database MK'!V101</f>
        <v>279</v>
      </c>
      <c r="M100" s="593">
        <f>'Database MK'!W101</f>
        <v>316</v>
      </c>
      <c r="N100" s="593">
        <f>Table3[[#This Row],[Total Panjang Pipa Aktual]]-Table3[[#This Row],[Volume
BA MC-0]]</f>
        <v>37</v>
      </c>
      <c r="O100" s="7" t="str">
        <f ca="1">'Database MK'!DE101</f>
        <v>Belum, Delay</v>
      </c>
      <c r="P100" s="7" t="str">
        <f ca="1">'Database MK'!DI101</f>
        <v>Belum, Delay</v>
      </c>
      <c r="Q100" s="7" t="str">
        <f ca="1">'Database MK'!DN101</f>
        <v>Sudah, OnSchedule</v>
      </c>
      <c r="R100" s="7" t="str">
        <f ca="1">'Database MK'!DR101</f>
        <v>Sudah, Delay</v>
      </c>
      <c r="S100" s="7" t="str">
        <f ca="1">'Database MK'!EA101</f>
        <v>Belum, Delay</v>
      </c>
      <c r="T100" s="7" t="str">
        <f ca="1">'Database MK'!EI101</f>
        <v>Belum, Delay</v>
      </c>
      <c r="U100" s="7" t="str">
        <f ca="1">'Database MK'!ET101</f>
        <v>Belum, Delay</v>
      </c>
      <c r="V100" s="7" t="str">
        <f ca="1">'Database MK'!GA101</f>
        <v>Belum, Delay</v>
      </c>
      <c r="W100" s="7" t="str">
        <f ca="1">'Database MK'!GD101</f>
        <v>Sudah, OnSchedule</v>
      </c>
      <c r="X100" s="7" t="str">
        <f ca="1">'Database MK'!GG101</f>
        <v>Sudah, OnSchedule</v>
      </c>
      <c r="Y100" s="7" t="str">
        <f ca="1">'Database MK'!GK101</f>
        <v>Sudah, OnSchedule</v>
      </c>
      <c r="Z100" s="7" t="str">
        <f ca="1">'Database MK'!HH101</f>
        <v>Sudah, Delay</v>
      </c>
      <c r="AA100" s="7" t="str">
        <f ca="1">'Database MK'!HQ101</f>
        <v>Sudah, Delay</v>
      </c>
      <c r="AB100" s="7" t="str">
        <f ca="1">'Database MK'!HW101</f>
        <v>Sudah, Delay</v>
      </c>
      <c r="AC100" s="7">
        <f>'Database MK'!DA101-'Database MK'!DB101</f>
        <v>45438</v>
      </c>
      <c r="AD100" s="7">
        <f>'Database MK'!DA101-'Database MK'!DF101</f>
        <v>45438</v>
      </c>
      <c r="AE100" s="7">
        <f>'Database MK'!DK101-'Database MK'!DL101</f>
        <v>32</v>
      </c>
      <c r="AF100" s="7">
        <f>'Database MK'!DK101-'Database MK'!DO101</f>
        <v>-193</v>
      </c>
      <c r="AG100" s="7">
        <f>'Database MK'!DU101-'Database MK'!DW101</f>
        <v>45480</v>
      </c>
      <c r="AH100" s="7" t="str">
        <f>IF('Database MK'!EB101="","Belum",'Database MK'!DU101-'Database MK'!EB101)</f>
        <v>Belum</v>
      </c>
      <c r="AI100" s="7" t="str">
        <f>IF('Database MK'!EN101="","Belum",'Database MK'!EL101-'Database MK'!EN101)</f>
        <v>Belum</v>
      </c>
      <c r="AJ100" s="7">
        <f>'Database MK'!FY101-'Database MK'!FZ101</f>
        <v>0</v>
      </c>
      <c r="AK100" s="7">
        <f>IF('Database MK'!GC101="","Belum",'Database MK'!GB101-'Database MK'!GC101)</f>
        <v>93</v>
      </c>
      <c r="AL100" s="7">
        <f>IF('Database MK'!GF101="","Belum",'Database MK'!GE101-'Database MK'!GF101)</f>
        <v>100</v>
      </c>
      <c r="AM100" s="309">
        <f>IF('Database MK'!GJ101="","Belum",'Database MK'!GI101-'Database MK'!GJ101)</f>
        <v>136</v>
      </c>
      <c r="AN100" s="7">
        <f>IF('Database MK'!HG101="","Belum",'Database MK'!HF101-'Database MK'!HG101)</f>
        <v>-23</v>
      </c>
      <c r="AO100" s="7">
        <f>IF('Database MK'!HP101="","Belum",'Database MK'!HN101-'Database MK'!HP101)</f>
        <v>-178</v>
      </c>
      <c r="AP100" s="7">
        <f>IF('Database MK'!HV101="","Belum",'Database MK'!HT101-'Database MK'!HV101)</f>
        <v>-176</v>
      </c>
    </row>
    <row r="101" spans="2:42" hidden="1" x14ac:dyDescent="0.2">
      <c r="B101" s="7">
        <f>SUBTOTAL(3,$C$4:C101)</f>
        <v>74</v>
      </c>
      <c r="C101" s="299" t="s">
        <v>673</v>
      </c>
      <c r="D101" s="299" t="s">
        <v>739</v>
      </c>
      <c r="E101" s="299" t="s">
        <v>740</v>
      </c>
      <c r="F101" s="300">
        <v>45748</v>
      </c>
      <c r="G101" s="4" t="s">
        <v>247</v>
      </c>
      <c r="H101" s="4" t="str">
        <f ca="1">'Database MK'!Q102</f>
        <v>DPPP</v>
      </c>
      <c r="I101" s="24">
        <f>'Database MK'!S102</f>
        <v>1</v>
      </c>
      <c r="J101" s="24">
        <f>'Database MK'!T102</f>
        <v>1</v>
      </c>
      <c r="K101" s="603">
        <f>'Database MK'!U102</f>
        <v>0</v>
      </c>
      <c r="L101" s="593">
        <f>'Database MK'!V102</f>
        <v>134</v>
      </c>
      <c r="M101" s="593">
        <f>'Database MK'!W102</f>
        <v>122</v>
      </c>
      <c r="N101" s="593">
        <f>Table3[[#This Row],[Total Panjang Pipa Aktual]]-Table3[[#This Row],[Volume
BA MC-0]]</f>
        <v>-12</v>
      </c>
      <c r="O101" s="7" t="str">
        <f ca="1">'Database MK'!DE102</f>
        <v>Belum, Delay</v>
      </c>
      <c r="P101" s="7" t="str">
        <f ca="1">'Database MK'!DI102</f>
        <v>Belum, Delay</v>
      </c>
      <c r="Q101" s="7" t="str">
        <f ca="1">'Database MK'!DN102</f>
        <v>Sudah, Delay</v>
      </c>
      <c r="R101" s="7" t="str">
        <f ca="1">'Database MK'!DR102</f>
        <v>Belum, Delay</v>
      </c>
      <c r="S101" s="7" t="str">
        <f ca="1">'Database MK'!EA102</f>
        <v>Belum, Delay</v>
      </c>
      <c r="T101" s="7" t="str">
        <f ca="1">'Database MK'!EI102</f>
        <v>Belum, Delay</v>
      </c>
      <c r="U101" s="7" t="str">
        <f ca="1">'Database MK'!ET102</f>
        <v>Sudah, Delay</v>
      </c>
      <c r="V101" s="7" t="str">
        <f ca="1">'Database MK'!GA102</f>
        <v>Belum, Delay</v>
      </c>
      <c r="W101" s="7" t="str">
        <f ca="1">'Database MK'!GD102</f>
        <v>Sudah, OnSchedule</v>
      </c>
      <c r="X101" s="7" t="str">
        <f ca="1">'Database MK'!GG102</f>
        <v>Sudah, OnSchedule</v>
      </c>
      <c r="Y101" s="7" t="str">
        <f ca="1">'Database MK'!GK102</f>
        <v>Sudah, OnSchedule</v>
      </c>
      <c r="Z101" s="7" t="str">
        <f ca="1">'Database MK'!HH102</f>
        <v>Sudah, Delay</v>
      </c>
      <c r="AA101" s="7" t="str">
        <f ca="1">'Database MK'!HQ102</f>
        <v>Sudah, Delay</v>
      </c>
      <c r="AB101" s="7" t="str">
        <f ca="1">'Database MK'!HW102</f>
        <v>Sudah, Delay</v>
      </c>
      <c r="AC101" s="7">
        <f>'Database MK'!DA102-'Database MK'!DB102</f>
        <v>45438</v>
      </c>
      <c r="AD101" s="7">
        <f>'Database MK'!DA102-'Database MK'!DF102</f>
        <v>45438</v>
      </c>
      <c r="AE101" s="7">
        <f>'Database MK'!DK102-'Database MK'!DL102</f>
        <v>-73</v>
      </c>
      <c r="AF101" s="7">
        <f>'Database MK'!DK102-'Database MK'!DO102</f>
        <v>45480</v>
      </c>
      <c r="AG101" s="7">
        <f>'Database MK'!DU102-'Database MK'!DW102</f>
        <v>45480</v>
      </c>
      <c r="AH101" s="7" t="str">
        <f>IF('Database MK'!EB102="","Belum",'Database MK'!DU102-'Database MK'!EB102)</f>
        <v>Belum</v>
      </c>
      <c r="AI101" s="7">
        <f>IF('Database MK'!EN102="","Belum",'Database MK'!EL102-'Database MK'!EN102)</f>
        <v>-178</v>
      </c>
      <c r="AJ101" s="7">
        <f>'Database MK'!FY102-'Database MK'!FZ102</f>
        <v>0</v>
      </c>
      <c r="AK101" s="7">
        <f>IF('Database MK'!GC102="","Belum",'Database MK'!GB102-'Database MK'!GC102)</f>
        <v>124</v>
      </c>
      <c r="AL101" s="7">
        <f>IF('Database MK'!GF102="","Belum",'Database MK'!GE102-'Database MK'!GF102)</f>
        <v>131</v>
      </c>
      <c r="AM101" s="309">
        <f>IF('Database MK'!GJ102="","Belum",'Database MK'!GI102-'Database MK'!GJ102)</f>
        <v>136</v>
      </c>
      <c r="AN101" s="7">
        <f>IF('Database MK'!HG102="","Belum",'Database MK'!HF102-'Database MK'!HG102)</f>
        <v>-18</v>
      </c>
      <c r="AO101" s="7">
        <f>IF('Database MK'!HP102="","Belum",'Database MK'!HN102-'Database MK'!HP102)</f>
        <v>-179</v>
      </c>
      <c r="AP101" s="7">
        <f>IF('Database MK'!HV102="","Belum",'Database MK'!HT102-'Database MK'!HV102)</f>
        <v>-177</v>
      </c>
    </row>
    <row r="102" spans="2:42" hidden="1" x14ac:dyDescent="0.2">
      <c r="B102" s="7">
        <f>SUBTOTAL(3,$C$4:C102)</f>
        <v>74</v>
      </c>
      <c r="C102" s="299" t="s">
        <v>673</v>
      </c>
      <c r="D102" s="299" t="s">
        <v>744</v>
      </c>
      <c r="E102" s="299" t="s">
        <v>745</v>
      </c>
      <c r="F102" s="300">
        <v>45748</v>
      </c>
      <c r="G102" s="4" t="s">
        <v>247</v>
      </c>
      <c r="H102" s="4" t="str">
        <f ca="1">'Database MK'!Q103</f>
        <v>DPPP</v>
      </c>
      <c r="I102" s="24">
        <f>'Database MK'!S103</f>
        <v>1</v>
      </c>
      <c r="J102" s="24">
        <f>'Database MK'!T103</f>
        <v>1</v>
      </c>
      <c r="K102" s="603">
        <f>'Database MK'!U103</f>
        <v>0</v>
      </c>
      <c r="L102" s="593">
        <f>'Database MK'!V103</f>
        <v>15368</v>
      </c>
      <c r="M102" s="593">
        <f>'Database MK'!W103</f>
        <v>15669</v>
      </c>
      <c r="N102" s="593">
        <f>Table3[[#This Row],[Total Panjang Pipa Aktual]]-Table3[[#This Row],[Volume
BA MC-0]]</f>
        <v>301</v>
      </c>
      <c r="O102" s="7" t="str">
        <f ca="1">'Database MK'!DE103</f>
        <v>Belum, Delay</v>
      </c>
      <c r="P102" s="7" t="str">
        <f ca="1">'Database MK'!DI103</f>
        <v>Belum, Delay</v>
      </c>
      <c r="Q102" s="7" t="str">
        <f ca="1">'Database MK'!DN103</f>
        <v>Sudah, OnSchedule</v>
      </c>
      <c r="R102" s="7" t="str">
        <f ca="1">'Database MK'!DR103</f>
        <v>Sudah, OnSchedule</v>
      </c>
      <c r="S102" s="7" t="str">
        <f ca="1">'Database MK'!EA103</f>
        <v>Belum, Delay</v>
      </c>
      <c r="T102" s="7" t="str">
        <f ca="1">'Database MK'!EI103</f>
        <v>Belum, Delay</v>
      </c>
      <c r="U102" s="7" t="str">
        <f ca="1">'Database MK'!ET103</f>
        <v>Sudah, Delay</v>
      </c>
      <c r="V102" s="7" t="str">
        <f ca="1">'Database MK'!GA103</f>
        <v>Belum, Delay</v>
      </c>
      <c r="W102" s="7" t="str">
        <f ca="1">'Database MK'!GD103</f>
        <v>Sudah, OnSchedule</v>
      </c>
      <c r="X102" s="7" t="str">
        <f ca="1">'Database MK'!GG103</f>
        <v>Sudah, OnSchedule</v>
      </c>
      <c r="Y102" s="7" t="str">
        <f ca="1">'Database MK'!GK103</f>
        <v>Sudah, OnSchedule</v>
      </c>
      <c r="Z102" s="7" t="str">
        <f ca="1">'Database MK'!HH103</f>
        <v>Sudah, Delay</v>
      </c>
      <c r="AA102" s="7" t="str">
        <f ca="1">'Database MK'!HQ103</f>
        <v>Sudah, Delay</v>
      </c>
      <c r="AB102" s="7" t="str">
        <f ca="1">'Database MK'!HW103</f>
        <v>Sudah, Delay</v>
      </c>
      <c r="AC102" s="7">
        <f>'Database MK'!DA103-'Database MK'!DB103</f>
        <v>45326</v>
      </c>
      <c r="AD102" s="7">
        <f>'Database MK'!DA103-'Database MK'!DF103</f>
        <v>45326</v>
      </c>
      <c r="AE102" s="7">
        <f>'Database MK'!DK103-'Database MK'!DL103</f>
        <v>235</v>
      </c>
      <c r="AF102" s="7">
        <f>'Database MK'!DK103-'Database MK'!DO103</f>
        <v>205</v>
      </c>
      <c r="AG102" s="7">
        <f>'Database MK'!DU103-'Database MK'!DW103</f>
        <v>45375</v>
      </c>
      <c r="AH102" s="7" t="str">
        <f>IF('Database MK'!EB103="","Belum",'Database MK'!DU103-'Database MK'!EB103)</f>
        <v>Belum</v>
      </c>
      <c r="AI102" s="7">
        <f>IF('Database MK'!EN103="","Belum",'Database MK'!EL103-'Database MK'!EN103)</f>
        <v>-596</v>
      </c>
      <c r="AJ102" s="7">
        <f>'Database MK'!FY103-'Database MK'!FZ103</f>
        <v>0</v>
      </c>
      <c r="AK102" s="7">
        <f>IF('Database MK'!GC103="","Belum",'Database MK'!GB103-'Database MK'!GC103)</f>
        <v>202</v>
      </c>
      <c r="AL102" s="7">
        <f>IF('Database MK'!GF103="","Belum",'Database MK'!GE103-'Database MK'!GF103)</f>
        <v>209</v>
      </c>
      <c r="AM102" s="309">
        <f>IF('Database MK'!GJ103="","Belum",'Database MK'!GI103-'Database MK'!GJ103)</f>
        <v>117</v>
      </c>
      <c r="AN102" s="7">
        <f>IF('Database MK'!HG103="","Belum",'Database MK'!HF103-'Database MK'!HG103)</f>
        <v>-52</v>
      </c>
      <c r="AO102" s="7">
        <f>IF('Database MK'!HP103="","Belum",'Database MK'!HN103-'Database MK'!HP103)</f>
        <v>-89</v>
      </c>
      <c r="AP102" s="7">
        <f>IF('Database MK'!HV103="","Belum",'Database MK'!HT103-'Database MK'!HV103)</f>
        <v>-87</v>
      </c>
    </row>
    <row r="103" spans="2:42" hidden="1" x14ac:dyDescent="0.2">
      <c r="B103" s="7">
        <f>SUBTOTAL(3,$C$4:C103)</f>
        <v>74</v>
      </c>
      <c r="C103" s="299" t="s">
        <v>673</v>
      </c>
      <c r="D103" s="299" t="s">
        <v>751</v>
      </c>
      <c r="E103" s="299" t="s">
        <v>752</v>
      </c>
      <c r="F103" s="300">
        <v>45748</v>
      </c>
      <c r="G103" s="4" t="s">
        <v>247</v>
      </c>
      <c r="H103" s="4" t="str">
        <f ca="1">'Database MK'!Q104</f>
        <v>DPPP</v>
      </c>
      <c r="I103" s="24">
        <f>'Database MK'!S104</f>
        <v>1</v>
      </c>
      <c r="J103" s="24">
        <f>'Database MK'!T104</f>
        <v>1</v>
      </c>
      <c r="K103" s="603">
        <f>'Database MK'!U104</f>
        <v>0</v>
      </c>
      <c r="L103" s="593">
        <f>'Database MK'!V104</f>
        <v>5152</v>
      </c>
      <c r="M103" s="593">
        <f>'Database MK'!W104</f>
        <v>4865</v>
      </c>
      <c r="N103" s="593">
        <f>Table3[[#This Row],[Total Panjang Pipa Aktual]]-Table3[[#This Row],[Volume
BA MC-0]]</f>
        <v>-287</v>
      </c>
      <c r="O103" s="7" t="str">
        <f ca="1">'Database MK'!DE104</f>
        <v>Belum, Delay</v>
      </c>
      <c r="P103" s="7" t="str">
        <f ca="1">'Database MK'!DI104</f>
        <v>Belum, Delay</v>
      </c>
      <c r="Q103" s="7" t="str">
        <f ca="1">'Database MK'!DN104</f>
        <v>Sudah, OnSchedule</v>
      </c>
      <c r="R103" s="7" t="str">
        <f ca="1">'Database MK'!DR104</f>
        <v>Sudah, OnSchedule</v>
      </c>
      <c r="S103" s="7" t="str">
        <f ca="1">'Database MK'!EA104</f>
        <v>Belum, Delay</v>
      </c>
      <c r="T103" s="7" t="str">
        <f ca="1">'Database MK'!EI104</f>
        <v>Belum, Delay</v>
      </c>
      <c r="U103" s="7" t="str">
        <f ca="1">'Database MK'!ET104</f>
        <v>Sudah, Delay</v>
      </c>
      <c r="V103" s="7" t="str">
        <f ca="1">'Database MK'!GA104</f>
        <v>Belum, Delay</v>
      </c>
      <c r="W103" s="7" t="str">
        <f ca="1">'Database MK'!GD104</f>
        <v>Sudah, OnSchedule</v>
      </c>
      <c r="X103" s="7" t="str">
        <f ca="1">'Database MK'!GG104</f>
        <v>Sudah, OnSchedule</v>
      </c>
      <c r="Y103" s="7" t="str">
        <f ca="1">'Database MK'!GK104</f>
        <v>Sudah, OnSchedule</v>
      </c>
      <c r="Z103" s="7" t="str">
        <f ca="1">'Database MK'!HH104</f>
        <v>Sudah, Delay</v>
      </c>
      <c r="AA103" s="7" t="str">
        <f ca="1">'Database MK'!HQ104</f>
        <v>Sudah, Delay</v>
      </c>
      <c r="AB103" s="7" t="str">
        <f ca="1">'Database MK'!HW104</f>
        <v>Sudah, Delay</v>
      </c>
      <c r="AC103" s="7">
        <f>'Database MK'!DA104-'Database MK'!DB104</f>
        <v>45326</v>
      </c>
      <c r="AD103" s="7">
        <f>'Database MK'!DA104-'Database MK'!DF104</f>
        <v>45326</v>
      </c>
      <c r="AE103" s="7">
        <f>'Database MK'!DK104-'Database MK'!DL104</f>
        <v>197</v>
      </c>
      <c r="AF103" s="7">
        <f>'Database MK'!DK104-'Database MK'!DO104</f>
        <v>81</v>
      </c>
      <c r="AG103" s="7">
        <f>'Database MK'!DU104-'Database MK'!DW104</f>
        <v>45375</v>
      </c>
      <c r="AH103" s="7" t="str">
        <f>IF('Database MK'!EB104="","Belum",'Database MK'!DU104-'Database MK'!EB104)</f>
        <v>Belum</v>
      </c>
      <c r="AI103" s="7">
        <f>IF('Database MK'!EN104="","Belum",'Database MK'!EL104-'Database MK'!EN104)</f>
        <v>-303</v>
      </c>
      <c r="AJ103" s="7">
        <f>'Database MK'!FY104-'Database MK'!FZ104</f>
        <v>0</v>
      </c>
      <c r="AK103" s="7">
        <f>IF('Database MK'!GC104="","Belum",'Database MK'!GB104-'Database MK'!GC104)</f>
        <v>202</v>
      </c>
      <c r="AL103" s="7">
        <f>IF('Database MK'!GF104="","Belum",'Database MK'!GE104-'Database MK'!GF104)</f>
        <v>209</v>
      </c>
      <c r="AM103" s="309">
        <f>IF('Database MK'!GJ104="","Belum",'Database MK'!GI104-'Database MK'!GJ104)</f>
        <v>209</v>
      </c>
      <c r="AN103" s="7">
        <f>IF('Database MK'!HG104="","Belum",'Database MK'!HF104-'Database MK'!HG104)</f>
        <v>-99</v>
      </c>
      <c r="AO103" s="7">
        <f>IF('Database MK'!HP104="","Belum",'Database MK'!HN104-'Database MK'!HP104)</f>
        <v>-89</v>
      </c>
      <c r="AP103" s="7">
        <f>IF('Database MK'!HV104="","Belum",'Database MK'!HT104-'Database MK'!HV104)</f>
        <v>-87</v>
      </c>
    </row>
    <row r="104" spans="2:42" hidden="1" x14ac:dyDescent="0.2">
      <c r="B104" s="7">
        <f>SUBTOTAL(3,$C$4:C104)</f>
        <v>74</v>
      </c>
      <c r="C104" s="299" t="s">
        <v>673</v>
      </c>
      <c r="D104" s="299" t="s">
        <v>757</v>
      </c>
      <c r="E104" s="299" t="s">
        <v>758</v>
      </c>
      <c r="F104" s="300">
        <v>45748</v>
      </c>
      <c r="G104" s="4" t="s">
        <v>247</v>
      </c>
      <c r="H104" s="4" t="str">
        <f ca="1">'Database MK'!Q105</f>
        <v>DPPP</v>
      </c>
      <c r="I104" s="24">
        <f>'Database MK'!S105</f>
        <v>1</v>
      </c>
      <c r="J104" s="24">
        <f>'Database MK'!T105</f>
        <v>1</v>
      </c>
      <c r="K104" s="603">
        <f>'Database MK'!U105</f>
        <v>0</v>
      </c>
      <c r="L104" s="593">
        <f>'Database MK'!V105</f>
        <v>70</v>
      </c>
      <c r="M104" s="593">
        <f>'Database MK'!W105</f>
        <v>70</v>
      </c>
      <c r="N104" s="593">
        <f>Table3[[#This Row],[Total Panjang Pipa Aktual]]-Table3[[#This Row],[Volume
BA MC-0]]</f>
        <v>0</v>
      </c>
      <c r="O104" s="7" t="str">
        <f ca="1">'Database MK'!DE105</f>
        <v>Belum, Delay</v>
      </c>
      <c r="P104" s="7" t="str">
        <f ca="1">'Database MK'!DI105</f>
        <v>Belum, Delay</v>
      </c>
      <c r="Q104" s="7" t="str">
        <f ca="1">'Database MK'!DN105</f>
        <v>Sudah, OnSchedule</v>
      </c>
      <c r="R104" s="7" t="str">
        <f ca="1">'Database MK'!DR105</f>
        <v>Sudah, Delay</v>
      </c>
      <c r="S104" s="7" t="str">
        <f ca="1">'Database MK'!EA105</f>
        <v>Belum, Delay</v>
      </c>
      <c r="T104" s="7" t="str">
        <f ca="1">'Database MK'!EI105</f>
        <v>Belum, Delay</v>
      </c>
      <c r="U104" s="7" t="str">
        <f ca="1">'Database MK'!ET105</f>
        <v>Sudah, Delay</v>
      </c>
      <c r="V104" s="7" t="str">
        <f ca="1">'Database MK'!GA105</f>
        <v>Belum, Delay</v>
      </c>
      <c r="W104" s="7" t="str">
        <f ca="1">'Database MK'!GD105</f>
        <v>Sudah, Delay</v>
      </c>
      <c r="X104" s="7" t="str">
        <f ca="1">'Database MK'!GG105</f>
        <v>Sudah, Delay</v>
      </c>
      <c r="Y104" s="7" t="str">
        <f ca="1">'Database MK'!GK105</f>
        <v>Sudah, OnSchedule</v>
      </c>
      <c r="Z104" s="7" t="str">
        <f ca="1">'Database MK'!HH105</f>
        <v>Sudah, Delay</v>
      </c>
      <c r="AA104" s="7" t="str">
        <f ca="1">'Database MK'!HQ105</f>
        <v>Sudah, Delay</v>
      </c>
      <c r="AB104" s="7" t="str">
        <f ca="1">'Database MK'!HW105</f>
        <v>Sudah, Delay</v>
      </c>
      <c r="AC104" s="7">
        <f>'Database MK'!DA105-'Database MK'!DB105</f>
        <v>45543</v>
      </c>
      <c r="AD104" s="7">
        <f>'Database MK'!DA105-'Database MK'!DF105</f>
        <v>45543</v>
      </c>
      <c r="AE104" s="7">
        <f>'Database MK'!DK105-'Database MK'!DL105</f>
        <v>50</v>
      </c>
      <c r="AF104" s="7">
        <f>'Database MK'!DK105-'Database MK'!DO105</f>
        <v>-1</v>
      </c>
      <c r="AG104" s="7">
        <f>'Database MK'!DU105-'Database MK'!DW105</f>
        <v>45571</v>
      </c>
      <c r="AH104" s="7" t="str">
        <f>IF('Database MK'!EB105="","Belum",'Database MK'!DU105-'Database MK'!EB105)</f>
        <v>Belum</v>
      </c>
      <c r="AI104" s="7">
        <f>IF('Database MK'!EN105="","Belum",'Database MK'!EL105-'Database MK'!EN105)</f>
        <v>-25</v>
      </c>
      <c r="AJ104" s="7">
        <f>'Database MK'!FY105-'Database MK'!FZ105</f>
        <v>0</v>
      </c>
      <c r="AK104" s="7">
        <f>IF('Database MK'!GC105="","Belum",'Database MK'!GB105-'Database MK'!GC105)</f>
        <v>-16</v>
      </c>
      <c r="AL104" s="7">
        <f>IF('Database MK'!GF105="","Belum",'Database MK'!GE105-'Database MK'!GF105)</f>
        <v>-9</v>
      </c>
      <c r="AM104" s="309">
        <f>IF('Database MK'!GJ105="","Belum",'Database MK'!GI105-'Database MK'!GJ105)</f>
        <v>61</v>
      </c>
      <c r="AN104" s="7">
        <f>IF('Database MK'!HG105="","Belum",'Database MK'!HF105-'Database MK'!HG105)</f>
        <v>-36</v>
      </c>
      <c r="AO104" s="7">
        <f>IF('Database MK'!HP105="","Belum",'Database MK'!HN105-'Database MK'!HP105)</f>
        <v>-88</v>
      </c>
      <c r="AP104" s="7">
        <f>IF('Database MK'!HV105="","Belum",'Database MK'!HT105-'Database MK'!HV105)</f>
        <v>-86</v>
      </c>
    </row>
    <row r="105" spans="2:42" hidden="1" x14ac:dyDescent="0.2">
      <c r="B105" s="7">
        <f>SUBTOTAL(3,$C$4:C105)</f>
        <v>74</v>
      </c>
      <c r="C105" s="299" t="s">
        <v>673</v>
      </c>
      <c r="D105" s="299" t="s">
        <v>763</v>
      </c>
      <c r="E105" s="299" t="s">
        <v>764</v>
      </c>
      <c r="F105" s="300">
        <v>45748</v>
      </c>
      <c r="G105" s="4" t="s">
        <v>247</v>
      </c>
      <c r="H105" s="4" t="str">
        <f ca="1">'Database MK'!Q106</f>
        <v>DPPP</v>
      </c>
      <c r="I105" s="24">
        <f>'Database MK'!S106</f>
        <v>1</v>
      </c>
      <c r="J105" s="24">
        <f>'Database MK'!T106</f>
        <v>1</v>
      </c>
      <c r="K105" s="603">
        <f>'Database MK'!U106</f>
        <v>0</v>
      </c>
      <c r="L105" s="593">
        <f>'Database MK'!V106</f>
        <v>1222</v>
      </c>
      <c r="M105" s="593">
        <f>'Database MK'!W106</f>
        <v>1157</v>
      </c>
      <c r="N105" s="593">
        <f>Table3[[#This Row],[Total Panjang Pipa Aktual]]-Table3[[#This Row],[Volume
BA MC-0]]</f>
        <v>-65</v>
      </c>
      <c r="O105" s="7" t="str">
        <f ca="1">'Database MK'!DE106</f>
        <v>Belum, Delay</v>
      </c>
      <c r="P105" s="7" t="str">
        <f ca="1">'Database MK'!DI106</f>
        <v>Belum, Delay</v>
      </c>
      <c r="Q105" s="7" t="str">
        <f ca="1">'Database MK'!DN106</f>
        <v>Sudah, OnSchedule</v>
      </c>
      <c r="R105" s="7" t="str">
        <f ca="1">'Database MK'!DR106</f>
        <v>Sudah, OnSchedule</v>
      </c>
      <c r="S105" s="7" t="str">
        <f ca="1">'Database MK'!EA106</f>
        <v>Belum, Delay</v>
      </c>
      <c r="T105" s="7" t="str">
        <f ca="1">'Database MK'!EI106</f>
        <v>Belum, Delay</v>
      </c>
      <c r="U105" s="7" t="str">
        <f ca="1">'Database MK'!ET106</f>
        <v>Sudah, OnSchedule</v>
      </c>
      <c r="V105" s="7" t="str">
        <f ca="1">'Database MK'!GA106</f>
        <v>Belum, Delay</v>
      </c>
      <c r="W105" s="7" t="str">
        <f ca="1">'Database MK'!GD106</f>
        <v>Sudah, OnSchedule</v>
      </c>
      <c r="X105" s="7" t="str">
        <f ca="1">'Database MK'!GG106</f>
        <v>Sudah, OnSchedule</v>
      </c>
      <c r="Y105" s="7" t="str">
        <f ca="1">'Database MK'!GK106</f>
        <v>Sudah, OnSchedule</v>
      </c>
      <c r="Z105" s="7" t="str">
        <f ca="1">'Database MK'!HH106</f>
        <v>Sudah, Delay</v>
      </c>
      <c r="AA105" s="7" t="str">
        <f ca="1">'Database MK'!HQ106</f>
        <v>Sudah, Delay</v>
      </c>
      <c r="AB105" s="7" t="str">
        <f ca="1">'Database MK'!HW106</f>
        <v>Sudah, Delay</v>
      </c>
      <c r="AC105" s="7">
        <f>'Database MK'!DA106-'Database MK'!DB106</f>
        <v>45466</v>
      </c>
      <c r="AD105" s="7">
        <f>'Database MK'!DA106-'Database MK'!DF106</f>
        <v>45466</v>
      </c>
      <c r="AE105" s="7">
        <f>'Database MK'!DK106-'Database MK'!DL106</f>
        <v>69</v>
      </c>
      <c r="AF105" s="7">
        <f>'Database MK'!DK106-'Database MK'!DO106</f>
        <v>61</v>
      </c>
      <c r="AG105" s="7">
        <f>'Database MK'!DU106-'Database MK'!DW106</f>
        <v>45508</v>
      </c>
      <c r="AH105" s="7" t="str">
        <f>IF('Database MK'!EB106="","Belum",'Database MK'!DU106-'Database MK'!EB106)</f>
        <v>Belum</v>
      </c>
      <c r="AI105" s="7">
        <f>IF('Database MK'!EN106="","Belum",'Database MK'!EL106-'Database MK'!EN106)</f>
        <v>4</v>
      </c>
      <c r="AJ105" s="7">
        <f>'Database MK'!FY106-'Database MK'!FZ106</f>
        <v>0</v>
      </c>
      <c r="AK105" s="7">
        <f>IF('Database MK'!GC106="","Belum",'Database MK'!GB106-'Database MK'!GC106)</f>
        <v>95</v>
      </c>
      <c r="AL105" s="7">
        <f>IF('Database MK'!GF106="","Belum",'Database MK'!GE106-'Database MK'!GF106)</f>
        <v>102</v>
      </c>
      <c r="AM105" s="309">
        <f>IF('Database MK'!GJ106="","Belum",'Database MK'!GI106-'Database MK'!GJ106)</f>
        <v>107</v>
      </c>
      <c r="AN105" s="7">
        <f>IF('Database MK'!HG106="","Belum",'Database MK'!HF106-'Database MK'!HG106)</f>
        <v>-201</v>
      </c>
      <c r="AO105" s="7">
        <f>IF('Database MK'!HP106="","Belum",'Database MK'!HN106-'Database MK'!HP106)</f>
        <v>-89</v>
      </c>
      <c r="AP105" s="7">
        <f>IF('Database MK'!HV106="","Belum",'Database MK'!HT106-'Database MK'!HV106)</f>
        <v>-87</v>
      </c>
    </row>
    <row r="106" spans="2:42" hidden="1" x14ac:dyDescent="0.2">
      <c r="B106" s="7">
        <f>SUBTOTAL(3,$C$4:C106)</f>
        <v>74</v>
      </c>
      <c r="C106" s="299" t="s">
        <v>673</v>
      </c>
      <c r="D106" s="299" t="s">
        <v>768</v>
      </c>
      <c r="E106" s="299" t="s">
        <v>769</v>
      </c>
      <c r="F106" s="300">
        <v>45748</v>
      </c>
      <c r="G106" s="4" t="s">
        <v>247</v>
      </c>
      <c r="H106" s="4" t="str">
        <f ca="1">'Database MK'!Q107</f>
        <v>DPPP</v>
      </c>
      <c r="I106" s="24">
        <f>'Database MK'!S107</f>
        <v>1</v>
      </c>
      <c r="J106" s="24">
        <f>'Database MK'!T107</f>
        <v>1</v>
      </c>
      <c r="K106" s="603">
        <f>'Database MK'!U107</f>
        <v>0</v>
      </c>
      <c r="L106" s="593">
        <f>'Database MK'!V107</f>
        <v>101</v>
      </c>
      <c r="M106" s="593">
        <f>'Database MK'!W107</f>
        <v>84</v>
      </c>
      <c r="N106" s="593">
        <f>Table3[[#This Row],[Total Panjang Pipa Aktual]]-Table3[[#This Row],[Volume
BA MC-0]]</f>
        <v>-17</v>
      </c>
      <c r="O106" s="7" t="str">
        <f ca="1">'Database MK'!DE107</f>
        <v>Belum, Delay</v>
      </c>
      <c r="P106" s="7" t="str">
        <f ca="1">'Database MK'!DI107</f>
        <v>Belum, Delay</v>
      </c>
      <c r="Q106" s="7" t="str">
        <f ca="1">'Database MK'!DN107</f>
        <v>Sudah, OnSchedule</v>
      </c>
      <c r="R106" s="7" t="str">
        <f ca="1">'Database MK'!DR107</f>
        <v>Sudah, OnSchedule</v>
      </c>
      <c r="S106" s="7" t="str">
        <f ca="1">'Database MK'!EA107</f>
        <v>Belum, Delay</v>
      </c>
      <c r="T106" s="7" t="str">
        <f ca="1">'Database MK'!EI107</f>
        <v>Belum, Delay</v>
      </c>
      <c r="U106" s="7" t="str">
        <f ca="1">'Database MK'!ET107</f>
        <v>Sudah, Delay</v>
      </c>
      <c r="V106" s="7" t="str">
        <f ca="1">'Database MK'!GA107</f>
        <v>Belum, Delay</v>
      </c>
      <c r="W106" s="7" t="str">
        <f ca="1">'Database MK'!GD107</f>
        <v>Sudah, Delay</v>
      </c>
      <c r="X106" s="7" t="str">
        <f ca="1">'Database MK'!GG107</f>
        <v>Sudah, Delay</v>
      </c>
      <c r="Y106" s="7" t="str">
        <f ca="1">'Database MK'!GK107</f>
        <v>Sudah, OnSchedule</v>
      </c>
      <c r="Z106" s="7" t="str">
        <f ca="1">'Database MK'!HH107</f>
        <v>Sudah, Delay</v>
      </c>
      <c r="AA106" s="7" t="str">
        <f ca="1">'Database MK'!HQ107</f>
        <v>Sudah, Delay</v>
      </c>
      <c r="AB106" s="7" t="str">
        <f ca="1">'Database MK'!HW107</f>
        <v>Sudah, Delay</v>
      </c>
      <c r="AC106" s="7">
        <f>'Database MK'!DA107-'Database MK'!DB107</f>
        <v>45543</v>
      </c>
      <c r="AD106" s="7">
        <f>'Database MK'!DA107-'Database MK'!DF107</f>
        <v>45543</v>
      </c>
      <c r="AE106" s="7">
        <f>'Database MK'!DK107-'Database MK'!DL107</f>
        <v>50</v>
      </c>
      <c r="AF106" s="7">
        <f>'Database MK'!DK107-'Database MK'!DO107</f>
        <v>6</v>
      </c>
      <c r="AG106" s="7">
        <f>'Database MK'!DU107-'Database MK'!DW107</f>
        <v>45571</v>
      </c>
      <c r="AH106" s="7" t="str">
        <f>IF('Database MK'!EB107="","Belum",'Database MK'!DU107-'Database MK'!EB107)</f>
        <v>Belum</v>
      </c>
      <c r="AI106" s="7">
        <f>IF('Database MK'!EN107="","Belum",'Database MK'!EL107-'Database MK'!EN107)</f>
        <v>-261</v>
      </c>
      <c r="AJ106" s="7">
        <f>'Database MK'!FY107-'Database MK'!FZ107</f>
        <v>0</v>
      </c>
      <c r="AK106" s="7">
        <f>IF('Database MK'!GC107="","Belum",'Database MK'!GB107-'Database MK'!GC107)</f>
        <v>-16</v>
      </c>
      <c r="AL106" s="7">
        <f>IF('Database MK'!GF107="","Belum",'Database MK'!GE107-'Database MK'!GF107)</f>
        <v>-9</v>
      </c>
      <c r="AM106" s="309">
        <f>IF('Database MK'!GJ107="","Belum",'Database MK'!GI107-'Database MK'!GJ107)</f>
        <v>60</v>
      </c>
      <c r="AN106" s="7">
        <f>IF('Database MK'!HG107="","Belum",'Database MK'!HF107-'Database MK'!HG107)</f>
        <v>-191</v>
      </c>
      <c r="AO106" s="7">
        <f>IF('Database MK'!HP107="","Belum",'Database MK'!HN107-'Database MK'!HP107)</f>
        <v>-88</v>
      </c>
      <c r="AP106" s="7">
        <f>IF('Database MK'!HV107="","Belum",'Database MK'!HT107-'Database MK'!HV107)</f>
        <v>-86</v>
      </c>
    </row>
    <row r="107" spans="2:42" hidden="1" x14ac:dyDescent="0.2">
      <c r="B107" s="7">
        <f>SUBTOTAL(3,$C$4:C107)</f>
        <v>74</v>
      </c>
      <c r="C107" s="299" t="s">
        <v>673</v>
      </c>
      <c r="D107" s="299" t="s">
        <v>773</v>
      </c>
      <c r="E107" s="299" t="s">
        <v>774</v>
      </c>
      <c r="F107" s="300">
        <v>45748</v>
      </c>
      <c r="G107" s="4" t="s">
        <v>247</v>
      </c>
      <c r="H107" s="4" t="str">
        <f ca="1">'Database MK'!Q108</f>
        <v>DPPP</v>
      </c>
      <c r="I107" s="24">
        <f>'Database MK'!S108</f>
        <v>1</v>
      </c>
      <c r="J107" s="24">
        <f>'Database MK'!T108</f>
        <v>1</v>
      </c>
      <c r="K107" s="603">
        <f>'Database MK'!U108</f>
        <v>0</v>
      </c>
      <c r="L107" s="593">
        <f>'Database MK'!V108</f>
        <v>2825</v>
      </c>
      <c r="M107" s="593">
        <f>'Database MK'!W108</f>
        <v>2825</v>
      </c>
      <c r="N107" s="593">
        <f>Table3[[#This Row],[Total Panjang Pipa Aktual]]-Table3[[#This Row],[Volume
BA MC-0]]</f>
        <v>0</v>
      </c>
      <c r="O107" s="7" t="str">
        <f ca="1">'Database MK'!DE108</f>
        <v>Belum, Delay</v>
      </c>
      <c r="P107" s="7" t="str">
        <f ca="1">'Database MK'!DI108</f>
        <v>Belum, Delay</v>
      </c>
      <c r="Q107" s="7" t="str">
        <f ca="1">'Database MK'!DN108</f>
        <v>Sudah, OnSchedule</v>
      </c>
      <c r="R107" s="7" t="str">
        <f ca="1">'Database MK'!DR108</f>
        <v>Sudah, Delay</v>
      </c>
      <c r="S107" s="7" t="str">
        <f ca="1">'Database MK'!EA108</f>
        <v>Belum, Delay</v>
      </c>
      <c r="T107" s="7" t="str">
        <f ca="1">'Database MK'!EI108</f>
        <v>Belum, Delay</v>
      </c>
      <c r="U107" s="7" t="str">
        <f ca="1">'Database MK'!ET108</f>
        <v>Sudah, Delay</v>
      </c>
      <c r="V107" s="7" t="str">
        <f ca="1">'Database MK'!GA108</f>
        <v>Belum, Delay</v>
      </c>
      <c r="W107" s="7" t="str">
        <f ca="1">'Database MK'!GD108</f>
        <v>Sudah, OnSchedule</v>
      </c>
      <c r="X107" s="7" t="str">
        <f ca="1">'Database MK'!GG108</f>
        <v>Sudah, OnSchedule</v>
      </c>
      <c r="Y107" s="7" t="str">
        <f ca="1">'Database MK'!GK108</f>
        <v>Sudah, OnSchedule</v>
      </c>
      <c r="Z107" s="7" t="str">
        <f ca="1">'Database MK'!HH108</f>
        <v>Sudah, Delay</v>
      </c>
      <c r="AA107" s="7" t="str">
        <f ca="1">'Database MK'!HQ108</f>
        <v>Sudah, Delay</v>
      </c>
      <c r="AB107" s="7" t="str">
        <f ca="1">'Database MK'!HW108</f>
        <v>Sudah, Delay</v>
      </c>
      <c r="AC107" s="7">
        <f>'Database MK'!DA108-'Database MK'!DB108</f>
        <v>45466</v>
      </c>
      <c r="AD107" s="7">
        <f>'Database MK'!DA108-'Database MK'!DF108</f>
        <v>45466</v>
      </c>
      <c r="AE107" s="7">
        <f>'Database MK'!DK108-'Database MK'!DL108</f>
        <v>69</v>
      </c>
      <c r="AF107" s="7">
        <f>'Database MK'!DK108-'Database MK'!DO108</f>
        <v>-165</v>
      </c>
      <c r="AG107" s="7">
        <f>'Database MK'!DU108-'Database MK'!DW108</f>
        <v>45508</v>
      </c>
      <c r="AH107" s="7" t="str">
        <f>IF('Database MK'!EB108="","Belum",'Database MK'!DU108-'Database MK'!EB108)</f>
        <v>Belum</v>
      </c>
      <c r="AI107" s="7">
        <f>IF('Database MK'!EN108="","Belum",'Database MK'!EL108-'Database MK'!EN108)</f>
        <v>-361</v>
      </c>
      <c r="AJ107" s="7">
        <f>'Database MK'!FY108-'Database MK'!FZ108</f>
        <v>0</v>
      </c>
      <c r="AK107" s="7">
        <f>IF('Database MK'!GC108="","Belum",'Database MK'!GB108-'Database MK'!GC108)</f>
        <v>95</v>
      </c>
      <c r="AL107" s="7">
        <f>IF('Database MK'!GF108="","Belum",'Database MK'!GE108-'Database MK'!GF108)</f>
        <v>102</v>
      </c>
      <c r="AM107" s="309">
        <f>IF('Database MK'!GJ108="","Belum",'Database MK'!GI108-'Database MK'!GJ108)</f>
        <v>79</v>
      </c>
      <c r="AN107" s="7">
        <f>IF('Database MK'!HG108="","Belum",'Database MK'!HF108-'Database MK'!HG108)</f>
        <v>-202</v>
      </c>
      <c r="AO107" s="7">
        <f>IF('Database MK'!HP108="","Belum",'Database MK'!HN108-'Database MK'!HP108)</f>
        <v>-87</v>
      </c>
      <c r="AP107" s="7">
        <f>IF('Database MK'!HV108="","Belum",'Database MK'!HT108-'Database MK'!HV108)</f>
        <v>-85</v>
      </c>
    </row>
    <row r="108" spans="2:42" hidden="1" x14ac:dyDescent="0.2">
      <c r="B108" s="7">
        <f>SUBTOTAL(3,$C$4:C108)</f>
        <v>74</v>
      </c>
      <c r="C108" s="299" t="s">
        <v>673</v>
      </c>
      <c r="D108" s="299" t="s">
        <v>778</v>
      </c>
      <c r="E108" s="299" t="s">
        <v>779</v>
      </c>
      <c r="F108" s="300">
        <v>45748</v>
      </c>
      <c r="G108" s="4" t="s">
        <v>247</v>
      </c>
      <c r="H108" s="4" t="str">
        <f ca="1">'Database MK'!Q109</f>
        <v>DPPP</v>
      </c>
      <c r="I108" s="24">
        <f>'Database MK'!S109</f>
        <v>1</v>
      </c>
      <c r="J108" s="24">
        <f>'Database MK'!T109</f>
        <v>1</v>
      </c>
      <c r="K108" s="603">
        <f>'Database MK'!U109</f>
        <v>0</v>
      </c>
      <c r="L108" s="593">
        <f>'Database MK'!V109</f>
        <v>634</v>
      </c>
      <c r="M108" s="593">
        <f>'Database MK'!W109</f>
        <v>1014</v>
      </c>
      <c r="N108" s="593">
        <f>Table3[[#This Row],[Total Panjang Pipa Aktual]]-Table3[[#This Row],[Volume
BA MC-0]]</f>
        <v>380</v>
      </c>
      <c r="O108" s="7" t="str">
        <f ca="1">'Database MK'!DE109</f>
        <v>Belum, Delay</v>
      </c>
      <c r="P108" s="7" t="str">
        <f ca="1">'Database MK'!DI109</f>
        <v>Belum, Delay</v>
      </c>
      <c r="Q108" s="7" t="str">
        <f ca="1">'Database MK'!DN109</f>
        <v>Sudah, OnSchedule</v>
      </c>
      <c r="R108" s="7" t="str">
        <f ca="1">'Database MK'!DR109</f>
        <v>Sudah, Delay</v>
      </c>
      <c r="S108" s="7" t="str">
        <f ca="1">'Database MK'!EA109</f>
        <v>Belum, Delay</v>
      </c>
      <c r="T108" s="7" t="str">
        <f ca="1">'Database MK'!EI109</f>
        <v>Belum, Delay</v>
      </c>
      <c r="U108" s="7" t="str">
        <f ca="1">'Database MK'!ET109</f>
        <v>Sudah, Delay</v>
      </c>
      <c r="V108" s="7" t="str">
        <f ca="1">'Database MK'!GA109</f>
        <v>Belum, Delay</v>
      </c>
      <c r="W108" s="7" t="str">
        <f ca="1">'Database MK'!GD109</f>
        <v>Sudah, Delay</v>
      </c>
      <c r="X108" s="7" t="str">
        <f ca="1">'Database MK'!GG109</f>
        <v>Sudah, Delay</v>
      </c>
      <c r="Y108" s="7" t="str">
        <f ca="1">'Database MK'!GK109</f>
        <v>Sudah, OnSchedule</v>
      </c>
      <c r="Z108" s="7" t="str">
        <f ca="1">'Database MK'!HH109</f>
        <v>Sudah, Delay</v>
      </c>
      <c r="AA108" s="7" t="str">
        <f ca="1">'Database MK'!HQ109</f>
        <v>Sudah, Delay</v>
      </c>
      <c r="AB108" s="7" t="str">
        <f ca="1">'Database MK'!HW109</f>
        <v>Sudah, Delay</v>
      </c>
      <c r="AC108" s="7">
        <f>'Database MK'!DA109-'Database MK'!DB109</f>
        <v>45550</v>
      </c>
      <c r="AD108" s="7">
        <f>'Database MK'!DA109-'Database MK'!DF109</f>
        <v>45550</v>
      </c>
      <c r="AE108" s="7">
        <f>'Database MK'!DK109-'Database MK'!DL109</f>
        <v>52</v>
      </c>
      <c r="AF108" s="7">
        <f>'Database MK'!DK109-'Database MK'!DO109</f>
        <v>-1</v>
      </c>
      <c r="AG108" s="7">
        <f>'Database MK'!DU109-'Database MK'!DW109</f>
        <v>45585</v>
      </c>
      <c r="AH108" s="7" t="str">
        <f>IF('Database MK'!EB109="","Belum",'Database MK'!DU109-'Database MK'!EB109)</f>
        <v>Belum</v>
      </c>
      <c r="AI108" s="7">
        <f>IF('Database MK'!EN109="","Belum",'Database MK'!EL109-'Database MK'!EN109)</f>
        <v>-52</v>
      </c>
      <c r="AJ108" s="7">
        <f>'Database MK'!FY109-'Database MK'!FZ109</f>
        <v>0</v>
      </c>
      <c r="AK108" s="7">
        <f>IF('Database MK'!GC109="","Belum",'Database MK'!GB109-'Database MK'!GC109)</f>
        <v>-16</v>
      </c>
      <c r="AL108" s="7">
        <f>IF('Database MK'!GF109="","Belum",'Database MK'!GE109-'Database MK'!GF109)</f>
        <v>-9</v>
      </c>
      <c r="AM108" s="309">
        <f>IF('Database MK'!GJ109="","Belum",'Database MK'!GI109-'Database MK'!GJ109)</f>
        <v>60</v>
      </c>
      <c r="AN108" s="7">
        <f>IF('Database MK'!HG109="","Belum",'Database MK'!HF109-'Database MK'!HG109)</f>
        <v>-163</v>
      </c>
      <c r="AO108" s="7">
        <f>IF('Database MK'!HP109="","Belum",'Database MK'!HN109-'Database MK'!HP109)</f>
        <v>-54</v>
      </c>
      <c r="AP108" s="7">
        <f>IF('Database MK'!HV109="","Belum",'Database MK'!HT109-'Database MK'!HV109)</f>
        <v>-52</v>
      </c>
    </row>
    <row r="109" spans="2:42" hidden="1" x14ac:dyDescent="0.2">
      <c r="B109" s="7">
        <f>SUBTOTAL(3,$C$4:C109)</f>
        <v>74</v>
      </c>
      <c r="C109" s="299" t="s">
        <v>673</v>
      </c>
      <c r="D109" s="299" t="s">
        <v>785</v>
      </c>
      <c r="E109" s="299" t="s">
        <v>786</v>
      </c>
      <c r="F109" s="300">
        <v>45748</v>
      </c>
      <c r="G109" s="4" t="s">
        <v>247</v>
      </c>
      <c r="H109" s="4" t="str">
        <f ca="1">'Database MK'!Q110</f>
        <v>DPPP</v>
      </c>
      <c r="I109" s="24">
        <f>'Database MK'!S110</f>
        <v>1</v>
      </c>
      <c r="J109" s="24">
        <f>'Database MK'!T110</f>
        <v>1</v>
      </c>
      <c r="K109" s="603">
        <f>'Database MK'!U110</f>
        <v>0</v>
      </c>
      <c r="L109" s="593">
        <f>'Database MK'!V110</f>
        <v>200</v>
      </c>
      <c r="M109" s="593">
        <f>'Database MK'!W110</f>
        <v>285</v>
      </c>
      <c r="N109" s="593">
        <f>Table3[[#This Row],[Total Panjang Pipa Aktual]]-Table3[[#This Row],[Volume
BA MC-0]]</f>
        <v>85</v>
      </c>
      <c r="O109" s="7" t="str">
        <f ca="1">'Database MK'!DE110</f>
        <v>Belum, Delay</v>
      </c>
      <c r="P109" s="7" t="str">
        <f ca="1">'Database MK'!DI110</f>
        <v>Belum, Delay</v>
      </c>
      <c r="Q109" s="7" t="str">
        <f ca="1">'Database MK'!DN110</f>
        <v>Sudah, OnSchedule</v>
      </c>
      <c r="R109" s="7" t="str">
        <f ca="1">'Database MK'!DR110</f>
        <v>Sudah, Delay</v>
      </c>
      <c r="S109" s="7" t="str">
        <f ca="1">'Database MK'!EA110</f>
        <v>Belum, Delay</v>
      </c>
      <c r="T109" s="7" t="str">
        <f ca="1">'Database MK'!EI110</f>
        <v>Belum, Delay</v>
      </c>
      <c r="U109" s="7" t="str">
        <f ca="1">'Database MK'!ET110</f>
        <v>Sudah, Delay</v>
      </c>
      <c r="V109" s="7" t="str">
        <f ca="1">'Database MK'!GA110</f>
        <v>Belum, Delay</v>
      </c>
      <c r="W109" s="7" t="str">
        <f ca="1">'Database MK'!GD110</f>
        <v>Sudah, Delay</v>
      </c>
      <c r="X109" s="7" t="str">
        <f ca="1">'Database MK'!GG110</f>
        <v>Sudah, Delay</v>
      </c>
      <c r="Y109" s="7" t="str">
        <f ca="1">'Database MK'!GK110</f>
        <v>Sudah, OnSchedule</v>
      </c>
      <c r="Z109" s="7" t="str">
        <f ca="1">'Database MK'!HH110</f>
        <v>Sudah, Delay</v>
      </c>
      <c r="AA109" s="7" t="str">
        <f ca="1">'Database MK'!HQ110</f>
        <v>Sudah, Delay</v>
      </c>
      <c r="AB109" s="7" t="str">
        <f ca="1">'Database MK'!HW110</f>
        <v>Sudah, Delay</v>
      </c>
      <c r="AC109" s="7">
        <f>'Database MK'!DA110-'Database MK'!DB110</f>
        <v>45543</v>
      </c>
      <c r="AD109" s="7">
        <f>'Database MK'!DA110-'Database MK'!DF110</f>
        <v>45543</v>
      </c>
      <c r="AE109" s="7">
        <f>'Database MK'!DK110-'Database MK'!DL110</f>
        <v>52</v>
      </c>
      <c r="AF109" s="7">
        <f>'Database MK'!DK110-'Database MK'!DO110</f>
        <v>-1</v>
      </c>
      <c r="AG109" s="7">
        <f>'Database MK'!DU110-'Database MK'!DW110</f>
        <v>45571</v>
      </c>
      <c r="AH109" s="7" t="str">
        <f>IF('Database MK'!EB110="","Belum",'Database MK'!DU110-'Database MK'!EB110)</f>
        <v>Belum</v>
      </c>
      <c r="AI109" s="7">
        <f>IF('Database MK'!EN110="","Belum",'Database MK'!EL110-'Database MK'!EN110)</f>
        <v>-60</v>
      </c>
      <c r="AJ109" s="7">
        <f>'Database MK'!FY110-'Database MK'!FZ110</f>
        <v>0</v>
      </c>
      <c r="AK109" s="7">
        <f>IF('Database MK'!GC110="","Belum",'Database MK'!GB110-'Database MK'!GC110)</f>
        <v>-16</v>
      </c>
      <c r="AL109" s="7">
        <f>IF('Database MK'!GF110="","Belum",'Database MK'!GE110-'Database MK'!GF110)</f>
        <v>-9</v>
      </c>
      <c r="AM109" s="309">
        <f>IF('Database MK'!GJ110="","Belum",'Database MK'!GI110-'Database MK'!GJ110)</f>
        <v>60</v>
      </c>
      <c r="AN109" s="7">
        <f>IF('Database MK'!HG110="","Belum",'Database MK'!HF110-'Database MK'!HG110)</f>
        <v>-290</v>
      </c>
      <c r="AO109" s="7">
        <f>IF('Database MK'!HP110="","Belum",'Database MK'!HN110-'Database MK'!HP110)</f>
        <v>-283</v>
      </c>
      <c r="AP109" s="7">
        <f>IF('Database MK'!HV110="","Belum",'Database MK'!HT110-'Database MK'!HV110)</f>
        <v>-281</v>
      </c>
    </row>
    <row r="110" spans="2:42" hidden="1" x14ac:dyDescent="0.2">
      <c r="B110" s="7">
        <f>SUBTOTAL(3,$C$4:C110)</f>
        <v>74</v>
      </c>
      <c r="C110" s="299" t="s">
        <v>673</v>
      </c>
      <c r="D110" s="299" t="s">
        <v>790</v>
      </c>
      <c r="E110" s="299" t="s">
        <v>791</v>
      </c>
      <c r="F110" s="300">
        <v>45748</v>
      </c>
      <c r="G110" s="4" t="s">
        <v>247</v>
      </c>
      <c r="H110" s="4" t="str">
        <f ca="1">'Database MK'!Q111</f>
        <v>DPPP</v>
      </c>
      <c r="I110" s="24">
        <f>'Database MK'!S111</f>
        <v>1</v>
      </c>
      <c r="J110" s="24">
        <f>'Database MK'!T111</f>
        <v>1</v>
      </c>
      <c r="K110" s="603">
        <f>'Database MK'!U111</f>
        <v>0</v>
      </c>
      <c r="L110" s="593">
        <f>'Database MK'!V111</f>
        <v>72</v>
      </c>
      <c r="M110" s="593">
        <f>'Database MK'!W111</f>
        <v>75</v>
      </c>
      <c r="N110" s="593">
        <f>Table3[[#This Row],[Total Panjang Pipa Aktual]]-Table3[[#This Row],[Volume
BA MC-0]]</f>
        <v>3</v>
      </c>
      <c r="O110" s="7" t="str">
        <f ca="1">'Database MK'!DE111</f>
        <v>Belum, Delay</v>
      </c>
      <c r="P110" s="7" t="str">
        <f ca="1">'Database MK'!DI111</f>
        <v>Belum, Delay</v>
      </c>
      <c r="Q110" s="7" t="str">
        <f ca="1">'Database MK'!DN111</f>
        <v>Sudah, OnSchedule</v>
      </c>
      <c r="R110" s="7" t="str">
        <f ca="1">'Database MK'!DR111</f>
        <v>Sudah, OnSchedule</v>
      </c>
      <c r="S110" s="7" t="str">
        <f ca="1">'Database MK'!EA111</f>
        <v>Belum, Delay</v>
      </c>
      <c r="T110" s="7" t="str">
        <f ca="1">'Database MK'!EI111</f>
        <v>Belum, Delay</v>
      </c>
      <c r="U110" s="7" t="str">
        <f ca="1">'Database MK'!ET111</f>
        <v>Sudah, Delay</v>
      </c>
      <c r="V110" s="7" t="str">
        <f ca="1">'Database MK'!GA111</f>
        <v>Belum, Delay</v>
      </c>
      <c r="W110" s="7" t="str">
        <f ca="1">'Database MK'!GD111</f>
        <v>Sudah, Delay</v>
      </c>
      <c r="X110" s="7" t="str">
        <f ca="1">'Database MK'!GG111</f>
        <v>Sudah, Delay</v>
      </c>
      <c r="Y110" s="7" t="str">
        <f ca="1">'Database MK'!GK111</f>
        <v>Sudah, OnSchedule</v>
      </c>
      <c r="Z110" s="7" t="str">
        <f ca="1">'Database MK'!HH111</f>
        <v>Sudah, Delay</v>
      </c>
      <c r="AA110" s="7" t="str">
        <f ca="1">'Database MK'!HQ111</f>
        <v>Sudah, Delay</v>
      </c>
      <c r="AB110" s="7" t="str">
        <f ca="1">'Database MK'!HW111</f>
        <v>Sudah, Delay</v>
      </c>
      <c r="AC110" s="7">
        <f>'Database MK'!DA111-'Database MK'!DB111</f>
        <v>45543</v>
      </c>
      <c r="AD110" s="7">
        <f>'Database MK'!DA111-'Database MK'!DF111</f>
        <v>45543</v>
      </c>
      <c r="AE110" s="7">
        <f>'Database MK'!DK111-'Database MK'!DL111</f>
        <v>52</v>
      </c>
      <c r="AF110" s="7">
        <f>'Database MK'!DK111-'Database MK'!DO111</f>
        <v>6</v>
      </c>
      <c r="AG110" s="7">
        <f>'Database MK'!DU111-'Database MK'!DW111</f>
        <v>45571</v>
      </c>
      <c r="AH110" s="7" t="str">
        <f>IF('Database MK'!EB111="","Belum",'Database MK'!DU111-'Database MK'!EB111)</f>
        <v>Belum</v>
      </c>
      <c r="AI110" s="7">
        <f>IF('Database MK'!EN111="","Belum",'Database MK'!EL111-'Database MK'!EN111)</f>
        <v>-59</v>
      </c>
      <c r="AJ110" s="7">
        <f>'Database MK'!FY111-'Database MK'!FZ111</f>
        <v>0</v>
      </c>
      <c r="AK110" s="7">
        <f>IF('Database MK'!GC111="","Belum",'Database MK'!GB111-'Database MK'!GC111)</f>
        <v>-16</v>
      </c>
      <c r="AL110" s="7">
        <f>IF('Database MK'!GF111="","Belum",'Database MK'!GE111-'Database MK'!GF111)</f>
        <v>-9</v>
      </c>
      <c r="AM110" s="309">
        <f>IF('Database MK'!GJ111="","Belum",'Database MK'!GI111-'Database MK'!GJ111)</f>
        <v>59</v>
      </c>
      <c r="AN110" s="7">
        <f>IF('Database MK'!HG111="","Belum",'Database MK'!HF111-'Database MK'!HG111)</f>
        <v>-85</v>
      </c>
      <c r="AO110" s="7">
        <f>IF('Database MK'!HP111="","Belum",'Database MK'!HN111-'Database MK'!HP111)</f>
        <v>-88</v>
      </c>
      <c r="AP110" s="7">
        <f>IF('Database MK'!HV111="","Belum",'Database MK'!HT111-'Database MK'!HV111)</f>
        <v>-86</v>
      </c>
    </row>
    <row r="111" spans="2:42" hidden="1" x14ac:dyDescent="0.2">
      <c r="B111" s="7">
        <f>SUBTOTAL(3,$C$4:C111)</f>
        <v>74</v>
      </c>
      <c r="C111" s="299" t="s">
        <v>673</v>
      </c>
      <c r="D111" s="299" t="s">
        <v>795</v>
      </c>
      <c r="E111" s="299" t="s">
        <v>796</v>
      </c>
      <c r="F111" s="300">
        <v>45748</v>
      </c>
      <c r="G111" s="4" t="s">
        <v>247</v>
      </c>
      <c r="H111" s="4" t="str">
        <f ca="1">'Database MK'!Q112</f>
        <v>DPPP</v>
      </c>
      <c r="I111" s="24">
        <f>'Database MK'!S112</f>
        <v>1</v>
      </c>
      <c r="J111" s="24">
        <f>'Database MK'!T112</f>
        <v>1</v>
      </c>
      <c r="K111" s="603">
        <f>'Database MK'!U112</f>
        <v>0</v>
      </c>
      <c r="L111" s="593">
        <f>'Database MK'!V112</f>
        <v>47</v>
      </c>
      <c r="M111" s="593">
        <f>'Database MK'!W112</f>
        <v>47</v>
      </c>
      <c r="N111" s="593">
        <f>Table3[[#This Row],[Total Panjang Pipa Aktual]]-Table3[[#This Row],[Volume
BA MC-0]]</f>
        <v>0</v>
      </c>
      <c r="O111" s="7" t="str">
        <f ca="1">'Database MK'!DE112</f>
        <v>Belum, Delay</v>
      </c>
      <c r="P111" s="7" t="str">
        <f ca="1">'Database MK'!DI112</f>
        <v>Belum, Delay</v>
      </c>
      <c r="Q111" s="7" t="str">
        <f ca="1">'Database MK'!DN112</f>
        <v>Sudah, Delay</v>
      </c>
      <c r="R111" s="7" t="str">
        <f ca="1">'Database MK'!DR112</f>
        <v>Sudah, Delay</v>
      </c>
      <c r="S111" s="7" t="str">
        <f ca="1">'Database MK'!EA112</f>
        <v>Belum, Delay</v>
      </c>
      <c r="T111" s="7" t="str">
        <f ca="1">'Database MK'!EI112</f>
        <v>Belum, Delay</v>
      </c>
      <c r="U111" s="7" t="str">
        <f ca="1">'Database MK'!ET112</f>
        <v>Sudah, Delay</v>
      </c>
      <c r="V111" s="7" t="str">
        <f ca="1">'Database MK'!GA112</f>
        <v>Belum, Delay</v>
      </c>
      <c r="W111" s="7" t="str">
        <f ca="1">'Database MK'!GD112</f>
        <v>Sudah, Delay</v>
      </c>
      <c r="X111" s="7" t="str">
        <f ca="1">'Database MK'!GG112</f>
        <v>Sudah, Delay</v>
      </c>
      <c r="Y111" s="7" t="str">
        <f ca="1">'Database MK'!GK112</f>
        <v>Sudah, OnSchedule</v>
      </c>
      <c r="Z111" s="7" t="str">
        <f ca="1">'Database MK'!HH112</f>
        <v>Sudah, Delay</v>
      </c>
      <c r="AA111" s="7" t="str">
        <f ca="1">'Database MK'!HQ112</f>
        <v>Sudah, Delay</v>
      </c>
      <c r="AB111" s="7" t="str">
        <f ca="1">'Database MK'!HW112</f>
        <v>Sudah, Delay</v>
      </c>
      <c r="AC111" s="7">
        <f>'Database MK'!DA112-'Database MK'!DB112</f>
        <v>45466</v>
      </c>
      <c r="AD111" s="7">
        <f>'Database MK'!DA112-'Database MK'!DF112</f>
        <v>45466</v>
      </c>
      <c r="AE111" s="7">
        <f>'Database MK'!DK112-'Database MK'!DL112</f>
        <v>-34</v>
      </c>
      <c r="AF111" s="7">
        <f>'Database MK'!DK112-'Database MK'!DO112</f>
        <v>-78</v>
      </c>
      <c r="AG111" s="7">
        <f>'Database MK'!DU112-'Database MK'!DW112</f>
        <v>45508</v>
      </c>
      <c r="AH111" s="7" t="str">
        <f>IF('Database MK'!EB112="","Belum",'Database MK'!DU112-'Database MK'!EB112)</f>
        <v>Belum</v>
      </c>
      <c r="AI111" s="7">
        <f>IF('Database MK'!EN112="","Belum",'Database MK'!EL112-'Database MK'!EN112)</f>
        <v>-165</v>
      </c>
      <c r="AJ111" s="7">
        <f>'Database MK'!FY112-'Database MK'!FZ112</f>
        <v>0</v>
      </c>
      <c r="AK111" s="7">
        <f>IF('Database MK'!GC112="","Belum",'Database MK'!GB112-'Database MK'!GC112)</f>
        <v>-72</v>
      </c>
      <c r="AL111" s="7">
        <f>IF('Database MK'!GF112="","Belum",'Database MK'!GE112-'Database MK'!GF112)</f>
        <v>-65</v>
      </c>
      <c r="AM111" s="309">
        <f>IF('Database MK'!GJ112="","Belum",'Database MK'!GI112-'Database MK'!GJ112)</f>
        <v>3</v>
      </c>
      <c r="AN111" s="7">
        <f>IF('Database MK'!HG112="","Belum",'Database MK'!HF112-'Database MK'!HG112)</f>
        <v>-48</v>
      </c>
      <c r="AO111" s="7">
        <f>IF('Database MK'!HP112="","Belum",'Database MK'!HN112-'Database MK'!HP112)</f>
        <v>-87</v>
      </c>
      <c r="AP111" s="7">
        <f>IF('Database MK'!HV112="","Belum",'Database MK'!HT112-'Database MK'!HV112)</f>
        <v>-85</v>
      </c>
    </row>
    <row r="112" spans="2:42" hidden="1" x14ac:dyDescent="0.2">
      <c r="B112" s="7">
        <f>SUBTOTAL(3,$C$4:C112)</f>
        <v>74</v>
      </c>
      <c r="C112" s="299" t="s">
        <v>673</v>
      </c>
      <c r="D112" s="299" t="s">
        <v>800</v>
      </c>
      <c r="E112" s="299" t="s">
        <v>801</v>
      </c>
      <c r="F112" s="300">
        <v>45748</v>
      </c>
      <c r="G112" s="4" t="s">
        <v>247</v>
      </c>
      <c r="H112" s="4" t="str">
        <f ca="1">'Database MK'!Q113</f>
        <v>DPPP</v>
      </c>
      <c r="I112" s="24">
        <f>'Database MK'!S113</f>
        <v>1</v>
      </c>
      <c r="J112" s="24">
        <f>'Database MK'!T113</f>
        <v>1</v>
      </c>
      <c r="K112" s="603">
        <f>'Database MK'!U113</f>
        <v>0</v>
      </c>
      <c r="L112" s="593">
        <f>'Database MK'!V113</f>
        <v>327</v>
      </c>
      <c r="M112" s="593">
        <f>'Database MK'!W113</f>
        <v>302</v>
      </c>
      <c r="N112" s="593">
        <f>Table3[[#This Row],[Total Panjang Pipa Aktual]]-Table3[[#This Row],[Volume
BA MC-0]]</f>
        <v>-25</v>
      </c>
      <c r="O112" s="7" t="str">
        <f ca="1">'Database MK'!DE113</f>
        <v>Belum, Delay</v>
      </c>
      <c r="P112" s="7" t="str">
        <f ca="1">'Database MK'!DI113</f>
        <v>Belum, Delay</v>
      </c>
      <c r="Q112" s="7" t="str">
        <f ca="1">'Database MK'!DN113</f>
        <v>Sudah, OnSchedule</v>
      </c>
      <c r="R112" s="7" t="str">
        <f ca="1">'Database MK'!DR113</f>
        <v>Sudah, OnSchedule</v>
      </c>
      <c r="S112" s="7" t="str">
        <f ca="1">'Database MK'!EA113</f>
        <v>Belum, Delay</v>
      </c>
      <c r="T112" s="7" t="str">
        <f ca="1">'Database MK'!EI113</f>
        <v>Belum, Delay</v>
      </c>
      <c r="U112" s="7" t="str">
        <f ca="1">'Database MK'!ET113</f>
        <v>Sudah, Delay</v>
      </c>
      <c r="V112" s="7" t="str">
        <f ca="1">'Database MK'!GA113</f>
        <v>Belum, Delay</v>
      </c>
      <c r="W112" s="7" t="str">
        <f ca="1">'Database MK'!GD113</f>
        <v>Sudah, Delay</v>
      </c>
      <c r="X112" s="7" t="str">
        <f ca="1">'Database MK'!GG113</f>
        <v>Sudah, Delay</v>
      </c>
      <c r="Y112" s="7" t="str">
        <f ca="1">'Database MK'!GK113</f>
        <v>Sudah, OnSchedule</v>
      </c>
      <c r="Z112" s="7" t="str">
        <f ca="1">'Database MK'!HH113</f>
        <v>Sudah, Delay</v>
      </c>
      <c r="AA112" s="7" t="str">
        <f ca="1">'Database MK'!HQ113</f>
        <v>Sudah, Delay</v>
      </c>
      <c r="AB112" s="7" t="str">
        <f ca="1">'Database MK'!HW113</f>
        <v>Sudah, Delay</v>
      </c>
      <c r="AC112" s="7">
        <f>'Database MK'!DA113-'Database MK'!DB113</f>
        <v>45543</v>
      </c>
      <c r="AD112" s="7">
        <f>'Database MK'!DA113-'Database MK'!DF113</f>
        <v>45543</v>
      </c>
      <c r="AE112" s="7">
        <f>'Database MK'!DK113-'Database MK'!DL113</f>
        <v>43</v>
      </c>
      <c r="AF112" s="7">
        <f>'Database MK'!DK113-'Database MK'!DO113</f>
        <v>6</v>
      </c>
      <c r="AG112" s="7">
        <f>'Database MK'!DU113-'Database MK'!DW113</f>
        <v>45571</v>
      </c>
      <c r="AH112" s="7" t="str">
        <f>IF('Database MK'!EB113="","Belum",'Database MK'!DU113-'Database MK'!EB113)</f>
        <v>Belum</v>
      </c>
      <c r="AI112" s="7">
        <f>IF('Database MK'!EN113="","Belum",'Database MK'!EL113-'Database MK'!EN113)</f>
        <v>-60</v>
      </c>
      <c r="AJ112" s="7">
        <f>'Database MK'!FY113-'Database MK'!FZ113</f>
        <v>0</v>
      </c>
      <c r="AK112" s="7">
        <f>IF('Database MK'!GC113="","Belum",'Database MK'!GB113-'Database MK'!GC113)</f>
        <v>-16</v>
      </c>
      <c r="AL112" s="7">
        <f>IF('Database MK'!GF113="","Belum",'Database MK'!GE113-'Database MK'!GF113)</f>
        <v>-9</v>
      </c>
      <c r="AM112" s="309">
        <f>IF('Database MK'!GJ113="","Belum",'Database MK'!GI113-'Database MK'!GJ113)</f>
        <v>61</v>
      </c>
      <c r="AN112" s="7">
        <f>IF('Database MK'!HG113="","Belum",'Database MK'!HF113-'Database MK'!HG113)</f>
        <v>-37</v>
      </c>
      <c r="AO112" s="7">
        <f>IF('Database MK'!HP113="","Belum",'Database MK'!HN113-'Database MK'!HP113)</f>
        <v>-88</v>
      </c>
      <c r="AP112" s="7">
        <f>IF('Database MK'!HV113="","Belum",'Database MK'!HT113-'Database MK'!HV113)</f>
        <v>-86</v>
      </c>
    </row>
    <row r="113" spans="2:42" hidden="1" x14ac:dyDescent="0.2">
      <c r="B113" s="7">
        <f>SUBTOTAL(3,$C$4:C113)</f>
        <v>74</v>
      </c>
      <c r="C113" s="299" t="s">
        <v>673</v>
      </c>
      <c r="D113" s="299" t="s">
        <v>805</v>
      </c>
      <c r="E113" s="299" t="s">
        <v>806</v>
      </c>
      <c r="F113" s="300">
        <v>45748</v>
      </c>
      <c r="G113" s="4" t="s">
        <v>247</v>
      </c>
      <c r="H113" s="4" t="str">
        <f ca="1">'Database MK'!Q114</f>
        <v>DPPP</v>
      </c>
      <c r="I113" s="24">
        <f>'Database MK'!S114</f>
        <v>1</v>
      </c>
      <c r="J113" s="24">
        <f>'Database MK'!T114</f>
        <v>1</v>
      </c>
      <c r="K113" s="603">
        <f>'Database MK'!U114</f>
        <v>0</v>
      </c>
      <c r="L113" s="593">
        <f>'Database MK'!V114</f>
        <v>123</v>
      </c>
      <c r="M113" s="593">
        <f>'Database MK'!W114</f>
        <v>123</v>
      </c>
      <c r="N113" s="593">
        <f>Table3[[#This Row],[Total Panjang Pipa Aktual]]-Table3[[#This Row],[Volume
BA MC-0]]</f>
        <v>0</v>
      </c>
      <c r="O113" s="7" t="str">
        <f ca="1">'Database MK'!DE114</f>
        <v>Belum, Delay</v>
      </c>
      <c r="P113" s="7" t="str">
        <f ca="1">'Database MK'!DI114</f>
        <v>Belum, Delay</v>
      </c>
      <c r="Q113" s="7" t="str">
        <f ca="1">'Database MK'!DN114</f>
        <v>Sudah, OnSchedule</v>
      </c>
      <c r="R113" s="7" t="str">
        <f ca="1">'Database MK'!DR114</f>
        <v>Sudah, OnSchedule</v>
      </c>
      <c r="S113" s="7" t="str">
        <f ca="1">'Database MK'!EA114</f>
        <v>Belum, Delay</v>
      </c>
      <c r="T113" s="7" t="str">
        <f ca="1">'Database MK'!EI114</f>
        <v>Belum, Delay</v>
      </c>
      <c r="U113" s="7" t="str">
        <f ca="1">'Database MK'!ET114</f>
        <v>Sudah, Delay</v>
      </c>
      <c r="V113" s="7" t="str">
        <f ca="1">'Database MK'!GA114</f>
        <v>Belum, Delay</v>
      </c>
      <c r="W113" s="7" t="str">
        <f ca="1">'Database MK'!GD114</f>
        <v>Sudah, Delay</v>
      </c>
      <c r="X113" s="7" t="str">
        <f ca="1">'Database MK'!GG114</f>
        <v>Sudah, Delay</v>
      </c>
      <c r="Y113" s="7" t="str">
        <f ca="1">'Database MK'!GK114</f>
        <v>Sudah, OnSchedule</v>
      </c>
      <c r="Z113" s="7" t="str">
        <f ca="1">'Database MK'!HH114</f>
        <v>Sudah, Delay</v>
      </c>
      <c r="AA113" s="7" t="str">
        <f ca="1">'Database MK'!HQ114</f>
        <v>Sudah, Delay</v>
      </c>
      <c r="AB113" s="7" t="str">
        <f ca="1">'Database MK'!HW114</f>
        <v>Sudah, Delay</v>
      </c>
      <c r="AC113" s="7">
        <f>'Database MK'!DA114-'Database MK'!DB114</f>
        <v>45543</v>
      </c>
      <c r="AD113" s="7">
        <f>'Database MK'!DA114-'Database MK'!DF114</f>
        <v>45543</v>
      </c>
      <c r="AE113" s="7">
        <f>'Database MK'!DK114-'Database MK'!DL114</f>
        <v>52</v>
      </c>
      <c r="AF113" s="7">
        <f>'Database MK'!DK114-'Database MK'!DO114</f>
        <v>6</v>
      </c>
      <c r="AG113" s="7">
        <f>'Database MK'!DU114-'Database MK'!DW114</f>
        <v>45571</v>
      </c>
      <c r="AH113" s="7" t="str">
        <f>IF('Database MK'!EB114="","Belum",'Database MK'!DU114-'Database MK'!EB114)</f>
        <v>Belum</v>
      </c>
      <c r="AI113" s="7">
        <f>IF('Database MK'!EN114="","Belum",'Database MK'!EL114-'Database MK'!EN114)</f>
        <v>-166</v>
      </c>
      <c r="AJ113" s="7">
        <f>'Database MK'!FY114-'Database MK'!FZ114</f>
        <v>0</v>
      </c>
      <c r="AK113" s="7">
        <f>IF('Database MK'!GC114="","Belum",'Database MK'!GB114-'Database MK'!GC114)</f>
        <v>-16</v>
      </c>
      <c r="AL113" s="7">
        <f>IF('Database MK'!GF114="","Belum",'Database MK'!GE114-'Database MK'!GF114)</f>
        <v>-9</v>
      </c>
      <c r="AM113" s="309">
        <f>IF('Database MK'!GJ114="","Belum",'Database MK'!GI114-'Database MK'!GJ114)</f>
        <v>59</v>
      </c>
      <c r="AN113" s="7">
        <f>IF('Database MK'!HG114="","Belum",'Database MK'!HF114-'Database MK'!HG114)</f>
        <v>-37</v>
      </c>
      <c r="AO113" s="7">
        <f>IF('Database MK'!HP114="","Belum",'Database MK'!HN114-'Database MK'!HP114)</f>
        <v>-87</v>
      </c>
      <c r="AP113" s="7">
        <f>IF('Database MK'!HV114="","Belum",'Database MK'!HT114-'Database MK'!HV114)</f>
        <v>-85</v>
      </c>
    </row>
    <row r="114" spans="2:42" hidden="1" x14ac:dyDescent="0.2">
      <c r="B114" s="7">
        <f>SUBTOTAL(3,$C$4:C114)</f>
        <v>74</v>
      </c>
      <c r="C114" s="299" t="s">
        <v>673</v>
      </c>
      <c r="D114" s="299" t="s">
        <v>810</v>
      </c>
      <c r="E114" s="299" t="s">
        <v>811</v>
      </c>
      <c r="F114" s="300">
        <v>45748</v>
      </c>
      <c r="G114" s="4" t="s">
        <v>247</v>
      </c>
      <c r="H114" s="4" t="str">
        <f ca="1">'Database MK'!Q115</f>
        <v>DPPP</v>
      </c>
      <c r="I114" s="24">
        <f>'Database MK'!S115</f>
        <v>1</v>
      </c>
      <c r="J114" s="24">
        <f>'Database MK'!T115</f>
        <v>1</v>
      </c>
      <c r="K114" s="603">
        <f>'Database MK'!U115</f>
        <v>0</v>
      </c>
      <c r="L114" s="593">
        <f>'Database MK'!V115</f>
        <v>79</v>
      </c>
      <c r="M114" s="593">
        <f>'Database MK'!W115</f>
        <v>64</v>
      </c>
      <c r="N114" s="593">
        <f>Table3[[#This Row],[Total Panjang Pipa Aktual]]-Table3[[#This Row],[Volume
BA MC-0]]</f>
        <v>-15</v>
      </c>
      <c r="O114" s="7" t="str">
        <f ca="1">'Database MK'!DE115</f>
        <v>Belum, Delay</v>
      </c>
      <c r="P114" s="7" t="str">
        <f ca="1">'Database MK'!DI115</f>
        <v>Belum, Delay</v>
      </c>
      <c r="Q114" s="7" t="str">
        <f ca="1">'Database MK'!DN115</f>
        <v>Sudah, OnSchedule</v>
      </c>
      <c r="R114" s="7" t="str">
        <f ca="1">'Database MK'!DR115</f>
        <v>Sudah, Delay</v>
      </c>
      <c r="S114" s="7" t="str">
        <f ca="1">'Database MK'!EA115</f>
        <v>Belum, Delay</v>
      </c>
      <c r="T114" s="7" t="str">
        <f ca="1">'Database MK'!EI115</f>
        <v>Belum, Delay</v>
      </c>
      <c r="U114" s="7" t="str">
        <f ca="1">'Database MK'!ET115</f>
        <v>Sudah, Delay</v>
      </c>
      <c r="V114" s="7" t="str">
        <f ca="1">'Database MK'!GA115</f>
        <v>Belum, Delay</v>
      </c>
      <c r="W114" s="7" t="str">
        <f ca="1">'Database MK'!GD115</f>
        <v>Sudah, Delay</v>
      </c>
      <c r="X114" s="7" t="str">
        <f ca="1">'Database MK'!GG115</f>
        <v>Sudah, Delay</v>
      </c>
      <c r="Y114" s="7" t="str">
        <f ca="1">'Database MK'!GK115</f>
        <v>Sudah, OnSchedule</v>
      </c>
      <c r="Z114" s="7" t="str">
        <f ca="1">'Database MK'!HH115</f>
        <v>Sudah, Delay</v>
      </c>
      <c r="AA114" s="7" t="str">
        <f ca="1">'Database MK'!HQ115</f>
        <v>Sudah, Delay</v>
      </c>
      <c r="AB114" s="7" t="str">
        <f ca="1">'Database MK'!HW115</f>
        <v>Sudah, Delay</v>
      </c>
      <c r="AC114" s="7">
        <f>'Database MK'!DA115-'Database MK'!DB115</f>
        <v>45543</v>
      </c>
      <c r="AD114" s="7">
        <f>'Database MK'!DA115-'Database MK'!DF115</f>
        <v>45543</v>
      </c>
      <c r="AE114" s="7">
        <f>'Database MK'!DK115-'Database MK'!DL115</f>
        <v>50</v>
      </c>
      <c r="AF114" s="7">
        <f>'Database MK'!DK115-'Database MK'!DO115</f>
        <v>-1</v>
      </c>
      <c r="AG114" s="7">
        <f>'Database MK'!DU115-'Database MK'!DW115</f>
        <v>45571</v>
      </c>
      <c r="AH114" s="7" t="str">
        <f>IF('Database MK'!EB115="","Belum",'Database MK'!DU115-'Database MK'!EB115)</f>
        <v>Belum</v>
      </c>
      <c r="AI114" s="7">
        <f>IF('Database MK'!EN115="","Belum",'Database MK'!EL115-'Database MK'!EN115)</f>
        <v>-194</v>
      </c>
      <c r="AJ114" s="7">
        <f>'Database MK'!FY115-'Database MK'!FZ115</f>
        <v>0</v>
      </c>
      <c r="AK114" s="7">
        <f>IF('Database MK'!GC115="","Belum",'Database MK'!GB115-'Database MK'!GC115)</f>
        <v>-16</v>
      </c>
      <c r="AL114" s="7">
        <f>IF('Database MK'!GF115="","Belum",'Database MK'!GE115-'Database MK'!GF115)</f>
        <v>-9</v>
      </c>
      <c r="AM114" s="309">
        <f>IF('Database MK'!GJ115="","Belum",'Database MK'!GI115-'Database MK'!GJ115)</f>
        <v>61</v>
      </c>
      <c r="AN114" s="7">
        <f>IF('Database MK'!HG115="","Belum",'Database MK'!HF115-'Database MK'!HG115)</f>
        <v>-36</v>
      </c>
      <c r="AO114" s="7">
        <f>IF('Database MK'!HP115="","Belum",'Database MK'!HN115-'Database MK'!HP115)</f>
        <v>-88</v>
      </c>
      <c r="AP114" s="7">
        <f>IF('Database MK'!HV115="","Belum",'Database MK'!HT115-'Database MK'!HV115)</f>
        <v>-86</v>
      </c>
    </row>
    <row r="115" spans="2:42" hidden="1" x14ac:dyDescent="0.2">
      <c r="B115" s="7">
        <f>SUBTOTAL(3,$C$4:C115)</f>
        <v>74</v>
      </c>
      <c r="C115" s="299" t="s">
        <v>673</v>
      </c>
      <c r="D115" s="299" t="s">
        <v>815</v>
      </c>
      <c r="E115" s="299" t="s">
        <v>816</v>
      </c>
      <c r="F115" s="300">
        <v>45748</v>
      </c>
      <c r="G115" s="4" t="s">
        <v>247</v>
      </c>
      <c r="H115" s="4" t="str">
        <f ca="1">'Database MK'!Q116</f>
        <v>DPPP</v>
      </c>
      <c r="I115" s="24">
        <f>'Database MK'!S116</f>
        <v>1</v>
      </c>
      <c r="J115" s="24">
        <f>'Database MK'!T116</f>
        <v>1</v>
      </c>
      <c r="K115" s="603">
        <f>'Database MK'!U116</f>
        <v>0</v>
      </c>
      <c r="L115" s="593">
        <f>'Database MK'!V116</f>
        <v>192</v>
      </c>
      <c r="M115" s="593">
        <f>'Database MK'!W116</f>
        <v>192</v>
      </c>
      <c r="N115" s="593">
        <f>Table3[[#This Row],[Total Panjang Pipa Aktual]]-Table3[[#This Row],[Volume
BA MC-0]]</f>
        <v>0</v>
      </c>
      <c r="O115" s="7" t="str">
        <f ca="1">'Database MK'!DE116</f>
        <v>Belum, Delay</v>
      </c>
      <c r="P115" s="7" t="str">
        <f ca="1">'Database MK'!DI116</f>
        <v>Belum, Delay</v>
      </c>
      <c r="Q115" s="7" t="str">
        <f ca="1">'Database MK'!DN116</f>
        <v>Sudah, OnSchedule</v>
      </c>
      <c r="R115" s="7" t="str">
        <f ca="1">'Database MK'!DR116</f>
        <v>Sudah, OnSchedule</v>
      </c>
      <c r="S115" s="7" t="str">
        <f ca="1">'Database MK'!EA116</f>
        <v>Belum, Delay</v>
      </c>
      <c r="T115" s="7" t="str">
        <f ca="1">'Database MK'!EI116</f>
        <v>Belum, Delay</v>
      </c>
      <c r="U115" s="7" t="str">
        <f ca="1">'Database MK'!ET116</f>
        <v>Sudah, Delay</v>
      </c>
      <c r="V115" s="7" t="str">
        <f ca="1">'Database MK'!GA116</f>
        <v>Belum, Delay</v>
      </c>
      <c r="W115" s="7" t="str">
        <f ca="1">'Database MK'!GD116</f>
        <v>Sudah, Delay</v>
      </c>
      <c r="X115" s="7" t="str">
        <f ca="1">'Database MK'!GG116</f>
        <v>Sudah, Delay</v>
      </c>
      <c r="Y115" s="7" t="str">
        <f ca="1">'Database MK'!GK116</f>
        <v>Sudah, OnSchedule</v>
      </c>
      <c r="Z115" s="7" t="str">
        <f ca="1">'Database MK'!HH116</f>
        <v>Sudah, Delay</v>
      </c>
      <c r="AA115" s="7" t="str">
        <f ca="1">'Database MK'!HQ116</f>
        <v>Sudah, Delay</v>
      </c>
      <c r="AB115" s="7" t="str">
        <f ca="1">'Database MK'!HW116</f>
        <v>Sudah, Delay</v>
      </c>
      <c r="AC115" s="7">
        <f>'Database MK'!DA116-'Database MK'!DB116</f>
        <v>45543</v>
      </c>
      <c r="AD115" s="7">
        <f>'Database MK'!DA116-'Database MK'!DF116</f>
        <v>45543</v>
      </c>
      <c r="AE115" s="7">
        <f>'Database MK'!DK116-'Database MK'!DL116</f>
        <v>50</v>
      </c>
      <c r="AF115" s="7">
        <f>'Database MK'!DK116-'Database MK'!DO116</f>
        <v>6</v>
      </c>
      <c r="AG115" s="7">
        <f>'Database MK'!DU116-'Database MK'!DW116</f>
        <v>45571</v>
      </c>
      <c r="AH115" s="7" t="str">
        <f>IF('Database MK'!EB116="","Belum",'Database MK'!DU116-'Database MK'!EB116)</f>
        <v>Belum</v>
      </c>
      <c r="AI115" s="7">
        <f>IF('Database MK'!EN116="","Belum",'Database MK'!EL116-'Database MK'!EN116)</f>
        <v>-60</v>
      </c>
      <c r="AJ115" s="7">
        <f>'Database MK'!FY116-'Database MK'!FZ116</f>
        <v>0</v>
      </c>
      <c r="AK115" s="7">
        <f>IF('Database MK'!GC116="","Belum",'Database MK'!GB116-'Database MK'!GC116)</f>
        <v>-16</v>
      </c>
      <c r="AL115" s="7">
        <f>IF('Database MK'!GF116="","Belum",'Database MK'!GE116-'Database MK'!GF116)</f>
        <v>-9</v>
      </c>
      <c r="AM115" s="309">
        <f>IF('Database MK'!GJ116="","Belum",'Database MK'!GI116-'Database MK'!GJ116)</f>
        <v>60</v>
      </c>
      <c r="AN115" s="7">
        <f>IF('Database MK'!HG116="","Belum",'Database MK'!HF116-'Database MK'!HG116)</f>
        <v>-190</v>
      </c>
      <c r="AO115" s="7">
        <f>IF('Database MK'!HP116="","Belum",'Database MK'!HN116-'Database MK'!HP116)</f>
        <v>-87</v>
      </c>
      <c r="AP115" s="7">
        <f>IF('Database MK'!HV116="","Belum",'Database MK'!HT116-'Database MK'!HV116)</f>
        <v>-85</v>
      </c>
    </row>
    <row r="116" spans="2:42" hidden="1" x14ac:dyDescent="0.2">
      <c r="B116" s="7">
        <f>SUBTOTAL(3,$C$4:C116)</f>
        <v>74</v>
      </c>
      <c r="C116" s="299" t="s">
        <v>673</v>
      </c>
      <c r="D116" s="299" t="s">
        <v>820</v>
      </c>
      <c r="E116" s="299" t="s">
        <v>821</v>
      </c>
      <c r="F116" s="300">
        <v>45748</v>
      </c>
      <c r="G116" s="4" t="s">
        <v>247</v>
      </c>
      <c r="H116" s="4" t="str">
        <f ca="1">'Database MK'!Q117</f>
        <v>DPPP</v>
      </c>
      <c r="I116" s="24">
        <f>'Database MK'!S117</f>
        <v>1</v>
      </c>
      <c r="J116" s="24">
        <f>'Database MK'!T117</f>
        <v>1</v>
      </c>
      <c r="K116" s="603">
        <f>'Database MK'!U117</f>
        <v>0</v>
      </c>
      <c r="L116" s="593">
        <f>'Database MK'!V117</f>
        <v>1006</v>
      </c>
      <c r="M116" s="593">
        <f>'Database MK'!W117</f>
        <v>1140</v>
      </c>
      <c r="N116" s="593">
        <f>Table3[[#This Row],[Total Panjang Pipa Aktual]]-Table3[[#This Row],[Volume
BA MC-0]]</f>
        <v>134</v>
      </c>
      <c r="O116" s="7" t="str">
        <f ca="1">'Database MK'!DE117</f>
        <v>Belum, Delay</v>
      </c>
      <c r="P116" s="7" t="str">
        <f ca="1">'Database MK'!DI117</f>
        <v>Belum, Delay</v>
      </c>
      <c r="Q116" s="7" t="str">
        <f ca="1">'Database MK'!DN117</f>
        <v>Sudah, OnSchedule</v>
      </c>
      <c r="R116" s="7" t="str">
        <f ca="1">'Database MK'!DR117</f>
        <v>Sudah, Delay</v>
      </c>
      <c r="S116" s="7" t="str">
        <f ca="1">'Database MK'!EA117</f>
        <v>Belum, Delay</v>
      </c>
      <c r="T116" s="7" t="str">
        <f ca="1">'Database MK'!EI117</f>
        <v>Belum, Delay</v>
      </c>
      <c r="U116" s="7" t="str">
        <f ca="1">'Database MK'!ET117</f>
        <v>Sudah, Delay</v>
      </c>
      <c r="V116" s="7" t="str">
        <f ca="1">'Database MK'!GA117</f>
        <v>Belum, Delay</v>
      </c>
      <c r="W116" s="7" t="str">
        <f ca="1">'Database MK'!GD117</f>
        <v>Sudah, Delay</v>
      </c>
      <c r="X116" s="7" t="str">
        <f ca="1">'Database MK'!GG117</f>
        <v>Sudah, Delay</v>
      </c>
      <c r="Y116" s="7" t="str">
        <f ca="1">'Database MK'!GK117</f>
        <v>Sudah, OnSchedule</v>
      </c>
      <c r="Z116" s="7" t="str">
        <f ca="1">'Database MK'!HH117</f>
        <v>Sudah, Delay</v>
      </c>
      <c r="AA116" s="7" t="str">
        <f ca="1">'Database MK'!HQ117</f>
        <v>Sudah, Delay</v>
      </c>
      <c r="AB116" s="7" t="str">
        <f ca="1">'Database MK'!HW117</f>
        <v>Sudah, Delay</v>
      </c>
      <c r="AC116" s="7">
        <f>'Database MK'!DA117-'Database MK'!DB117</f>
        <v>45543</v>
      </c>
      <c r="AD116" s="7">
        <f>'Database MK'!DA117-'Database MK'!DF117</f>
        <v>45543</v>
      </c>
      <c r="AE116" s="7">
        <f>'Database MK'!DK117-'Database MK'!DL117</f>
        <v>50</v>
      </c>
      <c r="AF116" s="7">
        <f>'Database MK'!DK117-'Database MK'!DO117</f>
        <v>-1</v>
      </c>
      <c r="AG116" s="7">
        <f>'Database MK'!DU117-'Database MK'!DW117</f>
        <v>45571</v>
      </c>
      <c r="AH116" s="7" t="str">
        <f>IF('Database MK'!EB117="","Belum",'Database MK'!DU117-'Database MK'!EB117)</f>
        <v>Belum</v>
      </c>
      <c r="AI116" s="7">
        <f>IF('Database MK'!EN117="","Belum",'Database MK'!EL117-'Database MK'!EN117)</f>
        <v>-144</v>
      </c>
      <c r="AJ116" s="7">
        <f>'Database MK'!FY117-'Database MK'!FZ117</f>
        <v>0</v>
      </c>
      <c r="AK116" s="7">
        <f>IF('Database MK'!GC117="","Belum",'Database MK'!GB117-'Database MK'!GC117)</f>
        <v>-16</v>
      </c>
      <c r="AL116" s="7">
        <f>IF('Database MK'!GF117="","Belum",'Database MK'!GE117-'Database MK'!GF117)</f>
        <v>-9</v>
      </c>
      <c r="AM116" s="309">
        <f>IF('Database MK'!GJ117="","Belum",'Database MK'!GI117-'Database MK'!GJ117)</f>
        <v>61</v>
      </c>
      <c r="AN116" s="7">
        <f>IF('Database MK'!HG117="","Belum",'Database MK'!HF117-'Database MK'!HG117)</f>
        <v>-36</v>
      </c>
      <c r="AO116" s="7">
        <f>IF('Database MK'!HP117="","Belum",'Database MK'!HN117-'Database MK'!HP117)</f>
        <v>-88</v>
      </c>
      <c r="AP116" s="7">
        <f>IF('Database MK'!HV117="","Belum",'Database MK'!HT117-'Database MK'!HV117)</f>
        <v>-86</v>
      </c>
    </row>
    <row r="117" spans="2:42" hidden="1" x14ac:dyDescent="0.2">
      <c r="B117" s="7">
        <f>SUBTOTAL(3,$C$4:C117)</f>
        <v>74</v>
      </c>
      <c r="C117" s="299" t="s">
        <v>673</v>
      </c>
      <c r="D117" s="299" t="s">
        <v>826</v>
      </c>
      <c r="E117" s="299" t="s">
        <v>827</v>
      </c>
      <c r="F117" s="300">
        <v>45748</v>
      </c>
      <c r="G117" s="4" t="s">
        <v>247</v>
      </c>
      <c r="H117" s="4" t="str">
        <f ca="1">'Database MK'!Q118</f>
        <v>DPPP</v>
      </c>
      <c r="I117" s="24">
        <f>'Database MK'!S118</f>
        <v>1</v>
      </c>
      <c r="J117" s="24">
        <f>'Database MK'!T118</f>
        <v>1</v>
      </c>
      <c r="K117" s="603">
        <f>'Database MK'!U118</f>
        <v>0</v>
      </c>
      <c r="L117" s="593">
        <f>'Database MK'!V118</f>
        <v>212</v>
      </c>
      <c r="M117" s="593">
        <f>'Database MK'!W118</f>
        <v>212</v>
      </c>
      <c r="N117" s="593">
        <f>Table3[[#This Row],[Total Panjang Pipa Aktual]]-Table3[[#This Row],[Volume
BA MC-0]]</f>
        <v>0</v>
      </c>
      <c r="O117" s="7" t="str">
        <f ca="1">'Database MK'!DE118</f>
        <v>Belum, Delay</v>
      </c>
      <c r="P117" s="7" t="str">
        <f ca="1">'Database MK'!DI118</f>
        <v>Belum, Delay</v>
      </c>
      <c r="Q117" s="7" t="str">
        <f ca="1">'Database MK'!DN118</f>
        <v>Sudah, OnSchedule</v>
      </c>
      <c r="R117" s="7" t="str">
        <f ca="1">'Database MK'!DR118</f>
        <v>Sudah, Delay</v>
      </c>
      <c r="S117" s="7" t="str">
        <f ca="1">'Database MK'!EA118</f>
        <v>Belum, Delay</v>
      </c>
      <c r="T117" s="7" t="str">
        <f ca="1">'Database MK'!EI118</f>
        <v>Belum, Delay</v>
      </c>
      <c r="U117" s="7" t="str">
        <f ca="1">'Database MK'!ET118</f>
        <v>Sudah, Delay</v>
      </c>
      <c r="V117" s="7" t="str">
        <f ca="1">'Database MK'!GA118</f>
        <v>Belum, Delay</v>
      </c>
      <c r="W117" s="7" t="str">
        <f ca="1">'Database MK'!GD118</f>
        <v>Sudah, Delay</v>
      </c>
      <c r="X117" s="7" t="str">
        <f ca="1">'Database MK'!GG118</f>
        <v>Sudah, Delay</v>
      </c>
      <c r="Y117" s="7" t="str">
        <f ca="1">'Database MK'!GK118</f>
        <v>Sudah, OnSchedule</v>
      </c>
      <c r="Z117" s="7" t="str">
        <f ca="1">'Database MK'!HH118</f>
        <v>Sudah, Delay</v>
      </c>
      <c r="AA117" s="7" t="str">
        <f ca="1">'Database MK'!HQ118</f>
        <v>Sudah, Delay</v>
      </c>
      <c r="AB117" s="7" t="str">
        <f ca="1">'Database MK'!HW118</f>
        <v>Sudah, Delay</v>
      </c>
      <c r="AC117" s="7">
        <f>'Database MK'!DA118-'Database MK'!DB118</f>
        <v>45543</v>
      </c>
      <c r="AD117" s="7">
        <f>'Database MK'!DA118-'Database MK'!DF118</f>
        <v>45543</v>
      </c>
      <c r="AE117" s="7">
        <f>'Database MK'!DK118-'Database MK'!DL118</f>
        <v>50</v>
      </c>
      <c r="AF117" s="7">
        <f>'Database MK'!DK118-'Database MK'!DO118</f>
        <v>-393</v>
      </c>
      <c r="AG117" s="7">
        <f>'Database MK'!DU118-'Database MK'!DW118</f>
        <v>45571</v>
      </c>
      <c r="AH117" s="7" t="str">
        <f>IF('Database MK'!EB118="","Belum",'Database MK'!DU118-'Database MK'!EB118)</f>
        <v>Belum</v>
      </c>
      <c r="AI117" s="7">
        <f>IF('Database MK'!EN118="","Belum",'Database MK'!EL118-'Database MK'!EN118)</f>
        <v>-166</v>
      </c>
      <c r="AJ117" s="7">
        <f>'Database MK'!FY118-'Database MK'!FZ118</f>
        <v>0</v>
      </c>
      <c r="AK117" s="7">
        <f>IF('Database MK'!GC118="","Belum",'Database MK'!GB118-'Database MK'!GC118)</f>
        <v>-16</v>
      </c>
      <c r="AL117" s="7">
        <f>IF('Database MK'!GF118="","Belum",'Database MK'!GE118-'Database MK'!GF118)</f>
        <v>-9</v>
      </c>
      <c r="AM117" s="309">
        <f>IF('Database MK'!GJ118="","Belum",'Database MK'!GI118-'Database MK'!GJ118)</f>
        <v>60</v>
      </c>
      <c r="AN117" s="7">
        <f>IF('Database MK'!HG118="","Belum",'Database MK'!HF118-'Database MK'!HG118)</f>
        <v>-37</v>
      </c>
      <c r="AO117" s="7">
        <f>IF('Database MK'!HP118="","Belum",'Database MK'!HN118-'Database MK'!HP118)</f>
        <v>-87</v>
      </c>
      <c r="AP117" s="7">
        <f>IF('Database MK'!HV118="","Belum",'Database MK'!HT118-'Database MK'!HV118)</f>
        <v>-85</v>
      </c>
    </row>
    <row r="118" spans="2:42" hidden="1" x14ac:dyDescent="0.2">
      <c r="B118" s="7">
        <f>SUBTOTAL(3,$C$4:C118)</f>
        <v>74</v>
      </c>
      <c r="C118" s="299" t="s">
        <v>673</v>
      </c>
      <c r="D118" s="299" t="s">
        <v>832</v>
      </c>
      <c r="E118" s="299" t="s">
        <v>833</v>
      </c>
      <c r="F118" s="300">
        <v>45748</v>
      </c>
      <c r="G118" s="4" t="s">
        <v>247</v>
      </c>
      <c r="H118" s="4" t="str">
        <f ca="1">'Database MK'!Q119</f>
        <v>DPPP</v>
      </c>
      <c r="I118" s="24">
        <f>'Database MK'!S119</f>
        <v>1</v>
      </c>
      <c r="J118" s="24">
        <f>'Database MK'!T119</f>
        <v>1</v>
      </c>
      <c r="K118" s="603">
        <f>'Database MK'!U119</f>
        <v>0</v>
      </c>
      <c r="L118" s="593">
        <f>'Database MK'!V119</f>
        <v>200</v>
      </c>
      <c r="M118" s="593">
        <f>'Database MK'!W119</f>
        <v>127</v>
      </c>
      <c r="N118" s="593">
        <f>Table3[[#This Row],[Total Panjang Pipa Aktual]]-Table3[[#This Row],[Volume
BA MC-0]]</f>
        <v>-73</v>
      </c>
      <c r="O118" s="7" t="str">
        <f ca="1">'Database MK'!DE119</f>
        <v>Belum, Delay</v>
      </c>
      <c r="P118" s="7" t="str">
        <f ca="1">'Database MK'!DI119</f>
        <v>Belum, Delay</v>
      </c>
      <c r="Q118" s="7" t="str">
        <f ca="1">'Database MK'!DN119</f>
        <v>Sudah, Delay</v>
      </c>
      <c r="R118" s="7" t="str">
        <f ca="1">'Database MK'!DR119</f>
        <v>Belum, Delay</v>
      </c>
      <c r="S118" s="7" t="str">
        <f ca="1">'Database MK'!EA119</f>
        <v>Belum, Delay</v>
      </c>
      <c r="T118" s="7" t="str">
        <f ca="1">'Database MK'!EI119</f>
        <v>Belum, Delay</v>
      </c>
      <c r="U118" s="7" t="str">
        <f ca="1">'Database MK'!ET119</f>
        <v>Sudah, Delay</v>
      </c>
      <c r="V118" s="7" t="str">
        <f ca="1">'Database MK'!GA119</f>
        <v>Belum, Delay</v>
      </c>
      <c r="W118" s="7" t="str">
        <f ca="1">'Database MK'!GD119</f>
        <v>Sudah, Delay</v>
      </c>
      <c r="X118" s="7" t="str">
        <f ca="1">'Database MK'!GG119</f>
        <v>Sudah, Delay</v>
      </c>
      <c r="Y118" s="7" t="str">
        <f ca="1">'Database MK'!GK119</f>
        <v>Sudah, OnSchedule</v>
      </c>
      <c r="Z118" s="7" t="str">
        <f ca="1">'Database MK'!HH119</f>
        <v>Sudah, Delay</v>
      </c>
      <c r="AA118" s="7" t="str">
        <f ca="1">'Database MK'!HQ119</f>
        <v>Sudah, Delay</v>
      </c>
      <c r="AB118" s="7" t="str">
        <f ca="1">'Database MK'!HW119</f>
        <v>Sudah, Delay</v>
      </c>
      <c r="AC118" s="7">
        <f>'Database MK'!DA119-'Database MK'!DB119</f>
        <v>45543</v>
      </c>
      <c r="AD118" s="7">
        <f>'Database MK'!DA119-'Database MK'!DF119</f>
        <v>45543</v>
      </c>
      <c r="AE118" s="7">
        <f>'Database MK'!DK119-'Database MK'!DL119</f>
        <v>-326</v>
      </c>
      <c r="AF118" s="7">
        <f>'Database MK'!DK119-'Database MK'!DO119</f>
        <v>45592</v>
      </c>
      <c r="AG118" s="7">
        <f>'Database MK'!DU119-'Database MK'!DW119</f>
        <v>45571</v>
      </c>
      <c r="AH118" s="7" t="str">
        <f>IF('Database MK'!EB119="","Belum",'Database MK'!DU119-'Database MK'!EB119)</f>
        <v>Belum</v>
      </c>
      <c r="AI118" s="7">
        <f>IF('Database MK'!EN119="","Belum",'Database MK'!EL119-'Database MK'!EN119)</f>
        <v>-62</v>
      </c>
      <c r="AJ118" s="7">
        <f>'Database MK'!FY119-'Database MK'!FZ119</f>
        <v>0</v>
      </c>
      <c r="AK118" s="7">
        <f>IF('Database MK'!GC119="","Belum",'Database MK'!GB119-'Database MK'!GC119)</f>
        <v>-16</v>
      </c>
      <c r="AL118" s="7">
        <f>IF('Database MK'!GF119="","Belum",'Database MK'!GE119-'Database MK'!GF119)</f>
        <v>-9</v>
      </c>
      <c r="AM118" s="309">
        <f>IF('Database MK'!GJ119="","Belum",'Database MK'!GI119-'Database MK'!GJ119)</f>
        <v>60</v>
      </c>
      <c r="AN118" s="7">
        <f>IF('Database MK'!HG119="","Belum",'Database MK'!HF119-'Database MK'!HG119)</f>
        <v>-275</v>
      </c>
      <c r="AO118" s="7">
        <f>IF('Database MK'!HP119="","Belum",'Database MK'!HN119-'Database MK'!HP119)</f>
        <v>-89</v>
      </c>
      <c r="AP118" s="7">
        <f>IF('Database MK'!HV119="","Belum",'Database MK'!HT119-'Database MK'!HV119)</f>
        <v>-87</v>
      </c>
    </row>
    <row r="119" spans="2:42" hidden="1" x14ac:dyDescent="0.2">
      <c r="B119" s="7">
        <f>SUBTOTAL(3,$C$4:C119)</f>
        <v>74</v>
      </c>
      <c r="C119" s="299" t="s">
        <v>673</v>
      </c>
      <c r="D119" s="299" t="s">
        <v>836</v>
      </c>
      <c r="E119" s="299" t="s">
        <v>837</v>
      </c>
      <c r="F119" s="300">
        <v>45748</v>
      </c>
      <c r="G119" s="4" t="s">
        <v>247</v>
      </c>
      <c r="H119" s="4" t="str">
        <f ca="1">'Database MK'!Q120</f>
        <v>DPPP</v>
      </c>
      <c r="I119" s="24">
        <f>'Database MK'!S120</f>
        <v>1</v>
      </c>
      <c r="J119" s="24">
        <f>'Database MK'!T120</f>
        <v>1</v>
      </c>
      <c r="K119" s="603">
        <f>'Database MK'!U120</f>
        <v>0</v>
      </c>
      <c r="L119" s="593">
        <f>'Database MK'!V120</f>
        <v>382</v>
      </c>
      <c r="M119" s="593">
        <f>'Database MK'!W120</f>
        <v>348</v>
      </c>
      <c r="N119" s="593">
        <f>Table3[[#This Row],[Total Panjang Pipa Aktual]]-Table3[[#This Row],[Volume
BA MC-0]]</f>
        <v>-34</v>
      </c>
      <c r="O119" s="7" t="str">
        <f ca="1">'Database MK'!DE120</f>
        <v>Belum, Delay</v>
      </c>
      <c r="P119" s="7" t="str">
        <f ca="1">'Database MK'!DI120</f>
        <v>Belum, Delay</v>
      </c>
      <c r="Q119" s="7" t="str">
        <f ca="1">'Database MK'!DN120</f>
        <v>Sudah, OnSchedule</v>
      </c>
      <c r="R119" s="7" t="str">
        <f ca="1">'Database MK'!DR120</f>
        <v>Sudah, Delay</v>
      </c>
      <c r="S119" s="7" t="str">
        <f ca="1">'Database MK'!EA120</f>
        <v>Belum, Delay</v>
      </c>
      <c r="T119" s="7" t="str">
        <f ca="1">'Database MK'!EI120</f>
        <v>Belum, Delay</v>
      </c>
      <c r="U119" s="7" t="str">
        <f ca="1">'Database MK'!ET120</f>
        <v>Sudah, Delay</v>
      </c>
      <c r="V119" s="7" t="str">
        <f ca="1">'Database MK'!GA120</f>
        <v>Belum, Delay</v>
      </c>
      <c r="W119" s="7" t="str">
        <f ca="1">'Database MK'!GD120</f>
        <v>Sudah, Delay</v>
      </c>
      <c r="X119" s="7" t="str">
        <f ca="1">'Database MK'!GG120</f>
        <v>Sudah, Delay</v>
      </c>
      <c r="Y119" s="7" t="str">
        <f ca="1">'Database MK'!GK120</f>
        <v>Sudah, OnSchedule</v>
      </c>
      <c r="Z119" s="7" t="str">
        <f ca="1">'Database MK'!HH120</f>
        <v>Sudah, Delay</v>
      </c>
      <c r="AA119" s="7" t="str">
        <f ca="1">'Database MK'!HQ120</f>
        <v>Sudah, Delay</v>
      </c>
      <c r="AB119" s="7" t="str">
        <f ca="1">'Database MK'!HW120</f>
        <v>Sudah, Delay</v>
      </c>
      <c r="AC119" s="7">
        <f>'Database MK'!DA120-'Database MK'!DB120</f>
        <v>45543</v>
      </c>
      <c r="AD119" s="7">
        <f>'Database MK'!DA120-'Database MK'!DF120</f>
        <v>45543</v>
      </c>
      <c r="AE119" s="7">
        <f>'Database MK'!DK120-'Database MK'!DL120</f>
        <v>50</v>
      </c>
      <c r="AF119" s="7">
        <f>'Database MK'!DK120-'Database MK'!DO120</f>
        <v>-1</v>
      </c>
      <c r="AG119" s="7">
        <f>'Database MK'!DU120-'Database MK'!DW120</f>
        <v>45571</v>
      </c>
      <c r="AH119" s="7" t="str">
        <f>IF('Database MK'!EB120="","Belum",'Database MK'!DU120-'Database MK'!EB120)</f>
        <v>Belum</v>
      </c>
      <c r="AI119" s="7">
        <f>IF('Database MK'!EN120="","Belum",'Database MK'!EL120-'Database MK'!EN120)</f>
        <v>-144</v>
      </c>
      <c r="AJ119" s="7">
        <f>'Database MK'!FY120-'Database MK'!FZ120</f>
        <v>0</v>
      </c>
      <c r="AK119" s="7">
        <f>IF('Database MK'!GC120="","Belum",'Database MK'!GB120-'Database MK'!GC120)</f>
        <v>-16</v>
      </c>
      <c r="AL119" s="7">
        <f>IF('Database MK'!GF120="","Belum",'Database MK'!GE120-'Database MK'!GF120)</f>
        <v>-9</v>
      </c>
      <c r="AM119" s="309">
        <f>IF('Database MK'!GJ120="","Belum",'Database MK'!GI120-'Database MK'!GJ120)</f>
        <v>61</v>
      </c>
      <c r="AN119" s="7">
        <f>IF('Database MK'!HG120="","Belum",'Database MK'!HF120-'Database MK'!HG120)</f>
        <v>-190</v>
      </c>
      <c r="AO119" s="7">
        <f>IF('Database MK'!HP120="","Belum",'Database MK'!HN120-'Database MK'!HP120)</f>
        <v>-88</v>
      </c>
      <c r="AP119" s="7">
        <f>IF('Database MK'!HV120="","Belum",'Database MK'!HT120-'Database MK'!HV120)</f>
        <v>-86</v>
      </c>
    </row>
    <row r="120" spans="2:42" hidden="1" x14ac:dyDescent="0.2">
      <c r="B120" s="7">
        <f>SUBTOTAL(3,$C$4:C120)</f>
        <v>74</v>
      </c>
      <c r="C120" s="299" t="s">
        <v>673</v>
      </c>
      <c r="D120" s="299" t="s">
        <v>840</v>
      </c>
      <c r="E120" s="299" t="s">
        <v>841</v>
      </c>
      <c r="F120" s="300">
        <v>45748</v>
      </c>
      <c r="G120" s="4" t="s">
        <v>247</v>
      </c>
      <c r="H120" s="4" t="str">
        <f ca="1">'Database MK'!Q121</f>
        <v>DPPP</v>
      </c>
      <c r="I120" s="24">
        <f>'Database MK'!S121</f>
        <v>1</v>
      </c>
      <c r="J120" s="24">
        <f>'Database MK'!T121</f>
        <v>1</v>
      </c>
      <c r="K120" s="603">
        <f>'Database MK'!U121</f>
        <v>0</v>
      </c>
      <c r="L120" s="593">
        <f>'Database MK'!V121</f>
        <v>1471</v>
      </c>
      <c r="M120" s="593">
        <f>'Database MK'!W121</f>
        <v>1280</v>
      </c>
      <c r="N120" s="593">
        <f>Table3[[#This Row],[Total Panjang Pipa Aktual]]-Table3[[#This Row],[Volume
BA MC-0]]</f>
        <v>-191</v>
      </c>
      <c r="O120" s="7" t="str">
        <f ca="1">'Database MK'!DE121</f>
        <v>Belum, Delay</v>
      </c>
      <c r="P120" s="7" t="str">
        <f ca="1">'Database MK'!DI121</f>
        <v>Belum, Delay</v>
      </c>
      <c r="Q120" s="7" t="str">
        <f ca="1">'Database MK'!DN121</f>
        <v>Sudah, OnSchedule</v>
      </c>
      <c r="R120" s="7" t="str">
        <f ca="1">'Database MK'!DR121</f>
        <v>Sudah, Delay</v>
      </c>
      <c r="S120" s="7" t="str">
        <f ca="1">'Database MK'!EA121</f>
        <v>Belum, Delay</v>
      </c>
      <c r="T120" s="7" t="str">
        <f ca="1">'Database MK'!EI121</f>
        <v>Belum, Delay</v>
      </c>
      <c r="U120" s="7" t="str">
        <f ca="1">'Database MK'!ET121</f>
        <v>Sudah, Delay</v>
      </c>
      <c r="V120" s="7" t="str">
        <f ca="1">'Database MK'!GA121</f>
        <v>Belum, Delay</v>
      </c>
      <c r="W120" s="7" t="str">
        <f ca="1">'Database MK'!GD121</f>
        <v>Sudah, OnSchedule</v>
      </c>
      <c r="X120" s="7" t="str">
        <f ca="1">'Database MK'!GG121</f>
        <v>Sudah, OnSchedule</v>
      </c>
      <c r="Y120" s="7" t="str">
        <f ca="1">'Database MK'!GK121</f>
        <v>Sudah, OnSchedule</v>
      </c>
      <c r="Z120" s="7" t="str">
        <f ca="1">'Database MK'!HH121</f>
        <v>Sudah, Delay</v>
      </c>
      <c r="AA120" s="7" t="str">
        <f ca="1">'Database MK'!HQ121</f>
        <v>Sudah, Delay</v>
      </c>
      <c r="AB120" s="7" t="str">
        <f ca="1">'Database MK'!HW121</f>
        <v>Sudah, Delay</v>
      </c>
      <c r="AC120" s="7">
        <f>'Database MK'!DA121-'Database MK'!DB121</f>
        <v>45487</v>
      </c>
      <c r="AD120" s="7">
        <f>'Database MK'!DA121-'Database MK'!DF121</f>
        <v>45487</v>
      </c>
      <c r="AE120" s="7">
        <f>'Database MK'!DK121-'Database MK'!DL121</f>
        <v>6</v>
      </c>
      <c r="AF120" s="7">
        <f>'Database MK'!DK121-'Database MK'!DO121</f>
        <v>-80</v>
      </c>
      <c r="AG120" s="7">
        <f>'Database MK'!DU121-'Database MK'!DW121</f>
        <v>45515</v>
      </c>
      <c r="AH120" s="7" t="str">
        <f>IF('Database MK'!EB121="","Belum",'Database MK'!DU121-'Database MK'!EB121)</f>
        <v>Belum</v>
      </c>
      <c r="AI120" s="7">
        <f>IF('Database MK'!EN121="","Belum",'Database MK'!EL121-'Database MK'!EN121)</f>
        <v>-578</v>
      </c>
      <c r="AJ120" s="7">
        <f>'Database MK'!FY121-'Database MK'!FZ121</f>
        <v>0</v>
      </c>
      <c r="AK120" s="7">
        <f>IF('Database MK'!GC121="","Belum",'Database MK'!GB121-'Database MK'!GC121)</f>
        <v>278</v>
      </c>
      <c r="AL120" s="7">
        <f>IF('Database MK'!GF121="","Belum",'Database MK'!GE121-'Database MK'!GF121)</f>
        <v>285</v>
      </c>
      <c r="AM120" s="309">
        <f>IF('Database MK'!GJ121="","Belum",'Database MK'!GI121-'Database MK'!GJ121)</f>
        <v>291</v>
      </c>
      <c r="AN120" s="7">
        <f>IF('Database MK'!HG121="","Belum",'Database MK'!HF121-'Database MK'!HG121)</f>
        <v>-281</v>
      </c>
      <c r="AO120" s="7">
        <f>IF('Database MK'!HP121="","Belum",'Database MK'!HN121-'Database MK'!HP121)</f>
        <v>-283</v>
      </c>
      <c r="AP120" s="7">
        <f>IF('Database MK'!HV121="","Belum",'Database MK'!HT121-'Database MK'!HV121)</f>
        <v>-281</v>
      </c>
    </row>
    <row r="121" spans="2:42" hidden="1" x14ac:dyDescent="0.2">
      <c r="B121" s="7">
        <f>SUBTOTAL(3,$C$4:C121)</f>
        <v>74</v>
      </c>
      <c r="C121" s="299" t="s">
        <v>673</v>
      </c>
      <c r="D121" s="299" t="s">
        <v>846</v>
      </c>
      <c r="E121" s="299" t="s">
        <v>847</v>
      </c>
      <c r="F121" s="300">
        <v>45748</v>
      </c>
      <c r="G121" s="4" t="s">
        <v>247</v>
      </c>
      <c r="H121" s="4" t="str">
        <f ca="1">'Database MK'!Q122</f>
        <v>DPPP</v>
      </c>
      <c r="I121" s="24">
        <f>'Database MK'!S122</f>
        <v>1</v>
      </c>
      <c r="J121" s="24">
        <f>'Database MK'!T122</f>
        <v>1</v>
      </c>
      <c r="K121" s="603">
        <f>'Database MK'!U122</f>
        <v>0</v>
      </c>
      <c r="L121" s="593">
        <f>'Database MK'!V122</f>
        <v>82</v>
      </c>
      <c r="M121" s="593">
        <f>'Database MK'!W122</f>
        <v>82</v>
      </c>
      <c r="N121" s="593">
        <f>Table3[[#This Row],[Total Panjang Pipa Aktual]]-Table3[[#This Row],[Volume
BA MC-0]]</f>
        <v>0</v>
      </c>
      <c r="O121" s="7" t="str">
        <f ca="1">'Database MK'!DE122</f>
        <v>Belum, Delay</v>
      </c>
      <c r="P121" s="7" t="str">
        <f ca="1">'Database MK'!DI122</f>
        <v>Belum, Delay</v>
      </c>
      <c r="Q121" s="7" t="str">
        <f ca="1">'Database MK'!DN122</f>
        <v>Sudah, OnSchedule</v>
      </c>
      <c r="R121" s="7" t="str">
        <f ca="1">'Database MK'!DR122</f>
        <v>Sudah, OnSchedule</v>
      </c>
      <c r="S121" s="7" t="str">
        <f ca="1">'Database MK'!EA122</f>
        <v>Belum, Delay</v>
      </c>
      <c r="T121" s="7" t="str">
        <f ca="1">'Database MK'!EI122</f>
        <v>Belum, Delay</v>
      </c>
      <c r="U121" s="7" t="str">
        <f ca="1">'Database MK'!ET122</f>
        <v>Sudah, Delay</v>
      </c>
      <c r="V121" s="7" t="str">
        <f ca="1">'Database MK'!GA122</f>
        <v>Belum, Delay</v>
      </c>
      <c r="W121" s="7" t="str">
        <f ca="1">'Database MK'!GD122</f>
        <v>Sudah, Delay</v>
      </c>
      <c r="X121" s="7" t="str">
        <f ca="1">'Database MK'!GG122</f>
        <v>Sudah, Delay</v>
      </c>
      <c r="Y121" s="7" t="str">
        <f ca="1">'Database MK'!GK122</f>
        <v>Sudah, OnSchedule</v>
      </c>
      <c r="Z121" s="7" t="str">
        <f ca="1">'Database MK'!HH122</f>
        <v>Sudah, Delay</v>
      </c>
      <c r="AA121" s="7" t="str">
        <f ca="1">'Database MK'!HQ122</f>
        <v>Sudah, Delay</v>
      </c>
      <c r="AB121" s="7" t="str">
        <f ca="1">'Database MK'!HW122</f>
        <v>Sudah, Delay</v>
      </c>
      <c r="AC121" s="7">
        <f>'Database MK'!DA122-'Database MK'!DB122</f>
        <v>45543</v>
      </c>
      <c r="AD121" s="7">
        <f>'Database MK'!DA122-'Database MK'!DF122</f>
        <v>45543</v>
      </c>
      <c r="AE121" s="7">
        <f>'Database MK'!DK122-'Database MK'!DL122</f>
        <v>52</v>
      </c>
      <c r="AF121" s="7">
        <f>'Database MK'!DK122-'Database MK'!DO122</f>
        <v>6</v>
      </c>
      <c r="AG121" s="7">
        <f>'Database MK'!DU122-'Database MK'!DW122</f>
        <v>45571</v>
      </c>
      <c r="AH121" s="7" t="str">
        <f>IF('Database MK'!EB122="","Belum",'Database MK'!DU122-'Database MK'!EB122)</f>
        <v>Belum</v>
      </c>
      <c r="AI121" s="7">
        <f>IF('Database MK'!EN122="","Belum",'Database MK'!EL122-'Database MK'!EN122)</f>
        <v>-60</v>
      </c>
      <c r="AJ121" s="7">
        <f>'Database MK'!FY122-'Database MK'!FZ122</f>
        <v>0</v>
      </c>
      <c r="AK121" s="7">
        <f>IF('Database MK'!GC122="","Belum",'Database MK'!GB122-'Database MK'!GC122)</f>
        <v>-16</v>
      </c>
      <c r="AL121" s="7">
        <f>IF('Database MK'!GF122="","Belum",'Database MK'!GE122-'Database MK'!GF122)</f>
        <v>-9</v>
      </c>
      <c r="AM121" s="309">
        <f>IF('Database MK'!GJ122="","Belum",'Database MK'!GI122-'Database MK'!GJ122)</f>
        <v>59</v>
      </c>
      <c r="AN121" s="7">
        <f>IF('Database MK'!HG122="","Belum",'Database MK'!HF122-'Database MK'!HG122)</f>
        <v>-37</v>
      </c>
      <c r="AO121" s="7">
        <f>IF('Database MK'!HP122="","Belum",'Database MK'!HN122-'Database MK'!HP122)</f>
        <v>-87</v>
      </c>
      <c r="AP121" s="7">
        <f>IF('Database MK'!HV122="","Belum",'Database MK'!HT122-'Database MK'!HV122)</f>
        <v>-85</v>
      </c>
    </row>
    <row r="122" spans="2:42" hidden="1" x14ac:dyDescent="0.2">
      <c r="B122" s="7">
        <f>SUBTOTAL(3,$C$4:C122)</f>
        <v>74</v>
      </c>
      <c r="C122" s="299" t="s">
        <v>673</v>
      </c>
      <c r="D122" s="299" t="s">
        <v>851</v>
      </c>
      <c r="E122" s="299" t="s">
        <v>852</v>
      </c>
      <c r="F122" s="300">
        <v>45748</v>
      </c>
      <c r="G122" s="4" t="s">
        <v>247</v>
      </c>
      <c r="H122" s="4" t="str">
        <f ca="1">'Database MK'!Q123</f>
        <v>DPPP</v>
      </c>
      <c r="I122" s="24">
        <f>'Database MK'!S123</f>
        <v>1</v>
      </c>
      <c r="J122" s="24">
        <f>'Database MK'!T123</f>
        <v>1</v>
      </c>
      <c r="K122" s="603">
        <f>'Database MK'!U123</f>
        <v>0</v>
      </c>
      <c r="L122" s="593">
        <f>'Database MK'!V123</f>
        <v>477</v>
      </c>
      <c r="M122" s="593">
        <f>'Database MK'!W123</f>
        <v>477</v>
      </c>
      <c r="N122" s="593">
        <f>Table3[[#This Row],[Total Panjang Pipa Aktual]]-Table3[[#This Row],[Volume
BA MC-0]]</f>
        <v>0</v>
      </c>
      <c r="O122" s="7" t="str">
        <f ca="1">'Database MK'!DE123</f>
        <v>Belum, Delay</v>
      </c>
      <c r="P122" s="7" t="str">
        <f ca="1">'Database MK'!DI123</f>
        <v>Belum, Delay</v>
      </c>
      <c r="Q122" s="7" t="str">
        <f ca="1">'Database MK'!DN123</f>
        <v>Sudah, OnSchedule</v>
      </c>
      <c r="R122" s="7" t="str">
        <f ca="1">'Database MK'!DR123</f>
        <v>Sudah, OnSchedule</v>
      </c>
      <c r="S122" s="7" t="str">
        <f ca="1">'Database MK'!EA123</f>
        <v>Belum, Delay</v>
      </c>
      <c r="T122" s="7" t="str">
        <f ca="1">'Database MK'!EI123</f>
        <v>Belum, Delay</v>
      </c>
      <c r="U122" s="7" t="str">
        <f ca="1">'Database MK'!ET123</f>
        <v>Sudah, Delay</v>
      </c>
      <c r="V122" s="7" t="str">
        <f ca="1">'Database MK'!GA123</f>
        <v>Belum, Delay</v>
      </c>
      <c r="W122" s="7" t="str">
        <f ca="1">'Database MK'!GD123</f>
        <v>Sudah, Delay</v>
      </c>
      <c r="X122" s="7" t="str">
        <f ca="1">'Database MK'!GG123</f>
        <v>Sudah, Delay</v>
      </c>
      <c r="Y122" s="7" t="str">
        <f ca="1">'Database MK'!GK123</f>
        <v>Sudah, OnSchedule</v>
      </c>
      <c r="Z122" s="7" t="str">
        <f ca="1">'Database MK'!HH123</f>
        <v>Sudah, Delay</v>
      </c>
      <c r="AA122" s="7" t="str">
        <f ca="1">'Database MK'!HQ123</f>
        <v>Sudah, Delay</v>
      </c>
      <c r="AB122" s="7" t="str">
        <f ca="1">'Database MK'!HW123</f>
        <v>Sudah, Delay</v>
      </c>
      <c r="AC122" s="7">
        <f>'Database MK'!DA123-'Database MK'!DB123</f>
        <v>45543</v>
      </c>
      <c r="AD122" s="7">
        <f>'Database MK'!DA123-'Database MK'!DF123</f>
        <v>45543</v>
      </c>
      <c r="AE122" s="7">
        <f>'Database MK'!DK123-'Database MK'!DL123</f>
        <v>50</v>
      </c>
      <c r="AF122" s="7">
        <f>'Database MK'!DK123-'Database MK'!DO123</f>
        <v>6</v>
      </c>
      <c r="AG122" s="7">
        <f>'Database MK'!DU123-'Database MK'!DW123</f>
        <v>45571</v>
      </c>
      <c r="AH122" s="7" t="str">
        <f>IF('Database MK'!EB123="","Belum",'Database MK'!DU123-'Database MK'!EB123)</f>
        <v>Belum</v>
      </c>
      <c r="AI122" s="7">
        <f>IF('Database MK'!EN123="","Belum",'Database MK'!EL123-'Database MK'!EN123)</f>
        <v>-144</v>
      </c>
      <c r="AJ122" s="7">
        <f>'Database MK'!FY123-'Database MK'!FZ123</f>
        <v>0</v>
      </c>
      <c r="AK122" s="7">
        <f>IF('Database MK'!GC123="","Belum",'Database MK'!GB123-'Database MK'!GC123)</f>
        <v>-16</v>
      </c>
      <c r="AL122" s="7">
        <f>IF('Database MK'!GF123="","Belum",'Database MK'!GE123-'Database MK'!GF123)</f>
        <v>-9</v>
      </c>
      <c r="AM122" s="309">
        <f>IF('Database MK'!GJ123="","Belum",'Database MK'!GI123-'Database MK'!GJ123)</f>
        <v>60</v>
      </c>
      <c r="AN122" s="7">
        <f>IF('Database MK'!HG123="","Belum",'Database MK'!HF123-'Database MK'!HG123)</f>
        <v>-37</v>
      </c>
      <c r="AO122" s="7">
        <f>IF('Database MK'!HP123="","Belum",'Database MK'!HN123-'Database MK'!HP123)</f>
        <v>-87</v>
      </c>
      <c r="AP122" s="7">
        <f>IF('Database MK'!HV123="","Belum",'Database MK'!HT123-'Database MK'!HV123)</f>
        <v>-85</v>
      </c>
    </row>
    <row r="123" spans="2:42" hidden="1" x14ac:dyDescent="0.2">
      <c r="B123" s="7">
        <f>SUBTOTAL(3,$C$4:C123)</f>
        <v>74</v>
      </c>
      <c r="C123" s="299" t="s">
        <v>673</v>
      </c>
      <c r="D123" s="299" t="s">
        <v>857</v>
      </c>
      <c r="E123" s="299" t="s">
        <v>858</v>
      </c>
      <c r="F123" s="300">
        <v>45748</v>
      </c>
      <c r="G123" s="4" t="s">
        <v>681</v>
      </c>
      <c r="H123" s="4" t="str">
        <f ca="1">'Database MK'!Q124</f>
        <v>DPPP</v>
      </c>
      <c r="I123" s="24">
        <f>'Database MK'!S124</f>
        <v>1</v>
      </c>
      <c r="J123" s="24">
        <f>'Database MK'!T124</f>
        <v>1</v>
      </c>
      <c r="K123" s="603">
        <f>'Database MK'!U124</f>
        <v>0</v>
      </c>
      <c r="L123" s="593">
        <f>'Database MK'!V124</f>
        <v>12</v>
      </c>
      <c r="M123" s="593">
        <f>'Database MK'!W124</f>
        <v>12</v>
      </c>
      <c r="N123" s="593">
        <f>Table3[[#This Row],[Total Panjang Pipa Aktual]]-Table3[[#This Row],[Volume
BA MC-0]]</f>
        <v>0</v>
      </c>
      <c r="O123" s="7" t="str">
        <f ca="1">'Database MK'!DE124</f>
        <v>Belum, Delay</v>
      </c>
      <c r="P123" s="7" t="str">
        <f ca="1">'Database MK'!DI124</f>
        <v>Belum, Delay</v>
      </c>
      <c r="Q123" s="7" t="str">
        <f ca="1">'Database MK'!DN124</f>
        <v>Sudah, OnSchedule</v>
      </c>
      <c r="R123" s="7" t="str">
        <f ca="1">'Database MK'!DR124</f>
        <v>Sudah, OnSchedule</v>
      </c>
      <c r="S123" s="7" t="str">
        <f ca="1">'Database MK'!EA124</f>
        <v>Belum, Delay</v>
      </c>
      <c r="T123" s="7" t="str">
        <f ca="1">'Database MK'!EI124</f>
        <v>Belum, Delay</v>
      </c>
      <c r="U123" s="7" t="str">
        <f ca="1">'Database MK'!ET124</f>
        <v>Sudah, Delay</v>
      </c>
      <c r="V123" s="7" t="str">
        <f ca="1">'Database MK'!GA124</f>
        <v>Belum, Delay</v>
      </c>
      <c r="W123" s="7" t="str">
        <f ca="1">'Database MK'!GD124</f>
        <v>Sudah, OnSchedule</v>
      </c>
      <c r="X123" s="7" t="str">
        <f ca="1">'Database MK'!GG124</f>
        <v>Sudah, OnSchedule</v>
      </c>
      <c r="Y123" s="7" t="str">
        <f ca="1">'Database MK'!GK124</f>
        <v>Sudah, OnSchedule</v>
      </c>
      <c r="Z123" s="7" t="str">
        <f ca="1">'Database MK'!HH124</f>
        <v>Sudah, OnSchedule</v>
      </c>
      <c r="AA123" s="7" t="str">
        <f ca="1">'Database MK'!HQ124</f>
        <v>Sudah, Delay</v>
      </c>
      <c r="AB123" s="7" t="str">
        <f ca="1">'Database MK'!HW124</f>
        <v>Sudah, Delay</v>
      </c>
      <c r="AC123" s="7">
        <f>'Database MK'!DA124-'Database MK'!DB124</f>
        <v>45550</v>
      </c>
      <c r="AD123" s="7">
        <f>'Database MK'!DA124-'Database MK'!DF124</f>
        <v>45550</v>
      </c>
      <c r="AE123" s="7">
        <f>'Database MK'!DK124-'Database MK'!DL124</f>
        <v>235</v>
      </c>
      <c r="AF123" s="7">
        <f>'Database MK'!DK124-'Database MK'!DO124</f>
        <v>223</v>
      </c>
      <c r="AG123" s="7">
        <f>'Database MK'!DU124-'Database MK'!DW124</f>
        <v>45585</v>
      </c>
      <c r="AH123" s="7" t="str">
        <f>IF('Database MK'!EB124="","Belum",'Database MK'!DU124-'Database MK'!EB124)</f>
        <v>Belum</v>
      </c>
      <c r="AI123" s="7">
        <f>IF('Database MK'!EN124="","Belum",'Database MK'!EL124-'Database MK'!EN124)</f>
        <v>-277</v>
      </c>
      <c r="AJ123" s="7">
        <f>'Database MK'!FY124-'Database MK'!FZ124</f>
        <v>0</v>
      </c>
      <c r="AK123" s="7">
        <f>IF('Database MK'!GC124="","Belum",'Database MK'!GB124-'Database MK'!GC124)</f>
        <v>272</v>
      </c>
      <c r="AL123" s="7">
        <f>IF('Database MK'!GF124="","Belum",'Database MK'!GE124-'Database MK'!GF124)</f>
        <v>279</v>
      </c>
      <c r="AM123" s="309">
        <f>IF('Database MK'!GJ124="","Belum",'Database MK'!GI124-'Database MK'!GJ124)</f>
        <v>275</v>
      </c>
      <c r="AN123" s="7">
        <f>IF('Database MK'!HG124="","Belum",'Database MK'!HF124-'Database MK'!HG124)</f>
        <v>96</v>
      </c>
      <c r="AO123" s="7">
        <f>IF('Database MK'!HP124="","Belum",'Database MK'!HN124-'Database MK'!HP124)</f>
        <v>-61</v>
      </c>
      <c r="AP123" s="7">
        <f>IF('Database MK'!HV124="","Belum",'Database MK'!HT124-'Database MK'!HV124)</f>
        <v>-59</v>
      </c>
    </row>
    <row r="124" spans="2:42" hidden="1" x14ac:dyDescent="0.2">
      <c r="B124" s="7">
        <f>SUBTOTAL(3,$C$4:C124)</f>
        <v>74</v>
      </c>
      <c r="C124" s="299" t="s">
        <v>673</v>
      </c>
      <c r="D124" s="299" t="s">
        <v>861</v>
      </c>
      <c r="E124" s="299" t="s">
        <v>862</v>
      </c>
      <c r="F124" s="300">
        <v>45748</v>
      </c>
      <c r="G124" s="4" t="s">
        <v>247</v>
      </c>
      <c r="H124" s="4" t="str">
        <f ca="1">'Database MK'!Q125</f>
        <v>DPPP</v>
      </c>
      <c r="I124" s="24">
        <f>'Database MK'!S125</f>
        <v>1</v>
      </c>
      <c r="J124" s="24">
        <f>'Database MK'!T125</f>
        <v>1</v>
      </c>
      <c r="K124" s="603">
        <f>'Database MK'!U125</f>
        <v>0</v>
      </c>
      <c r="L124" s="593">
        <f>'Database MK'!V125</f>
        <v>1131</v>
      </c>
      <c r="M124" s="593">
        <f>'Database MK'!W125</f>
        <v>1128</v>
      </c>
      <c r="N124" s="593">
        <f>Table3[[#This Row],[Total Panjang Pipa Aktual]]-Table3[[#This Row],[Volume
BA MC-0]]</f>
        <v>-3</v>
      </c>
      <c r="O124" s="7" t="str">
        <f ca="1">'Database MK'!DE125</f>
        <v>Belum, Delay</v>
      </c>
      <c r="P124" s="7" t="str">
        <f ca="1">'Database MK'!DI125</f>
        <v>Belum, Delay</v>
      </c>
      <c r="Q124" s="7" t="str">
        <f ca="1">'Database MK'!DN125</f>
        <v>Sudah, OnSchedule</v>
      </c>
      <c r="R124" s="7" t="str">
        <f ca="1">'Database MK'!DR125</f>
        <v>Sudah, Delay</v>
      </c>
      <c r="S124" s="7" t="str">
        <f ca="1">'Database MK'!EA125</f>
        <v>Belum, Delay</v>
      </c>
      <c r="T124" s="7" t="str">
        <f ca="1">'Database MK'!EI125</f>
        <v>Belum, Delay</v>
      </c>
      <c r="U124" s="7" t="str">
        <f ca="1">'Database MK'!ET125</f>
        <v>Sudah, Delay</v>
      </c>
      <c r="V124" s="7" t="str">
        <f ca="1">'Database MK'!GA125</f>
        <v>Belum, Delay</v>
      </c>
      <c r="W124" s="7" t="str">
        <f ca="1">'Database MK'!GD125</f>
        <v>Sudah, Delay</v>
      </c>
      <c r="X124" s="7" t="str">
        <f ca="1">'Database MK'!GG125</f>
        <v>Sudah, Delay</v>
      </c>
      <c r="Y124" s="7" t="str">
        <f ca="1">'Database MK'!GK125</f>
        <v>Sudah, OnSchedule</v>
      </c>
      <c r="Z124" s="7" t="str">
        <f ca="1">'Database MK'!HH125</f>
        <v>Sudah, Delay</v>
      </c>
      <c r="AA124" s="7" t="str">
        <f ca="1">'Database MK'!HQ125</f>
        <v>Sudah, Delay</v>
      </c>
      <c r="AB124" s="7" t="str">
        <f ca="1">'Database MK'!HW125</f>
        <v>Sudah, Delay</v>
      </c>
      <c r="AC124" s="7">
        <f>'Database MK'!DA125-'Database MK'!DB125</f>
        <v>45543</v>
      </c>
      <c r="AD124" s="7">
        <f>'Database MK'!DA125-'Database MK'!DF125</f>
        <v>45543</v>
      </c>
      <c r="AE124" s="7">
        <f>'Database MK'!DK125-'Database MK'!DL125</f>
        <v>50</v>
      </c>
      <c r="AF124" s="7">
        <f>'Database MK'!DK125-'Database MK'!DO125</f>
        <v>-144</v>
      </c>
      <c r="AG124" s="7">
        <f>'Database MK'!DU125-'Database MK'!DW125</f>
        <v>45571</v>
      </c>
      <c r="AH124" s="7" t="str">
        <f>IF('Database MK'!EB125="","Belum",'Database MK'!DU125-'Database MK'!EB125)</f>
        <v>Belum</v>
      </c>
      <c r="AI124" s="7">
        <f>IF('Database MK'!EN125="","Belum",'Database MK'!EL125-'Database MK'!EN125)</f>
        <v>-139</v>
      </c>
      <c r="AJ124" s="7">
        <f>'Database MK'!FY125-'Database MK'!FZ125</f>
        <v>0</v>
      </c>
      <c r="AK124" s="7">
        <f>IF('Database MK'!GC125="","Belum",'Database MK'!GB125-'Database MK'!GC125)</f>
        <v>-16</v>
      </c>
      <c r="AL124" s="7">
        <f>IF('Database MK'!GF125="","Belum",'Database MK'!GE125-'Database MK'!GF125)</f>
        <v>-9</v>
      </c>
      <c r="AM124" s="309">
        <f>IF('Database MK'!GJ125="","Belum",'Database MK'!GI125-'Database MK'!GJ125)</f>
        <v>59</v>
      </c>
      <c r="AN124" s="7">
        <f>IF('Database MK'!HG125="","Belum",'Database MK'!HF125-'Database MK'!HG125)</f>
        <v>-85</v>
      </c>
      <c r="AO124" s="7">
        <f>IF('Database MK'!HP125="","Belum",'Database MK'!HN125-'Database MK'!HP125)</f>
        <v>-88</v>
      </c>
      <c r="AP124" s="7">
        <f>IF('Database MK'!HV125="","Belum",'Database MK'!HT125-'Database MK'!HV125)</f>
        <v>-86</v>
      </c>
    </row>
    <row r="125" spans="2:42" hidden="1" x14ac:dyDescent="0.2">
      <c r="B125" s="7">
        <f>SUBTOTAL(3,$C$4:C125)</f>
        <v>74</v>
      </c>
      <c r="C125" s="299" t="s">
        <v>673</v>
      </c>
      <c r="D125" s="299" t="s">
        <v>866</v>
      </c>
      <c r="E125" s="299" t="s">
        <v>867</v>
      </c>
      <c r="F125" s="300">
        <v>45748</v>
      </c>
      <c r="G125" s="4" t="s">
        <v>247</v>
      </c>
      <c r="H125" s="4" t="str">
        <f ca="1">'Database MK'!Q126</f>
        <v>MC-0</v>
      </c>
      <c r="I125" s="24">
        <f>'Database MK'!S126</f>
        <v>1</v>
      </c>
      <c r="J125" s="24">
        <f>'Database MK'!T126</f>
        <v>0</v>
      </c>
      <c r="K125" s="603">
        <f>'Database MK'!U126</f>
        <v>-1</v>
      </c>
      <c r="L125" s="593">
        <f>'Database MK'!V126</f>
        <v>188</v>
      </c>
      <c r="M125" s="593">
        <f>'Database MK'!W126</f>
        <v>0</v>
      </c>
      <c r="N125" s="593">
        <f>Table3[[#This Row],[Total Panjang Pipa Aktual]]-Table3[[#This Row],[Volume
BA MC-0]]</f>
        <v>-188</v>
      </c>
      <c r="O125" s="7" t="str">
        <f ca="1">'Database MK'!DE126</f>
        <v>Belum, Delay</v>
      </c>
      <c r="P125" s="7" t="str">
        <f ca="1">'Database MK'!DI126</f>
        <v>Belum, Delay</v>
      </c>
      <c r="Q125" s="7" t="str">
        <f ca="1">'Database MK'!DN126</f>
        <v>Sudah, OnSchedule</v>
      </c>
      <c r="R125" s="7" t="str">
        <f ca="1">'Database MK'!DR126</f>
        <v>Sudah, Delay</v>
      </c>
      <c r="S125" s="7" t="str">
        <f ca="1">'Database MK'!EA126</f>
        <v>Belum, Delay</v>
      </c>
      <c r="T125" s="7" t="str">
        <f ca="1">'Database MK'!EI126</f>
        <v>Belum, Delay</v>
      </c>
      <c r="U125" s="7" t="str">
        <f ca="1">'Database MK'!ET126</f>
        <v>Belum, Delay</v>
      </c>
      <c r="V125" s="7" t="str">
        <f ca="1">'Database MK'!GA126</f>
        <v>Belum, Delay</v>
      </c>
      <c r="W125" s="7" t="str">
        <f ca="1">'Database MK'!GD126</f>
        <v>Sudah, OnSchedule</v>
      </c>
      <c r="X125" s="7" t="str">
        <f ca="1">'Database MK'!GG126</f>
        <v>Sudah, OnSchedule</v>
      </c>
      <c r="Y125" s="7" t="str">
        <f ca="1">'Database MK'!GK126</f>
        <v>Sudah, OnSchedule</v>
      </c>
      <c r="Z125" s="7" t="str">
        <f ca="1">'Database MK'!HH126</f>
        <v>Belum, Delay</v>
      </c>
      <c r="AA125" s="7" t="str">
        <f ca="1">'Database MK'!HQ126</f>
        <v>Belum, Delay</v>
      </c>
      <c r="AB125" s="7" t="str">
        <f ca="1">'Database MK'!HW126</f>
        <v>Belum, Delay</v>
      </c>
      <c r="AC125" s="7">
        <f>'Database MK'!DA126-'Database MK'!DB126</f>
        <v>45585</v>
      </c>
      <c r="AD125" s="7">
        <f>'Database MK'!DA126-'Database MK'!DF126</f>
        <v>45585</v>
      </c>
      <c r="AE125" s="7">
        <f>'Database MK'!DK126-'Database MK'!DL126</f>
        <v>19</v>
      </c>
      <c r="AF125" s="7">
        <f>'Database MK'!DK126-'Database MK'!DO126</f>
        <v>-29</v>
      </c>
      <c r="AG125" s="7">
        <f>'Database MK'!DU126-'Database MK'!DW126</f>
        <v>45620</v>
      </c>
      <c r="AH125" s="7" t="str">
        <f>IF('Database MK'!EB126="","Belum",'Database MK'!DU126-'Database MK'!EB126)</f>
        <v>Belum</v>
      </c>
      <c r="AI125" s="7" t="str">
        <f>IF('Database MK'!EN126="","Belum",'Database MK'!EL126-'Database MK'!EN126)</f>
        <v>Belum</v>
      </c>
      <c r="AJ125" s="7">
        <f>'Database MK'!FY126-'Database MK'!FZ126</f>
        <v>0</v>
      </c>
      <c r="AK125" s="7">
        <f>IF('Database MK'!GC126="","Belum",'Database MK'!GB126-'Database MK'!GC126)</f>
        <v>0</v>
      </c>
      <c r="AL125" s="7">
        <f>IF('Database MK'!GF126="","Belum",'Database MK'!GE126-'Database MK'!GF126)</f>
        <v>7</v>
      </c>
      <c r="AM125" s="309">
        <f>IF('Database MK'!GJ126="","Belum",'Database MK'!GI126-'Database MK'!GJ126)</f>
        <v>10</v>
      </c>
      <c r="AN125" s="7" t="str">
        <f>IF('Database MK'!HG126="","Belum",'Database MK'!HF126-'Database MK'!HG126)</f>
        <v>Belum</v>
      </c>
      <c r="AO125" s="7" t="str">
        <f>IF('Database MK'!HP126="","Belum",'Database MK'!HN126-'Database MK'!HP126)</f>
        <v>Belum</v>
      </c>
      <c r="AP125" s="7" t="str">
        <f>IF('Database MK'!HV126="","Belum",'Database MK'!HT126-'Database MK'!HV126)</f>
        <v>Belum</v>
      </c>
    </row>
    <row r="126" spans="2:42" hidden="1" x14ac:dyDescent="0.2">
      <c r="B126" s="7">
        <f>SUBTOTAL(3,$C$4:C126)</f>
        <v>74</v>
      </c>
      <c r="C126" s="301" t="s">
        <v>673</v>
      </c>
      <c r="D126" s="301" t="s">
        <v>872</v>
      </c>
      <c r="E126" s="301" t="s">
        <v>873</v>
      </c>
      <c r="F126" s="302">
        <v>45748</v>
      </c>
      <c r="G126" s="77" t="s">
        <v>247</v>
      </c>
      <c r="H126" s="77" t="str">
        <f>'Database MK'!Q127</f>
        <v>BATAL / CANCEL</v>
      </c>
      <c r="I126" s="604">
        <f>'Database MK'!S127</f>
        <v>1</v>
      </c>
      <c r="J126" s="604">
        <f>'Database MK'!T127</f>
        <v>0</v>
      </c>
      <c r="K126" s="605">
        <f>'Database MK'!U127</f>
        <v>-1</v>
      </c>
      <c r="L126" s="594">
        <f>'Database MK'!V127</f>
        <v>0</v>
      </c>
      <c r="M126" s="594">
        <f>'Database MK'!W127</f>
        <v>0</v>
      </c>
      <c r="N126" s="594">
        <f>Table3[[#This Row],[Total Panjang Pipa Aktual]]-Table3[[#This Row],[Volume
BA MC-0]]</f>
        <v>0</v>
      </c>
      <c r="O126" s="7" t="str">
        <f ca="1">'Database MK'!DE127</f>
        <v>Belum, Delay</v>
      </c>
      <c r="P126" s="7" t="str">
        <f ca="1">'Database MK'!DI127</f>
        <v>Belum, Delay</v>
      </c>
      <c r="Q126" s="7" t="str">
        <f ca="1">'Database MK'!DN127</f>
        <v>Belum, Delay</v>
      </c>
      <c r="R126" s="7" t="str">
        <f ca="1">'Database MK'!DR127</f>
        <v>Belum, Delay</v>
      </c>
      <c r="S126" s="7" t="str">
        <f ca="1">'Database MK'!EA127</f>
        <v>Belum, Delay</v>
      </c>
      <c r="T126" s="7" t="str">
        <f ca="1">'Database MK'!EI127</f>
        <v>Belum, Delay</v>
      </c>
      <c r="U126" s="7" t="str">
        <f ca="1">'Database MK'!ET127</f>
        <v>Belum, Delay</v>
      </c>
      <c r="V126" s="7" t="str">
        <f ca="1">'Database MK'!GA127</f>
        <v>Belum, Delay</v>
      </c>
      <c r="W126" s="7" t="str">
        <f ca="1">'Database MK'!GD127</f>
        <v>Belum, Delay</v>
      </c>
      <c r="X126" s="7" t="str">
        <f ca="1">'Database MK'!GG127</f>
        <v>Belum, Delay</v>
      </c>
      <c r="Y126" s="7" t="str">
        <f ca="1">'Database MK'!GK127</f>
        <v>Belum, Delay</v>
      </c>
      <c r="Z126" s="7" t="str">
        <f ca="1">'Database MK'!HH127</f>
        <v>Belum, Delay</v>
      </c>
      <c r="AA126" s="7" t="str">
        <f ca="1">'Database MK'!HQ127</f>
        <v>Belum, Delay</v>
      </c>
      <c r="AB126" s="7" t="str">
        <f ca="1">'Database MK'!HW127</f>
        <v>Belum, Delay</v>
      </c>
      <c r="AC126" s="7">
        <f>'Database MK'!DA127-'Database MK'!DB127</f>
        <v>45592</v>
      </c>
      <c r="AD126" s="7">
        <f>'Database MK'!DA127-'Database MK'!DF127</f>
        <v>45592</v>
      </c>
      <c r="AE126" s="7">
        <f>'Database MK'!DK127-'Database MK'!DL127</f>
        <v>45641</v>
      </c>
      <c r="AF126" s="7">
        <f>'Database MK'!DK127-'Database MK'!DO127</f>
        <v>45641</v>
      </c>
      <c r="AG126" s="7">
        <f>'Database MK'!DU127-'Database MK'!DW127</f>
        <v>45634</v>
      </c>
      <c r="AH126" s="7" t="str">
        <f>IF('Database MK'!EB127="","Belum",'Database MK'!DU127-'Database MK'!EB127)</f>
        <v>Belum</v>
      </c>
      <c r="AI126" s="7" t="str">
        <f>IF('Database MK'!EN127="","Belum",'Database MK'!EL127-'Database MK'!EN127)</f>
        <v>Belum</v>
      </c>
      <c r="AJ126" s="7">
        <f>'Database MK'!FY127-'Database MK'!FZ127</f>
        <v>0</v>
      </c>
      <c r="AK126" s="7" t="str">
        <f>IF('Database MK'!GC127="","Belum",'Database MK'!GB127-'Database MK'!GC127)</f>
        <v>Belum</v>
      </c>
      <c r="AL126" s="7" t="str">
        <f>IF('Database MK'!GF127="","Belum",'Database MK'!GE127-'Database MK'!GF127)</f>
        <v>Belum</v>
      </c>
      <c r="AM126" s="309" t="str">
        <f>IF('Database MK'!GJ127="","Belum",'Database MK'!GI127-'Database MK'!GJ127)</f>
        <v>Belum</v>
      </c>
      <c r="AN126" s="7" t="str">
        <f>IF('Database MK'!HG127="","Belum",'Database MK'!HF127-'Database MK'!HG127)</f>
        <v>Belum</v>
      </c>
      <c r="AO126" s="7" t="str">
        <f>IF('Database MK'!HP127="","Belum",'Database MK'!HN127-'Database MK'!HP127)</f>
        <v>Belum</v>
      </c>
      <c r="AP126" s="7" t="str">
        <f>IF('Database MK'!HV127="","Belum",'Database MK'!HT127-'Database MK'!HV127)</f>
        <v>Belum</v>
      </c>
    </row>
    <row r="127" spans="2:42" hidden="1" x14ac:dyDescent="0.2">
      <c r="B127" s="7">
        <f>SUBTOTAL(3,$C$4:C127)</f>
        <v>74</v>
      </c>
      <c r="C127" s="299" t="s">
        <v>673</v>
      </c>
      <c r="D127" s="299" t="s">
        <v>875</v>
      </c>
      <c r="E127" s="299" t="s">
        <v>876</v>
      </c>
      <c r="F127" s="300">
        <v>45748</v>
      </c>
      <c r="G127" s="4" t="s">
        <v>247</v>
      </c>
      <c r="H127" s="4" t="str">
        <f ca="1">'Database MK'!Q128</f>
        <v>Kick Off Meeting</v>
      </c>
      <c r="I127" s="24">
        <f>'Database MK'!S128</f>
        <v>1</v>
      </c>
      <c r="J127" s="24">
        <f>'Database MK'!T128</f>
        <v>0</v>
      </c>
      <c r="K127" s="603">
        <f>'Database MK'!U128</f>
        <v>-1</v>
      </c>
      <c r="L127" s="593">
        <f>'Database MK'!V128</f>
        <v>445</v>
      </c>
      <c r="M127" s="593">
        <f>'Database MK'!W128</f>
        <v>0</v>
      </c>
      <c r="N127" s="593">
        <f>Table3[[#This Row],[Total Panjang Pipa Aktual]]-Table3[[#This Row],[Volume
BA MC-0]]</f>
        <v>-445</v>
      </c>
      <c r="O127" s="7" t="str">
        <f ca="1">'Database MK'!DE128</f>
        <v>Belum, Delay</v>
      </c>
      <c r="P127" s="7" t="str">
        <f ca="1">'Database MK'!DI128</f>
        <v>Belum, Delay</v>
      </c>
      <c r="Q127" s="7" t="str">
        <f ca="1">'Database MK'!DN128</f>
        <v>Sudah, OnSchedule</v>
      </c>
      <c r="R127" s="7" t="str">
        <f ca="1">'Database MK'!DR128</f>
        <v>Sudah, Delay</v>
      </c>
      <c r="S127" s="7" t="str">
        <f ca="1">'Database MK'!EA128</f>
        <v>Belum, Delay</v>
      </c>
      <c r="T127" s="7" t="str">
        <f ca="1">'Database MK'!EI128</f>
        <v>Belum, Delay</v>
      </c>
      <c r="U127" s="7" t="str">
        <f ca="1">'Database MK'!ET128</f>
        <v>Belum, Delay</v>
      </c>
      <c r="V127" s="7" t="str">
        <f ca="1">'Database MK'!GA128</f>
        <v>Belum, Delay</v>
      </c>
      <c r="W127" s="7" t="str">
        <f ca="1">'Database MK'!GD128</f>
        <v>Sudah, Delay</v>
      </c>
      <c r="X127" s="7" t="str">
        <f ca="1">'Database MK'!GG128</f>
        <v>Sudah, Delay</v>
      </c>
      <c r="Y127" s="7" t="str">
        <f ca="1">'Database MK'!GK128</f>
        <v>Belum, Delay</v>
      </c>
      <c r="Z127" s="7" t="str">
        <f ca="1">'Database MK'!HH128</f>
        <v>Belum, Delay</v>
      </c>
      <c r="AA127" s="7" t="str">
        <f ca="1">'Database MK'!HQ128</f>
        <v>Belum, Delay</v>
      </c>
      <c r="AB127" s="7" t="str">
        <f ca="1">'Database MK'!HW128</f>
        <v>Belum, Delay</v>
      </c>
      <c r="AC127" s="7">
        <f>'Database MK'!DA128-'Database MK'!DB128</f>
        <v>45543</v>
      </c>
      <c r="AD127" s="7">
        <f>'Database MK'!DA128-'Database MK'!DF128</f>
        <v>45543</v>
      </c>
      <c r="AE127" s="7">
        <f>'Database MK'!DK128-'Database MK'!DL128</f>
        <v>50</v>
      </c>
      <c r="AF127" s="7">
        <f>'Database MK'!DK128-'Database MK'!DO128</f>
        <v>-418</v>
      </c>
      <c r="AG127" s="7">
        <f>'Database MK'!DU128-'Database MK'!DW128</f>
        <v>45571</v>
      </c>
      <c r="AH127" s="7" t="str">
        <f>IF('Database MK'!EB128="","Belum",'Database MK'!DU128-'Database MK'!EB128)</f>
        <v>Belum</v>
      </c>
      <c r="AI127" s="7" t="str">
        <f>IF('Database MK'!EN128="","Belum",'Database MK'!EL128-'Database MK'!EN128)</f>
        <v>Belum</v>
      </c>
      <c r="AJ127" s="7">
        <f>'Database MK'!FY128-'Database MK'!FZ128</f>
        <v>0</v>
      </c>
      <c r="AK127" s="7">
        <f>IF('Database MK'!GC128="","Belum",'Database MK'!GB128-'Database MK'!GC128)</f>
        <v>-16</v>
      </c>
      <c r="AL127" s="7">
        <f>IF('Database MK'!GF128="","Belum",'Database MK'!GE128-'Database MK'!GF128)</f>
        <v>-9</v>
      </c>
      <c r="AM127" s="309" t="str">
        <f>IF('Database MK'!GJ128="","Belum",'Database MK'!GI128-'Database MK'!GJ128)</f>
        <v>Belum</v>
      </c>
      <c r="AN127" s="7" t="str">
        <f>IF('Database MK'!HG128="","Belum",'Database MK'!HF128-'Database MK'!HG128)</f>
        <v>Belum</v>
      </c>
      <c r="AO127" s="7" t="str">
        <f>IF('Database MK'!HP128="","Belum",'Database MK'!HN128-'Database MK'!HP128)</f>
        <v>Belum</v>
      </c>
      <c r="AP127" s="7" t="str">
        <f>IF('Database MK'!HV128="","Belum",'Database MK'!HT128-'Database MK'!HV128)</f>
        <v>Belum</v>
      </c>
    </row>
    <row r="128" spans="2:42" hidden="1" x14ac:dyDescent="0.2">
      <c r="B128" s="7">
        <f>SUBTOTAL(3,$C$4:C128)</f>
        <v>74</v>
      </c>
      <c r="C128" s="4" t="s">
        <v>629</v>
      </c>
      <c r="D128" s="4" t="s">
        <v>880</v>
      </c>
      <c r="E128" s="4" t="s">
        <v>881</v>
      </c>
      <c r="F128" s="300">
        <v>45931</v>
      </c>
      <c r="G128" s="4" t="s">
        <v>247</v>
      </c>
      <c r="H128" s="4" t="str">
        <f ca="1">'Database MK'!Q129</f>
        <v>DPPP</v>
      </c>
      <c r="I128" s="24">
        <f>'Database MK'!S129</f>
        <v>1</v>
      </c>
      <c r="J128" s="24">
        <f>'Database MK'!T129</f>
        <v>1</v>
      </c>
      <c r="K128" s="603">
        <f>'Database MK'!U129</f>
        <v>0</v>
      </c>
      <c r="L128" s="593">
        <f>'Database MK'!V129</f>
        <v>1050</v>
      </c>
      <c r="M128" s="593">
        <f>'Database MK'!W129</f>
        <v>1008.2</v>
      </c>
      <c r="N128" s="593">
        <f>Table3[[#This Row],[Total Panjang Pipa Aktual]]-Table3[[#This Row],[Volume
BA MC-0]]</f>
        <v>-41.799999999999955</v>
      </c>
      <c r="O128" s="7" t="str">
        <f ca="1">'Database MK'!DE129</f>
        <v>Sudah, Delay</v>
      </c>
      <c r="P128" s="7" t="str">
        <f ca="1">'Database MK'!DI129</f>
        <v>Sudah, OnSchedule</v>
      </c>
      <c r="Q128" s="7" t="str">
        <f ca="1">'Database MK'!DN129</f>
        <v>Sudah, Delay</v>
      </c>
      <c r="R128" s="7" t="str">
        <f ca="1">'Database MK'!DR129</f>
        <v>Sudah, Delay</v>
      </c>
      <c r="S128" s="7" t="str">
        <f ca="1">'Database MK'!EA129</f>
        <v>Sudah, Delay</v>
      </c>
      <c r="T128" s="7" t="str">
        <f ca="1">'Database MK'!EI129</f>
        <v>Sudah, Delay</v>
      </c>
      <c r="U128" s="7" t="str">
        <f ca="1">'Database MK'!ET129</f>
        <v>Sudah, Delay</v>
      </c>
      <c r="V128" s="7" t="str">
        <f ca="1">'Database MK'!GA129</f>
        <v>Sudah, Delay</v>
      </c>
      <c r="W128" s="7" t="str">
        <f ca="1">'Database MK'!GD129</f>
        <v>Sudah, OnSchedule</v>
      </c>
      <c r="X128" s="7" t="str">
        <f ca="1">'Database MK'!GG129</f>
        <v>Sudah, Delay</v>
      </c>
      <c r="Y128" s="7" t="str">
        <f ca="1">'Database MK'!GK129</f>
        <v>Sudah, OnSchedule</v>
      </c>
      <c r="Z128" s="7" t="str">
        <f ca="1">'Database MK'!HH129</f>
        <v>Sudah, Delay</v>
      </c>
      <c r="AA128" s="7" t="str">
        <f ca="1">'Database MK'!HQ129</f>
        <v>Sudah, Delay</v>
      </c>
      <c r="AB128" s="7" t="str">
        <f ca="1">'Database MK'!HW129</f>
        <v>Sudah, Delay</v>
      </c>
      <c r="AC128" s="7">
        <f>'Database MK'!DA129-'Database MK'!DB129</f>
        <v>-5</v>
      </c>
      <c r="AD128" s="7">
        <f>'Database MK'!DA129-'Database MK'!DF129</f>
        <v>142</v>
      </c>
      <c r="AE128" s="7">
        <f>'Database MK'!DK129-'Database MK'!DL129</f>
        <v>-325</v>
      </c>
      <c r="AF128" s="7">
        <f>'Database MK'!DK129-'Database MK'!DO129</f>
        <v>-332</v>
      </c>
      <c r="AG128" s="7">
        <f>'Database MK'!DU129-'Database MK'!DW129</f>
        <v>-271</v>
      </c>
      <c r="AH128" s="7">
        <f>IF('Database MK'!EB129="","Belum",'Database MK'!DU129-'Database MK'!EB129)</f>
        <v>-365</v>
      </c>
      <c r="AI128" s="7">
        <f>IF('Database MK'!EN129="","Belum",'Database MK'!EL129-'Database MK'!EN129)</f>
        <v>-316</v>
      </c>
      <c r="AJ128" s="7">
        <f>'Database MK'!FY129-'Database MK'!FZ129</f>
        <v>-45582</v>
      </c>
      <c r="AK128" s="7">
        <f>IF('Database MK'!GC129="","Belum",'Database MK'!GB129-'Database MK'!GC129)</f>
        <v>46</v>
      </c>
      <c r="AL128" s="7">
        <f>IF('Database MK'!GF129="","Belum",'Database MK'!GE129-'Database MK'!GF129)</f>
        <v>53</v>
      </c>
      <c r="AM128" s="309">
        <f>IF('Database MK'!GJ129="","Belum",'Database MK'!GI129-'Database MK'!GJ129)</f>
        <v>60</v>
      </c>
      <c r="AN128" s="7">
        <f>IF('Database MK'!HG129="","Belum",'Database MK'!HF129-'Database MK'!HG129)</f>
        <v>-229</v>
      </c>
      <c r="AO128" s="7">
        <f>IF('Database MK'!HP129="","Belum",'Database MK'!HN129-'Database MK'!HP129)</f>
        <v>-217</v>
      </c>
      <c r="AP128" s="7">
        <f>IF('Database MK'!HV129="","Belum",'Database MK'!HT129-'Database MK'!HV129)</f>
        <v>-248</v>
      </c>
    </row>
    <row r="129" spans="2:42" hidden="1" x14ac:dyDescent="0.2">
      <c r="B129" s="7">
        <f>SUBTOTAL(3,$C$4:C129)</f>
        <v>74</v>
      </c>
      <c r="C129" s="4" t="s">
        <v>629</v>
      </c>
      <c r="D129" s="4" t="s">
        <v>889</v>
      </c>
      <c r="E129" s="4" t="s">
        <v>890</v>
      </c>
      <c r="F129" s="300">
        <v>45931</v>
      </c>
      <c r="G129" s="4" t="s">
        <v>247</v>
      </c>
      <c r="H129" s="4" t="str">
        <f ca="1">'Database MK'!Q130</f>
        <v>DPPP</v>
      </c>
      <c r="I129" s="24">
        <f>'Database MK'!S130</f>
        <v>1</v>
      </c>
      <c r="J129" s="24">
        <f>'Database MK'!T130</f>
        <v>1</v>
      </c>
      <c r="K129" s="603">
        <f>'Database MK'!U130</f>
        <v>0</v>
      </c>
      <c r="L129" s="593">
        <f>'Database MK'!V130</f>
        <v>5379.5</v>
      </c>
      <c r="M129" s="593">
        <f>'Database MK'!W130</f>
        <v>5522</v>
      </c>
      <c r="N129" s="593">
        <f>Table3[[#This Row],[Total Panjang Pipa Aktual]]-Table3[[#This Row],[Volume
BA MC-0]]</f>
        <v>142.5</v>
      </c>
      <c r="O129" s="7" t="str">
        <f ca="1">'Database MK'!DE130</f>
        <v>Sudah, OnSchedule</v>
      </c>
      <c r="P129" s="7" t="str">
        <f ca="1">'Database MK'!DI130</f>
        <v>Sudah, OnSchedule</v>
      </c>
      <c r="Q129" s="7" t="str">
        <f ca="1">'Database MK'!DN130</f>
        <v>Sudah, Delay</v>
      </c>
      <c r="R129" s="7" t="str">
        <f ca="1">'Database MK'!DR130</f>
        <v>Sudah, Delay</v>
      </c>
      <c r="S129" s="7" t="str">
        <f ca="1">'Database MK'!EA130</f>
        <v>Sudah, Delay</v>
      </c>
      <c r="T129" s="7" t="str">
        <f ca="1">'Database MK'!EI130</f>
        <v>Sudah, Delay</v>
      </c>
      <c r="U129" s="7" t="str">
        <f ca="1">'Database MK'!ET130</f>
        <v>Sudah, Delay</v>
      </c>
      <c r="V129" s="7" t="str">
        <f ca="1">'Database MK'!GA130</f>
        <v>Sudah, Delay</v>
      </c>
      <c r="W129" s="7" t="str">
        <f ca="1">'Database MK'!GD130</f>
        <v>Sudah, OnSchedule</v>
      </c>
      <c r="X129" s="7" t="str">
        <f ca="1">'Database MK'!GG130</f>
        <v>Sudah, Delay</v>
      </c>
      <c r="Y129" s="7" t="str">
        <f ca="1">'Database MK'!GK130</f>
        <v>Sudah, OnSchedule</v>
      </c>
      <c r="Z129" s="7" t="str">
        <f ca="1">'Database MK'!HH130</f>
        <v>Sudah, Delay</v>
      </c>
      <c r="AA129" s="7" t="str">
        <f ca="1">'Database MK'!HQ130</f>
        <v>Sudah, Delay</v>
      </c>
      <c r="AB129" s="7" t="str">
        <f ca="1">'Database MK'!HW130</f>
        <v>Sudah, Delay</v>
      </c>
      <c r="AC129" s="7">
        <f>'Database MK'!DA130-'Database MK'!DB130</f>
        <v>164</v>
      </c>
      <c r="AD129" s="7">
        <f>'Database MK'!DA130-'Database MK'!DF130</f>
        <v>142</v>
      </c>
      <c r="AE129" s="7">
        <f>'Database MK'!DK130-'Database MK'!DL130</f>
        <v>-325</v>
      </c>
      <c r="AF129" s="7">
        <f>'Database MK'!DK130-'Database MK'!DO130</f>
        <v>-332</v>
      </c>
      <c r="AG129" s="7">
        <f>'Database MK'!DU130-'Database MK'!DW130</f>
        <v>-477</v>
      </c>
      <c r="AH129" s="7">
        <f>IF('Database MK'!EB130="","Belum",'Database MK'!DU130-'Database MK'!EB130)</f>
        <v>-519</v>
      </c>
      <c r="AI129" s="7">
        <f>IF('Database MK'!EN130="","Belum",'Database MK'!EL130-'Database MK'!EN130)</f>
        <v>-496</v>
      </c>
      <c r="AJ129" s="7">
        <f>'Database MK'!FY130-'Database MK'!FZ130</f>
        <v>-45582</v>
      </c>
      <c r="AK129" s="7">
        <f>IF('Database MK'!GC130="","Belum",'Database MK'!GB130-'Database MK'!GC130)</f>
        <v>46</v>
      </c>
      <c r="AL129" s="7">
        <f>IF('Database MK'!GF130="","Belum",'Database MK'!GE130-'Database MK'!GF130)</f>
        <v>53</v>
      </c>
      <c r="AM129" s="309">
        <f>IF('Database MK'!GJ130="","Belum",'Database MK'!GI130-'Database MK'!GJ130)</f>
        <v>59</v>
      </c>
      <c r="AN129" s="7">
        <f>IF('Database MK'!HG130="","Belum",'Database MK'!HF130-'Database MK'!HG130)</f>
        <v>-232</v>
      </c>
      <c r="AO129" s="7">
        <f>IF('Database MK'!HP130="","Belum",'Database MK'!HN130-'Database MK'!HP130)</f>
        <v>-217</v>
      </c>
      <c r="AP129" s="7">
        <f>IF('Database MK'!HV130="","Belum",'Database MK'!HT130-'Database MK'!HV130)</f>
        <v>-248</v>
      </c>
    </row>
    <row r="130" spans="2:42" hidden="1" x14ac:dyDescent="0.2">
      <c r="B130" s="7">
        <f>SUBTOTAL(3,$C$4:C130)</f>
        <v>74</v>
      </c>
      <c r="C130" s="4" t="s">
        <v>629</v>
      </c>
      <c r="D130" s="4" t="s">
        <v>895</v>
      </c>
      <c r="E130" s="4" t="s">
        <v>896</v>
      </c>
      <c r="F130" s="300">
        <v>45931</v>
      </c>
      <c r="G130" s="4" t="s">
        <v>247</v>
      </c>
      <c r="H130" s="4" t="str">
        <f ca="1">'Database MK'!Q131</f>
        <v>DPPP</v>
      </c>
      <c r="I130" s="24">
        <f>'Database MK'!S131</f>
        <v>1</v>
      </c>
      <c r="J130" s="24">
        <f>'Database MK'!T131</f>
        <v>1</v>
      </c>
      <c r="K130" s="603">
        <f>'Database MK'!U131</f>
        <v>0</v>
      </c>
      <c r="L130" s="593">
        <f>'Database MK'!V131</f>
        <v>1275.5</v>
      </c>
      <c r="M130" s="593">
        <f>'Database MK'!W131</f>
        <v>1347.4</v>
      </c>
      <c r="N130" s="593">
        <f>Table3[[#This Row],[Total Panjang Pipa Aktual]]-Table3[[#This Row],[Volume
BA MC-0]]</f>
        <v>71.900000000000091</v>
      </c>
      <c r="O130" s="7" t="str">
        <f ca="1">'Database MK'!DE131</f>
        <v>Sudah, OnSchedule</v>
      </c>
      <c r="P130" s="7" t="str">
        <f ca="1">'Database MK'!DI131</f>
        <v>Sudah, Delay</v>
      </c>
      <c r="Q130" s="7" t="str">
        <f ca="1">'Database MK'!DN131</f>
        <v>Sudah, Delay</v>
      </c>
      <c r="R130" s="7" t="str">
        <f ca="1">'Database MK'!DR131</f>
        <v>Sudah, Delay</v>
      </c>
      <c r="S130" s="7" t="str">
        <f ca="1">'Database MK'!EA131</f>
        <v>Sudah, Delay</v>
      </c>
      <c r="T130" s="7" t="str">
        <f ca="1">'Database MK'!EI131</f>
        <v>Sudah, Delay</v>
      </c>
      <c r="U130" s="7" t="str">
        <f ca="1">'Database MK'!ET131</f>
        <v>Sudah, Delay</v>
      </c>
      <c r="V130" s="7" t="str">
        <f ca="1">'Database MK'!GA131</f>
        <v>Sudah, Delay</v>
      </c>
      <c r="W130" s="7" t="str">
        <f ca="1">'Database MK'!GD131</f>
        <v>Sudah, OnSchedule</v>
      </c>
      <c r="X130" s="7" t="str">
        <f ca="1">'Database MK'!GG131</f>
        <v>Sudah, Delay</v>
      </c>
      <c r="Y130" s="7" t="str">
        <f ca="1">'Database MK'!GK131</f>
        <v>Sudah, OnSchedule</v>
      </c>
      <c r="Z130" s="7" t="str">
        <f ca="1">'Database MK'!HH131</f>
        <v>Sudah, Delay</v>
      </c>
      <c r="AA130" s="7" t="str">
        <f ca="1">'Database MK'!HQ131</f>
        <v>Sudah, Delay</v>
      </c>
      <c r="AB130" s="7" t="str">
        <f ca="1">'Database MK'!HW131</f>
        <v>Sudah, Delay</v>
      </c>
      <c r="AC130" s="7">
        <f>'Database MK'!DA131-'Database MK'!DB131</f>
        <v>52</v>
      </c>
      <c r="AD130" s="7">
        <f>'Database MK'!DA131-'Database MK'!DF131</f>
        <v>-62</v>
      </c>
      <c r="AE130" s="7">
        <f>'Database MK'!DK131-'Database MK'!DL131</f>
        <v>-325</v>
      </c>
      <c r="AF130" s="7">
        <f>'Database MK'!DK131-'Database MK'!DO131</f>
        <v>-332</v>
      </c>
      <c r="AG130" s="7">
        <f>'Database MK'!DU131-'Database MK'!DW131</f>
        <v>-473</v>
      </c>
      <c r="AH130" s="7">
        <f>IF('Database MK'!EB131="","Belum",'Database MK'!DU131-'Database MK'!EB131)</f>
        <v>-495</v>
      </c>
      <c r="AI130" s="7">
        <f>IF('Database MK'!EN131="","Belum",'Database MK'!EL131-'Database MK'!EN131)</f>
        <v>-394</v>
      </c>
      <c r="AJ130" s="7">
        <f>'Database MK'!FY131-'Database MK'!FZ131</f>
        <v>-45582</v>
      </c>
      <c r="AK130" s="7">
        <f>IF('Database MK'!GC131="","Belum",'Database MK'!GB131-'Database MK'!GC131)</f>
        <v>46</v>
      </c>
      <c r="AL130" s="7">
        <f>IF('Database MK'!GF131="","Belum",'Database MK'!GE131-'Database MK'!GF131)</f>
        <v>53</v>
      </c>
      <c r="AM130" s="309">
        <f>IF('Database MK'!GJ131="","Belum",'Database MK'!GI131-'Database MK'!GJ131)</f>
        <v>59</v>
      </c>
      <c r="AN130" s="7">
        <f>IF('Database MK'!HG131="","Belum",'Database MK'!HF131-'Database MK'!HG131)</f>
        <v>-232</v>
      </c>
      <c r="AO130" s="7">
        <f>IF('Database MK'!HP131="","Belum",'Database MK'!HN131-'Database MK'!HP131)</f>
        <v>-217</v>
      </c>
      <c r="AP130" s="7">
        <f>IF('Database MK'!HV131="","Belum",'Database MK'!HT131-'Database MK'!HV131)</f>
        <v>-248</v>
      </c>
    </row>
    <row r="131" spans="2:42" hidden="1" x14ac:dyDescent="0.2">
      <c r="B131" s="7">
        <f>SUBTOTAL(3,$C$4:C131)</f>
        <v>74</v>
      </c>
      <c r="C131" s="4" t="s">
        <v>629</v>
      </c>
      <c r="D131" s="4" t="s">
        <v>903</v>
      </c>
      <c r="E131" s="4" t="s">
        <v>904</v>
      </c>
      <c r="F131" s="300">
        <v>45931</v>
      </c>
      <c r="G131" s="4" t="s">
        <v>247</v>
      </c>
      <c r="H131" s="4" t="str">
        <f ca="1">'Database MK'!Q132</f>
        <v>DPPP</v>
      </c>
      <c r="I131" s="24">
        <f>'Database MK'!S132</f>
        <v>1</v>
      </c>
      <c r="J131" s="24">
        <f>'Database MK'!T132</f>
        <v>1</v>
      </c>
      <c r="K131" s="603">
        <f>'Database MK'!U132</f>
        <v>0</v>
      </c>
      <c r="L131" s="593">
        <f>'Database MK'!V132</f>
        <v>1085</v>
      </c>
      <c r="M131" s="593">
        <f>'Database MK'!W132</f>
        <v>1168.9000000000001</v>
      </c>
      <c r="N131" s="593">
        <f>Table3[[#This Row],[Total Panjang Pipa Aktual]]-Table3[[#This Row],[Volume
BA MC-0]]</f>
        <v>83.900000000000091</v>
      </c>
      <c r="O131" s="7" t="str">
        <f ca="1">'Database MK'!DE132</f>
        <v>Sudah, OnSchedule</v>
      </c>
      <c r="P131" s="7" t="str">
        <f ca="1">'Database MK'!DI132</f>
        <v>Sudah, Delay</v>
      </c>
      <c r="Q131" s="7" t="str">
        <f ca="1">'Database MK'!DN132</f>
        <v>Sudah, Delay</v>
      </c>
      <c r="R131" s="7" t="str">
        <f ca="1">'Database MK'!DR132</f>
        <v>Sudah, Delay</v>
      </c>
      <c r="S131" s="7" t="str">
        <f ca="1">'Database MK'!EA132</f>
        <v>Sudah, Delay</v>
      </c>
      <c r="T131" s="7" t="str">
        <f ca="1">'Database MK'!EI132</f>
        <v>Sudah, Delay</v>
      </c>
      <c r="U131" s="7" t="str">
        <f ca="1">'Database MK'!ET132</f>
        <v>Sudah, Delay</v>
      </c>
      <c r="V131" s="7" t="str">
        <f ca="1">'Database MK'!GA132</f>
        <v>Sudah, Delay</v>
      </c>
      <c r="W131" s="7" t="str">
        <f ca="1">'Database MK'!GD132</f>
        <v>Sudah, OnSchedule</v>
      </c>
      <c r="X131" s="7" t="str">
        <f ca="1">'Database MK'!GG132</f>
        <v>Sudah, OnSchedule</v>
      </c>
      <c r="Y131" s="7" t="str">
        <f ca="1">'Database MK'!GK132</f>
        <v>Sudah, OnSchedule</v>
      </c>
      <c r="Z131" s="7" t="str">
        <f ca="1">'Database MK'!HH132</f>
        <v>Sudah, Delay</v>
      </c>
      <c r="AA131" s="7" t="str">
        <f ca="1">'Database MK'!HQ132</f>
        <v>Sudah, Delay</v>
      </c>
      <c r="AB131" s="7" t="str">
        <f ca="1">'Database MK'!HW132</f>
        <v>Sudah, Delay</v>
      </c>
      <c r="AC131" s="7">
        <f>'Database MK'!DA132-'Database MK'!DB132</f>
        <v>252</v>
      </c>
      <c r="AD131" s="7">
        <f>'Database MK'!DA132-'Database MK'!DF132</f>
        <v>-114</v>
      </c>
      <c r="AE131" s="7">
        <f>'Database MK'!DK132-'Database MK'!DL132</f>
        <v>-411</v>
      </c>
      <c r="AF131" s="7">
        <f>'Database MK'!DK132-'Database MK'!DO132</f>
        <v>-467</v>
      </c>
      <c r="AG131" s="7">
        <f>'Database MK'!DU132-'Database MK'!DW132</f>
        <v>-310</v>
      </c>
      <c r="AH131" s="7">
        <f>IF('Database MK'!EB132="","Belum",'Database MK'!DU132-'Database MK'!EB132)</f>
        <v>-355</v>
      </c>
      <c r="AI131" s="7">
        <f>IF('Database MK'!EN132="","Belum",'Database MK'!EL132-'Database MK'!EN132)</f>
        <v>-152</v>
      </c>
      <c r="AJ131" s="7">
        <f>'Database MK'!FY132-'Database MK'!FZ132</f>
        <v>-45582</v>
      </c>
      <c r="AK131" s="7">
        <f>IF('Database MK'!GC132="","Belum",'Database MK'!GB132-'Database MK'!GC132)</f>
        <v>11</v>
      </c>
      <c r="AL131" s="7">
        <f>IF('Database MK'!GF132="","Belum",'Database MK'!GE132-'Database MK'!GF132)</f>
        <v>18</v>
      </c>
      <c r="AM131" s="309">
        <f>IF('Database MK'!GJ132="","Belum",'Database MK'!GI132-'Database MK'!GJ132)</f>
        <v>26</v>
      </c>
      <c r="AN131" s="7">
        <f>IF('Database MK'!HG132="","Belum",'Database MK'!HF132-'Database MK'!HG132)</f>
        <v>-234</v>
      </c>
      <c r="AO131" s="7">
        <f>IF('Database MK'!HP132="","Belum",'Database MK'!HN132-'Database MK'!HP132)</f>
        <v>-217</v>
      </c>
      <c r="AP131" s="7">
        <f>IF('Database MK'!HV132="","Belum",'Database MK'!HT132-'Database MK'!HV132)</f>
        <v>-248</v>
      </c>
    </row>
    <row r="132" spans="2:42" hidden="1" x14ac:dyDescent="0.2">
      <c r="B132" s="7">
        <f>SUBTOTAL(3,$C$4:C132)</f>
        <v>74</v>
      </c>
      <c r="C132" s="4" t="s">
        <v>629</v>
      </c>
      <c r="D132" s="4" t="s">
        <v>913</v>
      </c>
      <c r="E132" s="4" t="s">
        <v>914</v>
      </c>
      <c r="F132" s="300">
        <v>45931</v>
      </c>
      <c r="G132" s="4" t="s">
        <v>247</v>
      </c>
      <c r="H132" s="4" t="str">
        <f ca="1">'Database MK'!Q133</f>
        <v>DPPP</v>
      </c>
      <c r="I132" s="24">
        <f>'Database MK'!S133</f>
        <v>1</v>
      </c>
      <c r="J132" s="24">
        <f>'Database MK'!T133</f>
        <v>1</v>
      </c>
      <c r="K132" s="603">
        <f>'Database MK'!U133</f>
        <v>0</v>
      </c>
      <c r="L132" s="593">
        <f>'Database MK'!V133</f>
        <v>24731</v>
      </c>
      <c r="M132" s="593">
        <f>'Database MK'!W133</f>
        <v>19044.900000000001</v>
      </c>
      <c r="N132" s="593">
        <f>Table3[[#This Row],[Total Panjang Pipa Aktual]]-Table3[[#This Row],[Volume
BA MC-0]]</f>
        <v>-5686.0999999999985</v>
      </c>
      <c r="O132" s="7" t="str">
        <f ca="1">'Database MK'!DE133</f>
        <v>Sudah, OnSchedule</v>
      </c>
      <c r="P132" s="7" t="str">
        <f ca="1">'Database MK'!DI133</f>
        <v>Sudah, OnSchedule</v>
      </c>
      <c r="Q132" s="7" t="str">
        <f ca="1">'Database MK'!DN133</f>
        <v>Sudah, Delay</v>
      </c>
      <c r="R132" s="7" t="str">
        <f ca="1">'Database MK'!DR133</f>
        <v>Sudah, Delay</v>
      </c>
      <c r="S132" s="7" t="str">
        <f ca="1">'Database MK'!EA133</f>
        <v>Sudah, Delay</v>
      </c>
      <c r="T132" s="7" t="str">
        <f ca="1">'Database MK'!EI133</f>
        <v>Sudah, Delay</v>
      </c>
      <c r="U132" s="7" t="str">
        <f ca="1">'Database MK'!ET133</f>
        <v>Sudah, Delay</v>
      </c>
      <c r="V132" s="7" t="str">
        <f ca="1">'Database MK'!GA133</f>
        <v>Sudah, Delay</v>
      </c>
      <c r="W132" s="7" t="str">
        <f ca="1">'Database MK'!GD133</f>
        <v>Sudah, OnSchedule</v>
      </c>
      <c r="X132" s="7" t="str">
        <f ca="1">'Database MK'!GG133</f>
        <v>Sudah, OnSchedule</v>
      </c>
      <c r="Y132" s="7" t="str">
        <f ca="1">'Database MK'!GK133</f>
        <v>Sudah, OnSchedule</v>
      </c>
      <c r="Z132" s="7" t="str">
        <f ca="1">'Database MK'!HH133</f>
        <v>Sudah, Delay</v>
      </c>
      <c r="AA132" s="7" t="str">
        <f ca="1">'Database MK'!HQ133</f>
        <v>Sudah, Delay</v>
      </c>
      <c r="AB132" s="7" t="str">
        <f ca="1">'Database MK'!HW133</f>
        <v>Sudah, Delay</v>
      </c>
      <c r="AC132" s="7">
        <f>'Database MK'!DA133-'Database MK'!DB133</f>
        <v>26</v>
      </c>
      <c r="AD132" s="7">
        <f>'Database MK'!DA133-'Database MK'!DF133</f>
        <v>23</v>
      </c>
      <c r="AE132" s="7">
        <f>'Database MK'!DK133-'Database MK'!DL133</f>
        <v>-310</v>
      </c>
      <c r="AF132" s="7">
        <f>'Database MK'!DK133-'Database MK'!DO133</f>
        <v>-326</v>
      </c>
      <c r="AG132" s="7">
        <f>'Database MK'!DU133-'Database MK'!DW133</f>
        <v>-387</v>
      </c>
      <c r="AH132" s="7">
        <f>IF('Database MK'!EB133="","Belum",'Database MK'!DU133-'Database MK'!EB133)</f>
        <v>-390</v>
      </c>
      <c r="AI132" s="7">
        <f>IF('Database MK'!EN133="","Belum",'Database MK'!EL133-'Database MK'!EN133)</f>
        <v>-403</v>
      </c>
      <c r="AJ132" s="7">
        <f>'Database MK'!FY133-'Database MK'!FZ133</f>
        <v>-45582</v>
      </c>
      <c r="AK132" s="7">
        <f>IF('Database MK'!GC133="","Belum",'Database MK'!GB133-'Database MK'!GC133)</f>
        <v>32</v>
      </c>
      <c r="AL132" s="7">
        <f>IF('Database MK'!GF133="","Belum",'Database MK'!GE133-'Database MK'!GF133)</f>
        <v>39</v>
      </c>
      <c r="AM132" s="309">
        <f>IF('Database MK'!GJ133="","Belum",'Database MK'!GI133-'Database MK'!GJ133)</f>
        <v>46</v>
      </c>
      <c r="AN132" s="7">
        <f>IF('Database MK'!HG133="","Belum",'Database MK'!HF133-'Database MK'!HG133)</f>
        <v>-233</v>
      </c>
      <c r="AO132" s="7">
        <f>IF('Database MK'!HP133="","Belum",'Database MK'!HN133-'Database MK'!HP133)</f>
        <v>-220</v>
      </c>
      <c r="AP132" s="7">
        <f>IF('Database MK'!HV133="","Belum",'Database MK'!HT133-'Database MK'!HV133)</f>
        <v>-224</v>
      </c>
    </row>
    <row r="133" spans="2:42" hidden="1" x14ac:dyDescent="0.2">
      <c r="B133" s="7">
        <f>SUBTOTAL(3,$C$4:C133)</f>
        <v>74</v>
      </c>
      <c r="C133" s="4" t="s">
        <v>629</v>
      </c>
      <c r="D133" s="4" t="s">
        <v>924</v>
      </c>
      <c r="E133" s="4" t="s">
        <v>925</v>
      </c>
      <c r="F133" s="300">
        <v>45931</v>
      </c>
      <c r="G133" s="4" t="s">
        <v>247</v>
      </c>
      <c r="H133" s="4" t="str">
        <f ca="1">'Database MK'!Q134</f>
        <v>DPPP</v>
      </c>
      <c r="I133" s="24">
        <f>'Database MK'!S134</f>
        <v>1</v>
      </c>
      <c r="J133" s="24">
        <f>'Database MK'!T134</f>
        <v>1</v>
      </c>
      <c r="K133" s="603">
        <f>'Database MK'!U134</f>
        <v>0</v>
      </c>
      <c r="L133" s="593">
        <f>'Database MK'!V134</f>
        <v>20222</v>
      </c>
      <c r="M133" s="593">
        <f>'Database MK'!W134</f>
        <v>18046.099999999999</v>
      </c>
      <c r="N133" s="593">
        <f>Table3[[#This Row],[Total Panjang Pipa Aktual]]-Table3[[#This Row],[Volume
BA MC-0]]</f>
        <v>-2175.9000000000015</v>
      </c>
      <c r="O133" s="7" t="str">
        <f ca="1">'Database MK'!DE134</f>
        <v>Sudah, OnSchedule</v>
      </c>
      <c r="P133" s="7" t="str">
        <f ca="1">'Database MK'!DI134</f>
        <v>Sudah, OnSchedule</v>
      </c>
      <c r="Q133" s="7" t="str">
        <f ca="1">'Database MK'!DN134</f>
        <v>Sudah, Delay</v>
      </c>
      <c r="R133" s="7" t="str">
        <f ca="1">'Database MK'!DR134</f>
        <v>Sudah, Delay</v>
      </c>
      <c r="S133" s="7" t="str">
        <f ca="1">'Database MK'!EA134</f>
        <v>Sudah, Delay</v>
      </c>
      <c r="T133" s="7" t="str">
        <f ca="1">'Database MK'!EI134</f>
        <v>Sudah, Delay</v>
      </c>
      <c r="U133" s="7" t="str">
        <f ca="1">'Database MK'!ET134</f>
        <v>Sudah, Delay</v>
      </c>
      <c r="V133" s="7" t="str">
        <f ca="1">'Database MK'!GA134</f>
        <v>Sudah, Delay</v>
      </c>
      <c r="W133" s="7" t="str">
        <f ca="1">'Database MK'!GD134</f>
        <v>Sudah, OnSchedule</v>
      </c>
      <c r="X133" s="7" t="str">
        <f ca="1">'Database MK'!GG134</f>
        <v>Sudah, OnSchedule</v>
      </c>
      <c r="Y133" s="7" t="str">
        <f ca="1">'Database MK'!GK134</f>
        <v>Sudah, OnSchedule</v>
      </c>
      <c r="Z133" s="7" t="str">
        <f ca="1">'Database MK'!HH134</f>
        <v>Sudah, Delay</v>
      </c>
      <c r="AA133" s="7" t="str">
        <f ca="1">'Database MK'!HQ134</f>
        <v>Sudah, Delay</v>
      </c>
      <c r="AB133" s="7" t="str">
        <f ca="1">'Database MK'!HW134</f>
        <v>Sudah, Delay</v>
      </c>
      <c r="AC133" s="7">
        <f>'Database MK'!DA134-'Database MK'!DB134</f>
        <v>26</v>
      </c>
      <c r="AD133" s="7">
        <f>'Database MK'!DA134-'Database MK'!DF134</f>
        <v>23</v>
      </c>
      <c r="AE133" s="7">
        <f>'Database MK'!DK134-'Database MK'!DL134</f>
        <v>-214</v>
      </c>
      <c r="AF133" s="7">
        <f>'Database MK'!DK134-'Database MK'!DO134</f>
        <v>-344</v>
      </c>
      <c r="AG133" s="7">
        <f>'Database MK'!DU134-'Database MK'!DW134</f>
        <v>-394</v>
      </c>
      <c r="AH133" s="7">
        <f>IF('Database MK'!EB134="","Belum",'Database MK'!DU134-'Database MK'!EB134)</f>
        <v>-396</v>
      </c>
      <c r="AI133" s="7">
        <f>IF('Database MK'!EN134="","Belum",'Database MK'!EL134-'Database MK'!EN134)</f>
        <v>-438</v>
      </c>
      <c r="AJ133" s="7">
        <f>'Database MK'!FY134-'Database MK'!FZ134</f>
        <v>-45582</v>
      </c>
      <c r="AK133" s="7">
        <f>IF('Database MK'!GC134="","Belum",'Database MK'!GB134-'Database MK'!GC134)</f>
        <v>32</v>
      </c>
      <c r="AL133" s="7">
        <f>IF('Database MK'!GF134="","Belum",'Database MK'!GE134-'Database MK'!GF134)</f>
        <v>39</v>
      </c>
      <c r="AM133" s="309">
        <f>IF('Database MK'!GJ134="","Belum",'Database MK'!GI134-'Database MK'!GJ134)</f>
        <v>45</v>
      </c>
      <c r="AN133" s="7">
        <f>IF('Database MK'!HG134="","Belum",'Database MK'!HF134-'Database MK'!HG134)</f>
        <v>-232</v>
      </c>
      <c r="AO133" s="7">
        <f>IF('Database MK'!HP134="","Belum",'Database MK'!HN134-'Database MK'!HP134)</f>
        <v>-221</v>
      </c>
      <c r="AP133" s="7">
        <f>IF('Database MK'!HV134="","Belum",'Database MK'!HT134-'Database MK'!HV134)</f>
        <v>-225</v>
      </c>
    </row>
    <row r="134" spans="2:42" hidden="1" x14ac:dyDescent="0.2">
      <c r="B134" s="7">
        <f>SUBTOTAL(3,$C$4:C134)</f>
        <v>74</v>
      </c>
      <c r="C134" s="4" t="s">
        <v>629</v>
      </c>
      <c r="D134" s="4" t="s">
        <v>933</v>
      </c>
      <c r="E134" s="4" t="s">
        <v>934</v>
      </c>
      <c r="F134" s="300">
        <v>45931</v>
      </c>
      <c r="G134" s="4" t="s">
        <v>247</v>
      </c>
      <c r="H134" s="4" t="str">
        <f ca="1">'Database MK'!Q135</f>
        <v>DPPP</v>
      </c>
      <c r="I134" s="24">
        <f>'Database MK'!S135</f>
        <v>1</v>
      </c>
      <c r="J134" s="24">
        <f>'Database MK'!T135</f>
        <v>1</v>
      </c>
      <c r="K134" s="603">
        <f>'Database MK'!U135</f>
        <v>0</v>
      </c>
      <c r="L134" s="593">
        <f>'Database MK'!V135</f>
        <v>20</v>
      </c>
      <c r="M134" s="593">
        <f>'Database MK'!W135</f>
        <v>42.2</v>
      </c>
      <c r="N134" s="593">
        <f>Table3[[#This Row],[Total Panjang Pipa Aktual]]-Table3[[#This Row],[Volume
BA MC-0]]</f>
        <v>22.200000000000003</v>
      </c>
      <c r="O134" s="7" t="str">
        <f ca="1">'Database MK'!DE135</f>
        <v>Sudah, Delay</v>
      </c>
      <c r="P134" s="7" t="str">
        <f ca="1">'Database MK'!DI135</f>
        <v>Sudah, Delay</v>
      </c>
      <c r="Q134" s="7" t="str">
        <f ca="1">'Database MK'!DN135</f>
        <v>Sudah, Delay</v>
      </c>
      <c r="R134" s="7" t="str">
        <f ca="1">'Database MK'!DR135</f>
        <v>Sudah, Delay</v>
      </c>
      <c r="S134" s="7" t="str">
        <f ca="1">'Database MK'!EA135</f>
        <v>Sudah, Delay</v>
      </c>
      <c r="T134" s="7" t="str">
        <f ca="1">'Database MK'!EI135</f>
        <v>Sudah, Delay</v>
      </c>
      <c r="U134" s="7" t="str">
        <f ca="1">'Database MK'!ET135</f>
        <v>Sudah, Delay</v>
      </c>
      <c r="V134" s="7" t="str">
        <f ca="1">'Database MK'!GA135</f>
        <v>Sudah, Delay</v>
      </c>
      <c r="W134" s="7" t="str">
        <f ca="1">'Database MK'!GD135</f>
        <v>Sudah, Delay</v>
      </c>
      <c r="X134" s="7" t="str">
        <f ca="1">'Database MK'!GG135</f>
        <v>Sudah, Delay</v>
      </c>
      <c r="Y134" s="7" t="str">
        <f ca="1">'Database MK'!GK135</f>
        <v>Sudah, Delay</v>
      </c>
      <c r="Z134" s="7" t="str">
        <f ca="1">'Database MK'!HH135</f>
        <v>Sudah, Delay</v>
      </c>
      <c r="AA134" s="7" t="str">
        <f ca="1">'Database MK'!HQ135</f>
        <v>Sudah, Delay</v>
      </c>
      <c r="AB134" s="7" t="str">
        <f ca="1">'Database MK'!HW135</f>
        <v>Sudah, Delay</v>
      </c>
      <c r="AC134" s="7">
        <f>'Database MK'!DA135-'Database MK'!DB135</f>
        <v>-25</v>
      </c>
      <c r="AD134" s="7">
        <f>'Database MK'!DA135-'Database MK'!DF135</f>
        <v>-43</v>
      </c>
      <c r="AE134" s="7">
        <f>'Database MK'!DK135-'Database MK'!DL135</f>
        <v>-169</v>
      </c>
      <c r="AF134" s="7">
        <f>'Database MK'!DK135-'Database MK'!DO135</f>
        <v>-207</v>
      </c>
      <c r="AG134" s="7">
        <f>'Database MK'!DU135-'Database MK'!DW135</f>
        <v>-386</v>
      </c>
      <c r="AH134" s="7">
        <f>IF('Database MK'!EB135="","Belum",'Database MK'!DU135-'Database MK'!EB135)</f>
        <v>-394</v>
      </c>
      <c r="AI134" s="7">
        <f>IF('Database MK'!EN135="","Belum",'Database MK'!EL135-'Database MK'!EN135)</f>
        <v>-445</v>
      </c>
      <c r="AJ134" s="7">
        <f>'Database MK'!FY135-'Database MK'!FZ135</f>
        <v>-45582</v>
      </c>
      <c r="AK134" s="7">
        <f>IF('Database MK'!GC135="","Belum",'Database MK'!GB135-'Database MK'!GC135)</f>
        <v>-241</v>
      </c>
      <c r="AL134" s="7">
        <f>IF('Database MK'!GF135="","Belum",'Database MK'!GE135-'Database MK'!GF135)</f>
        <v>-234</v>
      </c>
      <c r="AM134" s="309">
        <f>IF('Database MK'!GJ135="","Belum",'Database MK'!GI135-'Database MK'!GJ135)</f>
        <v>-226</v>
      </c>
      <c r="AN134" s="7">
        <f>IF('Database MK'!HG135="","Belum",'Database MK'!HF135-'Database MK'!HG135)</f>
        <v>-227</v>
      </c>
      <c r="AO134" s="7">
        <f>IF('Database MK'!HP135="","Belum",'Database MK'!HN135-'Database MK'!HP135)</f>
        <v>-216</v>
      </c>
      <c r="AP134" s="7">
        <f>IF('Database MK'!HV135="","Belum",'Database MK'!HT135-'Database MK'!HV135)</f>
        <v>-225</v>
      </c>
    </row>
    <row r="135" spans="2:42" hidden="1" x14ac:dyDescent="0.2">
      <c r="B135" s="7">
        <f>SUBTOTAL(3,$C$4:C135)</f>
        <v>74</v>
      </c>
      <c r="C135" s="4" t="s">
        <v>629</v>
      </c>
      <c r="D135" s="4" t="s">
        <v>941</v>
      </c>
      <c r="E135" s="4" t="s">
        <v>942</v>
      </c>
      <c r="F135" s="300">
        <v>45931</v>
      </c>
      <c r="G135" s="4" t="s">
        <v>247</v>
      </c>
      <c r="H135" s="4" t="str">
        <f ca="1">'Database MK'!Q136</f>
        <v>Tes Com</v>
      </c>
      <c r="I135" s="24">
        <f>'Database MK'!S136</f>
        <v>1</v>
      </c>
      <c r="J135" s="24">
        <f>'Database MK'!T136</f>
        <v>0.62963512028177115</v>
      </c>
      <c r="K135" s="603">
        <f>'Database MK'!U136</f>
        <v>-0.37036487971822885</v>
      </c>
      <c r="L135" s="593">
        <f>'Database MK'!V136</f>
        <v>6209</v>
      </c>
      <c r="M135" s="593">
        <f>'Database MK'!W136</f>
        <v>2571</v>
      </c>
      <c r="N135" s="593">
        <f>Table3[[#This Row],[Total Panjang Pipa Aktual]]-Table3[[#This Row],[Volume
BA MC-0]]</f>
        <v>-3638</v>
      </c>
      <c r="O135" s="7" t="str">
        <f ca="1">'Database MK'!DE136</f>
        <v>Sudah, OnSchedule</v>
      </c>
      <c r="P135" s="7" t="str">
        <f ca="1">'Database MK'!DI136</f>
        <v>Sudah, OnSchedule</v>
      </c>
      <c r="Q135" s="7" t="str">
        <f ca="1">'Database MK'!DN136</f>
        <v>Sudah, OnSchedule</v>
      </c>
      <c r="R135" s="7" t="str">
        <f ca="1">'Database MK'!DR136</f>
        <v>Sudah, OnSchedule</v>
      </c>
      <c r="S135" s="7" t="str">
        <f ca="1">'Database MK'!EA136</f>
        <v>Sudah, Delay</v>
      </c>
      <c r="T135" s="7" t="str">
        <f ca="1">'Database MK'!EI136</f>
        <v>Sudah, Delay</v>
      </c>
      <c r="U135" s="7" t="str">
        <f ca="1">'Database MK'!ET136</f>
        <v>Belum, Delay</v>
      </c>
      <c r="V135" s="7" t="str">
        <f ca="1">'Database MK'!GA136</f>
        <v>Sudah, Delay</v>
      </c>
      <c r="W135" s="7" t="str">
        <f ca="1">'Database MK'!GD136</f>
        <v>Sudah, OnSchedule</v>
      </c>
      <c r="X135" s="7" t="str">
        <f ca="1">'Database MK'!GG136</f>
        <v>Sudah, OnSchedule</v>
      </c>
      <c r="Y135" s="7" t="str">
        <f ca="1">'Database MK'!GK136</f>
        <v>Sudah, OnSchedule</v>
      </c>
      <c r="Z135" s="7" t="str">
        <f ca="1">'Database MK'!HH136</f>
        <v>Sudah, Delay</v>
      </c>
      <c r="AA135" s="7" t="str">
        <f ca="1">'Database MK'!HQ136</f>
        <v>Belum, Delay</v>
      </c>
      <c r="AB135" s="7" t="str">
        <f ca="1">'Database MK'!HW136</f>
        <v>Belum, Delay</v>
      </c>
      <c r="AC135" s="7">
        <f>'Database MK'!DA136-'Database MK'!DB136</f>
        <v>26</v>
      </c>
      <c r="AD135" s="7">
        <f>'Database MK'!DA136-'Database MK'!DF136</f>
        <v>19</v>
      </c>
      <c r="AE135" s="7">
        <f>'Database MK'!DK136-'Database MK'!DL136</f>
        <v>22</v>
      </c>
      <c r="AF135" s="7">
        <f>'Database MK'!DK136-'Database MK'!DO136</f>
        <v>11</v>
      </c>
      <c r="AG135" s="7">
        <f>'Database MK'!DU136-'Database MK'!DW136</f>
        <v>-391</v>
      </c>
      <c r="AH135" s="7">
        <f>IF('Database MK'!EB136="","Belum",'Database MK'!DU136-'Database MK'!EB136)</f>
        <v>-394</v>
      </c>
      <c r="AI135" s="7" t="str">
        <f>IF('Database MK'!EN136="","Belum",'Database MK'!EL136-'Database MK'!EN136)</f>
        <v>Belum</v>
      </c>
      <c r="AJ135" s="7">
        <f>'Database MK'!FY136-'Database MK'!FZ136</f>
        <v>-45582</v>
      </c>
      <c r="AK135" s="7">
        <f>IF('Database MK'!GC136="","Belum",'Database MK'!GB136-'Database MK'!GC136)</f>
        <v>32</v>
      </c>
      <c r="AL135" s="7">
        <f>IF('Database MK'!GF136="","Belum",'Database MK'!GE136-'Database MK'!GF136)</f>
        <v>39</v>
      </c>
      <c r="AM135" s="309">
        <f>IF('Database MK'!GJ136="","Belum",'Database MK'!GI136-'Database MK'!GJ136)</f>
        <v>44</v>
      </c>
      <c r="AN135" s="7">
        <f>IF('Database MK'!HG136="","Belum",'Database MK'!HF136-'Database MK'!HG136)</f>
        <v>-365</v>
      </c>
      <c r="AO135" s="7" t="str">
        <f>IF('Database MK'!HP136="","Belum",'Database MK'!HN136-'Database MK'!HP136)</f>
        <v>Belum</v>
      </c>
      <c r="AP135" s="7" t="str">
        <f>IF('Database MK'!HV136="","Belum",'Database MK'!HT136-'Database MK'!HV136)</f>
        <v>Belum</v>
      </c>
    </row>
    <row r="136" spans="2:42" hidden="1" x14ac:dyDescent="0.2">
      <c r="B136" s="7">
        <f>SUBTOTAL(3,$C$4:C136)</f>
        <v>74</v>
      </c>
      <c r="C136" s="4" t="s">
        <v>629</v>
      </c>
      <c r="D136" s="4" t="s">
        <v>952</v>
      </c>
      <c r="E136" s="4" t="s">
        <v>953</v>
      </c>
      <c r="F136" s="300">
        <v>45931</v>
      </c>
      <c r="G136" s="4" t="s">
        <v>247</v>
      </c>
      <c r="H136" s="4" t="str">
        <f ca="1">'Database MK'!Q137</f>
        <v>DPPP</v>
      </c>
      <c r="I136" s="24">
        <f>'Database MK'!S137</f>
        <v>1</v>
      </c>
      <c r="J136" s="24">
        <f>'Database MK'!T137</f>
        <v>1</v>
      </c>
      <c r="K136" s="603">
        <f>'Database MK'!U137</f>
        <v>0</v>
      </c>
      <c r="L136" s="593">
        <f>'Database MK'!V137</f>
        <v>4014</v>
      </c>
      <c r="M136" s="593">
        <f>'Database MK'!W137</f>
        <v>2323.4</v>
      </c>
      <c r="N136" s="593">
        <f>Table3[[#This Row],[Total Panjang Pipa Aktual]]-Table3[[#This Row],[Volume
BA MC-0]]</f>
        <v>-1690.6</v>
      </c>
      <c r="O136" s="7" t="str">
        <f ca="1">'Database MK'!DE137</f>
        <v>Sudah, OnSchedule</v>
      </c>
      <c r="P136" s="7" t="str">
        <f ca="1">'Database MK'!DI137</f>
        <v>Sudah, OnSchedule</v>
      </c>
      <c r="Q136" s="7" t="str">
        <f ca="1">'Database MK'!DN137</f>
        <v>Sudah, Delay</v>
      </c>
      <c r="R136" s="7" t="str">
        <f ca="1">'Database MK'!DR137</f>
        <v>Sudah, Delay</v>
      </c>
      <c r="S136" s="7" t="str">
        <f ca="1">'Database MK'!EA137</f>
        <v>Sudah, Delay</v>
      </c>
      <c r="T136" s="7" t="str">
        <f ca="1">'Database MK'!EI137</f>
        <v>Sudah, Delay</v>
      </c>
      <c r="U136" s="7" t="str">
        <f ca="1">'Database MK'!ET137</f>
        <v>Sudah, Delay</v>
      </c>
      <c r="V136" s="7" t="str">
        <f ca="1">'Database MK'!GA137</f>
        <v>Sudah, Delay</v>
      </c>
      <c r="W136" s="7" t="str">
        <f ca="1">'Database MK'!GD137</f>
        <v>Sudah, OnSchedule</v>
      </c>
      <c r="X136" s="7" t="str">
        <f ca="1">'Database MK'!GG137</f>
        <v>Sudah, OnSchedule</v>
      </c>
      <c r="Y136" s="7" t="str">
        <f ca="1">'Database MK'!GK137</f>
        <v>Sudah, OnSchedule</v>
      </c>
      <c r="Z136" s="7" t="str">
        <f ca="1">'Database MK'!HH137</f>
        <v>Sudah, Delay</v>
      </c>
      <c r="AA136" s="7" t="str">
        <f ca="1">'Database MK'!HQ137</f>
        <v>Sudah, Delay</v>
      </c>
      <c r="AB136" s="7" t="str">
        <f ca="1">'Database MK'!HW137</f>
        <v>Sudah, Delay</v>
      </c>
      <c r="AC136" s="7">
        <f>'Database MK'!DA137-'Database MK'!DB137</f>
        <v>26</v>
      </c>
      <c r="AD136" s="7">
        <f>'Database MK'!DA137-'Database MK'!DF137</f>
        <v>19</v>
      </c>
      <c r="AE136" s="7">
        <f>'Database MK'!DK137-'Database MK'!DL137</f>
        <v>-319</v>
      </c>
      <c r="AF136" s="7">
        <f>'Database MK'!DK137-'Database MK'!DO137</f>
        <v>-337</v>
      </c>
      <c r="AG136" s="7">
        <f>'Database MK'!DU137-'Database MK'!DW137</f>
        <v>-394</v>
      </c>
      <c r="AH136" s="7">
        <f>IF('Database MK'!EB137="","Belum",'Database MK'!DU137-'Database MK'!EB137)</f>
        <v>-396</v>
      </c>
      <c r="AI136" s="7">
        <f>IF('Database MK'!EN137="","Belum",'Database MK'!EL137-'Database MK'!EN137)</f>
        <v>-340</v>
      </c>
      <c r="AJ136" s="7">
        <f>'Database MK'!FY137-'Database MK'!FZ137</f>
        <v>-45582</v>
      </c>
      <c r="AK136" s="7">
        <f>IF('Database MK'!GC137="","Belum",'Database MK'!GB137-'Database MK'!GC137)</f>
        <v>32</v>
      </c>
      <c r="AL136" s="7">
        <f>IF('Database MK'!GF137="","Belum",'Database MK'!GE137-'Database MK'!GF137)</f>
        <v>39</v>
      </c>
      <c r="AM136" s="309">
        <f>IF('Database MK'!GJ137="","Belum",'Database MK'!GI137-'Database MK'!GJ137)</f>
        <v>39</v>
      </c>
      <c r="AN136" s="7">
        <f>IF('Database MK'!HG137="","Belum",'Database MK'!HF137-'Database MK'!HG137)</f>
        <v>-211</v>
      </c>
      <c r="AO136" s="7">
        <f>IF('Database MK'!HP137="","Belum",'Database MK'!HN137-'Database MK'!HP137)</f>
        <v>-216</v>
      </c>
      <c r="AP136" s="7">
        <f>IF('Database MK'!HV137="","Belum",'Database MK'!HT137-'Database MK'!HV137)</f>
        <v>-224</v>
      </c>
    </row>
    <row r="137" spans="2:42" hidden="1" x14ac:dyDescent="0.2">
      <c r="B137" s="7">
        <f>SUBTOTAL(3,$C$4:C137)</f>
        <v>74</v>
      </c>
      <c r="C137" s="4" t="s">
        <v>629</v>
      </c>
      <c r="D137" s="4" t="s">
        <v>961</v>
      </c>
      <c r="E137" s="4" t="s">
        <v>962</v>
      </c>
      <c r="F137" s="300">
        <v>45931</v>
      </c>
      <c r="G137" s="4" t="s">
        <v>247</v>
      </c>
      <c r="H137" s="4" t="str">
        <f ca="1">'Database MK'!Q138</f>
        <v>DPPP</v>
      </c>
      <c r="I137" s="24">
        <f>'Database MK'!S138</f>
        <v>1</v>
      </c>
      <c r="J137" s="24">
        <f>'Database MK'!T138</f>
        <v>1</v>
      </c>
      <c r="K137" s="603">
        <f>'Database MK'!U138</f>
        <v>0</v>
      </c>
      <c r="L137" s="593">
        <f>'Database MK'!V138</f>
        <v>6415</v>
      </c>
      <c r="M137" s="593">
        <f>'Database MK'!W138</f>
        <v>5544.1</v>
      </c>
      <c r="N137" s="593">
        <f>Table3[[#This Row],[Total Panjang Pipa Aktual]]-Table3[[#This Row],[Volume
BA MC-0]]</f>
        <v>-870.89999999999964</v>
      </c>
      <c r="O137" s="7" t="str">
        <f ca="1">'Database MK'!DE138</f>
        <v>Sudah, OnSchedule</v>
      </c>
      <c r="P137" s="7" t="str">
        <f ca="1">'Database MK'!DI138</f>
        <v>Sudah, OnSchedule</v>
      </c>
      <c r="Q137" s="7" t="str">
        <f ca="1">'Database MK'!DN138</f>
        <v>Sudah, Delay</v>
      </c>
      <c r="R137" s="7" t="str">
        <f ca="1">'Database MK'!DR138</f>
        <v>Sudah, Delay</v>
      </c>
      <c r="S137" s="7" t="str">
        <f ca="1">'Database MK'!EA138</f>
        <v>Sudah, Delay</v>
      </c>
      <c r="T137" s="7" t="str">
        <f ca="1">'Database MK'!EI138</f>
        <v>Sudah, Delay</v>
      </c>
      <c r="U137" s="7" t="str">
        <f ca="1">'Database MK'!ET138</f>
        <v>Sudah, Delay</v>
      </c>
      <c r="V137" s="7" t="str">
        <f ca="1">'Database MK'!GA138</f>
        <v>Sudah, Delay</v>
      </c>
      <c r="W137" s="7" t="str">
        <f ca="1">'Database MK'!GD138</f>
        <v>Sudah, Delay</v>
      </c>
      <c r="X137" s="7" t="str">
        <f ca="1">'Database MK'!GG138</f>
        <v>Sudah, OnSchedule</v>
      </c>
      <c r="Y137" s="7" t="str">
        <f ca="1">'Database MK'!GK138</f>
        <v>Sudah, Delay</v>
      </c>
      <c r="Z137" s="7" t="str">
        <f ca="1">'Database MK'!HH138</f>
        <v>Sudah, Delay</v>
      </c>
      <c r="AA137" s="7" t="str">
        <f ca="1">'Database MK'!HQ138</f>
        <v>Sudah, Delay</v>
      </c>
      <c r="AB137" s="7" t="str">
        <f ca="1">'Database MK'!HW138</f>
        <v>Sudah, Delay</v>
      </c>
      <c r="AC137" s="7">
        <f>'Database MK'!DA138-'Database MK'!DB138</f>
        <v>26</v>
      </c>
      <c r="AD137" s="7">
        <f>'Database MK'!DA138-'Database MK'!DF138</f>
        <v>23</v>
      </c>
      <c r="AE137" s="7">
        <f>'Database MK'!DK138-'Database MK'!DL138</f>
        <v>-319</v>
      </c>
      <c r="AF137" s="7">
        <f>'Database MK'!DK138-'Database MK'!DO138</f>
        <v>-338</v>
      </c>
      <c r="AG137" s="7">
        <f>'Database MK'!DU138-'Database MK'!DW138</f>
        <v>-347</v>
      </c>
      <c r="AH137" s="7">
        <f>IF('Database MK'!EB138="","Belum",'Database MK'!DU138-'Database MK'!EB138)</f>
        <v>-381</v>
      </c>
      <c r="AI137" s="7">
        <f>IF('Database MK'!EN138="","Belum",'Database MK'!EL138-'Database MK'!EN138)</f>
        <v>-390</v>
      </c>
      <c r="AJ137" s="7">
        <f>'Database MK'!FY138-'Database MK'!FZ138</f>
        <v>-45582</v>
      </c>
      <c r="AK137" s="7">
        <f>IF('Database MK'!GC138="","Belum",'Database MK'!GB138-'Database MK'!GC138)</f>
        <v>-6</v>
      </c>
      <c r="AL137" s="7">
        <f>IF('Database MK'!GF138="","Belum",'Database MK'!GE138-'Database MK'!GF138)</f>
        <v>1</v>
      </c>
      <c r="AM137" s="309">
        <f>IF('Database MK'!GJ138="","Belum",'Database MK'!GI138-'Database MK'!GJ138)</f>
        <v>-15</v>
      </c>
      <c r="AN137" s="7">
        <f>IF('Database MK'!HG138="","Belum",'Database MK'!HF138-'Database MK'!HG138)</f>
        <v>-138</v>
      </c>
      <c r="AO137" s="7">
        <f>IF('Database MK'!HP138="","Belum",'Database MK'!HN138-'Database MK'!HP138)</f>
        <v>-140</v>
      </c>
      <c r="AP137" s="7">
        <f>IF('Database MK'!HV138="","Belum",'Database MK'!HT138-'Database MK'!HV138)</f>
        <v>-134</v>
      </c>
    </row>
    <row r="138" spans="2:42" hidden="1" x14ac:dyDescent="0.2">
      <c r="B138" s="7">
        <f>SUBTOTAL(3,$C$4:C138)</f>
        <v>74</v>
      </c>
      <c r="C138" s="4" t="s">
        <v>629</v>
      </c>
      <c r="D138" s="4" t="s">
        <v>969</v>
      </c>
      <c r="E138" s="4" t="s">
        <v>970</v>
      </c>
      <c r="F138" s="300">
        <v>45931</v>
      </c>
      <c r="G138" s="4" t="s">
        <v>247</v>
      </c>
      <c r="H138" s="4" t="str">
        <f ca="1">'Database MK'!Q139</f>
        <v>DPPP</v>
      </c>
      <c r="I138" s="24">
        <f>'Database MK'!S139</f>
        <v>1</v>
      </c>
      <c r="J138" s="24">
        <f>'Database MK'!T139</f>
        <v>1</v>
      </c>
      <c r="K138" s="603">
        <f>'Database MK'!U139</f>
        <v>0</v>
      </c>
      <c r="L138" s="593">
        <f>'Database MK'!V139</f>
        <v>11861</v>
      </c>
      <c r="M138" s="593">
        <f>'Database MK'!W139</f>
        <v>11088.6</v>
      </c>
      <c r="N138" s="593">
        <f>Table3[[#This Row],[Total Panjang Pipa Aktual]]-Table3[[#This Row],[Volume
BA MC-0]]</f>
        <v>-772.39999999999964</v>
      </c>
      <c r="O138" s="7" t="str">
        <f ca="1">'Database MK'!DE139</f>
        <v>Sudah, OnSchedule</v>
      </c>
      <c r="P138" s="7" t="str">
        <f ca="1">'Database MK'!DI139</f>
        <v>Sudah, OnSchedule</v>
      </c>
      <c r="Q138" s="7" t="str">
        <f ca="1">'Database MK'!DN139</f>
        <v>Sudah, OnSchedule</v>
      </c>
      <c r="R138" s="7" t="str">
        <f ca="1">'Database MK'!DR139</f>
        <v>Sudah, Delay</v>
      </c>
      <c r="S138" s="7" t="str">
        <f ca="1">'Database MK'!EA139</f>
        <v>Sudah, Delay</v>
      </c>
      <c r="T138" s="7" t="str">
        <f ca="1">'Database MK'!EI139</f>
        <v>Sudah, Delay</v>
      </c>
      <c r="U138" s="7" t="str">
        <f ca="1">'Database MK'!ET139</f>
        <v>Sudah, Delay</v>
      </c>
      <c r="V138" s="7" t="str">
        <f ca="1">'Database MK'!GA139</f>
        <v>Sudah, Delay</v>
      </c>
      <c r="W138" s="7" t="str">
        <f ca="1">'Database MK'!GD139</f>
        <v>Sudah, Delay</v>
      </c>
      <c r="X138" s="7" t="str">
        <f ca="1">'Database MK'!GG139</f>
        <v>Sudah, OnSchedule</v>
      </c>
      <c r="Y138" s="7" t="str">
        <f ca="1">'Database MK'!GK139</f>
        <v>Sudah, Delay</v>
      </c>
      <c r="Z138" s="7" t="str">
        <f ca="1">'Database MK'!HH139</f>
        <v>Sudah, Delay</v>
      </c>
      <c r="AA138" s="7" t="str">
        <f ca="1">'Database MK'!HQ139</f>
        <v>Sudah, Delay</v>
      </c>
      <c r="AB138" s="7" t="str">
        <f ca="1">'Database MK'!HW139</f>
        <v>Sudah, Delay</v>
      </c>
      <c r="AC138" s="7">
        <f>'Database MK'!DA139-'Database MK'!DB139</f>
        <v>26</v>
      </c>
      <c r="AD138" s="7">
        <f>'Database MK'!DA139-'Database MK'!DF139</f>
        <v>19</v>
      </c>
      <c r="AE138" s="7">
        <f>'Database MK'!DK139-'Database MK'!DL139</f>
        <v>9</v>
      </c>
      <c r="AF138" s="7">
        <f>'Database MK'!DK139-'Database MK'!DO139</f>
        <v>-10</v>
      </c>
      <c r="AG138" s="7">
        <f>'Database MK'!DU139-'Database MK'!DW139</f>
        <v>-393</v>
      </c>
      <c r="AH138" s="7">
        <f>IF('Database MK'!EB139="","Belum",'Database MK'!DU139-'Database MK'!EB139)</f>
        <v>-396</v>
      </c>
      <c r="AI138" s="7">
        <f>IF('Database MK'!EN139="","Belum",'Database MK'!EL139-'Database MK'!EN139)</f>
        <v>-390</v>
      </c>
      <c r="AJ138" s="7">
        <f>'Database MK'!FY139-'Database MK'!FZ139</f>
        <v>-45582</v>
      </c>
      <c r="AK138" s="7">
        <f>IF('Database MK'!GC139="","Belum",'Database MK'!GB139-'Database MK'!GC139)</f>
        <v>-6</v>
      </c>
      <c r="AL138" s="7">
        <f>IF('Database MK'!GF139="","Belum",'Database MK'!GE139-'Database MK'!GF139)</f>
        <v>1</v>
      </c>
      <c r="AM138" s="309">
        <f>IF('Database MK'!GJ139="","Belum",'Database MK'!GI139-'Database MK'!GJ139)</f>
        <v>-16</v>
      </c>
      <c r="AN138" s="7">
        <f>IF('Database MK'!HG139="","Belum",'Database MK'!HF139-'Database MK'!HG139)</f>
        <v>-234</v>
      </c>
      <c r="AO138" s="7">
        <f>IF('Database MK'!HP139="","Belum",'Database MK'!HN139-'Database MK'!HP139)</f>
        <v>-222</v>
      </c>
      <c r="AP138" s="7">
        <f>IF('Database MK'!HV139="","Belum",'Database MK'!HT139-'Database MK'!HV139)</f>
        <v>-224</v>
      </c>
    </row>
    <row r="139" spans="2:42" hidden="1" x14ac:dyDescent="0.2">
      <c r="B139" s="7">
        <f>SUBTOTAL(3,$C$4:C139)</f>
        <v>74</v>
      </c>
      <c r="C139" s="4" t="s">
        <v>629</v>
      </c>
      <c r="D139" s="4" t="s">
        <v>978</v>
      </c>
      <c r="E139" s="4" t="s">
        <v>979</v>
      </c>
      <c r="F139" s="300">
        <v>45931</v>
      </c>
      <c r="G139" s="4" t="s">
        <v>247</v>
      </c>
      <c r="H139" s="4" t="str">
        <f ca="1">'Database MK'!Q140</f>
        <v>DPPP</v>
      </c>
      <c r="I139" s="24">
        <f>'Database MK'!S140</f>
        <v>1</v>
      </c>
      <c r="J139" s="24">
        <f>'Database MK'!T140</f>
        <v>1</v>
      </c>
      <c r="K139" s="603">
        <f>'Database MK'!U140</f>
        <v>0</v>
      </c>
      <c r="L139" s="593">
        <f>'Database MK'!V140</f>
        <v>18170</v>
      </c>
      <c r="M139" s="593">
        <f>'Database MK'!W140</f>
        <v>16501</v>
      </c>
      <c r="N139" s="593">
        <f>Table3[[#This Row],[Total Panjang Pipa Aktual]]-Table3[[#This Row],[Volume
BA MC-0]]</f>
        <v>-1669</v>
      </c>
      <c r="O139" s="7" t="str">
        <f ca="1">'Database MK'!DE140</f>
        <v>Sudah, OnSchedule</v>
      </c>
      <c r="P139" s="7" t="str">
        <f ca="1">'Database MK'!DI140</f>
        <v>Sudah, OnSchedule</v>
      </c>
      <c r="Q139" s="7" t="str">
        <f ca="1">'Database MK'!DN140</f>
        <v>Sudah, Delay</v>
      </c>
      <c r="R139" s="7" t="str">
        <f ca="1">'Database MK'!DR140</f>
        <v>Sudah, Delay</v>
      </c>
      <c r="S139" s="7" t="str">
        <f ca="1">'Database MK'!EA140</f>
        <v>Sudah, Delay</v>
      </c>
      <c r="T139" s="7" t="str">
        <f ca="1">'Database MK'!EI140</f>
        <v>Sudah, Delay</v>
      </c>
      <c r="U139" s="7" t="str">
        <f ca="1">'Database MK'!ET140</f>
        <v>Sudah, Delay</v>
      </c>
      <c r="V139" s="7" t="str">
        <f ca="1">'Database MK'!GA140</f>
        <v>Sudah, Delay</v>
      </c>
      <c r="W139" s="7" t="str">
        <f ca="1">'Database MK'!GD140</f>
        <v>Sudah, Delay</v>
      </c>
      <c r="X139" s="7" t="str">
        <f ca="1">'Database MK'!GG140</f>
        <v>Sudah, OnSchedule</v>
      </c>
      <c r="Y139" s="7" t="str">
        <f ca="1">'Database MK'!GK140</f>
        <v>Sudah, OnSchedule</v>
      </c>
      <c r="Z139" s="7" t="str">
        <f ca="1">'Database MK'!HH140</f>
        <v>Sudah, Delay</v>
      </c>
      <c r="AA139" s="7" t="str">
        <f ca="1">'Database MK'!HQ140</f>
        <v>Sudah, Delay</v>
      </c>
      <c r="AB139" s="7" t="str">
        <f ca="1">'Database MK'!HW140</f>
        <v>Sudah, Delay</v>
      </c>
      <c r="AC139" s="7">
        <f>'Database MK'!DA140-'Database MK'!DB140</f>
        <v>26</v>
      </c>
      <c r="AD139" s="7">
        <f>'Database MK'!DA140-'Database MK'!DF140</f>
        <v>23</v>
      </c>
      <c r="AE139" s="7">
        <f>'Database MK'!DK140-'Database MK'!DL140</f>
        <v>-319</v>
      </c>
      <c r="AF139" s="7">
        <f>'Database MK'!DK140-'Database MK'!DO140</f>
        <v>-337</v>
      </c>
      <c r="AG139" s="7">
        <f>'Database MK'!DU140-'Database MK'!DW140</f>
        <v>-374</v>
      </c>
      <c r="AH139" s="7">
        <f>IF('Database MK'!EB140="","Belum",'Database MK'!DU140-'Database MK'!EB140)</f>
        <v>-394</v>
      </c>
      <c r="AI139" s="7">
        <f>IF('Database MK'!EN140="","Belum",'Database MK'!EL140-'Database MK'!EN140)</f>
        <v>-437</v>
      </c>
      <c r="AJ139" s="7">
        <f>'Database MK'!FY140-'Database MK'!FZ140</f>
        <v>-45582</v>
      </c>
      <c r="AK139" s="7">
        <f>IF('Database MK'!GC140="","Belum",'Database MK'!GB140-'Database MK'!GC140)</f>
        <v>-6</v>
      </c>
      <c r="AL139" s="7">
        <f>IF('Database MK'!GF140="","Belum",'Database MK'!GE140-'Database MK'!GF140)</f>
        <v>1</v>
      </c>
      <c r="AM139" s="309">
        <f>IF('Database MK'!GJ140="","Belum",'Database MK'!GI140-'Database MK'!GJ140)</f>
        <v>2</v>
      </c>
      <c r="AN139" s="7">
        <f>IF('Database MK'!HG140="","Belum",'Database MK'!HF140-'Database MK'!HG140)</f>
        <v>-208</v>
      </c>
      <c r="AO139" s="7">
        <f>IF('Database MK'!HP140="","Belum",'Database MK'!HN140-'Database MK'!HP140)</f>
        <v>-213</v>
      </c>
      <c r="AP139" s="7">
        <f>IF('Database MK'!HV140="","Belum",'Database MK'!HT140-'Database MK'!HV140)</f>
        <v>-225</v>
      </c>
    </row>
    <row r="140" spans="2:42" hidden="1" x14ac:dyDescent="0.2">
      <c r="B140" s="7">
        <f>SUBTOTAL(3,$C$4:C140)</f>
        <v>74</v>
      </c>
      <c r="C140" s="4" t="s">
        <v>629</v>
      </c>
      <c r="D140" s="4" t="s">
        <v>987</v>
      </c>
      <c r="E140" s="4" t="s">
        <v>988</v>
      </c>
      <c r="F140" s="300">
        <v>45931</v>
      </c>
      <c r="G140" s="4" t="s">
        <v>247</v>
      </c>
      <c r="H140" s="4" t="str">
        <f ca="1">'Database MK'!Q141</f>
        <v>DPPP</v>
      </c>
      <c r="I140" s="24">
        <f>'Database MK'!S141</f>
        <v>1</v>
      </c>
      <c r="J140" s="24">
        <f>'Database MK'!T141</f>
        <v>1</v>
      </c>
      <c r="K140" s="603">
        <f>'Database MK'!U141</f>
        <v>0</v>
      </c>
      <c r="L140" s="593">
        <f>'Database MK'!V141</f>
        <v>11233</v>
      </c>
      <c r="M140" s="593">
        <f>'Database MK'!W141</f>
        <v>8788.7000000000007</v>
      </c>
      <c r="N140" s="593">
        <f>Table3[[#This Row],[Total Panjang Pipa Aktual]]-Table3[[#This Row],[Volume
BA MC-0]]</f>
        <v>-2444.2999999999993</v>
      </c>
      <c r="O140" s="7" t="str">
        <f ca="1">'Database MK'!DE141</f>
        <v>Sudah, OnSchedule</v>
      </c>
      <c r="P140" s="7" t="str">
        <f ca="1">'Database MK'!DI141</f>
        <v>Sudah, OnSchedule</v>
      </c>
      <c r="Q140" s="7" t="str">
        <f ca="1">'Database MK'!DN141</f>
        <v>Sudah, OnSchedule</v>
      </c>
      <c r="R140" s="7" t="str">
        <f ca="1">'Database MK'!DR141</f>
        <v>Sudah, Delay</v>
      </c>
      <c r="S140" s="7" t="str">
        <f ca="1">'Database MK'!EA141</f>
        <v>Sudah, Delay</v>
      </c>
      <c r="T140" s="7" t="str">
        <f ca="1">'Database MK'!EI141</f>
        <v>Sudah, Delay</v>
      </c>
      <c r="U140" s="7" t="str">
        <f ca="1">'Database MK'!ET141</f>
        <v>Sudah, Delay</v>
      </c>
      <c r="V140" s="7" t="str">
        <f ca="1">'Database MK'!GA141</f>
        <v>Sudah, Delay</v>
      </c>
      <c r="W140" s="7" t="str">
        <f ca="1">'Database MK'!GD141</f>
        <v>Sudah, Delay</v>
      </c>
      <c r="X140" s="7" t="str">
        <f ca="1">'Database MK'!GG141</f>
        <v>Sudah, OnSchedule</v>
      </c>
      <c r="Y140" s="7" t="str">
        <f ca="1">'Database MK'!GK141</f>
        <v>Sudah, OnSchedule</v>
      </c>
      <c r="Z140" s="7" t="str">
        <f ca="1">'Database MK'!HH141</f>
        <v>Sudah, Delay</v>
      </c>
      <c r="AA140" s="7" t="str">
        <f ca="1">'Database MK'!HQ141</f>
        <v>Sudah, Delay</v>
      </c>
      <c r="AB140" s="7" t="str">
        <f ca="1">'Database MK'!HW141</f>
        <v>Sudah, Delay</v>
      </c>
      <c r="AC140" s="7">
        <f>'Database MK'!DA141-'Database MK'!DB141</f>
        <v>26</v>
      </c>
      <c r="AD140" s="7">
        <f>'Database MK'!DA141-'Database MK'!DF141</f>
        <v>23</v>
      </c>
      <c r="AE140" s="7">
        <f>'Database MK'!DK141-'Database MK'!DL141</f>
        <v>2</v>
      </c>
      <c r="AF140" s="7">
        <f>'Database MK'!DK141-'Database MK'!DO141</f>
        <v>-8</v>
      </c>
      <c r="AG140" s="7">
        <f>'Database MK'!DU141-'Database MK'!DW141</f>
        <v>-226</v>
      </c>
      <c r="AH140" s="7">
        <f>IF('Database MK'!EB141="","Belum",'Database MK'!DU141-'Database MK'!EB141)</f>
        <v>-366</v>
      </c>
      <c r="AI140" s="7">
        <f>IF('Database MK'!EN141="","Belum",'Database MK'!EL141-'Database MK'!EN141)</f>
        <v>-437</v>
      </c>
      <c r="AJ140" s="7">
        <f>'Database MK'!FY141-'Database MK'!FZ141</f>
        <v>-45582</v>
      </c>
      <c r="AK140" s="7">
        <f>IF('Database MK'!GC141="","Belum",'Database MK'!GB141-'Database MK'!GC141)</f>
        <v>-6</v>
      </c>
      <c r="AL140" s="7">
        <f>IF('Database MK'!GF141="","Belum",'Database MK'!GE141-'Database MK'!GF141)</f>
        <v>1</v>
      </c>
      <c r="AM140" s="309">
        <f>IF('Database MK'!GJ141="","Belum",'Database MK'!GI141-'Database MK'!GJ141)</f>
        <v>5</v>
      </c>
      <c r="AN140" s="7">
        <f>IF('Database MK'!HG141="","Belum",'Database MK'!HF141-'Database MK'!HG141)</f>
        <v>-185</v>
      </c>
      <c r="AO140" s="7">
        <f>IF('Database MK'!HP141="","Belum",'Database MK'!HN141-'Database MK'!HP141)</f>
        <v>-189</v>
      </c>
      <c r="AP140" s="7">
        <f>IF('Database MK'!HV141="","Belum",'Database MK'!HT141-'Database MK'!HV141)</f>
        <v>-224</v>
      </c>
    </row>
    <row r="141" spans="2:42" hidden="1" x14ac:dyDescent="0.2">
      <c r="B141" s="7">
        <f>SUBTOTAL(3,$C$4:C141)</f>
        <v>74</v>
      </c>
      <c r="C141" s="4" t="s">
        <v>629</v>
      </c>
      <c r="D141" s="4" t="s">
        <v>996</v>
      </c>
      <c r="E141" s="4" t="s">
        <v>997</v>
      </c>
      <c r="F141" s="300">
        <v>45931</v>
      </c>
      <c r="G141" s="4" t="s">
        <v>247</v>
      </c>
      <c r="H141" s="4" t="str">
        <f ca="1">'Database MK'!Q142</f>
        <v>DPPP</v>
      </c>
      <c r="I141" s="24">
        <f>'Database MK'!S142</f>
        <v>1</v>
      </c>
      <c r="J141" s="24">
        <f>'Database MK'!T142</f>
        <v>1</v>
      </c>
      <c r="K141" s="603">
        <f>'Database MK'!U142</f>
        <v>0</v>
      </c>
      <c r="L141" s="593">
        <f>'Database MK'!V142</f>
        <v>14011</v>
      </c>
      <c r="M141" s="593">
        <f>'Database MK'!W142</f>
        <v>6139.2</v>
      </c>
      <c r="N141" s="593">
        <f>Table3[[#This Row],[Total Panjang Pipa Aktual]]-Table3[[#This Row],[Volume
BA MC-0]]</f>
        <v>-7871.8</v>
      </c>
      <c r="O141" s="7" t="str">
        <f ca="1">'Database MK'!DE142</f>
        <v>Sudah, OnSchedule</v>
      </c>
      <c r="P141" s="7" t="str">
        <f ca="1">'Database MK'!DI142</f>
        <v>Sudah, Delay</v>
      </c>
      <c r="Q141" s="7" t="str">
        <f ca="1">'Database MK'!DN142</f>
        <v>Sudah, OnSchedule</v>
      </c>
      <c r="R141" s="7" t="str">
        <f ca="1">'Database MK'!DR142</f>
        <v>Sudah, Delay</v>
      </c>
      <c r="S141" s="7" t="str">
        <f ca="1">'Database MK'!EA142</f>
        <v>Sudah, Delay</v>
      </c>
      <c r="T141" s="7" t="str">
        <f ca="1">'Database MK'!EI142</f>
        <v>Sudah, Delay</v>
      </c>
      <c r="U141" s="7" t="str">
        <f ca="1">'Database MK'!ET142</f>
        <v>Sudah, Delay</v>
      </c>
      <c r="V141" s="7" t="str">
        <f ca="1">'Database MK'!GA142</f>
        <v>Sudah, Delay</v>
      </c>
      <c r="W141" s="7" t="str">
        <f ca="1">'Database MK'!GD142</f>
        <v>Sudah, Delay</v>
      </c>
      <c r="X141" s="7" t="str">
        <f ca="1">'Database MK'!GG142</f>
        <v>Sudah, OnSchedule</v>
      </c>
      <c r="Y141" s="7" t="str">
        <f ca="1">'Database MK'!GK142</f>
        <v>Sudah, Delay</v>
      </c>
      <c r="Z141" s="7" t="str">
        <f ca="1">'Database MK'!HH142</f>
        <v>Sudah, Delay</v>
      </c>
      <c r="AA141" s="7" t="str">
        <f ca="1">'Database MK'!HQ142</f>
        <v>Sudah, Delay</v>
      </c>
      <c r="AB141" s="7" t="str">
        <f ca="1">'Database MK'!HW142</f>
        <v>Sudah, Delay</v>
      </c>
      <c r="AC141" s="7">
        <f>'Database MK'!DA142-'Database MK'!DB142</f>
        <v>4</v>
      </c>
      <c r="AD141" s="7">
        <f>'Database MK'!DA142-'Database MK'!DF142</f>
        <v>-9</v>
      </c>
      <c r="AE141" s="7">
        <f>'Database MK'!DK142-'Database MK'!DL142</f>
        <v>1</v>
      </c>
      <c r="AF141" s="7">
        <f>'Database MK'!DK142-'Database MK'!DO142</f>
        <v>-8</v>
      </c>
      <c r="AG141" s="7">
        <f>'Database MK'!DU142-'Database MK'!DW142</f>
        <v>-102</v>
      </c>
      <c r="AH141" s="7">
        <f>IF('Database MK'!EB142="","Belum",'Database MK'!DU142-'Database MK'!EB142)</f>
        <v>-214</v>
      </c>
      <c r="AI141" s="7">
        <f>IF('Database MK'!EN142="","Belum",'Database MK'!EL142-'Database MK'!EN142)</f>
        <v>-222</v>
      </c>
      <c r="AJ141" s="7">
        <f>'Database MK'!FY142-'Database MK'!FZ142</f>
        <v>-45582</v>
      </c>
      <c r="AK141" s="7">
        <f>IF('Database MK'!GC142="","Belum",'Database MK'!GB142-'Database MK'!GC142)</f>
        <v>-6</v>
      </c>
      <c r="AL141" s="7">
        <f>IF('Database MK'!GF142="","Belum",'Database MK'!GE142-'Database MK'!GF142)</f>
        <v>1</v>
      </c>
      <c r="AM141" s="309">
        <f>IF('Database MK'!GJ142="","Belum",'Database MK'!GI142-'Database MK'!GJ142)</f>
        <v>-1</v>
      </c>
      <c r="AN141" s="7">
        <f>IF('Database MK'!HG142="","Belum",'Database MK'!HF142-'Database MK'!HG142)</f>
        <v>-148</v>
      </c>
      <c r="AO141" s="7">
        <f>IF('Database MK'!HP142="","Belum",'Database MK'!HN142-'Database MK'!HP142)</f>
        <v>-140</v>
      </c>
      <c r="AP141" s="7">
        <f>IF('Database MK'!HV142="","Belum",'Database MK'!HT142-'Database MK'!HV142)</f>
        <v>-134</v>
      </c>
    </row>
    <row r="142" spans="2:42" hidden="1" x14ac:dyDescent="0.2">
      <c r="B142" s="7">
        <f>SUBTOTAL(3,$C$4:C142)</f>
        <v>74</v>
      </c>
      <c r="C142" s="4" t="s">
        <v>629</v>
      </c>
      <c r="D142" s="4" t="s">
        <v>1005</v>
      </c>
      <c r="E142" s="4" t="s">
        <v>1006</v>
      </c>
      <c r="F142" s="300">
        <v>45931</v>
      </c>
      <c r="G142" s="4" t="s">
        <v>247</v>
      </c>
      <c r="H142" s="4" t="str">
        <f ca="1">'Database MK'!Q143</f>
        <v>DPPP</v>
      </c>
      <c r="I142" s="24">
        <f>'Database MK'!S143</f>
        <v>1</v>
      </c>
      <c r="J142" s="24">
        <f>'Database MK'!T143</f>
        <v>1</v>
      </c>
      <c r="K142" s="603">
        <f>'Database MK'!U143</f>
        <v>0</v>
      </c>
      <c r="L142" s="593">
        <f>'Database MK'!V143</f>
        <v>9781</v>
      </c>
      <c r="M142" s="593">
        <f>'Database MK'!W143</f>
        <v>7185.5999999999995</v>
      </c>
      <c r="N142" s="593">
        <f>Table3[[#This Row],[Total Panjang Pipa Aktual]]-Table3[[#This Row],[Volume
BA MC-0]]</f>
        <v>-2595.4000000000005</v>
      </c>
      <c r="O142" s="7" t="str">
        <f ca="1">'Database MK'!DE143</f>
        <v>Sudah, OnSchedule</v>
      </c>
      <c r="P142" s="7" t="str">
        <f ca="1">'Database MK'!DI143</f>
        <v>Sudah, Delay</v>
      </c>
      <c r="Q142" s="7" t="str">
        <f ca="1">'Database MK'!DN143</f>
        <v>Sudah, OnSchedule</v>
      </c>
      <c r="R142" s="7" t="str">
        <f ca="1">'Database MK'!DR143</f>
        <v>Sudah, Delay</v>
      </c>
      <c r="S142" s="7" t="str">
        <f ca="1">'Database MK'!EA143</f>
        <v>Sudah, Delay</v>
      </c>
      <c r="T142" s="7" t="str">
        <f ca="1">'Database MK'!EI143</f>
        <v>Sudah, Delay</v>
      </c>
      <c r="U142" s="7" t="str">
        <f ca="1">'Database MK'!ET143</f>
        <v>Sudah, Delay</v>
      </c>
      <c r="V142" s="7" t="str">
        <f ca="1">'Database MK'!GA143</f>
        <v>Sudah, Delay</v>
      </c>
      <c r="W142" s="7" t="str">
        <f ca="1">'Database MK'!GD143</f>
        <v>Sudah, Delay</v>
      </c>
      <c r="X142" s="7" t="str">
        <f ca="1">'Database MK'!GG143</f>
        <v>Sudah, OnSchedule</v>
      </c>
      <c r="Y142" s="7" t="str">
        <f ca="1">'Database MK'!GK143</f>
        <v>Sudah, Delay</v>
      </c>
      <c r="Z142" s="7" t="str">
        <f ca="1">'Database MK'!HH143</f>
        <v>Sudah, Delay</v>
      </c>
      <c r="AA142" s="7" t="str">
        <f ca="1">'Database MK'!HQ143</f>
        <v>Sudah, Delay</v>
      </c>
      <c r="AB142" s="7" t="str">
        <f ca="1">'Database MK'!HW143</f>
        <v>Sudah, Delay</v>
      </c>
      <c r="AC142" s="7">
        <f>'Database MK'!DA143-'Database MK'!DB143</f>
        <v>4</v>
      </c>
      <c r="AD142" s="7">
        <f>'Database MK'!DA143-'Database MK'!DF143</f>
        <v>-9</v>
      </c>
      <c r="AE142" s="7">
        <f>'Database MK'!DK143-'Database MK'!DL143</f>
        <v>1</v>
      </c>
      <c r="AF142" s="7">
        <f>'Database MK'!DK143-'Database MK'!DO143</f>
        <v>-8</v>
      </c>
      <c r="AG142" s="7">
        <f>'Database MK'!DU143-'Database MK'!DW143</f>
        <v>-318</v>
      </c>
      <c r="AH142" s="7">
        <f>IF('Database MK'!EB143="","Belum",'Database MK'!DU143-'Database MK'!EB143)</f>
        <v>-338</v>
      </c>
      <c r="AI142" s="7">
        <f>IF('Database MK'!EN143="","Belum",'Database MK'!EL143-'Database MK'!EN143)</f>
        <v>-253</v>
      </c>
      <c r="AJ142" s="7">
        <f>'Database MK'!FY143-'Database MK'!FZ143</f>
        <v>-45582</v>
      </c>
      <c r="AK142" s="7">
        <f>IF('Database MK'!GC143="","Belum",'Database MK'!GB143-'Database MK'!GC143)</f>
        <v>-6</v>
      </c>
      <c r="AL142" s="7">
        <f>IF('Database MK'!GF143="","Belum",'Database MK'!GE143-'Database MK'!GF143)</f>
        <v>1</v>
      </c>
      <c r="AM142" s="309">
        <f>IF('Database MK'!GJ143="","Belum",'Database MK'!GI143-'Database MK'!GJ143)</f>
        <v>-2</v>
      </c>
      <c r="AN142" s="7">
        <f>IF('Database MK'!HG143="","Belum",'Database MK'!HF143-'Database MK'!HG143)</f>
        <v>-148</v>
      </c>
      <c r="AO142" s="7">
        <f>IF('Database MK'!HP143="","Belum",'Database MK'!HN143-'Database MK'!HP143)</f>
        <v>-140</v>
      </c>
      <c r="AP142" s="7">
        <f>IF('Database MK'!HV143="","Belum",'Database MK'!HT143-'Database MK'!HV143)</f>
        <v>-134</v>
      </c>
    </row>
    <row r="143" spans="2:42" hidden="1" x14ac:dyDescent="0.2">
      <c r="B143" s="7">
        <f>SUBTOTAL(3,$C$4:C143)</f>
        <v>74</v>
      </c>
      <c r="C143" s="4" t="s">
        <v>629</v>
      </c>
      <c r="D143" s="4" t="s">
        <v>1012</v>
      </c>
      <c r="E143" s="4" t="s">
        <v>1013</v>
      </c>
      <c r="F143" s="300">
        <v>45931</v>
      </c>
      <c r="G143" s="4" t="s">
        <v>247</v>
      </c>
      <c r="H143" s="4" t="str">
        <f ca="1">'Database MK'!Q144</f>
        <v>DPPP</v>
      </c>
      <c r="I143" s="24">
        <f>'Database MK'!S144</f>
        <v>1</v>
      </c>
      <c r="J143" s="24">
        <f>'Database MK'!T144</f>
        <v>1</v>
      </c>
      <c r="K143" s="603">
        <f>'Database MK'!U144</f>
        <v>0</v>
      </c>
      <c r="L143" s="593">
        <f>'Database MK'!V144</f>
        <v>12262</v>
      </c>
      <c r="M143" s="593">
        <f>'Database MK'!W144</f>
        <v>7078.3999999999987</v>
      </c>
      <c r="N143" s="593">
        <f>Table3[[#This Row],[Total Panjang Pipa Aktual]]-Table3[[#This Row],[Volume
BA MC-0]]</f>
        <v>-5183.6000000000013</v>
      </c>
      <c r="O143" s="7" t="str">
        <f ca="1">'Database MK'!DE144</f>
        <v>Sudah, OnSchedule</v>
      </c>
      <c r="P143" s="7" t="str">
        <f ca="1">'Database MK'!DI144</f>
        <v>Sudah, Delay</v>
      </c>
      <c r="Q143" s="7" t="str">
        <f ca="1">'Database MK'!DN144</f>
        <v>Sudah, OnSchedule</v>
      </c>
      <c r="R143" s="7" t="str">
        <f ca="1">'Database MK'!DR144</f>
        <v>Sudah, Delay</v>
      </c>
      <c r="S143" s="7" t="str">
        <f ca="1">'Database MK'!EA144</f>
        <v>Sudah, Delay</v>
      </c>
      <c r="T143" s="7" t="str">
        <f ca="1">'Database MK'!EI144</f>
        <v>Sudah, Delay</v>
      </c>
      <c r="U143" s="7" t="str">
        <f ca="1">'Database MK'!ET144</f>
        <v>Sudah, Delay</v>
      </c>
      <c r="V143" s="7" t="str">
        <f ca="1">'Database MK'!GA144</f>
        <v>Sudah, Delay</v>
      </c>
      <c r="W143" s="7" t="str">
        <f ca="1">'Database MK'!GD144</f>
        <v>Sudah, Delay</v>
      </c>
      <c r="X143" s="7" t="str">
        <f ca="1">'Database MK'!GG144</f>
        <v>Sudah, OnSchedule</v>
      </c>
      <c r="Y143" s="7" t="str">
        <f ca="1">'Database MK'!GK144</f>
        <v>Sudah, Delay</v>
      </c>
      <c r="Z143" s="7" t="str">
        <f ca="1">'Database MK'!HH144</f>
        <v>Sudah, Delay</v>
      </c>
      <c r="AA143" s="7" t="str">
        <f ca="1">'Database MK'!HQ144</f>
        <v>Sudah, Delay</v>
      </c>
      <c r="AB143" s="7" t="str">
        <f ca="1">'Database MK'!HW144</f>
        <v>Sudah, Delay</v>
      </c>
      <c r="AC143" s="7">
        <f>'Database MK'!DA144-'Database MK'!DB144</f>
        <v>4</v>
      </c>
      <c r="AD143" s="7">
        <f>'Database MK'!DA144-'Database MK'!DF144</f>
        <v>-9</v>
      </c>
      <c r="AE143" s="7">
        <f>'Database MK'!DK144-'Database MK'!DL144</f>
        <v>10</v>
      </c>
      <c r="AF143" s="7">
        <f>'Database MK'!DK144-'Database MK'!DO144</f>
        <v>-8</v>
      </c>
      <c r="AG143" s="7">
        <f>'Database MK'!DU144-'Database MK'!DW144</f>
        <v>-400</v>
      </c>
      <c r="AH143" s="7">
        <f>IF('Database MK'!EB144="","Belum",'Database MK'!DU144-'Database MK'!EB144)</f>
        <v>-403</v>
      </c>
      <c r="AI143" s="7">
        <f>IF('Database MK'!EN144="","Belum",'Database MK'!EL144-'Database MK'!EN144)</f>
        <v>-319</v>
      </c>
      <c r="AJ143" s="7">
        <f>'Database MK'!FY144-'Database MK'!FZ144</f>
        <v>-45582</v>
      </c>
      <c r="AK143" s="7">
        <f>IF('Database MK'!GC144="","Belum",'Database MK'!GB144-'Database MK'!GC144)</f>
        <v>-6</v>
      </c>
      <c r="AL143" s="7">
        <f>IF('Database MK'!GF144="","Belum",'Database MK'!GE144-'Database MK'!GF144)</f>
        <v>1</v>
      </c>
      <c r="AM143" s="309">
        <f>IF('Database MK'!GJ144="","Belum",'Database MK'!GI144-'Database MK'!GJ144)</f>
        <v>-8</v>
      </c>
      <c r="AN143" s="7">
        <f>IF('Database MK'!HG144="","Belum",'Database MK'!HF144-'Database MK'!HG144)</f>
        <v>-152</v>
      </c>
      <c r="AO143" s="7">
        <f>IF('Database MK'!HP144="","Belum",'Database MK'!HN144-'Database MK'!HP144)</f>
        <v>-140</v>
      </c>
      <c r="AP143" s="7">
        <f>IF('Database MK'!HV144="","Belum",'Database MK'!HT144-'Database MK'!HV144)</f>
        <v>-134</v>
      </c>
    </row>
    <row r="144" spans="2:42" hidden="1" x14ac:dyDescent="0.2">
      <c r="B144" s="7">
        <f>SUBTOTAL(3,$C$4:C144)</f>
        <v>74</v>
      </c>
      <c r="C144" s="4" t="s">
        <v>629</v>
      </c>
      <c r="D144" s="4" t="s">
        <v>1021</v>
      </c>
      <c r="E144" s="4" t="s">
        <v>1022</v>
      </c>
      <c r="F144" s="300">
        <v>45931</v>
      </c>
      <c r="G144" s="4" t="s">
        <v>247</v>
      </c>
      <c r="H144" s="4" t="str">
        <f ca="1">'Database MK'!Q145</f>
        <v>DPPP</v>
      </c>
      <c r="I144" s="24">
        <f>'Database MK'!S145</f>
        <v>1</v>
      </c>
      <c r="J144" s="24">
        <f>'Database MK'!T145</f>
        <v>1</v>
      </c>
      <c r="K144" s="603">
        <f>'Database MK'!U145</f>
        <v>0</v>
      </c>
      <c r="L144" s="593">
        <f>'Database MK'!V145</f>
        <v>20459</v>
      </c>
      <c r="M144" s="593">
        <f>'Database MK'!W145</f>
        <v>14657</v>
      </c>
      <c r="N144" s="593">
        <f>Table3[[#This Row],[Total Panjang Pipa Aktual]]-Table3[[#This Row],[Volume
BA MC-0]]</f>
        <v>-5802</v>
      </c>
      <c r="O144" s="7" t="str">
        <f ca="1">'Database MK'!DE145</f>
        <v>Sudah, OnSchedule</v>
      </c>
      <c r="P144" s="7" t="str">
        <f ca="1">'Database MK'!DI145</f>
        <v>Sudah, Delay</v>
      </c>
      <c r="Q144" s="7" t="str">
        <f ca="1">'Database MK'!DN145</f>
        <v>Sudah, OnSchedule</v>
      </c>
      <c r="R144" s="7" t="str">
        <f ca="1">'Database MK'!DR145</f>
        <v>Sudah, Delay</v>
      </c>
      <c r="S144" s="7" t="str">
        <f ca="1">'Database MK'!EA145</f>
        <v>Sudah, Delay</v>
      </c>
      <c r="T144" s="7" t="str">
        <f ca="1">'Database MK'!EI145</f>
        <v>Sudah, Delay</v>
      </c>
      <c r="U144" s="7" t="str">
        <f ca="1">'Database MK'!ET145</f>
        <v>Sudah, Delay</v>
      </c>
      <c r="V144" s="7" t="str">
        <f ca="1">'Database MK'!GA145</f>
        <v>Sudah, Delay</v>
      </c>
      <c r="W144" s="7" t="str">
        <f ca="1">'Database MK'!GD145</f>
        <v>Sudah, Delay</v>
      </c>
      <c r="X144" s="7" t="str">
        <f ca="1">'Database MK'!GG145</f>
        <v>Sudah, OnSchedule</v>
      </c>
      <c r="Y144" s="7" t="str">
        <f ca="1">'Database MK'!GK145</f>
        <v>Sudah, Delay</v>
      </c>
      <c r="Z144" s="7" t="str">
        <f ca="1">'Database MK'!HH145</f>
        <v>Sudah, Delay</v>
      </c>
      <c r="AA144" s="7" t="str">
        <f ca="1">'Database MK'!HQ145</f>
        <v>Sudah, Delay</v>
      </c>
      <c r="AB144" s="7" t="str">
        <f ca="1">'Database MK'!HW145</f>
        <v>Sudah, Delay</v>
      </c>
      <c r="AC144" s="7">
        <f>'Database MK'!DA145-'Database MK'!DB145</f>
        <v>4</v>
      </c>
      <c r="AD144" s="7">
        <f>'Database MK'!DA145-'Database MK'!DF145</f>
        <v>-9</v>
      </c>
      <c r="AE144" s="7">
        <f>'Database MK'!DK145-'Database MK'!DL145</f>
        <v>1</v>
      </c>
      <c r="AF144" s="7">
        <f>'Database MK'!DK145-'Database MK'!DO145</f>
        <v>-8</v>
      </c>
      <c r="AG144" s="7">
        <f>'Database MK'!DU145-'Database MK'!DW145</f>
        <v>-373</v>
      </c>
      <c r="AH144" s="7">
        <f>IF('Database MK'!EB145="","Belum",'Database MK'!DU145-'Database MK'!EB145)</f>
        <v>-374</v>
      </c>
      <c r="AI144" s="7">
        <f>IF('Database MK'!EN145="","Belum",'Database MK'!EL145-'Database MK'!EN145)</f>
        <v>-208</v>
      </c>
      <c r="AJ144" s="7">
        <f>'Database MK'!FY145-'Database MK'!FZ145</f>
        <v>-45582</v>
      </c>
      <c r="AK144" s="7">
        <f>IF('Database MK'!GC145="","Belum",'Database MK'!GB145-'Database MK'!GC145)</f>
        <v>-6</v>
      </c>
      <c r="AL144" s="7">
        <f>IF('Database MK'!GF145="","Belum",'Database MK'!GE145-'Database MK'!GF145)</f>
        <v>1</v>
      </c>
      <c r="AM144" s="309">
        <f>IF('Database MK'!GJ145="","Belum",'Database MK'!GI145-'Database MK'!GJ145)</f>
        <v>-9</v>
      </c>
      <c r="AN144" s="7">
        <f>IF('Database MK'!HG145="","Belum",'Database MK'!HF145-'Database MK'!HG145)</f>
        <v>-145</v>
      </c>
      <c r="AO144" s="7">
        <f>IF('Database MK'!HP145="","Belum",'Database MK'!HN145-'Database MK'!HP145)</f>
        <v>-140</v>
      </c>
      <c r="AP144" s="7">
        <f>IF('Database MK'!HV145="","Belum",'Database MK'!HT145-'Database MK'!HV145)</f>
        <v>-134</v>
      </c>
    </row>
    <row r="145" spans="2:42" hidden="1" x14ac:dyDescent="0.2">
      <c r="B145" s="7">
        <f>SUBTOTAL(3,$C$4:C145)</f>
        <v>74</v>
      </c>
      <c r="C145" s="4" t="s">
        <v>629</v>
      </c>
      <c r="D145" s="4" t="s">
        <v>1030</v>
      </c>
      <c r="E145" s="4" t="s">
        <v>1031</v>
      </c>
      <c r="F145" s="300">
        <v>45931</v>
      </c>
      <c r="G145" s="4" t="s">
        <v>247</v>
      </c>
      <c r="H145" s="4" t="str">
        <f ca="1">'Database MK'!Q146</f>
        <v>DPPP</v>
      </c>
      <c r="I145" s="24">
        <f>'Database MK'!S146</f>
        <v>1</v>
      </c>
      <c r="J145" s="24">
        <f>'Database MK'!T146</f>
        <v>1</v>
      </c>
      <c r="K145" s="603">
        <f>'Database MK'!U146</f>
        <v>0</v>
      </c>
      <c r="L145" s="593">
        <f>'Database MK'!V146</f>
        <v>10012</v>
      </c>
      <c r="M145" s="593">
        <f>'Database MK'!W146</f>
        <v>8562.5</v>
      </c>
      <c r="N145" s="593">
        <f>Table3[[#This Row],[Total Panjang Pipa Aktual]]-Table3[[#This Row],[Volume
BA MC-0]]</f>
        <v>-1449.5</v>
      </c>
      <c r="O145" s="7" t="str">
        <f ca="1">'Database MK'!DE146</f>
        <v>Sudah, OnSchedule</v>
      </c>
      <c r="P145" s="7" t="str">
        <f ca="1">'Database MK'!DI146</f>
        <v>Sudah, Delay</v>
      </c>
      <c r="Q145" s="7" t="str">
        <f ca="1">'Database MK'!DN146</f>
        <v>Sudah, OnSchedule</v>
      </c>
      <c r="R145" s="7" t="str">
        <f ca="1">'Database MK'!DR146</f>
        <v>Sudah, Delay</v>
      </c>
      <c r="S145" s="7" t="str">
        <f ca="1">'Database MK'!EA146</f>
        <v>Sudah, Delay</v>
      </c>
      <c r="T145" s="7" t="str">
        <f ca="1">'Database MK'!EI146</f>
        <v>Sudah, Delay</v>
      </c>
      <c r="U145" s="7" t="str">
        <f ca="1">'Database MK'!ET146</f>
        <v>Sudah, Delay</v>
      </c>
      <c r="V145" s="7" t="str">
        <f ca="1">'Database MK'!GA146</f>
        <v>Sudah, Delay</v>
      </c>
      <c r="W145" s="7" t="str">
        <f ca="1">'Database MK'!GD146</f>
        <v>Sudah, Delay</v>
      </c>
      <c r="X145" s="7" t="str">
        <f ca="1">'Database MK'!GG146</f>
        <v>Sudah, OnSchedule</v>
      </c>
      <c r="Y145" s="7" t="str">
        <f ca="1">'Database MK'!GK146</f>
        <v>Sudah, Delay</v>
      </c>
      <c r="Z145" s="7" t="str">
        <f ca="1">'Database MK'!HH146</f>
        <v>Sudah, Delay</v>
      </c>
      <c r="AA145" s="7" t="str">
        <f ca="1">'Database MK'!HQ146</f>
        <v>Sudah, Delay</v>
      </c>
      <c r="AB145" s="7" t="str">
        <f ca="1">'Database MK'!HW146</f>
        <v>Sudah, Delay</v>
      </c>
      <c r="AC145" s="7">
        <f>'Database MK'!DA146-'Database MK'!DB146</f>
        <v>4</v>
      </c>
      <c r="AD145" s="7">
        <f>'Database MK'!DA146-'Database MK'!DF146</f>
        <v>-9</v>
      </c>
      <c r="AE145" s="7">
        <f>'Database MK'!DK146-'Database MK'!DL146</f>
        <v>6</v>
      </c>
      <c r="AF145" s="7">
        <f>'Database MK'!DK146-'Database MK'!DO146</f>
        <v>-9</v>
      </c>
      <c r="AG145" s="7">
        <f>'Database MK'!DU146-'Database MK'!DW146</f>
        <v>-380</v>
      </c>
      <c r="AH145" s="7">
        <f>IF('Database MK'!EB146="","Belum",'Database MK'!DU146-'Database MK'!EB146)</f>
        <v>-393</v>
      </c>
      <c r="AI145" s="7">
        <f>IF('Database MK'!EN146="","Belum",'Database MK'!EL146-'Database MK'!EN146)</f>
        <v>-449</v>
      </c>
      <c r="AJ145" s="7">
        <f>'Database MK'!FY146-'Database MK'!FZ146</f>
        <v>-45582</v>
      </c>
      <c r="AK145" s="7">
        <f>IF('Database MK'!GC146="","Belum",'Database MK'!GB146-'Database MK'!GC146)</f>
        <v>-6</v>
      </c>
      <c r="AL145" s="7">
        <f>IF('Database MK'!GF146="","Belum",'Database MK'!GE146-'Database MK'!GF146)</f>
        <v>1</v>
      </c>
      <c r="AM145" s="309">
        <f>IF('Database MK'!GJ146="","Belum",'Database MK'!GI146-'Database MK'!GJ146)</f>
        <v>-12</v>
      </c>
      <c r="AN145" s="7">
        <f>IF('Database MK'!HG146="","Belum",'Database MK'!HF146-'Database MK'!HG146)</f>
        <v>-233</v>
      </c>
      <c r="AO145" s="7">
        <f>IF('Database MK'!HP146="","Belum",'Database MK'!HN146-'Database MK'!HP146)</f>
        <v>-217</v>
      </c>
      <c r="AP145" s="7">
        <f>IF('Database MK'!HV146="","Belum",'Database MK'!HT146-'Database MK'!HV146)</f>
        <v>-224</v>
      </c>
    </row>
    <row r="146" spans="2:42" hidden="1" x14ac:dyDescent="0.2">
      <c r="B146" s="7">
        <f>SUBTOTAL(3,$C$4:C146)</f>
        <v>74</v>
      </c>
      <c r="C146" s="4" t="s">
        <v>629</v>
      </c>
      <c r="D146" s="4" t="s">
        <v>1039</v>
      </c>
      <c r="E146" s="4" t="s">
        <v>1040</v>
      </c>
      <c r="F146" s="300">
        <v>45931</v>
      </c>
      <c r="G146" s="4" t="s">
        <v>247</v>
      </c>
      <c r="H146" s="4" t="str">
        <f ca="1">'Database MK'!Q147</f>
        <v>DPPP</v>
      </c>
      <c r="I146" s="24">
        <f>'Database MK'!S147</f>
        <v>1</v>
      </c>
      <c r="J146" s="24">
        <f>'Database MK'!T147</f>
        <v>1</v>
      </c>
      <c r="K146" s="603">
        <f>'Database MK'!U147</f>
        <v>0</v>
      </c>
      <c r="L146" s="593">
        <f>'Database MK'!V147</f>
        <v>11607</v>
      </c>
      <c r="M146" s="593">
        <f>'Database MK'!W147</f>
        <v>8772</v>
      </c>
      <c r="N146" s="593">
        <f>Table3[[#This Row],[Total Panjang Pipa Aktual]]-Table3[[#This Row],[Volume
BA MC-0]]</f>
        <v>-2835</v>
      </c>
      <c r="O146" s="7" t="str">
        <f ca="1">'Database MK'!DE147</f>
        <v>Sudah, OnSchedule</v>
      </c>
      <c r="P146" s="7" t="str">
        <f ca="1">'Database MK'!DI147</f>
        <v>Sudah, Delay</v>
      </c>
      <c r="Q146" s="7" t="str">
        <f ca="1">'Database MK'!DN147</f>
        <v>Sudah, Delay</v>
      </c>
      <c r="R146" s="7" t="str">
        <f ca="1">'Database MK'!DR147</f>
        <v>Sudah, Delay</v>
      </c>
      <c r="S146" s="7" t="str">
        <f ca="1">'Database MK'!EA147</f>
        <v>Sudah, Delay</v>
      </c>
      <c r="T146" s="7" t="str">
        <f ca="1">'Database MK'!EI147</f>
        <v>Sudah, Delay</v>
      </c>
      <c r="U146" s="7" t="str">
        <f ca="1">'Database MK'!ET147</f>
        <v>Sudah, Delay</v>
      </c>
      <c r="V146" s="7" t="str">
        <f ca="1">'Database MK'!GA147</f>
        <v>Sudah, Delay</v>
      </c>
      <c r="W146" s="7" t="str">
        <f ca="1">'Database MK'!GD147</f>
        <v>Sudah, Delay</v>
      </c>
      <c r="X146" s="7" t="str">
        <f ca="1">'Database MK'!GG147</f>
        <v>Sudah, OnSchedule</v>
      </c>
      <c r="Y146" s="7" t="str">
        <f ca="1">'Database MK'!GK147</f>
        <v>Sudah, OnSchedule</v>
      </c>
      <c r="Z146" s="7" t="str">
        <f ca="1">'Database MK'!HH147</f>
        <v>Sudah, Delay</v>
      </c>
      <c r="AA146" s="7" t="str">
        <f ca="1">'Database MK'!HQ147</f>
        <v>Sudah, Delay</v>
      </c>
      <c r="AB146" s="7" t="str">
        <f ca="1">'Database MK'!HW147</f>
        <v>Sudah, Delay</v>
      </c>
      <c r="AC146" s="7">
        <f>'Database MK'!DA147-'Database MK'!DB147</f>
        <v>4</v>
      </c>
      <c r="AD146" s="7">
        <f>'Database MK'!DA147-'Database MK'!DF147</f>
        <v>-9</v>
      </c>
      <c r="AE146" s="7">
        <f>'Database MK'!DK147-'Database MK'!DL147</f>
        <v>-297</v>
      </c>
      <c r="AF146" s="7">
        <f>'Database MK'!DK147-'Database MK'!DO147</f>
        <v>-339</v>
      </c>
      <c r="AG146" s="7">
        <f>'Database MK'!DU147-'Database MK'!DW147</f>
        <v>-391</v>
      </c>
      <c r="AH146" s="7">
        <f>IF('Database MK'!EB147="","Belum",'Database MK'!DU147-'Database MK'!EB147)</f>
        <v>-395</v>
      </c>
      <c r="AI146" s="7">
        <f>IF('Database MK'!EN147="","Belum",'Database MK'!EL147-'Database MK'!EN147)</f>
        <v>-384</v>
      </c>
      <c r="AJ146" s="7">
        <f>'Database MK'!FY147-'Database MK'!FZ147</f>
        <v>-45582</v>
      </c>
      <c r="AK146" s="7">
        <f>IF('Database MK'!GC147="","Belum",'Database MK'!GB147-'Database MK'!GC147)</f>
        <v>-6</v>
      </c>
      <c r="AL146" s="7">
        <f>IF('Database MK'!GF147="","Belum",'Database MK'!GE147-'Database MK'!GF147)</f>
        <v>1</v>
      </c>
      <c r="AM146" s="309">
        <f>IF('Database MK'!GJ147="","Belum",'Database MK'!GI147-'Database MK'!GJ147)</f>
        <v>4</v>
      </c>
      <c r="AN146" s="7">
        <f>IF('Database MK'!HG147="","Belum",'Database MK'!HF147-'Database MK'!HG147)</f>
        <v>-234</v>
      </c>
      <c r="AO146" s="7">
        <f>IF('Database MK'!HP147="","Belum",'Database MK'!HN147-'Database MK'!HP147)</f>
        <v>-222</v>
      </c>
      <c r="AP146" s="7">
        <f>IF('Database MK'!HV147="","Belum",'Database MK'!HT147-'Database MK'!HV147)</f>
        <v>-224</v>
      </c>
    </row>
    <row r="147" spans="2:42" hidden="1" x14ac:dyDescent="0.2">
      <c r="B147" s="7">
        <f>SUBTOTAL(3,$C$4:C147)</f>
        <v>74</v>
      </c>
      <c r="C147" s="4" t="s">
        <v>629</v>
      </c>
      <c r="D147" s="4" t="s">
        <v>1048</v>
      </c>
      <c r="E147" s="4" t="s">
        <v>1049</v>
      </c>
      <c r="F147" s="300">
        <v>45931</v>
      </c>
      <c r="G147" s="4" t="s">
        <v>247</v>
      </c>
      <c r="H147" s="4" t="str">
        <f ca="1">'Database MK'!Q148</f>
        <v>DPPP</v>
      </c>
      <c r="I147" s="24">
        <f>'Database MK'!S148</f>
        <v>1</v>
      </c>
      <c r="J147" s="24">
        <f>'Database MK'!T148</f>
        <v>1</v>
      </c>
      <c r="K147" s="603">
        <f>'Database MK'!U148</f>
        <v>0</v>
      </c>
      <c r="L147" s="593">
        <f>'Database MK'!V148</f>
        <v>44782</v>
      </c>
      <c r="M147" s="593">
        <f>'Database MK'!W148</f>
        <v>37737.200000000004</v>
      </c>
      <c r="N147" s="593">
        <f>Table3[[#This Row],[Total Panjang Pipa Aktual]]-Table3[[#This Row],[Volume
BA MC-0]]</f>
        <v>-7044.7999999999956</v>
      </c>
      <c r="O147" s="7" t="str">
        <f ca="1">'Database MK'!DE148</f>
        <v>Sudah, OnSchedule</v>
      </c>
      <c r="P147" s="7" t="str">
        <f ca="1">'Database MK'!DI148</f>
        <v>Sudah, Delay</v>
      </c>
      <c r="Q147" s="7" t="str">
        <f ca="1">'Database MK'!DN148</f>
        <v>Sudah, OnSchedule</v>
      </c>
      <c r="R147" s="7" t="str">
        <f ca="1">'Database MK'!DR148</f>
        <v>Sudah, Delay</v>
      </c>
      <c r="S147" s="7" t="str">
        <f ca="1">'Database MK'!EA148</f>
        <v>Sudah, Delay</v>
      </c>
      <c r="T147" s="7" t="str">
        <f ca="1">'Database MK'!EI148</f>
        <v>Sudah, Delay</v>
      </c>
      <c r="U147" s="7" t="str">
        <f ca="1">'Database MK'!ET148</f>
        <v>Sudah, Delay</v>
      </c>
      <c r="V147" s="7" t="str">
        <f ca="1">'Database MK'!GA148</f>
        <v>Sudah, Delay</v>
      </c>
      <c r="W147" s="7" t="str">
        <f ca="1">'Database MK'!GD148</f>
        <v>Sudah, Delay</v>
      </c>
      <c r="X147" s="7" t="str">
        <f ca="1">'Database MK'!GG148</f>
        <v>Sudah, OnSchedule</v>
      </c>
      <c r="Y147" s="7" t="str">
        <f ca="1">'Database MK'!GK148</f>
        <v>Sudah, Delay</v>
      </c>
      <c r="Z147" s="7" t="str">
        <f ca="1">'Database MK'!HH148</f>
        <v>Sudah, Delay</v>
      </c>
      <c r="AA147" s="7" t="str">
        <f ca="1">'Database MK'!HQ148</f>
        <v>Sudah, Delay</v>
      </c>
      <c r="AB147" s="7" t="str">
        <f ca="1">'Database MK'!HW148</f>
        <v>Sudah, Delay</v>
      </c>
      <c r="AC147" s="7">
        <f>'Database MK'!DA148-'Database MK'!DB148</f>
        <v>4</v>
      </c>
      <c r="AD147" s="7">
        <f>'Database MK'!DA148-'Database MK'!DF148</f>
        <v>-8</v>
      </c>
      <c r="AE147" s="7">
        <f>'Database MK'!DK148-'Database MK'!DL148</f>
        <v>9</v>
      </c>
      <c r="AF147" s="7">
        <f>'Database MK'!DK148-'Database MK'!DO148</f>
        <v>-18</v>
      </c>
      <c r="AG147" s="7">
        <f>'Database MK'!DU148-'Database MK'!DW148</f>
        <v>-394</v>
      </c>
      <c r="AH147" s="7">
        <f>IF('Database MK'!EB148="","Belum",'Database MK'!DU148-'Database MK'!EB148)</f>
        <v>-381</v>
      </c>
      <c r="AI147" s="7">
        <f>IF('Database MK'!EN148="","Belum",'Database MK'!EL148-'Database MK'!EN148)</f>
        <v>-382</v>
      </c>
      <c r="AJ147" s="7">
        <f>'Database MK'!FY148-'Database MK'!FZ148</f>
        <v>-45582</v>
      </c>
      <c r="AK147" s="7">
        <f>IF('Database MK'!GC148="","Belum",'Database MK'!GB148-'Database MK'!GC148)</f>
        <v>-6</v>
      </c>
      <c r="AL147" s="7">
        <f>IF('Database MK'!GF148="","Belum",'Database MK'!GE148-'Database MK'!GF148)</f>
        <v>1</v>
      </c>
      <c r="AM147" s="309">
        <f>IF('Database MK'!GJ148="","Belum",'Database MK'!GI148-'Database MK'!GJ148)</f>
        <v>-23</v>
      </c>
      <c r="AN147" s="7">
        <f>IF('Database MK'!HG148="","Belum",'Database MK'!HF148-'Database MK'!HG148)</f>
        <v>-199</v>
      </c>
      <c r="AO147" s="7">
        <f>IF('Database MK'!HP148="","Belum",'Database MK'!HN148-'Database MK'!HP148)</f>
        <v>-193</v>
      </c>
      <c r="AP147" s="7">
        <f>IF('Database MK'!HV148="","Belum",'Database MK'!HT148-'Database MK'!HV148)</f>
        <v>-224</v>
      </c>
    </row>
    <row r="148" spans="2:42" hidden="1" x14ac:dyDescent="0.2">
      <c r="B148" s="7">
        <f>SUBTOTAL(3,$C$4:C148)</f>
        <v>74</v>
      </c>
      <c r="C148" s="4" t="s">
        <v>629</v>
      </c>
      <c r="D148" s="4" t="s">
        <v>1057</v>
      </c>
      <c r="E148" s="4" t="s">
        <v>1058</v>
      </c>
      <c r="F148" s="300">
        <v>45931</v>
      </c>
      <c r="G148" s="4" t="s">
        <v>247</v>
      </c>
      <c r="H148" s="4" t="str">
        <f ca="1">'Database MK'!Q149</f>
        <v>DPPP</v>
      </c>
      <c r="I148" s="24">
        <f>'Database MK'!S149</f>
        <v>1</v>
      </c>
      <c r="J148" s="24">
        <f>'Database MK'!T149</f>
        <v>1</v>
      </c>
      <c r="K148" s="603">
        <f>'Database MK'!U149</f>
        <v>0</v>
      </c>
      <c r="L148" s="593">
        <f>'Database MK'!V149</f>
        <v>14433</v>
      </c>
      <c r="M148" s="593">
        <f>'Database MK'!W149</f>
        <v>14560</v>
      </c>
      <c r="N148" s="593">
        <f>Table3[[#This Row],[Total Panjang Pipa Aktual]]-Table3[[#This Row],[Volume
BA MC-0]]</f>
        <v>127</v>
      </c>
      <c r="O148" s="7" t="str">
        <f ca="1">'Database MK'!DE149</f>
        <v>Sudah, OnSchedule</v>
      </c>
      <c r="P148" s="7" t="str">
        <f ca="1">'Database MK'!DI149</f>
        <v>Sudah, Delay</v>
      </c>
      <c r="Q148" s="7" t="str">
        <f ca="1">'Database MK'!DN149</f>
        <v>Sudah, OnSchedule</v>
      </c>
      <c r="R148" s="7" t="str">
        <f ca="1">'Database MK'!DR149</f>
        <v>Sudah, Delay</v>
      </c>
      <c r="S148" s="7" t="str">
        <f ca="1">'Database MK'!EA149</f>
        <v>Sudah, Delay</v>
      </c>
      <c r="T148" s="7" t="str">
        <f ca="1">'Database MK'!EI149</f>
        <v>Sudah, Delay</v>
      </c>
      <c r="U148" s="7" t="str">
        <f ca="1">'Database MK'!ET149</f>
        <v>Sudah, Delay</v>
      </c>
      <c r="V148" s="7" t="str">
        <f ca="1">'Database MK'!GA149</f>
        <v>Sudah, Delay</v>
      </c>
      <c r="W148" s="7" t="str">
        <f ca="1">'Database MK'!GD149</f>
        <v>Sudah, Delay</v>
      </c>
      <c r="X148" s="7" t="str">
        <f ca="1">'Database MK'!GG149</f>
        <v>Sudah, OnSchedule</v>
      </c>
      <c r="Y148" s="7" t="str">
        <f ca="1">'Database MK'!GK149</f>
        <v>Sudah, Delay</v>
      </c>
      <c r="Z148" s="7" t="str">
        <f ca="1">'Database MK'!HH149</f>
        <v>Sudah, Delay</v>
      </c>
      <c r="AA148" s="7" t="str">
        <f ca="1">'Database MK'!HQ149</f>
        <v>Sudah, Delay</v>
      </c>
      <c r="AB148" s="7" t="str">
        <f ca="1">'Database MK'!HW149</f>
        <v>Sudah, Delay</v>
      </c>
      <c r="AC148" s="7">
        <f>'Database MK'!DA149-'Database MK'!DB149</f>
        <v>4</v>
      </c>
      <c r="AD148" s="7">
        <f>'Database MK'!DA149-'Database MK'!DF149</f>
        <v>-8</v>
      </c>
      <c r="AE148" s="7">
        <f>'Database MK'!DK149-'Database MK'!DL149</f>
        <v>6</v>
      </c>
      <c r="AF148" s="7">
        <f>'Database MK'!DK149-'Database MK'!DO149</f>
        <v>-9</v>
      </c>
      <c r="AG148" s="7">
        <f>'Database MK'!DU149-'Database MK'!DW149</f>
        <v>-312</v>
      </c>
      <c r="AH148" s="7">
        <f>IF('Database MK'!EB149="","Belum",'Database MK'!DU149-'Database MK'!EB149)</f>
        <v>-327</v>
      </c>
      <c r="AI148" s="7">
        <f>IF('Database MK'!EN149="","Belum",'Database MK'!EL149-'Database MK'!EN149)</f>
        <v>-234</v>
      </c>
      <c r="AJ148" s="7">
        <f>'Database MK'!FY149-'Database MK'!FZ149</f>
        <v>-45582</v>
      </c>
      <c r="AK148" s="7">
        <f>IF('Database MK'!GC149="","Belum",'Database MK'!GB149-'Database MK'!GC149)</f>
        <v>-6</v>
      </c>
      <c r="AL148" s="7">
        <f>IF('Database MK'!GF149="","Belum",'Database MK'!GE149-'Database MK'!GF149)</f>
        <v>1</v>
      </c>
      <c r="AM148" s="309">
        <f>IF('Database MK'!GJ149="","Belum",'Database MK'!GI149-'Database MK'!GJ149)</f>
        <v>-71</v>
      </c>
      <c r="AN148" s="7">
        <f>IF('Database MK'!HG149="","Belum",'Database MK'!HF149-'Database MK'!HG149)</f>
        <v>-152</v>
      </c>
      <c r="AO148" s="7">
        <f>IF('Database MK'!HP149="","Belum",'Database MK'!HN149-'Database MK'!HP149)</f>
        <v>-140</v>
      </c>
      <c r="AP148" s="7">
        <f>IF('Database MK'!HV149="","Belum",'Database MK'!HT149-'Database MK'!HV149)</f>
        <v>-134</v>
      </c>
    </row>
    <row r="149" spans="2:42" hidden="1" x14ac:dyDescent="0.2">
      <c r="B149" s="7">
        <f>SUBTOTAL(3,$C$4:C149)</f>
        <v>74</v>
      </c>
      <c r="C149" s="4" t="s">
        <v>629</v>
      </c>
      <c r="D149" s="4" t="s">
        <v>1066</v>
      </c>
      <c r="E149" s="4" t="s">
        <v>1067</v>
      </c>
      <c r="F149" s="300">
        <v>45931</v>
      </c>
      <c r="G149" s="4" t="s">
        <v>247</v>
      </c>
      <c r="H149" s="4" t="str">
        <f ca="1">'Database MK'!Q150</f>
        <v>DPPP</v>
      </c>
      <c r="I149" s="24">
        <f>'Database MK'!S150</f>
        <v>1</v>
      </c>
      <c r="J149" s="24">
        <f>'Database MK'!T150</f>
        <v>0.68948038974857362</v>
      </c>
      <c r="K149" s="603">
        <f>'Database MK'!U150</f>
        <v>-0.31051961025142638</v>
      </c>
      <c r="L149" s="593">
        <f>'Database MK'!V150</f>
        <v>16592</v>
      </c>
      <c r="M149" s="593">
        <f>'Database MK'!W150</f>
        <v>8710</v>
      </c>
      <c r="N149" s="593">
        <f>Table3[[#This Row],[Total Panjang Pipa Aktual]]-Table3[[#This Row],[Volume
BA MC-0]]</f>
        <v>-7882</v>
      </c>
      <c r="O149" s="7" t="str">
        <f ca="1">'Database MK'!DE150</f>
        <v>Sudah, OnSchedule</v>
      </c>
      <c r="P149" s="7" t="str">
        <f ca="1">'Database MK'!DI150</f>
        <v>Sudah, OnSchedule</v>
      </c>
      <c r="Q149" s="7" t="str">
        <f ca="1">'Database MK'!DN150</f>
        <v>Sudah, OnSchedule</v>
      </c>
      <c r="R149" s="7" t="str">
        <f ca="1">'Database MK'!DR150</f>
        <v>Sudah, OnSchedule</v>
      </c>
      <c r="S149" s="7" t="str">
        <f ca="1">'Database MK'!EA150</f>
        <v>Sudah, Delay</v>
      </c>
      <c r="T149" s="7" t="str">
        <f ca="1">'Database MK'!EI150</f>
        <v>Sudah, Delay</v>
      </c>
      <c r="U149" s="7" t="str">
        <f ca="1">'Database MK'!ET150</f>
        <v>Belum, Delay</v>
      </c>
      <c r="V149" s="7" t="str">
        <f ca="1">'Database MK'!GA150</f>
        <v>Sudah, Delay</v>
      </c>
      <c r="W149" s="7" t="str">
        <f ca="1">'Database MK'!GD150</f>
        <v>Sudah, OnSchedule</v>
      </c>
      <c r="X149" s="7" t="str">
        <f ca="1">'Database MK'!GG150</f>
        <v>Sudah, OnSchedule</v>
      </c>
      <c r="Y149" s="7" t="str">
        <f ca="1">'Database MK'!GK150</f>
        <v>Sudah, OnSchedule</v>
      </c>
      <c r="Z149" s="7" t="str">
        <f ca="1">'Database MK'!HH150</f>
        <v>Sudah, Delay</v>
      </c>
      <c r="AA149" s="7" t="str">
        <f ca="1">'Database MK'!HQ150</f>
        <v>Sudah, Delay</v>
      </c>
      <c r="AB149" s="7" t="str">
        <f ca="1">'Database MK'!HW150</f>
        <v>Sudah, Delay</v>
      </c>
      <c r="AC149" s="7">
        <f>'Database MK'!DA150-'Database MK'!DB150</f>
        <v>26</v>
      </c>
      <c r="AD149" s="7">
        <f>'Database MK'!DA150-'Database MK'!DF150</f>
        <v>17</v>
      </c>
      <c r="AE149" s="7">
        <f>'Database MK'!DK150-'Database MK'!DL150</f>
        <v>34</v>
      </c>
      <c r="AF149" s="7">
        <f>'Database MK'!DK150-'Database MK'!DO150</f>
        <v>23</v>
      </c>
      <c r="AG149" s="7">
        <f>'Database MK'!DU150-'Database MK'!DW150</f>
        <v>-390</v>
      </c>
      <c r="AH149" s="7">
        <f>IF('Database MK'!EB150="","Belum",'Database MK'!DU150-'Database MK'!EB150)</f>
        <v>-402</v>
      </c>
      <c r="AI149" s="7" t="str">
        <f>IF('Database MK'!EN150="","Belum",'Database MK'!EL150-'Database MK'!EN150)</f>
        <v>Belum</v>
      </c>
      <c r="AJ149" s="7">
        <f>'Database MK'!FY150-'Database MK'!FZ150</f>
        <v>-45582</v>
      </c>
      <c r="AK149" s="7">
        <f>IF('Database MK'!GC150="","Belum",'Database MK'!GB150-'Database MK'!GC150)</f>
        <v>32</v>
      </c>
      <c r="AL149" s="7">
        <f>IF('Database MK'!GF150="","Belum",'Database MK'!GE150-'Database MK'!GF150)</f>
        <v>39</v>
      </c>
      <c r="AM149" s="309">
        <f>IF('Database MK'!GJ150="","Belum",'Database MK'!GI150-'Database MK'!GJ150)</f>
        <v>41</v>
      </c>
      <c r="AN149" s="7">
        <f>IF('Database MK'!HG150="","Belum",'Database MK'!HF150-'Database MK'!HG150)</f>
        <v>-324</v>
      </c>
      <c r="AO149" s="7">
        <f>IF('Database MK'!HP150="","Belum",'Database MK'!HN150-'Database MK'!HP150)</f>
        <v>-383</v>
      </c>
      <c r="AP149" s="7">
        <f>IF('Database MK'!HV150="","Belum",'Database MK'!HT150-'Database MK'!HV150)</f>
        <v>-381</v>
      </c>
    </row>
    <row r="150" spans="2:42" hidden="1" x14ac:dyDescent="0.2">
      <c r="B150" s="7">
        <f>SUBTOTAL(3,$C$4:C150)</f>
        <v>74</v>
      </c>
      <c r="C150" s="4" t="s">
        <v>629</v>
      </c>
      <c r="D150" s="4" t="s">
        <v>1075</v>
      </c>
      <c r="E150" s="4" t="s">
        <v>1076</v>
      </c>
      <c r="F150" s="300">
        <v>45931</v>
      </c>
      <c r="G150" s="4" t="s">
        <v>247</v>
      </c>
      <c r="H150" s="4" t="str">
        <f ca="1">'Database MK'!Q151</f>
        <v>Tes Com</v>
      </c>
      <c r="I150" s="24">
        <f>'Database MK'!S151</f>
        <v>1</v>
      </c>
      <c r="J150" s="24">
        <f>'Database MK'!T151</f>
        <v>0.78923650574282911</v>
      </c>
      <c r="K150" s="603">
        <f>'Database MK'!U151</f>
        <v>-0.21076349425717089</v>
      </c>
      <c r="L150" s="593">
        <f>'Database MK'!V151</f>
        <v>22219</v>
      </c>
      <c r="M150" s="593">
        <f>'Database MK'!W151</f>
        <v>12914</v>
      </c>
      <c r="N150" s="593">
        <f>Table3[[#This Row],[Total Panjang Pipa Aktual]]-Table3[[#This Row],[Volume
BA MC-0]]</f>
        <v>-9305</v>
      </c>
      <c r="O150" s="7" t="str">
        <f ca="1">'Database MK'!DE151</f>
        <v>Sudah, OnSchedule</v>
      </c>
      <c r="P150" s="7" t="str">
        <f ca="1">'Database MK'!DI151</f>
        <v>Sudah, OnSchedule</v>
      </c>
      <c r="Q150" s="7" t="str">
        <f ca="1">'Database MK'!DN151</f>
        <v>Sudah, Delay</v>
      </c>
      <c r="R150" s="7" t="str">
        <f ca="1">'Database MK'!DR151</f>
        <v>Sudah, Delay</v>
      </c>
      <c r="S150" s="7" t="str">
        <f ca="1">'Database MK'!EA151</f>
        <v>Sudah, Delay</v>
      </c>
      <c r="T150" s="7" t="str">
        <f ca="1">'Database MK'!EI151</f>
        <v>Sudah, Delay</v>
      </c>
      <c r="U150" s="7" t="str">
        <f ca="1">'Database MK'!ET151</f>
        <v>Belum, Delay</v>
      </c>
      <c r="V150" s="7" t="str">
        <f ca="1">'Database MK'!GA151</f>
        <v>Sudah, Delay</v>
      </c>
      <c r="W150" s="7" t="str">
        <f ca="1">'Database MK'!GD151</f>
        <v>Sudah, OnSchedule</v>
      </c>
      <c r="X150" s="7" t="str">
        <f ca="1">'Database MK'!GG151</f>
        <v>Sudah, OnSchedule</v>
      </c>
      <c r="Y150" s="7" t="str">
        <f ca="1">'Database MK'!GK151</f>
        <v>Sudah, OnSchedule</v>
      </c>
      <c r="Z150" s="7" t="str">
        <f ca="1">'Database MK'!HH151</f>
        <v>Sudah, Delay</v>
      </c>
      <c r="AA150" s="7" t="str">
        <f ca="1">'Database MK'!HQ151</f>
        <v>Belum, Delay</v>
      </c>
      <c r="AB150" s="7" t="str">
        <f ca="1">'Database MK'!HW151</f>
        <v>Belum, Delay</v>
      </c>
      <c r="AC150" s="7">
        <f>'Database MK'!DA151-'Database MK'!DB151</f>
        <v>26</v>
      </c>
      <c r="AD150" s="7">
        <f>'Database MK'!DA151-'Database MK'!DF151</f>
        <v>17</v>
      </c>
      <c r="AE150" s="7">
        <f>'Database MK'!DK151-'Database MK'!DL151</f>
        <v>-312</v>
      </c>
      <c r="AF150" s="7">
        <f>'Database MK'!DK151-'Database MK'!DO151</f>
        <v>-326</v>
      </c>
      <c r="AG150" s="7">
        <f>'Database MK'!DU151-'Database MK'!DW151</f>
        <v>-393</v>
      </c>
      <c r="AH150" s="7">
        <f>IF('Database MK'!EB151="","Belum",'Database MK'!DU151-'Database MK'!EB151)</f>
        <v>-402</v>
      </c>
      <c r="AI150" s="7" t="str">
        <f>IF('Database MK'!EN151="","Belum",'Database MK'!EL151-'Database MK'!EN151)</f>
        <v>Belum</v>
      </c>
      <c r="AJ150" s="7">
        <f>'Database MK'!FY151-'Database MK'!FZ151</f>
        <v>-45582</v>
      </c>
      <c r="AK150" s="7">
        <f>IF('Database MK'!GC151="","Belum",'Database MK'!GB151-'Database MK'!GC151)</f>
        <v>32</v>
      </c>
      <c r="AL150" s="7">
        <f>IF('Database MK'!GF151="","Belum",'Database MK'!GE151-'Database MK'!GF151)</f>
        <v>39</v>
      </c>
      <c r="AM150" s="309">
        <f>IF('Database MK'!GJ151="","Belum",'Database MK'!GI151-'Database MK'!GJ151)</f>
        <v>40</v>
      </c>
      <c r="AN150" s="7">
        <f>IF('Database MK'!HG151="","Belum",'Database MK'!HF151-'Database MK'!HG151)</f>
        <v>-337</v>
      </c>
      <c r="AO150" s="7" t="str">
        <f>IF('Database MK'!HP151="","Belum",'Database MK'!HN151-'Database MK'!HP151)</f>
        <v>Belum</v>
      </c>
      <c r="AP150" s="7" t="str">
        <f>IF('Database MK'!HV151="","Belum",'Database MK'!HT151-'Database MK'!HV151)</f>
        <v>Belum</v>
      </c>
    </row>
    <row r="151" spans="2:42" hidden="1" x14ac:dyDescent="0.2">
      <c r="B151" s="7">
        <f>SUBTOTAL(3,$C$4:C151)</f>
        <v>74</v>
      </c>
      <c r="C151" s="4" t="s">
        <v>629</v>
      </c>
      <c r="D151" s="4" t="s">
        <v>1083</v>
      </c>
      <c r="E151" s="4" t="s">
        <v>1084</v>
      </c>
      <c r="F151" s="300">
        <v>45931</v>
      </c>
      <c r="G151" s="4" t="s">
        <v>681</v>
      </c>
      <c r="H151" s="4" t="str">
        <f ca="1">'Database MK'!Q152</f>
        <v>DPPP</v>
      </c>
      <c r="I151" s="24">
        <f>'Database MK'!S152</f>
        <v>1</v>
      </c>
      <c r="J151" s="24">
        <f>'Database MK'!T152</f>
        <v>1</v>
      </c>
      <c r="K151" s="603">
        <f>'Database MK'!U152</f>
        <v>0</v>
      </c>
      <c r="L151" s="593">
        <f>'Database MK'!V152</f>
        <v>171</v>
      </c>
      <c r="M151" s="593">
        <f>'Database MK'!W152</f>
        <v>171.8</v>
      </c>
      <c r="N151" s="593">
        <f>Table3[[#This Row],[Total Panjang Pipa Aktual]]-Table3[[#This Row],[Volume
BA MC-0]]</f>
        <v>0.80000000000001137</v>
      </c>
      <c r="O151" s="7" t="str">
        <f ca="1">'Database MK'!DE152</f>
        <v>Sudah, Delay</v>
      </c>
      <c r="P151" s="7" t="str">
        <f ca="1">'Database MK'!DI152</f>
        <v>Sudah, Delay</v>
      </c>
      <c r="Q151" s="7" t="str">
        <f ca="1">'Database MK'!DN152</f>
        <v>Sudah, OnSchedule</v>
      </c>
      <c r="R151" s="7" t="str">
        <f ca="1">'Database MK'!DR152</f>
        <v>Sudah, Delay</v>
      </c>
      <c r="S151" s="7" t="str">
        <f ca="1">'Database MK'!EA152</f>
        <v>Sudah, Delay</v>
      </c>
      <c r="T151" s="7" t="str">
        <f ca="1">'Database MK'!EI152</f>
        <v>Sudah, Delay</v>
      </c>
      <c r="U151" s="7" t="str">
        <f ca="1">'Database MK'!ET152</f>
        <v>Sudah, Delay</v>
      </c>
      <c r="V151" s="7" t="str">
        <f ca="1">'Database MK'!GA152</f>
        <v>Sudah, Delay</v>
      </c>
      <c r="W151" s="7" t="str">
        <f ca="1">'Database MK'!GD152</f>
        <v>Sudah, Delay</v>
      </c>
      <c r="X151" s="7" t="str">
        <f ca="1">'Database MK'!GG152</f>
        <v>Sudah, Delay</v>
      </c>
      <c r="Y151" s="7" t="str">
        <f ca="1">'Database MK'!GK152</f>
        <v>Sudah, OnSchedule</v>
      </c>
      <c r="Z151" s="7" t="str">
        <f ca="1">'Database MK'!HH152</f>
        <v>Sudah, Delay</v>
      </c>
      <c r="AA151" s="7" t="str">
        <f ca="1">'Database MK'!HQ152</f>
        <v>Sudah, Delay</v>
      </c>
      <c r="AB151" s="7" t="str">
        <f ca="1">'Database MK'!HW152</f>
        <v>Sudah, Delay</v>
      </c>
      <c r="AC151" s="7">
        <f>'Database MK'!DA152-'Database MK'!DB152</f>
        <v>-15</v>
      </c>
      <c r="AD151" s="7">
        <f>'Database MK'!DA152-'Database MK'!DF152</f>
        <v>-19</v>
      </c>
      <c r="AE151" s="7">
        <f>'Database MK'!DK152-'Database MK'!DL152</f>
        <v>5</v>
      </c>
      <c r="AF151" s="7">
        <f>'Database MK'!DK152-'Database MK'!DO152</f>
        <v>-12</v>
      </c>
      <c r="AG151" s="7">
        <f>'Database MK'!DU152-'Database MK'!DW152</f>
        <v>-282</v>
      </c>
      <c r="AH151" s="7">
        <f>IF('Database MK'!EB152="","Belum",'Database MK'!DU152-'Database MK'!EB152)</f>
        <v>-290</v>
      </c>
      <c r="AI151" s="7">
        <f>IF('Database MK'!EN152="","Belum",'Database MK'!EL152-'Database MK'!EN152)</f>
        <v>-249</v>
      </c>
      <c r="AJ151" s="7">
        <f>'Database MK'!FY152-'Database MK'!FZ152</f>
        <v>-45582</v>
      </c>
      <c r="AK151" s="7">
        <f>IF('Database MK'!GC152="","Belum",'Database MK'!GB152-'Database MK'!GC152)</f>
        <v>-213</v>
      </c>
      <c r="AL151" s="7">
        <f>IF('Database MK'!GF152="","Belum",'Database MK'!GE152-'Database MK'!GF152)</f>
        <v>-206</v>
      </c>
      <c r="AM151" s="309">
        <f>IF('Database MK'!GJ152="","Belum",'Database MK'!GI152-'Database MK'!GJ152)</f>
        <v>33</v>
      </c>
      <c r="AN151" s="7">
        <f>IF('Database MK'!HG152="","Belum",'Database MK'!HF152-'Database MK'!HG152)</f>
        <v>-142</v>
      </c>
      <c r="AO151" s="7">
        <f>IF('Database MK'!HP152="","Belum",'Database MK'!HN152-'Database MK'!HP152)</f>
        <v>-213</v>
      </c>
      <c r="AP151" s="7">
        <f>IF('Database MK'!HV152="","Belum",'Database MK'!HT152-'Database MK'!HV152)</f>
        <v>-215</v>
      </c>
    </row>
    <row r="152" spans="2:42" hidden="1" x14ac:dyDescent="0.2">
      <c r="B152" s="7">
        <f>SUBTOTAL(3,$C$4:C152)</f>
        <v>74</v>
      </c>
      <c r="C152" s="4" t="s">
        <v>629</v>
      </c>
      <c r="D152" s="4" t="s">
        <v>1092</v>
      </c>
      <c r="E152" s="4" t="s">
        <v>1093</v>
      </c>
      <c r="F152" s="300">
        <v>45931</v>
      </c>
      <c r="G152" s="4" t="s">
        <v>681</v>
      </c>
      <c r="H152" s="4" t="str">
        <f ca="1">'Database MK'!Q153</f>
        <v>DPPP</v>
      </c>
      <c r="I152" s="24">
        <f>'Database MK'!S153</f>
        <v>1</v>
      </c>
      <c r="J152" s="24">
        <f>'Database MK'!T153</f>
        <v>1</v>
      </c>
      <c r="K152" s="603">
        <f>'Database MK'!U153</f>
        <v>0</v>
      </c>
      <c r="L152" s="593">
        <f>'Database MK'!V153</f>
        <v>94</v>
      </c>
      <c r="M152" s="593">
        <f>'Database MK'!W153</f>
        <v>93</v>
      </c>
      <c r="N152" s="593">
        <f>Table3[[#This Row],[Total Panjang Pipa Aktual]]-Table3[[#This Row],[Volume
BA MC-0]]</f>
        <v>-1</v>
      </c>
      <c r="O152" s="7" t="str">
        <f ca="1">'Database MK'!DE153</f>
        <v>Sudah, OnSchedule</v>
      </c>
      <c r="P152" s="7" t="str">
        <f ca="1">'Database MK'!DI153</f>
        <v>Sudah, OnSchedule</v>
      </c>
      <c r="Q152" s="7" t="str">
        <f ca="1">'Database MK'!DN153</f>
        <v>Sudah, OnSchedule</v>
      </c>
      <c r="R152" s="7" t="str">
        <f ca="1">'Database MK'!DR153</f>
        <v>Sudah, OnSchedule</v>
      </c>
      <c r="S152" s="7" t="str">
        <f ca="1">'Database MK'!EA153</f>
        <v>Sudah, Delay</v>
      </c>
      <c r="T152" s="7" t="str">
        <f ca="1">'Database MK'!EI153</f>
        <v>Sudah, Delay</v>
      </c>
      <c r="U152" s="7" t="str">
        <f ca="1">'Database MK'!ET153</f>
        <v>Sudah, Delay</v>
      </c>
      <c r="V152" s="7" t="str">
        <f ca="1">'Database MK'!GA153</f>
        <v>Sudah, Delay</v>
      </c>
      <c r="W152" s="7" t="str">
        <f ca="1">'Database MK'!GD153</f>
        <v>Sudah, OnSchedule</v>
      </c>
      <c r="X152" s="7" t="str">
        <f ca="1">'Database MK'!GG153</f>
        <v>Sudah, OnSchedule</v>
      </c>
      <c r="Y152" s="7" t="str">
        <f ca="1">'Database MK'!GK153</f>
        <v>Sudah, Delay</v>
      </c>
      <c r="Z152" s="7" t="str">
        <f ca="1">'Database MK'!HH153</f>
        <v>Sudah, Delay</v>
      </c>
      <c r="AA152" s="7" t="str">
        <f ca="1">'Database MK'!HQ153</f>
        <v>Sudah, Delay</v>
      </c>
      <c r="AB152" s="7" t="str">
        <f ca="1">'Database MK'!HW153</f>
        <v>Sudah, Delay</v>
      </c>
      <c r="AC152" s="7">
        <f>'Database MK'!DA153-'Database MK'!DB153</f>
        <v>275</v>
      </c>
      <c r="AD152" s="7">
        <f>'Database MK'!DA153-'Database MK'!DF153</f>
        <v>34</v>
      </c>
      <c r="AE152" s="7">
        <f>'Database MK'!DK153-'Database MK'!DL153</f>
        <v>68</v>
      </c>
      <c r="AF152" s="7">
        <f>'Database MK'!DK153-'Database MK'!DO153</f>
        <v>41</v>
      </c>
      <c r="AG152" s="7">
        <f>'Database MK'!DU153-'Database MK'!DW153</f>
        <v>-41</v>
      </c>
      <c r="AH152" s="7">
        <f>IF('Database MK'!EB153="","Belum",'Database MK'!DU153-'Database MK'!EB153)</f>
        <v>-136</v>
      </c>
      <c r="AI152" s="7">
        <f>IF('Database MK'!EN153="","Belum",'Database MK'!EL153-'Database MK'!EN153)</f>
        <v>-184</v>
      </c>
      <c r="AJ152" s="7">
        <f>'Database MK'!FY153-'Database MK'!FZ153</f>
        <v>-45582</v>
      </c>
      <c r="AK152" s="7">
        <f>IF('Database MK'!GC153="","Belum",'Database MK'!GB153-'Database MK'!GC153)</f>
        <v>85</v>
      </c>
      <c r="AL152" s="7">
        <f>IF('Database MK'!GF153="","Belum",'Database MK'!GE153-'Database MK'!GF153)</f>
        <v>92</v>
      </c>
      <c r="AM152" s="309">
        <f>IF('Database MK'!GJ153="","Belum",'Database MK'!GI153-'Database MK'!GJ153)</f>
        <v>-269</v>
      </c>
      <c r="AN152" s="7">
        <f>IF('Database MK'!HG153="","Belum",'Database MK'!HF153-'Database MK'!HG153)</f>
        <v>-89</v>
      </c>
      <c r="AO152" s="7">
        <f>IF('Database MK'!HP153="","Belum",'Database MK'!HN153-'Database MK'!HP153)</f>
        <v>-157</v>
      </c>
      <c r="AP152" s="7">
        <f>IF('Database MK'!HV153="","Belum",'Database MK'!HT153-'Database MK'!HV153)</f>
        <v>-159</v>
      </c>
    </row>
    <row r="153" spans="2:42" hidden="1" x14ac:dyDescent="0.2">
      <c r="B153" s="7">
        <f>SUBTOTAL(3,$C$4:C153)</f>
        <v>74</v>
      </c>
      <c r="C153" s="4" t="s">
        <v>629</v>
      </c>
      <c r="D153" s="4" t="s">
        <v>1101</v>
      </c>
      <c r="E153" s="4" t="s">
        <v>1102</v>
      </c>
      <c r="F153" s="300">
        <v>45931</v>
      </c>
      <c r="G153" s="4" t="s">
        <v>681</v>
      </c>
      <c r="H153" s="4" t="str">
        <f ca="1">'Database MK'!Q154</f>
        <v>DPPP</v>
      </c>
      <c r="I153" s="24">
        <f>'Database MK'!S154</f>
        <v>1</v>
      </c>
      <c r="J153" s="24">
        <f>'Database MK'!T154</f>
        <v>1</v>
      </c>
      <c r="K153" s="603">
        <f>'Database MK'!U154</f>
        <v>0</v>
      </c>
      <c r="L153" s="593">
        <f>'Database MK'!V154</f>
        <v>93</v>
      </c>
      <c r="M153" s="593">
        <f>'Database MK'!W154</f>
        <v>80</v>
      </c>
      <c r="N153" s="593">
        <f>Table3[[#This Row],[Total Panjang Pipa Aktual]]-Table3[[#This Row],[Volume
BA MC-0]]</f>
        <v>-13</v>
      </c>
      <c r="O153" s="7" t="str">
        <f ca="1">'Database MK'!DE154</f>
        <v>Sudah, OnSchedule</v>
      </c>
      <c r="P153" s="7" t="str">
        <f ca="1">'Database MK'!DI154</f>
        <v>Sudah, OnSchedule</v>
      </c>
      <c r="Q153" s="7" t="str">
        <f ca="1">'Database MK'!DN154</f>
        <v>Sudah, OnSchedule</v>
      </c>
      <c r="R153" s="7" t="str">
        <f ca="1">'Database MK'!DR154</f>
        <v>Sudah, Delay</v>
      </c>
      <c r="S153" s="7" t="str">
        <f ca="1">'Database MK'!EA154</f>
        <v>Sudah, OnSchedule</v>
      </c>
      <c r="T153" s="7" t="str">
        <f ca="1">'Database MK'!EI154</f>
        <v>Sudah, Delay</v>
      </c>
      <c r="U153" s="7" t="str">
        <f ca="1">'Database MK'!ET154</f>
        <v>Sudah, Delay</v>
      </c>
      <c r="V153" s="7" t="str">
        <f ca="1">'Database MK'!GA154</f>
        <v>Sudah, Delay</v>
      </c>
      <c r="W153" s="7" t="str">
        <f ca="1">'Database MK'!GD154</f>
        <v>Sudah, OnSchedule</v>
      </c>
      <c r="X153" s="7" t="str">
        <f ca="1">'Database MK'!GG154</f>
        <v>Sudah, OnSchedule</v>
      </c>
      <c r="Y153" s="7" t="str">
        <f ca="1">'Database MK'!GK154</f>
        <v>Sudah, OnSchedule</v>
      </c>
      <c r="Z153" s="7" t="str">
        <f ca="1">'Database MK'!HH154</f>
        <v>Sudah, Delay</v>
      </c>
      <c r="AA153" s="7" t="str">
        <f ca="1">'Database MK'!HQ154</f>
        <v>Sudah, Delay</v>
      </c>
      <c r="AB153" s="7" t="str">
        <f ca="1">'Database MK'!HW154</f>
        <v>Sudah, Delay</v>
      </c>
      <c r="AC153" s="7">
        <f>'Database MK'!DA154-'Database MK'!DB154</f>
        <v>18</v>
      </c>
      <c r="AD153" s="7">
        <f>'Database MK'!DA154-'Database MK'!DF154</f>
        <v>3</v>
      </c>
      <c r="AE153" s="7">
        <f>'Database MK'!DK154-'Database MK'!DL154</f>
        <v>32</v>
      </c>
      <c r="AF153" s="7">
        <f>'Database MK'!DK154-'Database MK'!DO154</f>
        <v>-10</v>
      </c>
      <c r="AG153" s="7">
        <f>'Database MK'!DU154-'Database MK'!DW154</f>
        <v>4</v>
      </c>
      <c r="AH153" s="7">
        <f>IF('Database MK'!EB154="","Belum",'Database MK'!DU154-'Database MK'!EB154)</f>
        <v>-47</v>
      </c>
      <c r="AI153" s="7">
        <f>IF('Database MK'!EN154="","Belum",'Database MK'!EL154-'Database MK'!EN154)</f>
        <v>-201</v>
      </c>
      <c r="AJ153" s="7">
        <f>'Database MK'!FY154-'Database MK'!FZ154</f>
        <v>-45884</v>
      </c>
      <c r="AK153" s="7">
        <f>IF('Database MK'!GC154="","Belum",'Database MK'!GB154-'Database MK'!GC154)</f>
        <v>4</v>
      </c>
      <c r="AL153" s="7">
        <f>IF('Database MK'!GF154="","Belum",'Database MK'!GE154-'Database MK'!GF154)</f>
        <v>11</v>
      </c>
      <c r="AM153" s="309">
        <f>IF('Database MK'!GJ154="","Belum",'Database MK'!GI154-'Database MK'!GJ154)</f>
        <v>18</v>
      </c>
      <c r="AN153" s="7">
        <f>IF('Database MK'!HG154="","Belum",'Database MK'!HF154-'Database MK'!HG154)</f>
        <v>-5</v>
      </c>
      <c r="AO153" s="7">
        <f>IF('Database MK'!HP154="","Belum",'Database MK'!HN154-'Database MK'!HP154)</f>
        <v>-10</v>
      </c>
      <c r="AP153" s="7">
        <f>IF('Database MK'!HV154="","Belum",'Database MK'!HT154-'Database MK'!HV154)</f>
        <v>-7</v>
      </c>
    </row>
    <row r="154" spans="2:42" hidden="1" x14ac:dyDescent="0.2">
      <c r="B154" s="7">
        <f>SUBTOTAL(3,$C$4:C154)</f>
        <v>74</v>
      </c>
      <c r="C154" s="4" t="s">
        <v>629</v>
      </c>
      <c r="D154" s="4" t="s">
        <v>1109</v>
      </c>
      <c r="E154" s="4" t="s">
        <v>1110</v>
      </c>
      <c r="F154" s="300">
        <v>45931</v>
      </c>
      <c r="G154" s="4" t="s">
        <v>681</v>
      </c>
      <c r="H154" s="4" t="str">
        <f ca="1">'Database MK'!Q155</f>
        <v>DPPP</v>
      </c>
      <c r="I154" s="24">
        <f>'Database MK'!S155</f>
        <v>1</v>
      </c>
      <c r="J154" s="24">
        <f>'Database MK'!T155</f>
        <v>1</v>
      </c>
      <c r="K154" s="603">
        <f>'Database MK'!U155</f>
        <v>0</v>
      </c>
      <c r="L154" s="593">
        <f>'Database MK'!V155</f>
        <v>210</v>
      </c>
      <c r="M154" s="593">
        <f>'Database MK'!W155</f>
        <v>210</v>
      </c>
      <c r="N154" s="593">
        <f>Table3[[#This Row],[Total Panjang Pipa Aktual]]-Table3[[#This Row],[Volume
BA MC-0]]</f>
        <v>0</v>
      </c>
      <c r="O154" s="7" t="str">
        <f ca="1">'Database MK'!DE155</f>
        <v>Sudah, OnSchedule</v>
      </c>
      <c r="P154" s="7" t="str">
        <f ca="1">'Database MK'!DI155</f>
        <v>Sudah, Delay</v>
      </c>
      <c r="Q154" s="7" t="str">
        <f ca="1">'Database MK'!DN155</f>
        <v>Sudah, OnSchedule</v>
      </c>
      <c r="R154" s="7" t="str">
        <f ca="1">'Database MK'!DR155</f>
        <v>Sudah, Delay</v>
      </c>
      <c r="S154" s="7" t="str">
        <f ca="1">'Database MK'!EA155</f>
        <v>Sudah, OnSchedule</v>
      </c>
      <c r="T154" s="7" t="str">
        <f ca="1">'Database MK'!EI155</f>
        <v>Sudah, Delay</v>
      </c>
      <c r="U154" s="7" t="str">
        <f ca="1">'Database MK'!ET155</f>
        <v>Sudah, Delay</v>
      </c>
      <c r="V154" s="7" t="str">
        <f ca="1">'Database MK'!GA155</f>
        <v>Sudah, Delay</v>
      </c>
      <c r="W154" s="7" t="str">
        <f ca="1">'Database MK'!GD155</f>
        <v>Sudah, OnSchedule</v>
      </c>
      <c r="X154" s="7" t="str">
        <f ca="1">'Database MK'!GG155</f>
        <v>Sudah, OnSchedule</v>
      </c>
      <c r="Y154" s="7" t="str">
        <f ca="1">'Database MK'!GK155</f>
        <v>Sudah, OnSchedule</v>
      </c>
      <c r="Z154" s="7" t="str">
        <f ca="1">'Database MK'!HH155</f>
        <v>Sudah, Delay</v>
      </c>
      <c r="AA154" s="7" t="str">
        <f ca="1">'Database MK'!HQ155</f>
        <v>Sudah, Delay</v>
      </c>
      <c r="AB154" s="7" t="str">
        <f ca="1">'Database MK'!HW155</f>
        <v>Sudah, Delay</v>
      </c>
      <c r="AC154" s="7">
        <f>'Database MK'!DA155-'Database MK'!DB155</f>
        <v>18</v>
      </c>
      <c r="AD154" s="7">
        <f>'Database MK'!DA155-'Database MK'!DF155</f>
        <v>-1</v>
      </c>
      <c r="AE154" s="7">
        <f>'Database MK'!DK155-'Database MK'!DL155</f>
        <v>33</v>
      </c>
      <c r="AF154" s="7">
        <f>'Database MK'!DK155-'Database MK'!DO155</f>
        <v>-10</v>
      </c>
      <c r="AG154" s="7">
        <f>'Database MK'!DU155-'Database MK'!DW155</f>
        <v>5</v>
      </c>
      <c r="AH154" s="7">
        <f>IF('Database MK'!EB155="","Belum",'Database MK'!DU155-'Database MK'!EB155)</f>
        <v>-47</v>
      </c>
      <c r="AI154" s="7">
        <f>IF('Database MK'!EN155="","Belum",'Database MK'!EL155-'Database MK'!EN155)</f>
        <v>-201</v>
      </c>
      <c r="AJ154" s="7">
        <f>'Database MK'!FY155-'Database MK'!FZ155</f>
        <v>-45884</v>
      </c>
      <c r="AK154" s="7">
        <f>IF('Database MK'!GC155="","Belum",'Database MK'!GB155-'Database MK'!GC155)</f>
        <v>4</v>
      </c>
      <c r="AL154" s="7">
        <f>IF('Database MK'!GF155="","Belum",'Database MK'!GE155-'Database MK'!GF155)</f>
        <v>11</v>
      </c>
      <c r="AM154" s="309">
        <f>IF('Database MK'!GJ155="","Belum",'Database MK'!GI155-'Database MK'!GJ155)</f>
        <v>19</v>
      </c>
      <c r="AN154" s="7">
        <f>IF('Database MK'!HG155="","Belum",'Database MK'!HF155-'Database MK'!HG155)</f>
        <v>-5</v>
      </c>
      <c r="AO154" s="7">
        <f>IF('Database MK'!HP155="","Belum",'Database MK'!HN155-'Database MK'!HP155)</f>
        <v>-10</v>
      </c>
      <c r="AP154" s="7">
        <f>IF('Database MK'!HV155="","Belum",'Database MK'!HT155-'Database MK'!HV155)</f>
        <v>-7</v>
      </c>
    </row>
    <row r="155" spans="2:42" hidden="1" x14ac:dyDescent="0.2">
      <c r="B155" s="7">
        <f>SUBTOTAL(3,$C$4:C155)</f>
        <v>74</v>
      </c>
      <c r="C155" s="4" t="s">
        <v>629</v>
      </c>
      <c r="D155" s="4" t="s">
        <v>1117</v>
      </c>
      <c r="E155" s="4" t="s">
        <v>1118</v>
      </c>
      <c r="F155" s="300">
        <v>45931</v>
      </c>
      <c r="G155" s="4" t="s">
        <v>681</v>
      </c>
      <c r="H155" s="4" t="str">
        <f ca="1">'Database MK'!Q156</f>
        <v>DPPP</v>
      </c>
      <c r="I155" s="24">
        <f>'Database MK'!S156</f>
        <v>1</v>
      </c>
      <c r="J155" s="24">
        <f>'Database MK'!T156</f>
        <v>1</v>
      </c>
      <c r="K155" s="603">
        <f>'Database MK'!U156</f>
        <v>0</v>
      </c>
      <c r="L155" s="593">
        <f>'Database MK'!V156</f>
        <v>254</v>
      </c>
      <c r="M155" s="593">
        <f>'Database MK'!W156</f>
        <v>263.2</v>
      </c>
      <c r="N155" s="593">
        <f>Table3[[#This Row],[Total Panjang Pipa Aktual]]-Table3[[#This Row],[Volume
BA MC-0]]</f>
        <v>9.1999999999999886</v>
      </c>
      <c r="O155" s="7" t="str">
        <f ca="1">'Database MK'!DE156</f>
        <v>Sudah, OnSchedule</v>
      </c>
      <c r="P155" s="7" t="str">
        <f ca="1">'Database MK'!DI156</f>
        <v>Sudah, Delay</v>
      </c>
      <c r="Q155" s="7" t="str">
        <f ca="1">'Database MK'!DN156</f>
        <v>Sudah, OnSchedule</v>
      </c>
      <c r="R155" s="7" t="str">
        <f ca="1">'Database MK'!DR156</f>
        <v>Sudah, Delay</v>
      </c>
      <c r="S155" s="7" t="str">
        <f ca="1">'Database MK'!EA156</f>
        <v>Sudah, OnSchedule</v>
      </c>
      <c r="T155" s="7" t="str">
        <f ca="1">'Database MK'!EI156</f>
        <v>Sudah, Delay</v>
      </c>
      <c r="U155" s="7" t="str">
        <f ca="1">'Database MK'!ET156</f>
        <v>Sudah, Delay</v>
      </c>
      <c r="V155" s="7" t="str">
        <f ca="1">'Database MK'!GA156</f>
        <v>Sudah, Delay</v>
      </c>
      <c r="W155" s="7" t="str">
        <f ca="1">'Database MK'!GD156</f>
        <v>Sudah, OnSchedule</v>
      </c>
      <c r="X155" s="7" t="str">
        <f ca="1">'Database MK'!GG156</f>
        <v>Sudah, OnSchedule</v>
      </c>
      <c r="Y155" s="7" t="str">
        <f ca="1">'Database MK'!GK156</f>
        <v>Sudah, OnSchedule</v>
      </c>
      <c r="Z155" s="7" t="str">
        <f ca="1">'Database MK'!HH156</f>
        <v>Sudah, Delay</v>
      </c>
      <c r="AA155" s="7" t="str">
        <f ca="1">'Database MK'!HQ156</f>
        <v>Sudah, Delay</v>
      </c>
      <c r="AB155" s="7" t="str">
        <f ca="1">'Database MK'!HW156</f>
        <v>Sudah, Delay</v>
      </c>
      <c r="AC155" s="7">
        <f>'Database MK'!DA156-'Database MK'!DB156</f>
        <v>18</v>
      </c>
      <c r="AD155" s="7">
        <f>'Database MK'!DA156-'Database MK'!DF156</f>
        <v>-1</v>
      </c>
      <c r="AE155" s="7">
        <f>'Database MK'!DK156-'Database MK'!DL156</f>
        <v>32</v>
      </c>
      <c r="AF155" s="7">
        <f>'Database MK'!DK156-'Database MK'!DO156</f>
        <v>-10</v>
      </c>
      <c r="AG155" s="7">
        <f>'Database MK'!DU156-'Database MK'!DW156</f>
        <v>4</v>
      </c>
      <c r="AH155" s="7">
        <f>IF('Database MK'!EB156="","Belum",'Database MK'!DU156-'Database MK'!EB156)</f>
        <v>-47</v>
      </c>
      <c r="AI155" s="7">
        <f>IF('Database MK'!EN156="","Belum",'Database MK'!EL156-'Database MK'!EN156)</f>
        <v>-136</v>
      </c>
      <c r="AJ155" s="7">
        <f>'Database MK'!FY156-'Database MK'!FZ156</f>
        <v>-45884</v>
      </c>
      <c r="AK155" s="7">
        <f>IF('Database MK'!GC156="","Belum",'Database MK'!GB156-'Database MK'!GC156)</f>
        <v>4</v>
      </c>
      <c r="AL155" s="7">
        <f>IF('Database MK'!GF156="","Belum",'Database MK'!GE156-'Database MK'!GF156)</f>
        <v>11</v>
      </c>
      <c r="AM155" s="309">
        <f>IF('Database MK'!GJ156="","Belum",'Database MK'!GI156-'Database MK'!GJ156)</f>
        <v>16</v>
      </c>
      <c r="AN155" s="7">
        <f>IF('Database MK'!HG156="","Belum",'Database MK'!HF156-'Database MK'!HG156)</f>
        <v>-31</v>
      </c>
      <c r="AO155" s="7">
        <f>IF('Database MK'!HP156="","Belum",'Database MK'!HN156-'Database MK'!HP156)</f>
        <v>-39</v>
      </c>
      <c r="AP155" s="7">
        <f>IF('Database MK'!HV156="","Belum",'Database MK'!HT156-'Database MK'!HV156)</f>
        <v>-52</v>
      </c>
    </row>
    <row r="156" spans="2:42" hidden="1" x14ac:dyDescent="0.2">
      <c r="B156" s="7">
        <f>SUBTOTAL(3,$C$4:C156)</f>
        <v>74</v>
      </c>
      <c r="C156" s="4" t="s">
        <v>629</v>
      </c>
      <c r="D156" s="4" t="s">
        <v>1125</v>
      </c>
      <c r="E156" s="4" t="s">
        <v>1126</v>
      </c>
      <c r="F156" s="300">
        <v>45931</v>
      </c>
      <c r="G156" s="4" t="s">
        <v>681</v>
      </c>
      <c r="H156" s="4" t="str">
        <f ca="1">'Database MK'!Q157</f>
        <v>DPPP</v>
      </c>
      <c r="I156" s="24">
        <f>'Database MK'!S157</f>
        <v>1</v>
      </c>
      <c r="J156" s="24">
        <f>'Database MK'!T157</f>
        <v>1</v>
      </c>
      <c r="K156" s="603">
        <f>'Database MK'!U157</f>
        <v>0</v>
      </c>
      <c r="L156" s="593">
        <f>'Database MK'!V157</f>
        <v>338</v>
      </c>
      <c r="M156" s="593">
        <f>'Database MK'!W157</f>
        <v>343</v>
      </c>
      <c r="N156" s="593">
        <f>Table3[[#This Row],[Total Panjang Pipa Aktual]]-Table3[[#This Row],[Volume
BA MC-0]]</f>
        <v>5</v>
      </c>
      <c r="O156" s="7" t="str">
        <f ca="1">'Database MK'!DE157</f>
        <v>Sudah, OnSchedule</v>
      </c>
      <c r="P156" s="7" t="str">
        <f ca="1">'Database MK'!DI157</f>
        <v>Sudah, OnSchedule</v>
      </c>
      <c r="Q156" s="7" t="str">
        <f ca="1">'Database MK'!DN157</f>
        <v>Sudah, OnSchedule</v>
      </c>
      <c r="R156" s="7" t="str">
        <f ca="1">'Database MK'!DR157</f>
        <v>Sudah, Delay</v>
      </c>
      <c r="S156" s="7" t="str">
        <f ca="1">'Database MK'!EA157</f>
        <v>Sudah, OnSchedule</v>
      </c>
      <c r="T156" s="7" t="str">
        <f ca="1">'Database MK'!EI157</f>
        <v>Sudah, Delay</v>
      </c>
      <c r="U156" s="7" t="str">
        <f ca="1">'Database MK'!ET157</f>
        <v>Sudah, Delay</v>
      </c>
      <c r="V156" s="7" t="str">
        <f ca="1">'Database MK'!GA157</f>
        <v>Sudah, Delay</v>
      </c>
      <c r="W156" s="7" t="str">
        <f ca="1">'Database MK'!GD157</f>
        <v>Sudah, OnSchedule</v>
      </c>
      <c r="X156" s="7" t="str">
        <f ca="1">'Database MK'!GG157</f>
        <v>Sudah, OnSchedule</v>
      </c>
      <c r="Y156" s="7" t="str">
        <f ca="1">'Database MK'!GK157</f>
        <v>Sudah, OnSchedule</v>
      </c>
      <c r="Z156" s="7" t="str">
        <f ca="1">'Database MK'!HH157</f>
        <v>Sudah, Delay</v>
      </c>
      <c r="AA156" s="7" t="str">
        <f ca="1">'Database MK'!HQ157</f>
        <v>Sudah, Delay</v>
      </c>
      <c r="AB156" s="7" t="str">
        <f ca="1">'Database MK'!HW157</f>
        <v>Sudah, Delay</v>
      </c>
      <c r="AC156" s="7">
        <f>'Database MK'!DA157-'Database MK'!DB157</f>
        <v>18</v>
      </c>
      <c r="AD156" s="7">
        <f>'Database MK'!DA157-'Database MK'!DF157</f>
        <v>3</v>
      </c>
      <c r="AE156" s="7">
        <f>'Database MK'!DK157-'Database MK'!DL157</f>
        <v>32</v>
      </c>
      <c r="AF156" s="7">
        <f>'Database MK'!DK157-'Database MK'!DO157</f>
        <v>-10</v>
      </c>
      <c r="AG156" s="7">
        <f>'Database MK'!DU157-'Database MK'!DW157</f>
        <v>4</v>
      </c>
      <c r="AH156" s="7">
        <f>IF('Database MK'!EB157="","Belum",'Database MK'!DU157-'Database MK'!EB157)</f>
        <v>-46</v>
      </c>
      <c r="AI156" s="7">
        <f>IF('Database MK'!EN157="","Belum",'Database MK'!EL157-'Database MK'!EN157)</f>
        <v>-138</v>
      </c>
      <c r="AJ156" s="7">
        <f>'Database MK'!FY157-'Database MK'!FZ157</f>
        <v>-45884</v>
      </c>
      <c r="AK156" s="7">
        <f>IF('Database MK'!GC157="","Belum",'Database MK'!GB157-'Database MK'!GC157)</f>
        <v>4</v>
      </c>
      <c r="AL156" s="7">
        <f>IF('Database MK'!GF157="","Belum",'Database MK'!GE157-'Database MK'!GF157)</f>
        <v>11</v>
      </c>
      <c r="AM156" s="309">
        <f>IF('Database MK'!GJ157="","Belum",'Database MK'!GI157-'Database MK'!GJ157)</f>
        <v>384</v>
      </c>
      <c r="AN156" s="7">
        <f>IF('Database MK'!HG157="","Belum",'Database MK'!HF157-'Database MK'!HG157)</f>
        <v>-31</v>
      </c>
      <c r="AO156" s="7">
        <f>IF('Database MK'!HP157="","Belum",'Database MK'!HN157-'Database MK'!HP157)</f>
        <v>-39</v>
      </c>
      <c r="AP156" s="7">
        <f>IF('Database MK'!HV157="","Belum",'Database MK'!HT157-'Database MK'!HV157)</f>
        <v>-52</v>
      </c>
    </row>
    <row r="157" spans="2:42" hidden="1" x14ac:dyDescent="0.2">
      <c r="B157" s="7">
        <f>SUBTOTAL(3,$C$4:C157)</f>
        <v>74</v>
      </c>
      <c r="C157" s="4" t="s">
        <v>629</v>
      </c>
      <c r="D157" s="4" t="s">
        <v>1133</v>
      </c>
      <c r="E157" s="4" t="s">
        <v>1134</v>
      </c>
      <c r="F157" s="300">
        <v>45931</v>
      </c>
      <c r="G157" s="4" t="s">
        <v>681</v>
      </c>
      <c r="H157" s="4" t="str">
        <f ca="1">'Database MK'!Q158</f>
        <v>DPPP</v>
      </c>
      <c r="I157" s="24">
        <f>'Database MK'!S158</f>
        <v>1</v>
      </c>
      <c r="J157" s="24">
        <f>'Database MK'!T158</f>
        <v>1</v>
      </c>
      <c r="K157" s="603">
        <f>'Database MK'!U158</f>
        <v>0</v>
      </c>
      <c r="L157" s="593">
        <f>'Database MK'!V158</f>
        <v>669</v>
      </c>
      <c r="M157" s="593">
        <f>'Database MK'!W158</f>
        <v>667.59999999999991</v>
      </c>
      <c r="N157" s="593">
        <f>Table3[[#This Row],[Total Panjang Pipa Aktual]]-Table3[[#This Row],[Volume
BA MC-0]]</f>
        <v>-1.4000000000000909</v>
      </c>
      <c r="O157" s="7" t="str">
        <f ca="1">'Database MK'!DE158</f>
        <v>Sudah, OnSchedule</v>
      </c>
      <c r="P157" s="7" t="str">
        <f ca="1">'Database MK'!DI158</f>
        <v>Sudah, OnSchedule</v>
      </c>
      <c r="Q157" s="7" t="str">
        <f ca="1">'Database MK'!DN158</f>
        <v>Sudah, OnSchedule</v>
      </c>
      <c r="R157" s="7" t="str">
        <f ca="1">'Database MK'!DR158</f>
        <v>Sudah, Delay</v>
      </c>
      <c r="S157" s="7" t="str">
        <f ca="1">'Database MK'!EA158</f>
        <v>Sudah, OnSchedule</v>
      </c>
      <c r="T157" s="7" t="str">
        <f ca="1">'Database MK'!EI158</f>
        <v>Sudah, Delay</v>
      </c>
      <c r="U157" s="7" t="str">
        <f ca="1">'Database MK'!ET158</f>
        <v>Sudah, Delay</v>
      </c>
      <c r="V157" s="7" t="str">
        <f ca="1">'Database MK'!GA158</f>
        <v>Sudah, Delay</v>
      </c>
      <c r="W157" s="7" t="str">
        <f ca="1">'Database MK'!GD158</f>
        <v>Sudah, Delay</v>
      </c>
      <c r="X157" s="7" t="str">
        <f ca="1">'Database MK'!GG158</f>
        <v>Sudah, Delay</v>
      </c>
      <c r="Y157" s="7" t="str">
        <f ca="1">'Database MK'!GK158</f>
        <v>Sudah, Delay</v>
      </c>
      <c r="Z157" s="7" t="str">
        <f ca="1">'Database MK'!HH158</f>
        <v>Sudah, Delay</v>
      </c>
      <c r="AA157" s="7" t="str">
        <f ca="1">'Database MK'!HQ158</f>
        <v>Sudah, Delay</v>
      </c>
      <c r="AB157" s="7" t="str">
        <f ca="1">'Database MK'!HW158</f>
        <v>Sudah, Delay</v>
      </c>
      <c r="AC157" s="7">
        <f>'Database MK'!DA158-'Database MK'!DB158</f>
        <v>17</v>
      </c>
      <c r="AD157" s="7">
        <f>'Database MK'!DA158-'Database MK'!DF158</f>
        <v>11</v>
      </c>
      <c r="AE157" s="7">
        <f>'Database MK'!DK158-'Database MK'!DL158</f>
        <v>52</v>
      </c>
      <c r="AF157" s="7">
        <f>'Database MK'!DK158-'Database MK'!DO158</f>
        <v>-10</v>
      </c>
      <c r="AG157" s="7">
        <f>'Database MK'!DU158-'Database MK'!DW158</f>
        <v>31</v>
      </c>
      <c r="AH157" s="7">
        <f>IF('Database MK'!EB158="","Belum",'Database MK'!DU158-'Database MK'!EB158)</f>
        <v>-115</v>
      </c>
      <c r="AI157" s="7">
        <f>IF('Database MK'!EN158="","Belum",'Database MK'!EL158-'Database MK'!EN158)</f>
        <v>-157</v>
      </c>
      <c r="AJ157" s="7">
        <f>'Database MK'!FY158-'Database MK'!FZ158</f>
        <v>-45884</v>
      </c>
      <c r="AK157" s="7">
        <f>IF('Database MK'!GC158="","Belum",'Database MK'!GB158-'Database MK'!GC158)</f>
        <v>-31</v>
      </c>
      <c r="AL157" s="7">
        <f>IF('Database MK'!GF158="","Belum",'Database MK'!GE158-'Database MK'!GF158)</f>
        <v>-24</v>
      </c>
      <c r="AM157" s="309">
        <f>IF('Database MK'!GJ158="","Belum",'Database MK'!GI158-'Database MK'!GJ158)</f>
        <v>-16</v>
      </c>
      <c r="AN157" s="7">
        <f>IF('Database MK'!HG158="","Belum",'Database MK'!HF158-'Database MK'!HG158)</f>
        <v>-89</v>
      </c>
      <c r="AO157" s="7">
        <f>IF('Database MK'!HP158="","Belum",'Database MK'!HN158-'Database MK'!HP158)</f>
        <v>-82</v>
      </c>
      <c r="AP157" s="7">
        <f>IF('Database MK'!HV158="","Belum",'Database MK'!HT158-'Database MK'!HV158)</f>
        <v>-95</v>
      </c>
    </row>
    <row r="158" spans="2:42" hidden="1" x14ac:dyDescent="0.2">
      <c r="B158" s="7">
        <f>SUBTOTAL(3,$C$4:C158)</f>
        <v>74</v>
      </c>
      <c r="C158" s="4" t="s">
        <v>244</v>
      </c>
      <c r="D158" s="4" t="s">
        <v>1142</v>
      </c>
      <c r="E158" s="4" t="s">
        <v>1143</v>
      </c>
      <c r="F158" s="300">
        <v>45931</v>
      </c>
      <c r="G158" s="4" t="s">
        <v>247</v>
      </c>
      <c r="H158" s="4" t="str">
        <f ca="1">'Database MK'!Q159</f>
        <v>DPPP</v>
      </c>
      <c r="I158" s="24">
        <f>'Database MK'!S159</f>
        <v>1</v>
      </c>
      <c r="J158" s="24">
        <f>'Database MK'!T159</f>
        <v>1</v>
      </c>
      <c r="K158" s="603">
        <f>'Database MK'!U159</f>
        <v>0</v>
      </c>
      <c r="L158" s="593">
        <f>'Database MK'!V159</f>
        <v>5440</v>
      </c>
      <c r="M158" s="593">
        <f>'Database MK'!W159</f>
        <v>5649.0300000000007</v>
      </c>
      <c r="N158" s="593">
        <f>Table3[[#This Row],[Total Panjang Pipa Aktual]]-Table3[[#This Row],[Volume
BA MC-0]]</f>
        <v>209.03000000000065</v>
      </c>
      <c r="O158" s="7" t="str">
        <f ca="1">'Database MK'!DE159</f>
        <v>Sudah, OnSchedule</v>
      </c>
      <c r="P158" s="7" t="str">
        <f ca="1">'Database MK'!DI159</f>
        <v>Sudah, OnSchedule</v>
      </c>
      <c r="Q158" s="7" t="str">
        <f ca="1">'Database MK'!DN159</f>
        <v>Sudah, OnSchedule</v>
      </c>
      <c r="R158" s="7" t="str">
        <f ca="1">'Database MK'!DR159</f>
        <v>Sudah, Delay</v>
      </c>
      <c r="S158" s="7" t="str">
        <f ca="1">'Database MK'!EA159</f>
        <v>Sudah, Delay</v>
      </c>
      <c r="T158" s="7" t="str">
        <f ca="1">'Database MK'!EI159</f>
        <v>Sudah, Delay</v>
      </c>
      <c r="U158" s="7" t="str">
        <f ca="1">'Database MK'!ET159</f>
        <v>Sudah, Delay</v>
      </c>
      <c r="V158" s="7" t="str">
        <f ca="1">'Database MK'!GA159</f>
        <v>Belum, Delay</v>
      </c>
      <c r="W158" s="7" t="str">
        <f ca="1">'Database MK'!GD159</f>
        <v>Sudah, OnSchedule</v>
      </c>
      <c r="X158" s="7" t="str">
        <f ca="1">'Database MK'!GG159</f>
        <v>Sudah, OnSchedule</v>
      </c>
      <c r="Y158" s="7" t="str">
        <f ca="1">'Database MK'!GK159</f>
        <v>Sudah, Delay</v>
      </c>
      <c r="Z158" s="7" t="str">
        <f ca="1">'Database MK'!HH159</f>
        <v>Sudah, Delay</v>
      </c>
      <c r="AA158" s="7" t="str">
        <f ca="1">'Database MK'!HQ159</f>
        <v>Sudah, Delay</v>
      </c>
      <c r="AB158" s="7" t="str">
        <f ca="1">'Database MK'!HW159</f>
        <v>Sudah, Delay</v>
      </c>
      <c r="AC158" s="7">
        <f>'Database MK'!DA159-'Database MK'!DB159</f>
        <v>142</v>
      </c>
      <c r="AD158" s="7">
        <f>'Database MK'!DA159-'Database MK'!DF159</f>
        <v>132</v>
      </c>
      <c r="AE158" s="7">
        <f>'Database MK'!DK159-'Database MK'!DL159</f>
        <v>16</v>
      </c>
      <c r="AF158" s="7">
        <f>'Database MK'!DK159-'Database MK'!DO159</f>
        <v>-121</v>
      </c>
      <c r="AG158" s="7">
        <f>'Database MK'!DU159-'Database MK'!DW159</f>
        <v>-543</v>
      </c>
      <c r="AH158" s="7">
        <f>IF('Database MK'!EB159="","Belum",'Database MK'!DU159-'Database MK'!EB159)</f>
        <v>-571</v>
      </c>
      <c r="AI158" s="7">
        <f>IF('Database MK'!EN159="","Belum",'Database MK'!EL159-'Database MK'!EN159)</f>
        <v>-529</v>
      </c>
      <c r="AJ158" s="7">
        <f>'Database MK'!FY159-'Database MK'!FZ159</f>
        <v>0</v>
      </c>
      <c r="AK158" s="7">
        <f>IF('Database MK'!GC159="","Belum",'Database MK'!GB159-'Database MK'!GC159)</f>
        <v>124</v>
      </c>
      <c r="AL158" s="7">
        <f>IF('Database MK'!GF159="","Belum",'Database MK'!GE159-'Database MK'!GF159)</f>
        <v>131</v>
      </c>
      <c r="AM158" s="309">
        <f>IF('Database MK'!GJ159="","Belum",'Database MK'!GI159-'Database MK'!GJ159)</f>
        <v>-8</v>
      </c>
      <c r="AN158" s="7">
        <f>IF('Database MK'!HG159="","Belum",'Database MK'!HF159-'Database MK'!HG159)</f>
        <v>-242</v>
      </c>
      <c r="AO158" s="7">
        <f>IF('Database MK'!HP159="","Belum",'Database MK'!HN159-'Database MK'!HP159)</f>
        <v>-227</v>
      </c>
      <c r="AP158" s="7">
        <f>IF('Database MK'!HV159="","Belum",'Database MK'!HT159-'Database MK'!HV159)</f>
        <v>-249</v>
      </c>
    </row>
    <row r="159" spans="2:42" hidden="1" x14ac:dyDescent="0.2">
      <c r="B159" s="7">
        <f>SUBTOTAL(3,$C$4:C159)</f>
        <v>74</v>
      </c>
      <c r="C159" s="4" t="s">
        <v>244</v>
      </c>
      <c r="D159" s="4" t="s">
        <v>1147</v>
      </c>
      <c r="E159" s="4" t="s">
        <v>1148</v>
      </c>
      <c r="F159" s="300">
        <v>45931</v>
      </c>
      <c r="G159" s="4" t="s">
        <v>247</v>
      </c>
      <c r="H159" s="4" t="str">
        <f ca="1">'Database MK'!Q160</f>
        <v>DPPP</v>
      </c>
      <c r="I159" s="24">
        <f>'Database MK'!S160</f>
        <v>1</v>
      </c>
      <c r="J159" s="24">
        <f>'Database MK'!T160</f>
        <v>1</v>
      </c>
      <c r="K159" s="603">
        <f>'Database MK'!U160</f>
        <v>0</v>
      </c>
      <c r="L159" s="593">
        <f>'Database MK'!V160</f>
        <v>2200</v>
      </c>
      <c r="M159" s="593">
        <f>'Database MK'!W160</f>
        <v>2315.4549999999999</v>
      </c>
      <c r="N159" s="593">
        <f>Table3[[#This Row],[Total Panjang Pipa Aktual]]-Table3[[#This Row],[Volume
BA MC-0]]</f>
        <v>115.45499999999993</v>
      </c>
      <c r="O159" s="7" t="str">
        <f ca="1">'Database MK'!DE160</f>
        <v>Sudah, OnSchedule</v>
      </c>
      <c r="P159" s="7" t="str">
        <f ca="1">'Database MK'!DI160</f>
        <v>Sudah, OnSchedule</v>
      </c>
      <c r="Q159" s="7" t="str">
        <f ca="1">'Database MK'!DN160</f>
        <v>Sudah, OnSchedule</v>
      </c>
      <c r="R159" s="7" t="str">
        <f ca="1">'Database MK'!DR160</f>
        <v>Sudah, OnSchedule</v>
      </c>
      <c r="S159" s="7" t="str">
        <f ca="1">'Database MK'!EA160</f>
        <v>Sudah, Delay</v>
      </c>
      <c r="T159" s="7" t="str">
        <f ca="1">'Database MK'!EI160</f>
        <v>Sudah, Delay</v>
      </c>
      <c r="U159" s="7" t="str">
        <f ca="1">'Database MK'!ET160</f>
        <v>Sudah, Delay</v>
      </c>
      <c r="V159" s="7" t="str">
        <f ca="1">'Database MK'!GA160</f>
        <v>Belum, Delay</v>
      </c>
      <c r="W159" s="7" t="str">
        <f ca="1">'Database MK'!GD160</f>
        <v>Sudah, OnSchedule</v>
      </c>
      <c r="X159" s="7" t="str">
        <f ca="1">'Database MK'!GG160</f>
        <v>Sudah, OnSchedule</v>
      </c>
      <c r="Y159" s="7" t="str">
        <f ca="1">'Database MK'!GK160</f>
        <v>Sudah, OnSchedule</v>
      </c>
      <c r="Z159" s="7" t="str">
        <f ca="1">'Database MK'!HH160</f>
        <v>Sudah, Delay</v>
      </c>
      <c r="AA159" s="7" t="str">
        <f ca="1">'Database MK'!HQ160</f>
        <v>Sudah, Delay</v>
      </c>
      <c r="AB159" s="7" t="str">
        <f ca="1">'Database MK'!HW160</f>
        <v>Sudah, Delay</v>
      </c>
      <c r="AC159" s="7">
        <f>'Database MK'!DA160-'Database MK'!DB160</f>
        <v>359</v>
      </c>
      <c r="AD159" s="7">
        <f>'Database MK'!DA160-'Database MK'!DF160</f>
        <v>349</v>
      </c>
      <c r="AE159" s="7">
        <f>'Database MK'!DK160-'Database MK'!DL160</f>
        <v>331</v>
      </c>
      <c r="AF159" s="7">
        <f>'Database MK'!DK160-'Database MK'!DO160</f>
        <v>328</v>
      </c>
      <c r="AG159" s="7">
        <f>'Database MK'!DU160-'Database MK'!DW160</f>
        <v>-263</v>
      </c>
      <c r="AH159" s="7">
        <f>IF('Database MK'!EB160="","Belum",'Database MK'!DU160-'Database MK'!EB160)</f>
        <v>-255</v>
      </c>
      <c r="AI159" s="7">
        <f>IF('Database MK'!EN160="","Belum",'Database MK'!EL160-'Database MK'!EN160)</f>
        <v>-314</v>
      </c>
      <c r="AJ159" s="7">
        <f>'Database MK'!FY160-'Database MK'!FZ160</f>
        <v>0</v>
      </c>
      <c r="AK159" s="7">
        <f>IF('Database MK'!GC160="","Belum",'Database MK'!GB160-'Database MK'!GC160)</f>
        <v>107</v>
      </c>
      <c r="AL159" s="7">
        <f>IF('Database MK'!GF160="","Belum",'Database MK'!GE160-'Database MK'!GF160)</f>
        <v>86</v>
      </c>
      <c r="AM159" s="309">
        <f>IF('Database MK'!GJ160="","Belum",'Database MK'!GI160-'Database MK'!GJ160)</f>
        <v>96</v>
      </c>
      <c r="AN159" s="7">
        <f>IF('Database MK'!HG160="","Belum",'Database MK'!HF160-'Database MK'!HG160)</f>
        <v>-56</v>
      </c>
      <c r="AO159" s="7">
        <f>IF('Database MK'!HP160="","Belum",'Database MK'!HN160-'Database MK'!HP160)</f>
        <v>-45</v>
      </c>
      <c r="AP159" s="7">
        <f>IF('Database MK'!HV160="","Belum",'Database MK'!HT160-'Database MK'!HV160)</f>
        <v>-54</v>
      </c>
    </row>
    <row r="160" spans="2:42" hidden="1" x14ac:dyDescent="0.2">
      <c r="B160" s="7">
        <f>SUBTOTAL(3,$C$4:C160)</f>
        <v>74</v>
      </c>
      <c r="C160" s="4" t="s">
        <v>244</v>
      </c>
      <c r="D160" s="4" t="s">
        <v>1155</v>
      </c>
      <c r="E160" s="4" t="s">
        <v>1156</v>
      </c>
      <c r="F160" s="300">
        <v>45931</v>
      </c>
      <c r="G160" s="4" t="s">
        <v>247</v>
      </c>
      <c r="H160" s="4" t="str">
        <f ca="1">'Database MK'!Q161</f>
        <v>DPPP</v>
      </c>
      <c r="I160" s="24">
        <f>'Database MK'!S161</f>
        <v>1</v>
      </c>
      <c r="J160" s="24">
        <f>'Database MK'!T161</f>
        <v>1</v>
      </c>
      <c r="K160" s="603">
        <f>'Database MK'!U161</f>
        <v>0</v>
      </c>
      <c r="L160" s="593">
        <f>'Database MK'!V161</f>
        <v>3064.7</v>
      </c>
      <c r="M160" s="593">
        <f>'Database MK'!W161</f>
        <v>3213.5</v>
      </c>
      <c r="N160" s="593">
        <f>Table3[[#This Row],[Total Panjang Pipa Aktual]]-Table3[[#This Row],[Volume
BA MC-0]]</f>
        <v>148.80000000000018</v>
      </c>
      <c r="O160" s="7" t="str">
        <f ca="1">'Database MK'!DE161</f>
        <v>Sudah, OnSchedule</v>
      </c>
      <c r="P160" s="7" t="str">
        <f ca="1">'Database MK'!DI161</f>
        <v>Sudah, OnSchedule</v>
      </c>
      <c r="Q160" s="7" t="str">
        <f ca="1">'Database MK'!DN161</f>
        <v>Sudah, OnSchedule</v>
      </c>
      <c r="R160" s="7" t="str">
        <f ca="1">'Database MK'!DR161</f>
        <v>Sudah, OnSchedule</v>
      </c>
      <c r="S160" s="7" t="str">
        <f ca="1">'Database MK'!EA161</f>
        <v>Sudah, OnSchedule</v>
      </c>
      <c r="T160" s="7" t="str">
        <f ca="1">'Database MK'!EI161</f>
        <v>Sudah, Delay</v>
      </c>
      <c r="U160" s="7" t="str">
        <f ca="1">'Database MK'!ET161</f>
        <v>Sudah, Delay</v>
      </c>
      <c r="V160" s="7" t="str">
        <f ca="1">'Database MK'!GA161</f>
        <v>Belum, Delay</v>
      </c>
      <c r="W160" s="7" t="str">
        <f ca="1">'Database MK'!GD161</f>
        <v>Sudah, OnSchedule</v>
      </c>
      <c r="X160" s="7" t="str">
        <f ca="1">'Database MK'!GG161</f>
        <v>Sudah, OnSchedule</v>
      </c>
      <c r="Y160" s="7" t="str">
        <f ca="1">'Database MK'!GK161</f>
        <v>Sudah, OnSchedule</v>
      </c>
      <c r="Z160" s="7" t="str">
        <f ca="1">'Database MK'!HH161</f>
        <v>Sudah, Delay</v>
      </c>
      <c r="AA160" s="7" t="str">
        <f ca="1">'Database MK'!HQ161</f>
        <v>Sudah, Delay</v>
      </c>
      <c r="AB160" s="7" t="str">
        <f ca="1">'Database MK'!HW161</f>
        <v>Sudah, Delay</v>
      </c>
      <c r="AC160" s="7">
        <f>'Database MK'!DA161-'Database MK'!DB161</f>
        <v>325</v>
      </c>
      <c r="AD160" s="7">
        <f>'Database MK'!DA161-'Database MK'!DF161</f>
        <v>318</v>
      </c>
      <c r="AE160" s="7">
        <f>'Database MK'!DK161-'Database MK'!DL161</f>
        <v>331</v>
      </c>
      <c r="AF160" s="7">
        <f>'Database MK'!DK161-'Database MK'!DO161</f>
        <v>328</v>
      </c>
      <c r="AG160" s="7">
        <f>'Database MK'!DU161-'Database MK'!DW161</f>
        <v>374</v>
      </c>
      <c r="AH160" s="7">
        <f>IF('Database MK'!EB161="","Belum",'Database MK'!DU161-'Database MK'!EB161)</f>
        <v>-289</v>
      </c>
      <c r="AI160" s="7">
        <f>IF('Database MK'!EN161="","Belum",'Database MK'!EL161-'Database MK'!EN161)</f>
        <v>-319</v>
      </c>
      <c r="AJ160" s="7">
        <f>'Database MK'!FY161-'Database MK'!FZ161</f>
        <v>0</v>
      </c>
      <c r="AK160" s="7">
        <f>IF('Database MK'!GC161="","Belum",'Database MK'!GB161-'Database MK'!GC161)</f>
        <v>107</v>
      </c>
      <c r="AL160" s="7">
        <f>IF('Database MK'!GF161="","Belum",'Database MK'!GE161-'Database MK'!GF161)</f>
        <v>86</v>
      </c>
      <c r="AM160" s="309">
        <f>IF('Database MK'!GJ161="","Belum",'Database MK'!GI161-'Database MK'!GJ161)</f>
        <v>96</v>
      </c>
      <c r="AN160" s="7">
        <f>IF('Database MK'!HG161="","Belum",'Database MK'!HF161-'Database MK'!HG161)</f>
        <v>-34</v>
      </c>
      <c r="AO160" s="7">
        <f>IF('Database MK'!HP161="","Belum",'Database MK'!HN161-'Database MK'!HP161)</f>
        <v>-24</v>
      </c>
      <c r="AP160" s="7">
        <f>IF('Database MK'!HV161="","Belum",'Database MK'!HT161-'Database MK'!HV161)</f>
        <v>-8</v>
      </c>
    </row>
    <row r="161" spans="2:42" hidden="1" x14ac:dyDescent="0.2">
      <c r="B161" s="7">
        <f>SUBTOTAL(3,$C$4:C161)</f>
        <v>74</v>
      </c>
      <c r="C161" s="4" t="s">
        <v>244</v>
      </c>
      <c r="D161" s="4" t="s">
        <v>1163</v>
      </c>
      <c r="E161" s="4" t="s">
        <v>1164</v>
      </c>
      <c r="F161" s="300">
        <v>45931</v>
      </c>
      <c r="G161" s="4" t="s">
        <v>247</v>
      </c>
      <c r="H161" s="4" t="str">
        <f ca="1">'Database MK'!Q162</f>
        <v>DPPP</v>
      </c>
      <c r="I161" s="24">
        <f>'Database MK'!S162</f>
        <v>1</v>
      </c>
      <c r="J161" s="24">
        <f>'Database MK'!T162</f>
        <v>1</v>
      </c>
      <c r="K161" s="603">
        <f>'Database MK'!U162</f>
        <v>0</v>
      </c>
      <c r="L161" s="593">
        <f>'Database MK'!V162</f>
        <v>260</v>
      </c>
      <c r="M161" s="593">
        <f>'Database MK'!W162</f>
        <v>255</v>
      </c>
      <c r="N161" s="593">
        <f>Table3[[#This Row],[Total Panjang Pipa Aktual]]-Table3[[#This Row],[Volume
BA MC-0]]</f>
        <v>-5</v>
      </c>
      <c r="O161" s="7" t="str">
        <f ca="1">'Database MK'!DE162</f>
        <v>Sudah, OnSchedule</v>
      </c>
      <c r="P161" s="7" t="str">
        <f ca="1">'Database MK'!DI162</f>
        <v>Sudah, OnSchedule</v>
      </c>
      <c r="Q161" s="7" t="str">
        <f ca="1">'Database MK'!DN162</f>
        <v>Sudah, OnSchedule</v>
      </c>
      <c r="R161" s="7" t="str">
        <f ca="1">'Database MK'!DR162</f>
        <v>Sudah, Delay</v>
      </c>
      <c r="S161" s="7" t="str">
        <f ca="1">'Database MK'!EA162</f>
        <v>Sudah, Delay</v>
      </c>
      <c r="T161" s="7" t="str">
        <f ca="1">'Database MK'!EI162</f>
        <v>Sudah, Delay</v>
      </c>
      <c r="U161" s="7" t="str">
        <f ca="1">'Database MK'!ET162</f>
        <v>Sudah, Delay</v>
      </c>
      <c r="V161" s="7" t="str">
        <f ca="1">'Database MK'!GA162</f>
        <v>Belum, Delay</v>
      </c>
      <c r="W161" s="7" t="str">
        <f ca="1">'Database MK'!GD162</f>
        <v>Sudah, Delay</v>
      </c>
      <c r="X161" s="7" t="str">
        <f ca="1">'Database MK'!GG162</f>
        <v>Sudah, Delay</v>
      </c>
      <c r="Y161" s="7" t="str">
        <f ca="1">'Database MK'!GK162</f>
        <v>Sudah, Delay</v>
      </c>
      <c r="Z161" s="7" t="str">
        <f ca="1">'Database MK'!HH162</f>
        <v>Sudah, Delay</v>
      </c>
      <c r="AA161" s="7" t="str">
        <f ca="1">'Database MK'!HQ162</f>
        <v>Sudah, Delay</v>
      </c>
      <c r="AB161" s="7" t="str">
        <f ca="1">'Database MK'!HW162</f>
        <v>Sudah, Delay</v>
      </c>
      <c r="AC161" s="7">
        <f>'Database MK'!DA162-'Database MK'!DB162</f>
        <v>51</v>
      </c>
      <c r="AD161" s="7">
        <f>'Database MK'!DA162-'Database MK'!DF162</f>
        <v>17</v>
      </c>
      <c r="AE161" s="7">
        <f>'Database MK'!DK162-'Database MK'!DL162</f>
        <v>18</v>
      </c>
      <c r="AF161" s="7">
        <f>'Database MK'!DK162-'Database MK'!DO162</f>
        <v>-44</v>
      </c>
      <c r="AG161" s="7">
        <f>'Database MK'!DU162-'Database MK'!DW162</f>
        <v>-192</v>
      </c>
      <c r="AH161" s="7">
        <f>IF('Database MK'!EB162="","Belum",'Database MK'!DU162-'Database MK'!EB162)</f>
        <v>-198</v>
      </c>
      <c r="AI161" s="7">
        <f>IF('Database MK'!EN162="","Belum",'Database MK'!EL162-'Database MK'!EN162)</f>
        <v>-234</v>
      </c>
      <c r="AJ161" s="7">
        <f>'Database MK'!FY162-'Database MK'!FZ162</f>
        <v>0</v>
      </c>
      <c r="AK161" s="7">
        <f>IF('Database MK'!GC162="","Belum",'Database MK'!GB162-'Database MK'!GC162)</f>
        <v>-17</v>
      </c>
      <c r="AL161" s="7">
        <f>IF('Database MK'!GF162="","Belum",'Database MK'!GE162-'Database MK'!GF162)</f>
        <v>-8</v>
      </c>
      <c r="AM161" s="309">
        <f>IF('Database MK'!GJ162="","Belum",'Database MK'!GI162-'Database MK'!GJ162)</f>
        <v>-31</v>
      </c>
      <c r="AN161" s="7">
        <f>IF('Database MK'!HG162="","Belum",'Database MK'!HF162-'Database MK'!HG162)</f>
        <v>-75</v>
      </c>
      <c r="AO161" s="7">
        <f>IF('Database MK'!HP162="","Belum",'Database MK'!HN162-'Database MK'!HP162)</f>
        <v>-65</v>
      </c>
      <c r="AP161" s="7">
        <f>IF('Database MK'!HV162="","Belum",'Database MK'!HT162-'Database MK'!HV162)</f>
        <v>-88</v>
      </c>
    </row>
    <row r="162" spans="2:42" hidden="1" x14ac:dyDescent="0.2">
      <c r="B162" s="7">
        <f>SUBTOTAL(3,$C$4:C162)</f>
        <v>74</v>
      </c>
      <c r="C162" s="4" t="s">
        <v>244</v>
      </c>
      <c r="D162" s="4" t="s">
        <v>1174</v>
      </c>
      <c r="E162" s="4" t="s">
        <v>1175</v>
      </c>
      <c r="F162" s="300">
        <v>45931</v>
      </c>
      <c r="G162" s="4" t="s">
        <v>247</v>
      </c>
      <c r="H162" s="4" t="str">
        <f ca="1">'Database MK'!Q163</f>
        <v>DPPP</v>
      </c>
      <c r="I162" s="24">
        <f>'Database MK'!S163</f>
        <v>1</v>
      </c>
      <c r="J162" s="24">
        <f>'Database MK'!T163</f>
        <v>1</v>
      </c>
      <c r="K162" s="603">
        <f>'Database MK'!U163</f>
        <v>0</v>
      </c>
      <c r="L162" s="593">
        <f>'Database MK'!V163</f>
        <v>0</v>
      </c>
      <c r="M162" s="593">
        <f>'Database MK'!W163</f>
        <v>1</v>
      </c>
      <c r="N162" s="593">
        <f>Table3[[#This Row],[Total Panjang Pipa Aktual]]-Table3[[#This Row],[Volume
BA MC-0]]</f>
        <v>1</v>
      </c>
      <c r="O162" s="7" t="str">
        <f ca="1">'Database MK'!DE163</f>
        <v>Sudah, OnSchedule</v>
      </c>
      <c r="P162" s="7" t="str">
        <f ca="1">'Database MK'!DI163</f>
        <v>Sudah, OnSchedule</v>
      </c>
      <c r="Q162" s="7" t="str">
        <f ca="1">'Database MK'!DN163</f>
        <v>Sudah, OnSchedule</v>
      </c>
      <c r="R162" s="7" t="str">
        <f ca="1">'Database MK'!DR163</f>
        <v>Sudah, OnSchedule</v>
      </c>
      <c r="S162" s="7" t="str">
        <f ca="1">'Database MK'!EA163</f>
        <v>Sudah, Delay</v>
      </c>
      <c r="T162" s="7" t="str">
        <f ca="1">'Database MK'!EI163</f>
        <v>Sudah, Delay</v>
      </c>
      <c r="U162" s="7" t="str">
        <f ca="1">'Database MK'!ET163</f>
        <v>Sudah, Delay</v>
      </c>
      <c r="V162" s="7" t="str">
        <f ca="1">'Database MK'!GA163</f>
        <v>Belum, Delay</v>
      </c>
      <c r="W162" s="7" t="str">
        <f ca="1">'Database MK'!GD163</f>
        <v>Sudah, OnSchedule</v>
      </c>
      <c r="X162" s="7" t="str">
        <f ca="1">'Database MK'!GG163</f>
        <v>Sudah, Delay</v>
      </c>
      <c r="Y162" s="7" t="str">
        <f ca="1">'Database MK'!GK163</f>
        <v>Sudah, Delay</v>
      </c>
      <c r="Z162" s="7" t="str">
        <f ca="1">'Database MK'!HH163</f>
        <v>Sudah, Delay</v>
      </c>
      <c r="AA162" s="7" t="str">
        <f ca="1">'Database MK'!HQ163</f>
        <v>Sudah, Delay</v>
      </c>
      <c r="AB162" s="7" t="str">
        <f ca="1">'Database MK'!HW163</f>
        <v>Sudah, Delay</v>
      </c>
      <c r="AC162" s="7">
        <f>'Database MK'!DA163-'Database MK'!DB163</f>
        <v>137</v>
      </c>
      <c r="AD162" s="7">
        <f>'Database MK'!DA163-'Database MK'!DF163</f>
        <v>128</v>
      </c>
      <c r="AE162" s="7">
        <f>'Database MK'!DK163-'Database MK'!DL163</f>
        <v>82</v>
      </c>
      <c r="AF162" s="7">
        <f>'Database MK'!DK163-'Database MK'!DO163</f>
        <v>93</v>
      </c>
      <c r="AG162" s="7">
        <f>'Database MK'!DU163-'Database MK'!DW163</f>
        <v>-415</v>
      </c>
      <c r="AH162" s="7">
        <f>IF('Database MK'!EB163="","Belum",'Database MK'!DU163-'Database MK'!EB163)</f>
        <v>-442</v>
      </c>
      <c r="AI162" s="7">
        <f>IF('Database MK'!EN163="","Belum",'Database MK'!EL163-'Database MK'!EN163)</f>
        <v>-520</v>
      </c>
      <c r="AJ162" s="7">
        <f>'Database MK'!FY163-'Database MK'!FZ163</f>
        <v>0</v>
      </c>
      <c r="AK162" s="7">
        <f>IF('Database MK'!GC163="","Belum",'Database MK'!GB163-'Database MK'!GC163)</f>
        <v>151</v>
      </c>
      <c r="AL162" s="7">
        <f>IF('Database MK'!GF163="","Belum",'Database MK'!GE163-'Database MK'!GF163)</f>
        <v>-8</v>
      </c>
      <c r="AM162" s="309">
        <f>IF('Database MK'!GJ163="","Belum",'Database MK'!GI163-'Database MK'!GJ163)</f>
        <v>-180</v>
      </c>
      <c r="AN162" s="7">
        <f>IF('Database MK'!HG163="","Belum",'Database MK'!HF163-'Database MK'!HG163)</f>
        <v>-163</v>
      </c>
      <c r="AO162" s="7">
        <f>IF('Database MK'!HP163="","Belum",'Database MK'!HN163-'Database MK'!HP163)</f>
        <v>-169</v>
      </c>
      <c r="AP162" s="7">
        <f>IF('Database MK'!HV163="","Belum",'Database MK'!HT163-'Database MK'!HV163)</f>
        <v>-162</v>
      </c>
    </row>
    <row r="163" spans="2:42" hidden="1" x14ac:dyDescent="0.2">
      <c r="B163" s="7">
        <f>SUBTOTAL(3,$C$4:C163)</f>
        <v>74</v>
      </c>
      <c r="C163" s="4" t="s">
        <v>244</v>
      </c>
      <c r="D163" s="4" t="s">
        <v>1184</v>
      </c>
      <c r="E163" s="4" t="s">
        <v>1185</v>
      </c>
      <c r="F163" s="300">
        <v>45931</v>
      </c>
      <c r="G163" s="4" t="s">
        <v>247</v>
      </c>
      <c r="H163" s="4" t="str">
        <f ca="1">'Database MK'!Q164</f>
        <v>DPPP</v>
      </c>
      <c r="I163" s="24">
        <f>'Database MK'!S164</f>
        <v>1</v>
      </c>
      <c r="J163" s="24">
        <f>'Database MK'!T164</f>
        <v>1</v>
      </c>
      <c r="K163" s="603">
        <f>'Database MK'!U164</f>
        <v>0</v>
      </c>
      <c r="L163" s="593">
        <f>'Database MK'!V164</f>
        <v>0</v>
      </c>
      <c r="M163" s="593">
        <f>'Database MK'!W164</f>
        <v>1</v>
      </c>
      <c r="N163" s="593">
        <f>Table3[[#This Row],[Total Panjang Pipa Aktual]]-Table3[[#This Row],[Volume
BA MC-0]]</f>
        <v>1</v>
      </c>
      <c r="O163" s="7" t="str">
        <f ca="1">'Database MK'!DE164</f>
        <v>Sudah, OnSchedule</v>
      </c>
      <c r="P163" s="7" t="str">
        <f ca="1">'Database MK'!DI164</f>
        <v>Sudah, OnSchedule</v>
      </c>
      <c r="Q163" s="7" t="str">
        <f ca="1">'Database MK'!DN164</f>
        <v>Sudah, Delay</v>
      </c>
      <c r="R163" s="7" t="str">
        <f ca="1">'Database MK'!DR164</f>
        <v>Sudah, Delay</v>
      </c>
      <c r="S163" s="7" t="str">
        <f ca="1">'Database MK'!EA164</f>
        <v>Sudah, Delay</v>
      </c>
      <c r="T163" s="7" t="str">
        <f ca="1">'Database MK'!EI164</f>
        <v>Sudah, Delay</v>
      </c>
      <c r="U163" s="7" t="str">
        <f ca="1">'Database MK'!ET164</f>
        <v>Sudah, Delay</v>
      </c>
      <c r="V163" s="7" t="str">
        <f ca="1">'Database MK'!GA164</f>
        <v>Belum, Delay</v>
      </c>
      <c r="W163" s="7" t="str">
        <f ca="1">'Database MK'!GD164</f>
        <v>Sudah, OnSchedule</v>
      </c>
      <c r="X163" s="7" t="str">
        <f ca="1">'Database MK'!GG164</f>
        <v>Sudah, Delay</v>
      </c>
      <c r="Y163" s="7" t="str">
        <f ca="1">'Database MK'!GK164</f>
        <v>Sudah, Delay</v>
      </c>
      <c r="Z163" s="7" t="str">
        <f ca="1">'Database MK'!HH164</f>
        <v>Sudah, Delay</v>
      </c>
      <c r="AA163" s="7" t="str">
        <f ca="1">'Database MK'!HQ164</f>
        <v>Sudah, Delay</v>
      </c>
      <c r="AB163" s="7" t="str">
        <f ca="1">'Database MK'!HW164</f>
        <v>Sudah, Delay</v>
      </c>
      <c r="AC163" s="7">
        <f>'Database MK'!DA164-'Database MK'!DB164</f>
        <v>108</v>
      </c>
      <c r="AD163" s="7">
        <f>'Database MK'!DA164-'Database MK'!DF164</f>
        <v>101</v>
      </c>
      <c r="AE163" s="7">
        <f>'Database MK'!DK164-'Database MK'!DL164</f>
        <v>-386</v>
      </c>
      <c r="AF163" s="7">
        <f>'Database MK'!DK164-'Database MK'!DO164</f>
        <v>-422</v>
      </c>
      <c r="AG163" s="7">
        <f>'Database MK'!DU164-'Database MK'!DW164</f>
        <v>-278</v>
      </c>
      <c r="AH163" s="7">
        <f>IF('Database MK'!EB164="","Belum",'Database MK'!DU164-'Database MK'!EB164)</f>
        <v>-290</v>
      </c>
      <c r="AI163" s="7">
        <f>IF('Database MK'!EN164="","Belum",'Database MK'!EL164-'Database MK'!EN164)</f>
        <v>-446</v>
      </c>
      <c r="AJ163" s="7">
        <f>'Database MK'!FY164-'Database MK'!FZ164</f>
        <v>0</v>
      </c>
      <c r="AK163" s="7">
        <f>IF('Database MK'!GC164="","Belum",'Database MK'!GB164-'Database MK'!GC164)</f>
        <v>151</v>
      </c>
      <c r="AL163" s="7">
        <f>IF('Database MK'!GF164="","Belum",'Database MK'!GE164-'Database MK'!GF164)</f>
        <v>-8</v>
      </c>
      <c r="AM163" s="309">
        <f>IF('Database MK'!GJ164="","Belum",'Database MK'!GI164-'Database MK'!GJ164)</f>
        <v>-180</v>
      </c>
      <c r="AN163" s="7">
        <f>IF('Database MK'!HG164="","Belum",'Database MK'!HF164-'Database MK'!HG164)</f>
        <v>-163</v>
      </c>
      <c r="AO163" s="7">
        <f>IF('Database MK'!HP164="","Belum",'Database MK'!HN164-'Database MK'!HP164)</f>
        <v>-169</v>
      </c>
      <c r="AP163" s="7">
        <f>IF('Database MK'!HV164="","Belum",'Database MK'!HT164-'Database MK'!HV164)</f>
        <v>-162</v>
      </c>
    </row>
    <row r="164" spans="2:42" hidden="1" x14ac:dyDescent="0.2">
      <c r="B164" s="7">
        <f>SUBTOTAL(3,$C$4:C164)</f>
        <v>74</v>
      </c>
      <c r="C164" s="4" t="s">
        <v>244</v>
      </c>
      <c r="D164" s="4" t="s">
        <v>1194</v>
      </c>
      <c r="E164" s="4" t="s">
        <v>1195</v>
      </c>
      <c r="F164" s="300">
        <v>45931</v>
      </c>
      <c r="G164" s="4" t="s">
        <v>247</v>
      </c>
      <c r="H164" s="4" t="str">
        <f ca="1">'Database MK'!Q165</f>
        <v>DPPP</v>
      </c>
      <c r="I164" s="24">
        <f>'Database MK'!S165</f>
        <v>1</v>
      </c>
      <c r="J164" s="24">
        <f>'Database MK'!T165</f>
        <v>1</v>
      </c>
      <c r="K164" s="603">
        <f>'Database MK'!U165</f>
        <v>0</v>
      </c>
      <c r="L164" s="593">
        <f>'Database MK'!V165</f>
        <v>0</v>
      </c>
      <c r="M164" s="593">
        <f>'Database MK'!W165</f>
        <v>1</v>
      </c>
      <c r="N164" s="593">
        <f>Table3[[#This Row],[Total Panjang Pipa Aktual]]-Table3[[#This Row],[Volume
BA MC-0]]</f>
        <v>1</v>
      </c>
      <c r="O164" s="7" t="str">
        <f ca="1">'Database MK'!DE165</f>
        <v>Sudah, Delay</v>
      </c>
      <c r="P164" s="7" t="str">
        <f ca="1">'Database MK'!DI165</f>
        <v>Sudah, Delay</v>
      </c>
      <c r="Q164" s="7" t="str">
        <f ca="1">'Database MK'!DN165</f>
        <v>Sudah, Delay</v>
      </c>
      <c r="R164" s="7" t="str">
        <f ca="1">'Database MK'!DR165</f>
        <v>Sudah, Delay</v>
      </c>
      <c r="S164" s="7" t="str">
        <f ca="1">'Database MK'!EA165</f>
        <v>Sudah, Delay</v>
      </c>
      <c r="T164" s="7" t="str">
        <f ca="1">'Database MK'!EI165</f>
        <v>Sudah, Delay</v>
      </c>
      <c r="U164" s="7" t="str">
        <f ca="1">'Database MK'!ET165</f>
        <v>Sudah, Delay</v>
      </c>
      <c r="V164" s="7" t="str">
        <f ca="1">'Database MK'!GA165</f>
        <v>Belum, Delay</v>
      </c>
      <c r="W164" s="7" t="str">
        <f ca="1">'Database MK'!GD165</f>
        <v>Sudah, OnSchedule</v>
      </c>
      <c r="X164" s="7" t="str">
        <f ca="1">'Database MK'!GG165</f>
        <v>Sudah, Delay</v>
      </c>
      <c r="Y164" s="7" t="str">
        <f ca="1">'Database MK'!GK165</f>
        <v>Sudah, OnSchedule</v>
      </c>
      <c r="Z164" s="7" t="str">
        <f ca="1">'Database MK'!HH165</f>
        <v>Sudah, Delay</v>
      </c>
      <c r="AA164" s="7" t="str">
        <f ca="1">'Database MK'!HQ165</f>
        <v>Sudah, Delay</v>
      </c>
      <c r="AB164" s="7" t="str">
        <f ca="1">'Database MK'!HW165</f>
        <v>Sudah, Delay</v>
      </c>
      <c r="AC164" s="7">
        <f>'Database MK'!DA165-'Database MK'!DB165</f>
        <v>-197</v>
      </c>
      <c r="AD164" s="7">
        <f>'Database MK'!DA165-'Database MK'!DF165</f>
        <v>-206</v>
      </c>
      <c r="AE164" s="7">
        <f>'Database MK'!DK165-'Database MK'!DL165</f>
        <v>-298</v>
      </c>
      <c r="AF164" s="7">
        <f>'Database MK'!DK165-'Database MK'!DO165</f>
        <v>-346</v>
      </c>
      <c r="AG164" s="7">
        <f>'Database MK'!DU165-'Database MK'!DW165</f>
        <v>-499</v>
      </c>
      <c r="AH164" s="7">
        <f>IF('Database MK'!EB165="","Belum",'Database MK'!DU165-'Database MK'!EB165)</f>
        <v>-540</v>
      </c>
      <c r="AI164" s="7">
        <f>IF('Database MK'!EN165="","Belum",'Database MK'!EL165-'Database MK'!EN165)</f>
        <v>-411</v>
      </c>
      <c r="AJ164" s="7">
        <f>'Database MK'!FY165-'Database MK'!FZ165</f>
        <v>0</v>
      </c>
      <c r="AK164" s="7">
        <f>IF('Database MK'!GC165="","Belum",'Database MK'!GB165-'Database MK'!GC165)</f>
        <v>151</v>
      </c>
      <c r="AL164" s="7">
        <f>IF('Database MK'!GF165="","Belum",'Database MK'!GE165-'Database MK'!GF165)</f>
        <v>-8</v>
      </c>
      <c r="AM164" s="309">
        <f>IF('Database MK'!GJ165="","Belum",'Database MK'!GI165-'Database MK'!GJ165)</f>
        <v>185</v>
      </c>
      <c r="AN164" s="7">
        <f>IF('Database MK'!HG165="","Belum",'Database MK'!HF165-'Database MK'!HG165)</f>
        <v>-171</v>
      </c>
      <c r="AO164" s="7">
        <f>IF('Database MK'!HP165="","Belum",'Database MK'!HN165-'Database MK'!HP165)</f>
        <v>-169</v>
      </c>
      <c r="AP164" s="7">
        <f>IF('Database MK'!HV165="","Belum",'Database MK'!HT165-'Database MK'!HV165)</f>
        <v>-162</v>
      </c>
    </row>
    <row r="165" spans="2:42" hidden="1" x14ac:dyDescent="0.2">
      <c r="B165" s="7">
        <f>SUBTOTAL(3,$C$4:C165)</f>
        <v>74</v>
      </c>
      <c r="C165" s="4" t="s">
        <v>244</v>
      </c>
      <c r="D165" s="4" t="s">
        <v>1203</v>
      </c>
      <c r="E165" s="252" t="s">
        <v>1204</v>
      </c>
      <c r="F165" s="300">
        <v>45931</v>
      </c>
      <c r="G165" s="4" t="s">
        <v>247</v>
      </c>
      <c r="H165" s="4" t="str">
        <f ca="1">'Database MK'!Q166</f>
        <v>DPPP</v>
      </c>
      <c r="I165" s="24">
        <f>'Database MK'!S166</f>
        <v>1</v>
      </c>
      <c r="J165" s="24">
        <f>'Database MK'!T166</f>
        <v>1</v>
      </c>
      <c r="K165" s="603">
        <f>'Database MK'!U166</f>
        <v>0</v>
      </c>
      <c r="L165" s="593">
        <f>'Database MK'!V166</f>
        <v>0</v>
      </c>
      <c r="M165" s="593">
        <f>'Database MK'!W166</f>
        <v>1</v>
      </c>
      <c r="N165" s="593">
        <f>Table3[[#This Row],[Total Panjang Pipa Aktual]]-Table3[[#This Row],[Volume
BA MC-0]]</f>
        <v>1</v>
      </c>
      <c r="O165" s="7" t="str">
        <f ca="1">'Database MK'!DE166</f>
        <v>Sudah, Delay</v>
      </c>
      <c r="P165" s="7" t="str">
        <f ca="1">'Database MK'!DI166</f>
        <v>Sudah, Delay</v>
      </c>
      <c r="Q165" s="7" t="str">
        <f ca="1">'Database MK'!DN166</f>
        <v>Sudah, Delay</v>
      </c>
      <c r="R165" s="7" t="str">
        <f ca="1">'Database MK'!DR166</f>
        <v>Sudah, Delay</v>
      </c>
      <c r="S165" s="7" t="str">
        <f ca="1">'Database MK'!EA166</f>
        <v>Sudah, Delay</v>
      </c>
      <c r="T165" s="7" t="str">
        <f ca="1">'Database MK'!EI166</f>
        <v>Sudah, Delay</v>
      </c>
      <c r="U165" s="7" t="str">
        <f ca="1">'Database MK'!ET166</f>
        <v>Sudah, Delay</v>
      </c>
      <c r="V165" s="7" t="str">
        <f ca="1">'Database MK'!GA166</f>
        <v>Belum, Delay</v>
      </c>
      <c r="W165" s="7" t="str">
        <f ca="1">'Database MK'!GD166</f>
        <v>Sudah, OnSchedule</v>
      </c>
      <c r="X165" s="7" t="str">
        <f ca="1">'Database MK'!GG166</f>
        <v>Sudah, Delay</v>
      </c>
      <c r="Y165" s="7" t="str">
        <f ca="1">'Database MK'!GK166</f>
        <v>Sudah, Delay</v>
      </c>
      <c r="Z165" s="7" t="str">
        <f ca="1">'Database MK'!HH166</f>
        <v>Sudah, Delay</v>
      </c>
      <c r="AA165" s="7" t="str">
        <f ca="1">'Database MK'!HQ166</f>
        <v>Sudah, Delay</v>
      </c>
      <c r="AB165" s="7" t="str">
        <f ca="1">'Database MK'!HW166</f>
        <v>Sudah, Delay</v>
      </c>
      <c r="AC165" s="7">
        <f>'Database MK'!DA166-'Database MK'!DB166</f>
        <v>-227</v>
      </c>
      <c r="AD165" s="7">
        <f>'Database MK'!DA166-'Database MK'!DF166</f>
        <v>-235</v>
      </c>
      <c r="AE165" s="7">
        <f>'Database MK'!DK166-'Database MK'!DL166</f>
        <v>-130</v>
      </c>
      <c r="AF165" s="7">
        <f>'Database MK'!DK166-'Database MK'!DO166</f>
        <v>-141</v>
      </c>
      <c r="AG165" s="7">
        <f>'Database MK'!DU166-'Database MK'!DW166</f>
        <v>-235</v>
      </c>
      <c r="AH165" s="7">
        <f>IF('Database MK'!EB166="","Belum",'Database MK'!DU166-'Database MK'!EB166)</f>
        <v>-246</v>
      </c>
      <c r="AI165" s="7">
        <f>IF('Database MK'!EN166="","Belum",'Database MK'!EL166-'Database MK'!EN166)</f>
        <v>-411</v>
      </c>
      <c r="AJ165" s="7">
        <f>'Database MK'!FY166-'Database MK'!FZ166</f>
        <v>0</v>
      </c>
      <c r="AK165" s="7">
        <f>IF('Database MK'!GC166="","Belum",'Database MK'!GB166-'Database MK'!GC166)</f>
        <v>151</v>
      </c>
      <c r="AL165" s="7">
        <f>IF('Database MK'!GF166="","Belum",'Database MK'!GE166-'Database MK'!GF166)</f>
        <v>-8</v>
      </c>
      <c r="AM165" s="309">
        <f>IF('Database MK'!GJ166="","Belum",'Database MK'!GI166-'Database MK'!GJ166)</f>
        <v>-180</v>
      </c>
      <c r="AN165" s="7">
        <f>IF('Database MK'!HG166="","Belum",'Database MK'!HF166-'Database MK'!HG166)</f>
        <v>-171</v>
      </c>
      <c r="AO165" s="7">
        <f>IF('Database MK'!HP166="","Belum",'Database MK'!HN166-'Database MK'!HP166)</f>
        <v>-169</v>
      </c>
      <c r="AP165" s="7">
        <f>IF('Database MK'!HV166="","Belum",'Database MK'!HT166-'Database MK'!HV166)</f>
        <v>-162</v>
      </c>
    </row>
    <row r="166" spans="2:42" hidden="1" x14ac:dyDescent="0.2">
      <c r="B166" s="7">
        <f>SUBTOTAL(3,$C$4:C166)</f>
        <v>74</v>
      </c>
      <c r="C166" s="4" t="s">
        <v>244</v>
      </c>
      <c r="D166" s="4" t="s">
        <v>1210</v>
      </c>
      <c r="E166" s="4" t="s">
        <v>1211</v>
      </c>
      <c r="F166" s="300">
        <v>45931</v>
      </c>
      <c r="G166" s="4" t="s">
        <v>247</v>
      </c>
      <c r="H166" s="4" t="str">
        <f ca="1">'Database MK'!Q167</f>
        <v>MC-0</v>
      </c>
      <c r="I166" s="24">
        <f>'Database MK'!S167</f>
        <v>1</v>
      </c>
      <c r="J166" s="24">
        <f>'Database MK'!T167</f>
        <v>7.0695829589043019E-3</v>
      </c>
      <c r="K166" s="603">
        <f>'Database MK'!U167</f>
        <v>-0.99293041704109575</v>
      </c>
      <c r="L166" s="593">
        <f>'Database MK'!V167</f>
        <v>0</v>
      </c>
      <c r="M166" s="593">
        <f>'Database MK'!W167</f>
        <v>0</v>
      </c>
      <c r="N166" s="593">
        <f>Table3[[#This Row],[Total Panjang Pipa Aktual]]-Table3[[#This Row],[Volume
BA MC-0]]</f>
        <v>0</v>
      </c>
      <c r="O166" s="7" t="str">
        <f ca="1">'Database MK'!DE167</f>
        <v>Sudah, OnSchedule</v>
      </c>
      <c r="P166" s="7" t="str">
        <f ca="1">'Database MK'!DI167</f>
        <v>Sudah, OnSchedule</v>
      </c>
      <c r="Q166" s="7" t="str">
        <f ca="1">'Database MK'!DN167</f>
        <v>Sudah, OnSchedule</v>
      </c>
      <c r="R166" s="7" t="str">
        <f ca="1">'Database MK'!DR167</f>
        <v>Sudah, Delay</v>
      </c>
      <c r="S166" s="7" t="str">
        <f ca="1">'Database MK'!EA167</f>
        <v>Sudah, Delay</v>
      </c>
      <c r="T166" s="7" t="str">
        <f ca="1">'Database MK'!EI167</f>
        <v>Sudah, Delay</v>
      </c>
      <c r="U166" s="7" t="str">
        <f ca="1">'Database MK'!ET167</f>
        <v>Belum, Delay</v>
      </c>
      <c r="V166" s="7" t="str">
        <f ca="1">'Database MK'!GA167</f>
        <v>Belum, Delay</v>
      </c>
      <c r="W166" s="7" t="str">
        <f ca="1">'Database MK'!GD167</f>
        <v>Sudah, Delay</v>
      </c>
      <c r="X166" s="7" t="str">
        <f ca="1">'Database MK'!GG167</f>
        <v>Sudah, Delay</v>
      </c>
      <c r="Y166" s="7" t="str">
        <f ca="1">'Database MK'!GK167</f>
        <v>Sudah, Delay</v>
      </c>
      <c r="Z166" s="7" t="str">
        <f ca="1">'Database MK'!HH167</f>
        <v>Belum, Delay</v>
      </c>
      <c r="AA166" s="7" t="str">
        <f ca="1">'Database MK'!HQ167</f>
        <v>Belum, Delay</v>
      </c>
      <c r="AB166" s="7" t="str">
        <f ca="1">'Database MK'!HW167</f>
        <v>Belum, Delay</v>
      </c>
      <c r="AC166" s="7">
        <f>'Database MK'!DA167-'Database MK'!DB167</f>
        <v>65</v>
      </c>
      <c r="AD166" s="7">
        <f>'Database MK'!DA167-'Database MK'!DF167</f>
        <v>4</v>
      </c>
      <c r="AE166" s="7">
        <f>'Database MK'!DK167-'Database MK'!DL167</f>
        <v>23</v>
      </c>
      <c r="AF166" s="7">
        <f>'Database MK'!DK167-'Database MK'!DO167</f>
        <v>-16</v>
      </c>
      <c r="AG166" s="7">
        <f>'Database MK'!DU167-'Database MK'!DW167</f>
        <v>-159</v>
      </c>
      <c r="AH166" s="7">
        <f>IF('Database MK'!EB167="","Belum",'Database MK'!DU167-'Database MK'!EB167)</f>
        <v>-179</v>
      </c>
      <c r="AI166" s="7" t="str">
        <f>IF('Database MK'!EN167="","Belum",'Database MK'!EL167-'Database MK'!EN167)</f>
        <v>Belum</v>
      </c>
      <c r="AJ166" s="7">
        <f>'Database MK'!FY167-'Database MK'!FZ167</f>
        <v>0</v>
      </c>
      <c r="AK166" s="7">
        <f>IF('Database MK'!GC167="","Belum",'Database MK'!GB167-'Database MK'!GC167)</f>
        <v>-5</v>
      </c>
      <c r="AL166" s="7">
        <f>IF('Database MK'!GF167="","Belum",'Database MK'!GE167-'Database MK'!GF167)</f>
        <v>-19</v>
      </c>
      <c r="AM166" s="309">
        <f>IF('Database MK'!GJ167="","Belum",'Database MK'!GI167-'Database MK'!GJ167)</f>
        <v>-11</v>
      </c>
      <c r="AN166" s="7" t="str">
        <f>IF('Database MK'!HG167="","Belum",'Database MK'!HF167-'Database MK'!HG167)</f>
        <v>Belum</v>
      </c>
      <c r="AO166" s="7" t="str">
        <f>IF('Database MK'!HP167="","Belum",'Database MK'!HN167-'Database MK'!HP167)</f>
        <v>Belum</v>
      </c>
      <c r="AP166" s="7" t="str">
        <f>IF('Database MK'!HV167="","Belum",'Database MK'!HT167-'Database MK'!HV167)</f>
        <v>Belum</v>
      </c>
    </row>
    <row r="167" spans="2:42" s="77" customFormat="1" hidden="1" x14ac:dyDescent="0.2">
      <c r="B167" s="7">
        <f>SUBTOTAL(3,$C$4:C167)</f>
        <v>74</v>
      </c>
      <c r="C167" s="77" t="s">
        <v>244</v>
      </c>
      <c r="D167" s="77" t="s">
        <v>1222</v>
      </c>
      <c r="E167" s="77" t="s">
        <v>1223</v>
      </c>
      <c r="F167" s="302">
        <v>45931</v>
      </c>
      <c r="G167" s="77" t="s">
        <v>247</v>
      </c>
      <c r="H167" s="77" t="str">
        <f>'Database MK'!Q168</f>
        <v>BATAL / CANCEL</v>
      </c>
      <c r="I167" s="604">
        <f>'Database MK'!S168</f>
        <v>1</v>
      </c>
      <c r="J167" s="604">
        <f>'Database MK'!T168</f>
        <v>6.9718635567824136E-2</v>
      </c>
      <c r="K167" s="605">
        <f>'Database MK'!U168</f>
        <v>-0.93028136443217591</v>
      </c>
      <c r="L167" s="594">
        <f>'Database MK'!V168</f>
        <v>0</v>
      </c>
      <c r="M167" s="594">
        <f>'Database MK'!W168</f>
        <v>0</v>
      </c>
      <c r="N167" s="594">
        <f>Table3[[#This Row],[Total Panjang Pipa Aktual]]-Table3[[#This Row],[Volume
BA MC-0]]</f>
        <v>0</v>
      </c>
      <c r="O167" s="307" t="str">
        <f ca="1">'Database MK'!DE168</f>
        <v>Sudah, OnSchedule</v>
      </c>
      <c r="P167" s="307" t="str">
        <f ca="1">'Database MK'!DI168</f>
        <v>Sudah, OnSchedule</v>
      </c>
      <c r="Q167" s="307" t="str">
        <f ca="1">'Database MK'!DN168</f>
        <v>Sudah, OnSchedule</v>
      </c>
      <c r="R167" s="307" t="str">
        <f ca="1">'Database MK'!DR168</f>
        <v>Sudah, Delay</v>
      </c>
      <c r="S167" s="307" t="str">
        <f ca="1">'Database MK'!EA168</f>
        <v>Sudah, Delay</v>
      </c>
      <c r="T167" s="307" t="str">
        <f ca="1">'Database MK'!EI168</f>
        <v>Sudah, Delay</v>
      </c>
      <c r="U167" s="307" t="str">
        <f ca="1">'Database MK'!ET168</f>
        <v>Belum, Delay</v>
      </c>
      <c r="V167" s="307" t="str">
        <f ca="1">'Database MK'!GA168</f>
        <v>Belum, Delay</v>
      </c>
      <c r="W167" s="307" t="str">
        <f ca="1">'Database MK'!GD168</f>
        <v>Sudah, Delay</v>
      </c>
      <c r="X167" s="307" t="str">
        <f ca="1">'Database MK'!GG168</f>
        <v>Sudah, Delay</v>
      </c>
      <c r="Y167" s="307" t="str">
        <f ca="1">'Database MK'!GK168</f>
        <v>Sudah, Delay</v>
      </c>
      <c r="Z167" s="307" t="str">
        <f ca="1">'Database MK'!HH168</f>
        <v>Belum, Delay</v>
      </c>
      <c r="AA167" s="307" t="str">
        <f ca="1">'Database MK'!HQ168</f>
        <v>Belum, Delay</v>
      </c>
      <c r="AB167" s="307" t="str">
        <f ca="1">'Database MK'!HW168</f>
        <v>Belum, Delay</v>
      </c>
      <c r="AC167" s="307"/>
      <c r="AD167" s="307"/>
      <c r="AE167" s="307"/>
      <c r="AF167" s="307"/>
      <c r="AG167" s="307"/>
      <c r="AH167" s="307"/>
      <c r="AI167" s="307"/>
      <c r="AJ167" s="307">
        <f>'Database MK'!FY168-'Database MK'!FZ168</f>
        <v>0</v>
      </c>
      <c r="AK167" s="307"/>
      <c r="AL167" s="307"/>
      <c r="AM167" s="310"/>
      <c r="AN167" s="307"/>
      <c r="AO167" s="307"/>
      <c r="AP167" s="307"/>
    </row>
    <row r="168" spans="2:42" hidden="1" x14ac:dyDescent="0.2">
      <c r="B168" s="7">
        <f>SUBTOTAL(3,$C$4:C168)</f>
        <v>74</v>
      </c>
      <c r="C168" s="4" t="s">
        <v>244</v>
      </c>
      <c r="D168" s="4" t="s">
        <v>1231</v>
      </c>
      <c r="E168" s="4" t="s">
        <v>1232</v>
      </c>
      <c r="F168" s="300">
        <v>45931</v>
      </c>
      <c r="G168" s="4" t="s">
        <v>247</v>
      </c>
      <c r="H168" s="4" t="str">
        <f ca="1">'Database MK'!Q169</f>
        <v>Proses Konstruksi</v>
      </c>
      <c r="I168" s="24">
        <f>'Database MK'!S169</f>
        <v>1</v>
      </c>
      <c r="J168" s="24">
        <f>'Database MK'!T169</f>
        <v>7.215201302110584E-2</v>
      </c>
      <c r="K168" s="603">
        <f>'Database MK'!U169</f>
        <v>-0.92784798697889415</v>
      </c>
      <c r="L168" s="593">
        <f>'Database MK'!V169</f>
        <v>0</v>
      </c>
      <c r="M168" s="593">
        <f>'Database MK'!W169</f>
        <v>1</v>
      </c>
      <c r="N168" s="593">
        <f>Table3[[#This Row],[Total Panjang Pipa Aktual]]-Table3[[#This Row],[Volume
BA MC-0]]</f>
        <v>1</v>
      </c>
      <c r="O168" s="7" t="str">
        <f ca="1">'Database MK'!DE169</f>
        <v>Sudah, OnSchedule</v>
      </c>
      <c r="P168" s="7" t="str">
        <f ca="1">'Database MK'!DI169</f>
        <v>Sudah, OnSchedule</v>
      </c>
      <c r="Q168" s="7" t="str">
        <f ca="1">'Database MK'!DN169</f>
        <v>Sudah, OnSchedule</v>
      </c>
      <c r="R168" s="7" t="str">
        <f ca="1">'Database MK'!DR169</f>
        <v>Sudah, Delay</v>
      </c>
      <c r="S168" s="7" t="str">
        <f ca="1">'Database MK'!EA169</f>
        <v>Sudah, Delay</v>
      </c>
      <c r="T168" s="7" t="str">
        <f ca="1">'Database MK'!EI169</f>
        <v>Sudah, Delay</v>
      </c>
      <c r="U168" s="7" t="str">
        <f ca="1">'Database MK'!ET169</f>
        <v>Belum, Delay</v>
      </c>
      <c r="V168" s="7" t="str">
        <f ca="1">'Database MK'!GA169</f>
        <v>Belum, Delay</v>
      </c>
      <c r="W168" s="7" t="str">
        <f ca="1">'Database MK'!GD169</f>
        <v>Sudah, Delay</v>
      </c>
      <c r="X168" s="7" t="str">
        <f ca="1">'Database MK'!GG169</f>
        <v>Sudah, Delay</v>
      </c>
      <c r="Y168" s="7" t="str">
        <f ca="1">'Database MK'!GK169</f>
        <v>Sudah, Delay</v>
      </c>
      <c r="Z168" s="7" t="str">
        <f ca="1">'Database MK'!HH169</f>
        <v>Belum, Delay</v>
      </c>
      <c r="AA168" s="7" t="str">
        <f ca="1">'Database MK'!HQ169</f>
        <v>Belum, Delay</v>
      </c>
      <c r="AB168" s="7" t="str">
        <f ca="1">'Database MK'!HW169</f>
        <v>Belum, Delay</v>
      </c>
      <c r="AC168" s="7">
        <f>'Database MK'!DA169-'Database MK'!DB169</f>
        <v>62</v>
      </c>
      <c r="AD168" s="7">
        <f>'Database MK'!DA169-'Database MK'!DF169</f>
        <v>40</v>
      </c>
      <c r="AE168" s="7">
        <f>'Database MK'!DK169-'Database MK'!DL169</f>
        <v>43</v>
      </c>
      <c r="AF168" s="7">
        <f>'Database MK'!DK169-'Database MK'!DO169</f>
        <v>-16</v>
      </c>
      <c r="AG168" s="7">
        <f>'Database MK'!DU169-'Database MK'!DW169</f>
        <v>-159</v>
      </c>
      <c r="AH168" s="7">
        <f>IF('Database MK'!EB169="","Belum",'Database MK'!DU169-'Database MK'!EB169)</f>
        <v>-177</v>
      </c>
      <c r="AI168" s="7" t="str">
        <f>IF('Database MK'!EN169="","Belum",'Database MK'!EL169-'Database MK'!EN169)</f>
        <v>Belum</v>
      </c>
      <c r="AJ168" s="7">
        <f>'Database MK'!FY169-'Database MK'!FZ169</f>
        <v>0</v>
      </c>
      <c r="AK168" s="7">
        <f>IF('Database MK'!GC169="","Belum",'Database MK'!GB169-'Database MK'!GC169)</f>
        <v>-5</v>
      </c>
      <c r="AL168" s="7">
        <f>IF('Database MK'!GF169="","Belum",'Database MK'!GE169-'Database MK'!GF169)</f>
        <v>-19</v>
      </c>
      <c r="AM168" s="309">
        <f>IF('Database MK'!GJ169="","Belum",'Database MK'!GI169-'Database MK'!GJ169)</f>
        <v>-11</v>
      </c>
      <c r="AN168" s="7" t="str">
        <f>IF('Database MK'!HG169="","Belum",'Database MK'!HF169-'Database MK'!HG169)</f>
        <v>Belum</v>
      </c>
      <c r="AO168" s="7" t="str">
        <f>IF('Database MK'!HP169="","Belum",'Database MK'!HN169-'Database MK'!HP169)</f>
        <v>Belum</v>
      </c>
      <c r="AP168" s="7" t="str">
        <f>IF('Database MK'!HV169="","Belum",'Database MK'!HT169-'Database MK'!HV169)</f>
        <v>Belum</v>
      </c>
    </row>
    <row r="169" spans="2:42" hidden="1" x14ac:dyDescent="0.2">
      <c r="B169" s="7">
        <f>SUBTOTAL(3,$C$4:C169)</f>
        <v>74</v>
      </c>
      <c r="C169" s="4" t="s">
        <v>244</v>
      </c>
      <c r="D169" s="4" t="s">
        <v>1240</v>
      </c>
      <c r="E169" s="4" t="s">
        <v>1241</v>
      </c>
      <c r="F169" s="300">
        <v>45931</v>
      </c>
      <c r="G169" s="4" t="s">
        <v>247</v>
      </c>
      <c r="H169" s="4" t="str">
        <f ca="1">'Database MK'!Q170</f>
        <v>Tes Com</v>
      </c>
      <c r="I169" s="24">
        <f>'Database MK'!S170</f>
        <v>1</v>
      </c>
      <c r="J169" s="24">
        <f>'Database MK'!T170</f>
        <v>0.39781027917939266</v>
      </c>
      <c r="K169" s="603">
        <f>'Database MK'!U170</f>
        <v>-0.60218972082060729</v>
      </c>
      <c r="L169" s="593">
        <f>'Database MK'!V170</f>
        <v>0</v>
      </c>
      <c r="M169" s="593">
        <f>'Database MK'!W170</f>
        <v>0</v>
      </c>
      <c r="N169" s="593">
        <f>Table3[[#This Row],[Total Panjang Pipa Aktual]]-Table3[[#This Row],[Volume
BA MC-0]]</f>
        <v>0</v>
      </c>
      <c r="O169" s="7" t="str">
        <f ca="1">'Database MK'!DE170</f>
        <v>Sudah, OnSchedule</v>
      </c>
      <c r="P169" s="7" t="str">
        <f ca="1">'Database MK'!DI170</f>
        <v>Sudah, OnSchedule</v>
      </c>
      <c r="Q169" s="7" t="str">
        <f ca="1">'Database MK'!DN170</f>
        <v>Sudah, OnSchedule</v>
      </c>
      <c r="R169" s="7" t="str">
        <f ca="1">'Database MK'!DR170</f>
        <v>Sudah, Delay</v>
      </c>
      <c r="S169" s="7" t="str">
        <f ca="1">'Database MK'!EA170</f>
        <v>Sudah, Delay</v>
      </c>
      <c r="T169" s="7" t="str">
        <f ca="1">'Database MK'!EI170</f>
        <v>Belum, Delay</v>
      </c>
      <c r="U169" s="7" t="str">
        <f ca="1">'Database MK'!ET170</f>
        <v>Belum, Delay</v>
      </c>
      <c r="V169" s="7" t="str">
        <f ca="1">'Database MK'!GA170</f>
        <v>Belum, Delay</v>
      </c>
      <c r="W169" s="7" t="str">
        <f ca="1">'Database MK'!GD170</f>
        <v>Sudah, Delay</v>
      </c>
      <c r="X169" s="7" t="str">
        <f ca="1">'Database MK'!GG170</f>
        <v>Sudah, Delay</v>
      </c>
      <c r="Y169" s="7" t="str">
        <f ca="1">'Database MK'!GK170</f>
        <v>Sudah, Delay</v>
      </c>
      <c r="Z169" s="7" t="str">
        <f ca="1">'Database MK'!HH170</f>
        <v>Sudah, Delay</v>
      </c>
      <c r="AA169" s="7" t="str">
        <f ca="1">'Database MK'!HQ170</f>
        <v>Belum, Delay</v>
      </c>
      <c r="AB169" s="7" t="str">
        <f ca="1">'Database MK'!HW170</f>
        <v>Belum, Delay</v>
      </c>
      <c r="AC169" s="7">
        <f>'Database MK'!DA170-'Database MK'!DB170</f>
        <v>62</v>
      </c>
      <c r="AD169" s="7">
        <f>'Database MK'!DA170-'Database MK'!DF170</f>
        <v>4</v>
      </c>
      <c r="AE169" s="7">
        <f>'Database MK'!DK170-'Database MK'!DL170</f>
        <v>19</v>
      </c>
      <c r="AF169" s="7">
        <f>'Database MK'!DK170-'Database MK'!DO170</f>
        <v>-15</v>
      </c>
      <c r="AG169" s="7">
        <f>'Database MK'!DU170-'Database MK'!DW170</f>
        <v>-159</v>
      </c>
      <c r="AH169" s="7" t="str">
        <f>IF('Database MK'!EB170="","Belum",'Database MK'!DU170-'Database MK'!EB170)</f>
        <v>Belum</v>
      </c>
      <c r="AI169" s="7" t="str">
        <f>IF('Database MK'!EN170="","Belum",'Database MK'!EL170-'Database MK'!EN170)</f>
        <v>Belum</v>
      </c>
      <c r="AJ169" s="7">
        <f>'Database MK'!FY170-'Database MK'!FZ170</f>
        <v>0</v>
      </c>
      <c r="AK169" s="7">
        <f>IF('Database MK'!GC170="","Belum",'Database MK'!GB170-'Database MK'!GC170)</f>
        <v>-5</v>
      </c>
      <c r="AL169" s="7">
        <f>IF('Database MK'!GF170="","Belum",'Database MK'!GE170-'Database MK'!GF170)</f>
        <v>-19</v>
      </c>
      <c r="AM169" s="309">
        <f>IF('Database MK'!GJ170="","Belum",'Database MK'!GI170-'Database MK'!GJ170)</f>
        <v>-11</v>
      </c>
      <c r="AN169" s="7">
        <f>IF('Database MK'!HG170="","Belum",'Database MK'!HF170-'Database MK'!HG170)</f>
        <v>-257</v>
      </c>
      <c r="AO169" s="7" t="str">
        <f>IF('Database MK'!HP170="","Belum",'Database MK'!HN170-'Database MK'!HP170)</f>
        <v>Belum</v>
      </c>
      <c r="AP169" s="7" t="str">
        <f>IF('Database MK'!HV170="","Belum",'Database MK'!HT170-'Database MK'!HV170)</f>
        <v>Belum</v>
      </c>
    </row>
    <row r="170" spans="2:42" hidden="1" x14ac:dyDescent="0.2">
      <c r="B170" s="7">
        <f>SUBTOTAL(3,$C$4:C170)</f>
        <v>74</v>
      </c>
      <c r="C170" s="4" t="s">
        <v>244</v>
      </c>
      <c r="D170" s="4" t="s">
        <v>1249</v>
      </c>
      <c r="E170" s="4" t="s">
        <v>1250</v>
      </c>
      <c r="F170" s="300">
        <v>45931</v>
      </c>
      <c r="G170" s="4" t="s">
        <v>247</v>
      </c>
      <c r="H170" s="4" t="str">
        <f ca="1">'Database MK'!Q171</f>
        <v>Proses Konstruksi</v>
      </c>
      <c r="I170" s="24">
        <f>'Database MK'!S171</f>
        <v>1</v>
      </c>
      <c r="J170" s="24">
        <f>'Database MK'!T171</f>
        <v>5.8714849903138903E-2</v>
      </c>
      <c r="K170" s="603">
        <f>'Database MK'!U171</f>
        <v>-0.94128515009686109</v>
      </c>
      <c r="L170" s="593">
        <f>'Database MK'!V171</f>
        <v>0</v>
      </c>
      <c r="M170" s="593">
        <f>'Database MK'!W171</f>
        <v>1</v>
      </c>
      <c r="N170" s="593">
        <f>Table3[[#This Row],[Total Panjang Pipa Aktual]]-Table3[[#This Row],[Volume
BA MC-0]]</f>
        <v>1</v>
      </c>
      <c r="O170" s="7" t="str">
        <f ca="1">'Database MK'!DE171</f>
        <v>Sudah, OnSchedule</v>
      </c>
      <c r="P170" s="7" t="str">
        <f ca="1">'Database MK'!DI171</f>
        <v>Sudah, OnSchedule</v>
      </c>
      <c r="Q170" s="7" t="str">
        <f ca="1">'Database MK'!DN171</f>
        <v>Sudah, OnSchedule</v>
      </c>
      <c r="R170" s="7" t="str">
        <f ca="1">'Database MK'!DR171</f>
        <v>Sudah, Delay</v>
      </c>
      <c r="S170" s="7" t="str">
        <f ca="1">'Database MK'!EA171</f>
        <v>Sudah, Delay</v>
      </c>
      <c r="T170" s="7" t="str">
        <f ca="1">'Database MK'!EI171</f>
        <v>Belum, Delay</v>
      </c>
      <c r="U170" s="7" t="str">
        <f ca="1">'Database MK'!ET171</f>
        <v>Belum, Delay</v>
      </c>
      <c r="V170" s="7" t="str">
        <f ca="1">'Database MK'!GA171</f>
        <v>Belum, Delay</v>
      </c>
      <c r="W170" s="7" t="str">
        <f ca="1">'Database MK'!GD171</f>
        <v>Sudah, Delay</v>
      </c>
      <c r="X170" s="7" t="str">
        <f ca="1">'Database MK'!GG171</f>
        <v>Sudah, Delay</v>
      </c>
      <c r="Y170" s="7" t="str">
        <f ca="1">'Database MK'!GK171</f>
        <v>Sudah, Delay</v>
      </c>
      <c r="Z170" s="7" t="str">
        <f ca="1">'Database MK'!HH171</f>
        <v>Belum, Delay</v>
      </c>
      <c r="AA170" s="7" t="str">
        <f ca="1">'Database MK'!HQ171</f>
        <v>Belum, Delay</v>
      </c>
      <c r="AB170" s="7" t="str">
        <f ca="1">'Database MK'!HW171</f>
        <v>Belum, Delay</v>
      </c>
      <c r="AC170" s="7">
        <f>'Database MK'!DA171-'Database MK'!DB171</f>
        <v>62</v>
      </c>
      <c r="AD170" s="7">
        <f>'Database MK'!DA171-'Database MK'!DF171</f>
        <v>40</v>
      </c>
      <c r="AE170" s="7">
        <f>'Database MK'!DK171-'Database MK'!DL171</f>
        <v>43</v>
      </c>
      <c r="AF170" s="7">
        <f>'Database MK'!DK171-'Database MK'!DO171</f>
        <v>-16</v>
      </c>
      <c r="AG170" s="7">
        <f>'Database MK'!DU171-'Database MK'!DW171</f>
        <v>-234</v>
      </c>
      <c r="AH170" s="7" t="str">
        <f>IF('Database MK'!EB171="","Belum",'Database MK'!DU171-'Database MK'!EB171)</f>
        <v>Belum</v>
      </c>
      <c r="AI170" s="7" t="str">
        <f>IF('Database MK'!EN171="","Belum",'Database MK'!EL171-'Database MK'!EN171)</f>
        <v>Belum</v>
      </c>
      <c r="AJ170" s="7">
        <f>'Database MK'!FY171-'Database MK'!FZ171</f>
        <v>0</v>
      </c>
      <c r="AK170" s="7">
        <f>IF('Database MK'!GC171="","Belum",'Database MK'!GB171-'Database MK'!GC171)</f>
        <v>-5</v>
      </c>
      <c r="AL170" s="7">
        <f>IF('Database MK'!GF171="","Belum",'Database MK'!GE171-'Database MK'!GF171)</f>
        <v>-19</v>
      </c>
      <c r="AM170" s="309">
        <f>IF('Database MK'!GJ171="","Belum",'Database MK'!GI171-'Database MK'!GJ171)</f>
        <v>-11</v>
      </c>
      <c r="AN170" s="7" t="str">
        <f>IF('Database MK'!HG171="","Belum",'Database MK'!HF171-'Database MK'!HG171)</f>
        <v>Belum</v>
      </c>
      <c r="AO170" s="7" t="str">
        <f>IF('Database MK'!HP171="","Belum",'Database MK'!HN171-'Database MK'!HP171)</f>
        <v>Belum</v>
      </c>
      <c r="AP170" s="7" t="str">
        <f>IF('Database MK'!HV171="","Belum",'Database MK'!HT171-'Database MK'!HV171)</f>
        <v>Belum</v>
      </c>
    </row>
    <row r="171" spans="2:42" hidden="1" x14ac:dyDescent="0.2">
      <c r="B171" s="7">
        <f>SUBTOTAL(3,$C$4:C171)</f>
        <v>74</v>
      </c>
      <c r="C171" s="4" t="s">
        <v>244</v>
      </c>
      <c r="D171" s="4" t="s">
        <v>1257</v>
      </c>
      <c r="E171" s="4" t="s">
        <v>1258</v>
      </c>
      <c r="F171" s="300">
        <v>45931</v>
      </c>
      <c r="G171" s="4" t="s">
        <v>247</v>
      </c>
      <c r="H171" s="4" t="str">
        <f ca="1">'Database MK'!Q172</f>
        <v>DPPP</v>
      </c>
      <c r="I171" s="24">
        <f>'Database MK'!S172</f>
        <v>1</v>
      </c>
      <c r="J171" s="24">
        <f>'Database MK'!T172</f>
        <v>1</v>
      </c>
      <c r="K171" s="603">
        <f>'Database MK'!U172</f>
        <v>0</v>
      </c>
      <c r="L171" s="593">
        <f>'Database MK'!V172</f>
        <v>0</v>
      </c>
      <c r="M171" s="593">
        <f>'Database MK'!W172</f>
        <v>0</v>
      </c>
      <c r="N171" s="593">
        <f>Table3[[#This Row],[Total Panjang Pipa Aktual]]-Table3[[#This Row],[Volume
BA MC-0]]</f>
        <v>0</v>
      </c>
      <c r="O171" s="7" t="str">
        <f ca="1">'Database MK'!DE172</f>
        <v>Sudah, OnSchedule</v>
      </c>
      <c r="P171" s="7" t="str">
        <f ca="1">'Database MK'!DI172</f>
        <v>Sudah, OnSchedule</v>
      </c>
      <c r="Q171" s="7" t="str">
        <f ca="1">'Database MK'!DN172</f>
        <v>Sudah, OnSchedule</v>
      </c>
      <c r="R171" s="7" t="str">
        <f ca="1">'Database MK'!DR172</f>
        <v>Sudah, Delay</v>
      </c>
      <c r="S171" s="7" t="str">
        <f ca="1">'Database MK'!EA172</f>
        <v>Sudah, OnSchedule</v>
      </c>
      <c r="T171" s="7" t="str">
        <f ca="1">'Database MK'!EI172</f>
        <v>Sudah, OnSchedule</v>
      </c>
      <c r="U171" s="7" t="str">
        <f ca="1">'Database MK'!ET172</f>
        <v>Sudah, Delay</v>
      </c>
      <c r="V171" s="7" t="str">
        <f ca="1">'Database MK'!GA172</f>
        <v>Belum, Delay</v>
      </c>
      <c r="W171" s="7" t="str">
        <f ca="1">'Database MK'!GD172</f>
        <v>Sudah, Delay</v>
      </c>
      <c r="X171" s="7" t="str">
        <f ca="1">'Database MK'!GG172</f>
        <v>Sudah, Delay</v>
      </c>
      <c r="Y171" s="7" t="str">
        <f ca="1">'Database MK'!GK172</f>
        <v>Sudah, Delay</v>
      </c>
      <c r="Z171" s="7" t="str">
        <f ca="1">'Database MK'!HH172</f>
        <v>Sudah, Delay</v>
      </c>
      <c r="AA171" s="7" t="str">
        <f ca="1">'Database MK'!HQ172</f>
        <v>Sudah, Delay</v>
      </c>
      <c r="AB171" s="7" t="str">
        <f ca="1">'Database MK'!HW172</f>
        <v>Sudah, Delay</v>
      </c>
      <c r="AC171" s="7">
        <f>'Database MK'!DA172-'Database MK'!DB172</f>
        <v>62</v>
      </c>
      <c r="AD171" s="7">
        <f>'Database MK'!DA172-'Database MK'!DF172</f>
        <v>4</v>
      </c>
      <c r="AE171" s="7">
        <f>'Database MK'!DK172-'Database MK'!DL172</f>
        <v>22</v>
      </c>
      <c r="AF171" s="7">
        <f>'Database MK'!DK172-'Database MK'!DO172</f>
        <v>-16</v>
      </c>
      <c r="AG171" s="7">
        <f>'Database MK'!DU172-'Database MK'!DW172</f>
        <v>23</v>
      </c>
      <c r="AH171" s="7">
        <f>IF('Database MK'!EB172="","Belum",'Database MK'!DU172-'Database MK'!EB172)</f>
        <v>94</v>
      </c>
      <c r="AI171" s="7">
        <f>IF('Database MK'!EN172="","Belum",'Database MK'!EL172-'Database MK'!EN172)</f>
        <v>-235</v>
      </c>
      <c r="AJ171" s="7">
        <f>'Database MK'!FY172-'Database MK'!FZ172</f>
        <v>0</v>
      </c>
      <c r="AK171" s="7">
        <f>IF('Database MK'!GC172="","Belum",'Database MK'!GB172-'Database MK'!GC172)</f>
        <v>-5</v>
      </c>
      <c r="AL171" s="7">
        <f>IF('Database MK'!GF172="","Belum",'Database MK'!GE172-'Database MK'!GF172)</f>
        <v>-19</v>
      </c>
      <c r="AM171" s="309">
        <f>IF('Database MK'!GJ172="","Belum",'Database MK'!GI172-'Database MK'!GJ172)</f>
        <v>-11</v>
      </c>
      <c r="AN171" s="7">
        <f>IF('Database MK'!HG172="","Belum",'Database MK'!HF172-'Database MK'!HG172)</f>
        <v>-113</v>
      </c>
      <c r="AO171" s="7">
        <f>IF('Database MK'!HP172="","Belum",'Database MK'!HN172-'Database MK'!HP172)</f>
        <v>-103</v>
      </c>
      <c r="AP171" s="7">
        <f>IF('Database MK'!HV172="","Belum",'Database MK'!HT172-'Database MK'!HV172)</f>
        <v>-98</v>
      </c>
    </row>
    <row r="172" spans="2:42" hidden="1" x14ac:dyDescent="0.2">
      <c r="B172" s="7">
        <f>SUBTOTAL(3,$C$4:C172)</f>
        <v>74</v>
      </c>
      <c r="C172" s="4" t="s">
        <v>244</v>
      </c>
      <c r="D172" s="4" t="s">
        <v>1267</v>
      </c>
      <c r="E172" s="4" t="s">
        <v>1268</v>
      </c>
      <c r="F172" s="300">
        <v>45931</v>
      </c>
      <c r="G172" s="4" t="s">
        <v>247</v>
      </c>
      <c r="H172" s="4" t="str">
        <f ca="1">'Database MK'!Q173</f>
        <v>MC-0</v>
      </c>
      <c r="I172" s="24">
        <f>'Database MK'!S173</f>
        <v>1</v>
      </c>
      <c r="J172" s="24">
        <f>'Database MK'!T173</f>
        <v>0.16530999368558288</v>
      </c>
      <c r="K172" s="603">
        <f>'Database MK'!U173</f>
        <v>-0.83469000631441714</v>
      </c>
      <c r="L172" s="593">
        <f>'Database MK'!V173</f>
        <v>0</v>
      </c>
      <c r="M172" s="593">
        <f>'Database MK'!W173</f>
        <v>0</v>
      </c>
      <c r="N172" s="593">
        <f>Table3[[#This Row],[Total Panjang Pipa Aktual]]-Table3[[#This Row],[Volume
BA MC-0]]</f>
        <v>0</v>
      </c>
      <c r="O172" s="7" t="str">
        <f ca="1">'Database MK'!DE173</f>
        <v>Sudah, OnSchedule</v>
      </c>
      <c r="P172" s="7" t="str">
        <f ca="1">'Database MK'!DI173</f>
        <v>Sudah, OnSchedule</v>
      </c>
      <c r="Q172" s="7" t="str">
        <f ca="1">'Database MK'!DN173</f>
        <v>Sudah, OnSchedule</v>
      </c>
      <c r="R172" s="7" t="str">
        <f ca="1">'Database MK'!DR173</f>
        <v>Sudah, Delay</v>
      </c>
      <c r="S172" s="7" t="str">
        <f ca="1">'Database MK'!EA173</f>
        <v>Sudah, Delay</v>
      </c>
      <c r="T172" s="7" t="str">
        <f ca="1">'Database MK'!EI173</f>
        <v>Belum, Delay</v>
      </c>
      <c r="U172" s="7" t="str">
        <f ca="1">'Database MK'!ET173</f>
        <v>Belum, Delay</v>
      </c>
      <c r="V172" s="7" t="str">
        <f ca="1">'Database MK'!GA173</f>
        <v>Belum, Delay</v>
      </c>
      <c r="W172" s="7" t="str">
        <f ca="1">'Database MK'!GD173</f>
        <v>Sudah, Delay</v>
      </c>
      <c r="X172" s="7" t="str">
        <f ca="1">'Database MK'!GG173</f>
        <v>Sudah, Delay</v>
      </c>
      <c r="Y172" s="7" t="str">
        <f ca="1">'Database MK'!GK173</f>
        <v>Sudah, Delay</v>
      </c>
      <c r="Z172" s="7" t="str">
        <f ca="1">'Database MK'!HH173</f>
        <v>Belum, Delay</v>
      </c>
      <c r="AA172" s="7" t="str">
        <f ca="1">'Database MK'!HQ173</f>
        <v>Belum, Delay</v>
      </c>
      <c r="AB172" s="7" t="str">
        <f ca="1">'Database MK'!HW173</f>
        <v>Belum, Delay</v>
      </c>
      <c r="AC172" s="7">
        <f>'Database MK'!DA173-'Database MK'!DB173</f>
        <v>62</v>
      </c>
      <c r="AD172" s="7">
        <f>'Database MK'!DA173-'Database MK'!DF173</f>
        <v>39</v>
      </c>
      <c r="AE172" s="7">
        <f>'Database MK'!DK173-'Database MK'!DL173</f>
        <v>44</v>
      </c>
      <c r="AF172" s="7">
        <f>'Database MK'!DK173-'Database MK'!DO173</f>
        <v>-16</v>
      </c>
      <c r="AG172" s="7">
        <f>'Database MK'!DU173-'Database MK'!DW173</f>
        <v>-234</v>
      </c>
      <c r="AH172" s="7" t="str">
        <f>IF('Database MK'!EB173="","Belum",'Database MK'!DU173-'Database MK'!EB173)</f>
        <v>Belum</v>
      </c>
      <c r="AI172" s="7" t="str">
        <f>IF('Database MK'!EN173="","Belum",'Database MK'!EL173-'Database MK'!EN173)</f>
        <v>Belum</v>
      </c>
      <c r="AJ172" s="7">
        <f>'Database MK'!FY173-'Database MK'!FZ173</f>
        <v>0</v>
      </c>
      <c r="AK172" s="7">
        <f>IF('Database MK'!GC173="","Belum",'Database MK'!GB173-'Database MK'!GC173)</f>
        <v>-5</v>
      </c>
      <c r="AL172" s="7">
        <f>IF('Database MK'!GF173="","Belum",'Database MK'!GE173-'Database MK'!GF173)</f>
        <v>-19</v>
      </c>
      <c r="AM172" s="309">
        <f>IF('Database MK'!GJ173="","Belum",'Database MK'!GI173-'Database MK'!GJ173)</f>
        <v>-11</v>
      </c>
      <c r="AN172" s="7" t="str">
        <f>IF('Database MK'!HG173="","Belum",'Database MK'!HF173-'Database MK'!HG173)</f>
        <v>Belum</v>
      </c>
      <c r="AO172" s="7" t="str">
        <f>IF('Database MK'!HP173="","Belum",'Database MK'!HN173-'Database MK'!HP173)</f>
        <v>Belum</v>
      </c>
      <c r="AP172" s="7" t="str">
        <f>IF('Database MK'!HV173="","Belum",'Database MK'!HT173-'Database MK'!HV173)</f>
        <v>Belum</v>
      </c>
    </row>
    <row r="173" spans="2:42" hidden="1" x14ac:dyDescent="0.2">
      <c r="B173" s="7">
        <f>SUBTOTAL(3,$C$4:C173)</f>
        <v>74</v>
      </c>
      <c r="C173" s="4" t="s">
        <v>244</v>
      </c>
      <c r="D173" s="4" t="s">
        <v>1275</v>
      </c>
      <c r="E173" s="4" t="s">
        <v>1276</v>
      </c>
      <c r="F173" s="300">
        <v>45931</v>
      </c>
      <c r="G173" s="4" t="s">
        <v>247</v>
      </c>
      <c r="H173" s="4" t="str">
        <f ca="1">'Database MK'!Q174</f>
        <v>DPPP</v>
      </c>
      <c r="I173" s="24">
        <f>'Database MK'!S174</f>
        <v>1</v>
      </c>
      <c r="J173" s="24">
        <f>'Database MK'!T174</f>
        <v>1</v>
      </c>
      <c r="K173" s="603">
        <f>'Database MK'!U174</f>
        <v>0</v>
      </c>
      <c r="L173" s="593">
        <f>'Database MK'!V174</f>
        <v>3219</v>
      </c>
      <c r="M173" s="593">
        <f>'Database MK'!W174</f>
        <v>3221.6</v>
      </c>
      <c r="N173" s="593">
        <f>Table3[[#This Row],[Total Panjang Pipa Aktual]]-Table3[[#This Row],[Volume
BA MC-0]]</f>
        <v>2.5999999999999091</v>
      </c>
      <c r="O173" s="7" t="str">
        <f ca="1">'Database MK'!DE174</f>
        <v>Sudah, Delay</v>
      </c>
      <c r="P173" s="7" t="str">
        <f ca="1">'Database MK'!DI174</f>
        <v>Sudah, Delay</v>
      </c>
      <c r="Q173" s="7" t="str">
        <f ca="1">'Database MK'!DN174</f>
        <v>Sudah, Delay</v>
      </c>
      <c r="R173" s="7" t="str">
        <f ca="1">'Database MK'!DR174</f>
        <v>Sudah, Delay</v>
      </c>
      <c r="S173" s="7" t="str">
        <f ca="1">'Database MK'!EA174</f>
        <v>Sudah, Delay</v>
      </c>
      <c r="T173" s="7" t="str">
        <f ca="1">'Database MK'!EI174</f>
        <v>Sudah, Delay</v>
      </c>
      <c r="U173" s="7" t="str">
        <f ca="1">'Database MK'!ET174</f>
        <v>Sudah, Delay</v>
      </c>
      <c r="V173" s="7" t="str">
        <f ca="1">'Database MK'!GA174</f>
        <v>Belum, Delay</v>
      </c>
      <c r="W173" s="7" t="str">
        <f ca="1">'Database MK'!GD174</f>
        <v>Sudah, Delay</v>
      </c>
      <c r="X173" s="7" t="str">
        <f ca="1">'Database MK'!GG174</f>
        <v>Sudah, OnSchedule</v>
      </c>
      <c r="Y173" s="7" t="str">
        <f ca="1">'Database MK'!GK174</f>
        <v>Sudah, OnSchedule</v>
      </c>
      <c r="Z173" s="7" t="str">
        <f ca="1">'Database MK'!HH174</f>
        <v>Sudah, Delay</v>
      </c>
      <c r="AA173" s="7" t="str">
        <f ca="1">'Database MK'!HQ174</f>
        <v>Sudah, Delay</v>
      </c>
      <c r="AB173" s="7" t="str">
        <f ca="1">'Database MK'!HW174</f>
        <v>Sudah, Delay</v>
      </c>
      <c r="AC173" s="7">
        <f>'Database MK'!DA174-'Database MK'!DB174</f>
        <v>-12</v>
      </c>
      <c r="AD173" s="7">
        <f>'Database MK'!DA174-'Database MK'!DF174</f>
        <v>-24</v>
      </c>
      <c r="AE173" s="7">
        <f>'Database MK'!DK174-'Database MK'!DL174</f>
        <v>-13</v>
      </c>
      <c r="AF173" s="7">
        <f>'Database MK'!DK174-'Database MK'!DO174</f>
        <v>-50</v>
      </c>
      <c r="AG173" s="7">
        <f>'Database MK'!DU174-'Database MK'!DW174</f>
        <v>-41</v>
      </c>
      <c r="AH173" s="7">
        <f>IF('Database MK'!EB174="","Belum",'Database MK'!DU174-'Database MK'!EB174)</f>
        <v>-193</v>
      </c>
      <c r="AI173" s="7">
        <f>IF('Database MK'!EN174="","Belum",'Database MK'!EL174-'Database MK'!EN174)</f>
        <v>-429</v>
      </c>
      <c r="AJ173" s="7">
        <f>'Database MK'!FY174-'Database MK'!FZ174</f>
        <v>0</v>
      </c>
      <c r="AK173" s="7">
        <f>IF('Database MK'!GC174="","Belum",'Database MK'!GB174-'Database MK'!GC174)</f>
        <v>-392</v>
      </c>
      <c r="AL173" s="7">
        <f>IF('Database MK'!GF174="","Belum",'Database MK'!GE174-'Database MK'!GF174)</f>
        <v>29</v>
      </c>
      <c r="AM173" s="309">
        <f>IF('Database MK'!GJ174="","Belum",'Database MK'!GI174-'Database MK'!GJ174)</f>
        <v>276</v>
      </c>
      <c r="AN173" s="7">
        <f>IF('Database MK'!HG174="","Belum",'Database MK'!HF174-'Database MK'!HG174)</f>
        <v>-54</v>
      </c>
      <c r="AO173" s="7">
        <f>IF('Database MK'!HP174="","Belum",'Database MK'!HN174-'Database MK'!HP174)</f>
        <v>-35</v>
      </c>
      <c r="AP173" s="7">
        <f>IF('Database MK'!HV174="","Belum",'Database MK'!HT174-'Database MK'!HV174)</f>
        <v>-158</v>
      </c>
    </row>
    <row r="174" spans="2:42" s="77" customFormat="1" hidden="1" x14ac:dyDescent="0.2">
      <c r="B174" s="7">
        <f>SUBTOTAL(3,$C$4:C174)</f>
        <v>74</v>
      </c>
      <c r="C174" s="77" t="s">
        <v>244</v>
      </c>
      <c r="D174" s="77" t="s">
        <v>1286</v>
      </c>
      <c r="E174" s="77" t="s">
        <v>1287</v>
      </c>
      <c r="F174" s="302">
        <v>45931</v>
      </c>
      <c r="G174" s="77" t="s">
        <v>681</v>
      </c>
      <c r="H174" s="77" t="str">
        <f>'Database MK'!Q175</f>
        <v>BATAL / CANCEL</v>
      </c>
      <c r="I174" s="604">
        <f>'Database MK'!S175</f>
        <v>1</v>
      </c>
      <c r="J174" s="604">
        <f>'Database MK'!T175</f>
        <v>0</v>
      </c>
      <c r="K174" s="605">
        <f>'Database MK'!U175</f>
        <v>-1</v>
      </c>
      <c r="L174" s="594">
        <f>'Database MK'!V175</f>
        <v>0</v>
      </c>
      <c r="M174" s="594">
        <f>'Database MK'!W175</f>
        <v>0</v>
      </c>
      <c r="N174" s="594">
        <f>Table3[[#This Row],[Total Panjang Pipa Aktual]]-Table3[[#This Row],[Volume
BA MC-0]]</f>
        <v>0</v>
      </c>
      <c r="O174" s="307" t="str">
        <f ca="1">'Database MK'!DE175</f>
        <v>Belum, Delay</v>
      </c>
      <c r="P174" s="307" t="str">
        <f ca="1">'Database MK'!DI175</f>
        <v>Belum, Delay</v>
      </c>
      <c r="Q174" s="307" t="str">
        <f ca="1">'Database MK'!DN175</f>
        <v>Sudah, OnSchedule</v>
      </c>
      <c r="R174" s="307" t="str">
        <f ca="1">'Database MK'!DR175</f>
        <v>Sudah, Delay</v>
      </c>
      <c r="S174" s="307" t="str">
        <f ca="1">'Database MK'!EA175</f>
        <v>Belum, Delay</v>
      </c>
      <c r="T174" s="307" t="str">
        <f ca="1">'Database MK'!EI175</f>
        <v>Belum, Delay</v>
      </c>
      <c r="U174" s="307" t="str">
        <f ca="1">'Database MK'!ET175</f>
        <v>Belum, Delay</v>
      </c>
      <c r="V174" s="307" t="str">
        <f ca="1">'Database MK'!GA175</f>
        <v>Belum, Delay</v>
      </c>
      <c r="W174" s="307" t="str">
        <f ca="1">'Database MK'!GD175</f>
        <v>Belum, Delay</v>
      </c>
      <c r="X174" s="307" t="str">
        <f ca="1">'Database MK'!GG175</f>
        <v>Belum, Delay</v>
      </c>
      <c r="Y174" s="307" t="str">
        <f ca="1">'Database MK'!GK175</f>
        <v>Sudah, Delay</v>
      </c>
      <c r="Z174" s="307" t="str">
        <f ca="1">'Database MK'!HH175</f>
        <v>Belum, Delay</v>
      </c>
      <c r="AA174" s="307" t="str">
        <f ca="1">'Database MK'!HQ175</f>
        <v>Belum, Delay</v>
      </c>
      <c r="AB174" s="307" t="str">
        <f ca="1">'Database MK'!HW175</f>
        <v>Belum, Delay</v>
      </c>
      <c r="AC174" s="307"/>
      <c r="AD174" s="307"/>
      <c r="AE174" s="307"/>
      <c r="AF174" s="307"/>
      <c r="AG174" s="307"/>
      <c r="AH174" s="307"/>
      <c r="AI174" s="307"/>
      <c r="AJ174" s="307">
        <f>'Database MK'!FY175-'Database MK'!FZ175</f>
        <v>0</v>
      </c>
      <c r="AK174" s="307"/>
      <c r="AL174" s="307"/>
      <c r="AM174" s="310"/>
      <c r="AN174" s="307"/>
      <c r="AO174" s="307"/>
      <c r="AP174" s="307"/>
    </row>
    <row r="175" spans="2:42" s="77" customFormat="1" hidden="1" x14ac:dyDescent="0.2">
      <c r="B175" s="7">
        <f>SUBTOTAL(3,$C$4:C175)</f>
        <v>74</v>
      </c>
      <c r="C175" s="77" t="s">
        <v>244</v>
      </c>
      <c r="D175" s="77" t="s">
        <v>1292</v>
      </c>
      <c r="E175" s="77" t="s">
        <v>1293</v>
      </c>
      <c r="F175" s="302">
        <v>45931</v>
      </c>
      <c r="G175" s="77" t="s">
        <v>681</v>
      </c>
      <c r="H175" s="77" t="str">
        <f>'Database MK'!Q176</f>
        <v>BATAL / CANCEL</v>
      </c>
      <c r="I175" s="604">
        <f>'Database MK'!S176</f>
        <v>1</v>
      </c>
      <c r="J175" s="604">
        <f>'Database MK'!T176</f>
        <v>0</v>
      </c>
      <c r="K175" s="605">
        <f>'Database MK'!U176</f>
        <v>-1</v>
      </c>
      <c r="L175" s="594">
        <f>'Database MK'!V176</f>
        <v>0</v>
      </c>
      <c r="M175" s="594">
        <f>'Database MK'!W176</f>
        <v>0</v>
      </c>
      <c r="N175" s="594">
        <f>Table3[[#This Row],[Total Panjang Pipa Aktual]]-Table3[[#This Row],[Volume
BA MC-0]]</f>
        <v>0</v>
      </c>
      <c r="O175" s="307" t="str">
        <f ca="1">'Database MK'!DE176</f>
        <v>Belum, Delay</v>
      </c>
      <c r="P175" s="307" t="str">
        <f ca="1">'Database MK'!DI176</f>
        <v>Belum, Delay</v>
      </c>
      <c r="Q175" s="307" t="str">
        <f ca="1">'Database MK'!DN176</f>
        <v>Belum, Delay</v>
      </c>
      <c r="R175" s="307" t="str">
        <f ca="1">'Database MK'!DR176</f>
        <v>Belum, Delay</v>
      </c>
      <c r="S175" s="307" t="str">
        <f ca="1">'Database MK'!EA176</f>
        <v>Belum, Delay</v>
      </c>
      <c r="T175" s="307" t="str">
        <f ca="1">'Database MK'!EI176</f>
        <v>Belum, Delay</v>
      </c>
      <c r="U175" s="307" t="str">
        <f ca="1">'Database MK'!ET176</f>
        <v>Belum, Delay</v>
      </c>
      <c r="V175" s="307" t="str">
        <f ca="1">'Database MK'!GA176</f>
        <v>Belum, Delay</v>
      </c>
      <c r="W175" s="307" t="str">
        <f ca="1">'Database MK'!GD176</f>
        <v>Sudah, Delay</v>
      </c>
      <c r="X175" s="307" t="str">
        <f ca="1">'Database MK'!GG176</f>
        <v>Sudah, OnSchedule</v>
      </c>
      <c r="Y175" s="307" t="str">
        <f ca="1">'Database MK'!GK176</f>
        <v>Sudah, Delay</v>
      </c>
      <c r="Z175" s="307" t="str">
        <f ca="1">'Database MK'!HH176</f>
        <v>Belum, Delay</v>
      </c>
      <c r="AA175" s="307" t="str">
        <f ca="1">'Database MK'!HQ176</f>
        <v>Belum, Delay</v>
      </c>
      <c r="AB175" s="307" t="str">
        <f ca="1">'Database MK'!HW176</f>
        <v>Belum, Delay</v>
      </c>
      <c r="AC175" s="307"/>
      <c r="AD175" s="307"/>
      <c r="AE175" s="307"/>
      <c r="AF175" s="307"/>
      <c r="AG175" s="307"/>
      <c r="AH175" s="307"/>
      <c r="AI175" s="307"/>
      <c r="AJ175" s="307">
        <f>'Database MK'!FY176-'Database MK'!FZ176</f>
        <v>0</v>
      </c>
      <c r="AK175" s="307"/>
      <c r="AL175" s="307"/>
      <c r="AM175" s="310"/>
      <c r="AN175" s="307"/>
      <c r="AO175" s="307"/>
      <c r="AP175" s="307"/>
    </row>
    <row r="176" spans="2:42" s="77" customFormat="1" hidden="1" x14ac:dyDescent="0.2">
      <c r="B176" s="7">
        <f>SUBTOTAL(3,$C$4:C176)</f>
        <v>74</v>
      </c>
      <c r="C176" s="77" t="s">
        <v>244</v>
      </c>
      <c r="D176" s="77" t="s">
        <v>1295</v>
      </c>
      <c r="E176" s="77" t="s">
        <v>1296</v>
      </c>
      <c r="F176" s="302">
        <v>45931</v>
      </c>
      <c r="G176" s="77" t="s">
        <v>681</v>
      </c>
      <c r="H176" s="77" t="str">
        <f>'Database MK'!Q177</f>
        <v>BATAL / CANCEL</v>
      </c>
      <c r="I176" s="604">
        <f>'Database MK'!S177</f>
        <v>1</v>
      </c>
      <c r="J176" s="604">
        <f>'Database MK'!T177</f>
        <v>0</v>
      </c>
      <c r="K176" s="605">
        <f>'Database MK'!U177</f>
        <v>-1</v>
      </c>
      <c r="L176" s="594">
        <f>'Database MK'!V177</f>
        <v>0</v>
      </c>
      <c r="M176" s="594">
        <f>'Database MK'!W177</f>
        <v>0</v>
      </c>
      <c r="N176" s="594">
        <f>Table3[[#This Row],[Total Panjang Pipa Aktual]]-Table3[[#This Row],[Volume
BA MC-0]]</f>
        <v>0</v>
      </c>
      <c r="O176" s="307" t="str">
        <f ca="1">'Database MK'!DE177</f>
        <v>Belum, Delay</v>
      </c>
      <c r="P176" s="307" t="str">
        <f ca="1">'Database MK'!DI177</f>
        <v>Belum, Delay</v>
      </c>
      <c r="Q176" s="307" t="str">
        <f ca="1">'Database MK'!DN177</f>
        <v>Belum, Delay</v>
      </c>
      <c r="R176" s="307" t="str">
        <f ca="1">'Database MK'!DR177</f>
        <v>Belum, Delay</v>
      </c>
      <c r="S176" s="307" t="str">
        <f ca="1">'Database MK'!EA177</f>
        <v>Belum, Delay</v>
      </c>
      <c r="T176" s="307" t="str">
        <f ca="1">'Database MK'!EI177</f>
        <v>Belum, Delay</v>
      </c>
      <c r="U176" s="307" t="str">
        <f ca="1">'Database MK'!ET177</f>
        <v>Belum, Delay</v>
      </c>
      <c r="V176" s="307" t="str">
        <f ca="1">'Database MK'!GA177</f>
        <v>Belum, Delay</v>
      </c>
      <c r="W176" s="307" t="str">
        <f ca="1">'Database MK'!GD177</f>
        <v>Belum, Delay</v>
      </c>
      <c r="X176" s="307" t="str">
        <f ca="1">'Database MK'!GG177</f>
        <v>Belum, Delay</v>
      </c>
      <c r="Y176" s="307" t="str">
        <f ca="1">'Database MK'!GK177</f>
        <v>Sudah, Delay</v>
      </c>
      <c r="Z176" s="307" t="str">
        <f ca="1">'Database MK'!HH177</f>
        <v>Belum, Delay</v>
      </c>
      <c r="AA176" s="307" t="str">
        <f ca="1">'Database MK'!HQ177</f>
        <v>Belum, Delay</v>
      </c>
      <c r="AB176" s="307" t="str">
        <f ca="1">'Database MK'!HW177</f>
        <v>Belum, Delay</v>
      </c>
      <c r="AC176" s="307"/>
      <c r="AD176" s="307"/>
      <c r="AE176" s="307"/>
      <c r="AF176" s="307"/>
      <c r="AG176" s="307"/>
      <c r="AH176" s="307"/>
      <c r="AI176" s="307"/>
      <c r="AJ176" s="307">
        <f>'Database MK'!FY177-'Database MK'!FZ177</f>
        <v>0</v>
      </c>
      <c r="AK176" s="307"/>
      <c r="AL176" s="307"/>
      <c r="AM176" s="310"/>
      <c r="AN176" s="307"/>
      <c r="AO176" s="307"/>
      <c r="AP176" s="307"/>
    </row>
    <row r="177" spans="2:42" s="77" customFormat="1" hidden="1" x14ac:dyDescent="0.2">
      <c r="B177" s="7">
        <f>SUBTOTAL(3,$C$4:C177)</f>
        <v>74</v>
      </c>
      <c r="C177" s="77" t="s">
        <v>244</v>
      </c>
      <c r="D177" s="77" t="s">
        <v>1298</v>
      </c>
      <c r="E177" s="77" t="s">
        <v>1299</v>
      </c>
      <c r="F177" s="302">
        <v>45931</v>
      </c>
      <c r="G177" s="77" t="s">
        <v>681</v>
      </c>
      <c r="H177" s="77" t="str">
        <f>'Database MK'!Q178</f>
        <v>BATAL / CANCEL</v>
      </c>
      <c r="I177" s="604">
        <f>'Database MK'!S178</f>
        <v>1</v>
      </c>
      <c r="J177" s="604">
        <f>'Database MK'!T178</f>
        <v>0</v>
      </c>
      <c r="K177" s="605">
        <f>'Database MK'!U178</f>
        <v>-1</v>
      </c>
      <c r="L177" s="594">
        <f>'Database MK'!V178</f>
        <v>0</v>
      </c>
      <c r="M177" s="594">
        <f>'Database MK'!W178</f>
        <v>0</v>
      </c>
      <c r="N177" s="594">
        <f>Table3[[#This Row],[Total Panjang Pipa Aktual]]-Table3[[#This Row],[Volume
BA MC-0]]</f>
        <v>0</v>
      </c>
      <c r="O177" s="307" t="str">
        <f ca="1">'Database MK'!DE178</f>
        <v>Belum, Delay</v>
      </c>
      <c r="P177" s="307" t="str">
        <f ca="1">'Database MK'!DI178</f>
        <v>Belum, Delay</v>
      </c>
      <c r="Q177" s="307" t="str">
        <f ca="1">'Database MK'!DN178</f>
        <v>Belum, Delay</v>
      </c>
      <c r="R177" s="307" t="str">
        <f ca="1">'Database MK'!DR178</f>
        <v>Belum, Delay</v>
      </c>
      <c r="S177" s="307" t="str">
        <f ca="1">'Database MK'!EA178</f>
        <v>Belum, Delay</v>
      </c>
      <c r="T177" s="307" t="str">
        <f ca="1">'Database MK'!EI178</f>
        <v>Belum, Delay</v>
      </c>
      <c r="U177" s="307" t="str">
        <f ca="1">'Database MK'!ET178</f>
        <v>Belum, Delay</v>
      </c>
      <c r="V177" s="307" t="str">
        <f ca="1">'Database MK'!GA178</f>
        <v>Belum, Delay</v>
      </c>
      <c r="W177" s="307" t="str">
        <f ca="1">'Database MK'!GD178</f>
        <v>Belum, Delay</v>
      </c>
      <c r="X177" s="307" t="str">
        <f ca="1">'Database MK'!GG178</f>
        <v>Belum, Delay</v>
      </c>
      <c r="Y177" s="307" t="str">
        <f ca="1">'Database MK'!GK178</f>
        <v>Sudah, Delay</v>
      </c>
      <c r="Z177" s="307" t="str">
        <f ca="1">'Database MK'!HH178</f>
        <v>Belum, Delay</v>
      </c>
      <c r="AA177" s="307" t="str">
        <f ca="1">'Database MK'!HQ178</f>
        <v>Belum, Delay</v>
      </c>
      <c r="AB177" s="307" t="str">
        <f ca="1">'Database MK'!HW178</f>
        <v>Belum, Delay</v>
      </c>
      <c r="AC177" s="307"/>
      <c r="AD177" s="307"/>
      <c r="AE177" s="307"/>
      <c r="AF177" s="307"/>
      <c r="AG177" s="307"/>
      <c r="AH177" s="307"/>
      <c r="AI177" s="307"/>
      <c r="AJ177" s="307">
        <f>'Database MK'!FY178-'Database MK'!FZ178</f>
        <v>0</v>
      </c>
      <c r="AK177" s="307"/>
      <c r="AL177" s="307"/>
      <c r="AM177" s="310"/>
      <c r="AN177" s="307"/>
      <c r="AO177" s="307"/>
      <c r="AP177" s="307"/>
    </row>
    <row r="178" spans="2:42" hidden="1" x14ac:dyDescent="0.2">
      <c r="B178" s="7">
        <f>SUBTOTAL(3,$C$4:C178)</f>
        <v>74</v>
      </c>
      <c r="C178" s="4" t="s">
        <v>244</v>
      </c>
      <c r="D178" s="4" t="s">
        <v>1301</v>
      </c>
      <c r="E178" s="4" t="s">
        <v>1302</v>
      </c>
      <c r="F178" s="300">
        <v>45931</v>
      </c>
      <c r="G178" s="4" t="s">
        <v>681</v>
      </c>
      <c r="H178" s="4" t="str">
        <f ca="1">'Database MK'!Q179</f>
        <v>DPPP</v>
      </c>
      <c r="I178" s="24">
        <f>'Database MK'!S179</f>
        <v>1</v>
      </c>
      <c r="J178" s="24">
        <f>'Database MK'!T179</f>
        <v>1</v>
      </c>
      <c r="K178" s="603">
        <f>'Database MK'!U179</f>
        <v>0</v>
      </c>
      <c r="L178" s="593">
        <f>'Database MK'!V179</f>
        <v>7</v>
      </c>
      <c r="M178" s="593">
        <f>'Database MK'!W179</f>
        <v>2</v>
      </c>
      <c r="N178" s="593">
        <f>Table3[[#This Row],[Total Panjang Pipa Aktual]]-Table3[[#This Row],[Volume
BA MC-0]]</f>
        <v>-5</v>
      </c>
      <c r="O178" s="7" t="str">
        <f ca="1">'Database MK'!DE179</f>
        <v>Sudah, OnSchedule</v>
      </c>
      <c r="P178" s="7" t="str">
        <f ca="1">'Database MK'!DI179</f>
        <v>Sudah, Delay</v>
      </c>
      <c r="Q178" s="7" t="str">
        <f ca="1">'Database MK'!DN179</f>
        <v>Sudah, OnSchedule</v>
      </c>
      <c r="R178" s="7" t="str">
        <f ca="1">'Database MK'!DR179</f>
        <v>Sudah, Delay</v>
      </c>
      <c r="S178" s="7" t="str">
        <f ca="1">'Database MK'!EA179</f>
        <v>Sudah, Delay</v>
      </c>
      <c r="T178" s="7" t="str">
        <f ca="1">'Database MK'!EI179</f>
        <v>Sudah, Delay</v>
      </c>
      <c r="U178" s="7" t="str">
        <f ca="1">'Database MK'!ET179</f>
        <v>Sudah, Delay</v>
      </c>
      <c r="V178" s="7" t="str">
        <f ca="1">'Database MK'!GA179</f>
        <v>Belum, Delay</v>
      </c>
      <c r="W178" s="7" t="str">
        <f ca="1">'Database MK'!GD179</f>
        <v>Sudah, Delay</v>
      </c>
      <c r="X178" s="7" t="str">
        <f ca="1">'Database MK'!GG179</f>
        <v>Sudah, Delay</v>
      </c>
      <c r="Y178" s="7" t="str">
        <f ca="1">'Database MK'!GK179</f>
        <v>Sudah, Delay</v>
      </c>
      <c r="Z178" s="7" t="str">
        <f ca="1">'Database MK'!HH179</f>
        <v>Sudah, Delay</v>
      </c>
      <c r="AA178" s="7" t="str">
        <f ca="1">'Database MK'!HQ179</f>
        <v>Sudah, Delay</v>
      </c>
      <c r="AB178" s="7" t="str">
        <f ca="1">'Database MK'!HW179</f>
        <v>Sudah, Delay</v>
      </c>
      <c r="AC178" s="7">
        <f>'Database MK'!DA179-'Database MK'!DB179</f>
        <v>5</v>
      </c>
      <c r="AD178" s="7">
        <f>'Database MK'!DA179-'Database MK'!DF179</f>
        <v>-10</v>
      </c>
      <c r="AE178" s="7">
        <f>'Database MK'!DK179-'Database MK'!DL179</f>
        <v>18</v>
      </c>
      <c r="AF178" s="7">
        <f>'Database MK'!DK179-'Database MK'!DO179</f>
        <v>-18</v>
      </c>
      <c r="AG178" s="7">
        <f>'Database MK'!DU179-'Database MK'!DW179</f>
        <v>-3</v>
      </c>
      <c r="AH178" s="7">
        <f>IF('Database MK'!EB179="","Belum",'Database MK'!DU179-'Database MK'!EB179)</f>
        <v>-283</v>
      </c>
      <c r="AI178" s="7">
        <f>IF('Database MK'!EN179="","Belum",'Database MK'!EL179-'Database MK'!EN179)</f>
        <v>-457</v>
      </c>
      <c r="AJ178" s="7">
        <f>'Database MK'!FY179-'Database MK'!FZ179</f>
        <v>0</v>
      </c>
      <c r="AK178" s="7">
        <f>IF('Database MK'!GC179="","Belum",'Database MK'!GB179-'Database MK'!GC179)</f>
        <v>-27</v>
      </c>
      <c r="AL178" s="7">
        <f>IF('Database MK'!GF179="","Belum",'Database MK'!GE179-'Database MK'!GF179)</f>
        <v>-20</v>
      </c>
      <c r="AM178" s="309">
        <f>IF('Database MK'!GJ179="","Belum",'Database MK'!GI179-'Database MK'!GJ179)</f>
        <v>-2</v>
      </c>
      <c r="AN178" s="7">
        <f>IF('Database MK'!HG179="","Belum",'Database MK'!HF179-'Database MK'!HG179)</f>
        <v>-61</v>
      </c>
      <c r="AO178" s="7">
        <f>IF('Database MK'!HP179="","Belum",'Database MK'!HN179-'Database MK'!HP179)</f>
        <v>-49</v>
      </c>
      <c r="AP178" s="7">
        <f>IF('Database MK'!HV179="","Belum",'Database MK'!HT179-'Database MK'!HV179)</f>
        <v>-237</v>
      </c>
    </row>
    <row r="179" spans="2:42" hidden="1" x14ac:dyDescent="0.2">
      <c r="B179" s="7">
        <f>SUBTOTAL(3,$C$4:C179)</f>
        <v>74</v>
      </c>
      <c r="C179" s="4" t="s">
        <v>244</v>
      </c>
      <c r="D179" s="4" t="s">
        <v>1310</v>
      </c>
      <c r="E179" s="4" t="s">
        <v>1311</v>
      </c>
      <c r="F179" s="300">
        <v>45931</v>
      </c>
      <c r="G179" s="4" t="s">
        <v>681</v>
      </c>
      <c r="H179" s="4" t="str">
        <f ca="1">'Database MK'!Q180</f>
        <v>DPPP</v>
      </c>
      <c r="I179" s="24">
        <f>'Database MK'!S180</f>
        <v>1</v>
      </c>
      <c r="J179" s="24">
        <f>'Database MK'!T180</f>
        <v>1</v>
      </c>
      <c r="K179" s="603">
        <f>'Database MK'!U180</f>
        <v>0</v>
      </c>
      <c r="L179" s="593">
        <f>'Database MK'!V180</f>
        <v>586</v>
      </c>
      <c r="M179" s="593">
        <f>'Database MK'!W180</f>
        <v>571</v>
      </c>
      <c r="N179" s="593">
        <f>Table3[[#This Row],[Total Panjang Pipa Aktual]]-Table3[[#This Row],[Volume
BA MC-0]]</f>
        <v>-15</v>
      </c>
      <c r="O179" s="7" t="str">
        <f ca="1">'Database MK'!DE180</f>
        <v>Sudah, OnSchedule</v>
      </c>
      <c r="P179" s="7" t="str">
        <f ca="1">'Database MK'!DI180</f>
        <v>Sudah, OnSchedule</v>
      </c>
      <c r="Q179" s="7" t="str">
        <f ca="1">'Database MK'!DN180</f>
        <v>Sudah, OnSchedule</v>
      </c>
      <c r="R179" s="7" t="str">
        <f ca="1">'Database MK'!DR180</f>
        <v>Sudah, OnSchedule</v>
      </c>
      <c r="S179" s="7" t="str">
        <f ca="1">'Database MK'!EA180</f>
        <v>Sudah, OnSchedule</v>
      </c>
      <c r="T179" s="7" t="str">
        <f ca="1">'Database MK'!EI180</f>
        <v>Sudah, Delay</v>
      </c>
      <c r="U179" s="7" t="str">
        <f ca="1">'Database MK'!ET180</f>
        <v>Sudah, Delay</v>
      </c>
      <c r="V179" s="7" t="str">
        <f ca="1">'Database MK'!GA180</f>
        <v>Belum, Delay</v>
      </c>
      <c r="W179" s="7" t="str">
        <f ca="1">'Database MK'!GD180</f>
        <v>Sudah, OnSchedule</v>
      </c>
      <c r="X179" s="7" t="str">
        <f ca="1">'Database MK'!GG180</f>
        <v>Sudah, OnSchedule</v>
      </c>
      <c r="Y179" s="7" t="str">
        <f ca="1">'Database MK'!GK180</f>
        <v>Sudah, OnSchedule</v>
      </c>
      <c r="Z179" s="7" t="str">
        <f ca="1">'Database MK'!HH180</f>
        <v>Sudah, OnSchedule</v>
      </c>
      <c r="AA179" s="7" t="str">
        <f ca="1">'Database MK'!HQ180</f>
        <v>Sudah, OnSchedule</v>
      </c>
      <c r="AB179" s="7" t="str">
        <f ca="1">'Database MK'!HW180</f>
        <v>Sudah, Delay</v>
      </c>
      <c r="AC179" s="7">
        <f>'Database MK'!DA180-'Database MK'!DB180</f>
        <v>76</v>
      </c>
      <c r="AD179" s="7">
        <f>'Database MK'!DA180-'Database MK'!DF180</f>
        <v>74</v>
      </c>
      <c r="AE179" s="7">
        <f>'Database MK'!DK180-'Database MK'!DL180</f>
        <v>115</v>
      </c>
      <c r="AF179" s="7">
        <f>'Database MK'!DK180-'Database MK'!DO180</f>
        <v>107</v>
      </c>
      <c r="AG179" s="7">
        <f>'Database MK'!DU180-'Database MK'!DW180</f>
        <v>185</v>
      </c>
      <c r="AH179" s="7">
        <f>IF('Database MK'!EB180="","Belum",'Database MK'!DU180-'Database MK'!EB180)</f>
        <v>-277</v>
      </c>
      <c r="AI179" s="7">
        <f>IF('Database MK'!EN180="","Belum",'Database MK'!EL180-'Database MK'!EN180)</f>
        <v>-282</v>
      </c>
      <c r="AJ179" s="7">
        <f>'Database MK'!FY180-'Database MK'!FZ180</f>
        <v>0</v>
      </c>
      <c r="AK179" s="7">
        <f>IF('Database MK'!GC180="","Belum",'Database MK'!GB180-'Database MK'!GC180)</f>
        <v>92</v>
      </c>
      <c r="AL179" s="7">
        <f>IF('Database MK'!GF180="","Belum",'Database MK'!GE180-'Database MK'!GF180)</f>
        <v>99</v>
      </c>
      <c r="AM179" s="309">
        <f>IF('Database MK'!GJ180="","Belum",'Database MK'!GI180-'Database MK'!GJ180)</f>
        <v>167</v>
      </c>
      <c r="AN179" s="7">
        <f>IF('Database MK'!HG180="","Belum",'Database MK'!HF180-'Database MK'!HG180)</f>
        <v>88</v>
      </c>
      <c r="AO179" s="7">
        <f>IF('Database MK'!HP180="","Belum",'Database MK'!HN180-'Database MK'!HP180)</f>
        <v>100</v>
      </c>
      <c r="AP179" s="7">
        <f>IF('Database MK'!HV180="","Belum",'Database MK'!HT180-'Database MK'!HV180)</f>
        <v>-123</v>
      </c>
    </row>
    <row r="180" spans="2:42" hidden="1" x14ac:dyDescent="0.2">
      <c r="B180" s="7">
        <f>SUBTOTAL(3,$C$4:C180)</f>
        <v>74</v>
      </c>
      <c r="C180" s="4" t="s">
        <v>244</v>
      </c>
      <c r="D180" s="4" t="s">
        <v>1319</v>
      </c>
      <c r="E180" s="4" t="s">
        <v>1320</v>
      </c>
      <c r="F180" s="300">
        <v>45931</v>
      </c>
      <c r="G180" s="4" t="s">
        <v>681</v>
      </c>
      <c r="H180" s="4" t="str">
        <f ca="1">'Database MK'!Q181</f>
        <v>DPPP</v>
      </c>
      <c r="I180" s="24">
        <f>'Database MK'!S181</f>
        <v>1</v>
      </c>
      <c r="J180" s="24">
        <f>'Database MK'!T181</f>
        <v>1</v>
      </c>
      <c r="K180" s="603">
        <f>'Database MK'!U181</f>
        <v>0</v>
      </c>
      <c r="L180" s="593">
        <f>'Database MK'!V181</f>
        <v>52</v>
      </c>
      <c r="M180" s="593">
        <f>'Database MK'!W181</f>
        <v>50</v>
      </c>
      <c r="N180" s="593">
        <f>Table3[[#This Row],[Total Panjang Pipa Aktual]]-Table3[[#This Row],[Volume
BA MC-0]]</f>
        <v>-2</v>
      </c>
      <c r="O180" s="7" t="str">
        <f ca="1">'Database MK'!DE181</f>
        <v>Sudah, OnSchedule</v>
      </c>
      <c r="P180" s="7" t="str">
        <f ca="1">'Database MK'!DI181</f>
        <v>Sudah, Delay</v>
      </c>
      <c r="Q180" s="7" t="str">
        <f ca="1">'Database MK'!DN181</f>
        <v>Sudah, OnSchedule</v>
      </c>
      <c r="R180" s="7" t="str">
        <f ca="1">'Database MK'!DR181</f>
        <v>Sudah, OnSchedule</v>
      </c>
      <c r="S180" s="7" t="str">
        <f ca="1">'Database MK'!EA181</f>
        <v>Sudah, Delay</v>
      </c>
      <c r="T180" s="7" t="str">
        <f ca="1">'Database MK'!EI181</f>
        <v>Sudah, Delay</v>
      </c>
      <c r="U180" s="7" t="str">
        <f ca="1">'Database MK'!ET181</f>
        <v>Sudah, Delay</v>
      </c>
      <c r="V180" s="7" t="str">
        <f ca="1">'Database MK'!GA181</f>
        <v>Belum, Delay</v>
      </c>
      <c r="W180" s="7" t="str">
        <f ca="1">'Database MK'!GD181</f>
        <v>Belum, Delay</v>
      </c>
      <c r="X180" s="7" t="str">
        <f ca="1">'Database MK'!GG181</f>
        <v>Belum, Delay</v>
      </c>
      <c r="Y180" s="7" t="str">
        <f ca="1">'Database MK'!GK181</f>
        <v>Sudah, OnSchedule</v>
      </c>
      <c r="Z180" s="7" t="str">
        <f ca="1">'Database MK'!HH181</f>
        <v>Sudah, Delay</v>
      </c>
      <c r="AA180" s="7" t="str">
        <f ca="1">'Database MK'!HQ181</f>
        <v>Sudah, Delay</v>
      </c>
      <c r="AB180" s="7" t="str">
        <f ca="1">'Database MK'!HW181</f>
        <v>Sudah, Delay</v>
      </c>
      <c r="AC180" s="7">
        <f>'Database MK'!DA181-'Database MK'!DB181</f>
        <v>13</v>
      </c>
      <c r="AD180" s="7">
        <f>'Database MK'!DA181-'Database MK'!DF181</f>
        <v>-4</v>
      </c>
      <c r="AE180" s="7">
        <f>'Database MK'!DK181-'Database MK'!DL181</f>
        <v>23</v>
      </c>
      <c r="AF180" s="7">
        <f>'Database MK'!DK181-'Database MK'!DO181</f>
        <v>10</v>
      </c>
      <c r="AG180" s="7">
        <f>'Database MK'!DU181-'Database MK'!DW181</f>
        <v>-30</v>
      </c>
      <c r="AH180" s="7">
        <f>IF('Database MK'!EB181="","Belum",'Database MK'!DU181-'Database MK'!EB181)</f>
        <v>-342</v>
      </c>
      <c r="AI180" s="7">
        <f>IF('Database MK'!EN181="","Belum",'Database MK'!EL181-'Database MK'!EN181)</f>
        <v>-345</v>
      </c>
      <c r="AJ180" s="7">
        <f>'Database MK'!FY181-'Database MK'!FZ181</f>
        <v>0</v>
      </c>
      <c r="AK180" s="7" t="str">
        <f>IF('Database MK'!GC181="","Belum",'Database MK'!GB181-'Database MK'!GC181)</f>
        <v>Belum</v>
      </c>
      <c r="AL180" s="7" t="str">
        <f>IF('Database MK'!GF181="","Belum",'Database MK'!GE181-'Database MK'!GF181)</f>
        <v>Belum</v>
      </c>
      <c r="AM180" s="309">
        <f>IF('Database MK'!GJ181="","Belum",'Database MK'!GI181-'Database MK'!GJ181)</f>
        <v>44</v>
      </c>
      <c r="AN180" s="7">
        <f>IF('Database MK'!HG181="","Belum",'Database MK'!HF181-'Database MK'!HG181)</f>
        <v>-45</v>
      </c>
      <c r="AO180" s="7">
        <f>IF('Database MK'!HP181="","Belum",'Database MK'!HN181-'Database MK'!HP181)</f>
        <v>-33</v>
      </c>
      <c r="AP180" s="7">
        <f>IF('Database MK'!HV181="","Belum",'Database MK'!HT181-'Database MK'!HV181)</f>
        <v>-151</v>
      </c>
    </row>
    <row r="181" spans="2:42" hidden="1" x14ac:dyDescent="0.2">
      <c r="B181" s="7">
        <f>SUBTOTAL(3,$C$4:C181)</f>
        <v>74</v>
      </c>
      <c r="C181" s="4" t="s">
        <v>244</v>
      </c>
      <c r="D181" s="4" t="s">
        <v>1328</v>
      </c>
      <c r="E181" s="4" t="s">
        <v>1329</v>
      </c>
      <c r="F181" s="300">
        <v>45931</v>
      </c>
      <c r="G181" s="4" t="s">
        <v>681</v>
      </c>
      <c r="H181" s="4" t="str">
        <f ca="1">'Database MK'!Q182</f>
        <v>DPPP</v>
      </c>
      <c r="I181" s="24">
        <f>'Database MK'!S182</f>
        <v>1</v>
      </c>
      <c r="J181" s="24">
        <f>'Database MK'!T182</f>
        <v>1</v>
      </c>
      <c r="K181" s="603" t="str">
        <f>'Database MK'!U182</f>
        <v xml:space="preserve"> </v>
      </c>
      <c r="L181" s="593">
        <f>'Database MK'!V182</f>
        <v>5859</v>
      </c>
      <c r="M181" s="593">
        <f>'Database MK'!W182</f>
        <v>5720</v>
      </c>
      <c r="N181" s="593">
        <f>Table3[[#This Row],[Total Panjang Pipa Aktual]]-Table3[[#This Row],[Volume
BA MC-0]]</f>
        <v>-139</v>
      </c>
      <c r="O181" s="7" t="str">
        <f ca="1">'Database MK'!DE182</f>
        <v>Sudah, OnSchedule</v>
      </c>
      <c r="P181" s="7" t="str">
        <f ca="1">'Database MK'!DI182</f>
        <v>Sudah, OnSchedule</v>
      </c>
      <c r="Q181" s="7" t="str">
        <f ca="1">'Database MK'!DN182</f>
        <v>Sudah, Delay</v>
      </c>
      <c r="R181" s="7" t="str">
        <f ca="1">'Database MK'!DR182</f>
        <v>Sudah, Delay</v>
      </c>
      <c r="S181" s="7" t="str">
        <f ca="1">'Database MK'!EA182</f>
        <v>Sudah, Delay</v>
      </c>
      <c r="T181" s="7" t="str">
        <f ca="1">'Database MK'!EI182</f>
        <v>Sudah, Delay</v>
      </c>
      <c r="U181" s="7" t="str">
        <f ca="1">'Database MK'!ET182</f>
        <v>Sudah, Delay</v>
      </c>
      <c r="V181" s="7" t="str">
        <f ca="1">'Database MK'!GA182</f>
        <v>Belum, Delay</v>
      </c>
      <c r="W181" s="7" t="str">
        <f ca="1">'Database MK'!GD182</f>
        <v>Sudah, OnSchedule</v>
      </c>
      <c r="X181" s="7" t="str">
        <f ca="1">'Database MK'!GG182</f>
        <v>Sudah, Delay</v>
      </c>
      <c r="Y181" s="7" t="str">
        <f ca="1">'Database MK'!GK182</f>
        <v>Sudah, OnSchedule</v>
      </c>
      <c r="Z181" s="7" t="str">
        <f ca="1">'Database MK'!HH182</f>
        <v>Sudah, Delay</v>
      </c>
      <c r="AA181" s="7" t="str">
        <f ca="1">'Database MK'!HQ182</f>
        <v>Sudah, Delay</v>
      </c>
      <c r="AB181" s="7" t="str">
        <f ca="1">'Database MK'!HW182</f>
        <v>Sudah, Delay</v>
      </c>
      <c r="AC181" s="7">
        <f>'Database MK'!DA182-'Database MK'!DB182</f>
        <v>495</v>
      </c>
      <c r="AD181" s="7">
        <f>'Database MK'!DA182-'Database MK'!DF182</f>
        <v>489</v>
      </c>
      <c r="AE181" s="7">
        <f>'Database MK'!DK182-'Database MK'!DL182</f>
        <v>-59</v>
      </c>
      <c r="AF181" s="7">
        <f>'Database MK'!DK182-'Database MK'!DO182</f>
        <v>-143</v>
      </c>
      <c r="AG181" s="7">
        <f>'Database MK'!DU182-'Database MK'!DW182</f>
        <v>-60</v>
      </c>
      <c r="AH181" s="7">
        <f>IF('Database MK'!EB182="","Belum",'Database MK'!DU182-'Database MK'!EB182)</f>
        <v>-285</v>
      </c>
      <c r="AI181" s="7">
        <f>IF('Database MK'!EN182="","Belum",'Database MK'!EL182-'Database MK'!EN182)</f>
        <v>-286</v>
      </c>
      <c r="AJ181" s="7">
        <f>'Database MK'!FY182-'Database MK'!FZ182</f>
        <v>0</v>
      </c>
      <c r="AK181" s="7">
        <f>IF('Database MK'!GC182="","Belum",'Database MK'!GB182-'Database MK'!GC182)</f>
        <v>15</v>
      </c>
      <c r="AL181" s="7">
        <f>IF('Database MK'!GF182="","Belum",'Database MK'!GE182-'Database MK'!GF182)</f>
        <v>-8</v>
      </c>
      <c r="AM181" s="309">
        <f>IF('Database MK'!GJ182="","Belum",'Database MK'!GI182-'Database MK'!GJ182)</f>
        <v>27</v>
      </c>
      <c r="AN181" s="7">
        <f>IF('Database MK'!HG182="","Belum",'Database MK'!HF182-'Database MK'!HG182)</f>
        <v>-10</v>
      </c>
      <c r="AO181" s="7">
        <f>IF('Database MK'!HP182="","Belum",'Database MK'!HN182-'Database MK'!HP182)</f>
        <v>-5</v>
      </c>
      <c r="AP181" s="7">
        <f>IF('Database MK'!HV182="","Belum",'Database MK'!HT182-'Database MK'!HV182)</f>
        <v>-7</v>
      </c>
    </row>
    <row r="182" spans="2:42" s="77" customFormat="1" hidden="1" x14ac:dyDescent="0.2">
      <c r="B182" s="7">
        <f>SUBTOTAL(3,$C$4:C182)</f>
        <v>74</v>
      </c>
      <c r="C182" s="77" t="s">
        <v>244</v>
      </c>
      <c r="D182" s="77" t="s">
        <v>1338</v>
      </c>
      <c r="E182" s="77" t="s">
        <v>1339</v>
      </c>
      <c r="F182" s="302">
        <v>45931</v>
      </c>
      <c r="G182" s="77" t="s">
        <v>681</v>
      </c>
      <c r="H182" s="77" t="str">
        <f>'Database MK'!Q183</f>
        <v>BATAL / CANCEL</v>
      </c>
      <c r="I182" s="604">
        <f>'Database MK'!S183</f>
        <v>1</v>
      </c>
      <c r="J182" s="604">
        <f>'Database MK'!T183</f>
        <v>0</v>
      </c>
      <c r="K182" s="605">
        <f>'Database MK'!U183</f>
        <v>-1</v>
      </c>
      <c r="L182" s="594">
        <f>'Database MK'!V183</f>
        <v>70</v>
      </c>
      <c r="M182" s="594">
        <f>'Database MK'!W183</f>
        <v>0</v>
      </c>
      <c r="N182" s="594">
        <f>Table3[[#This Row],[Total Panjang Pipa Aktual]]-Table3[[#This Row],[Volume
BA MC-0]]</f>
        <v>-70</v>
      </c>
      <c r="O182" s="307" t="str">
        <f ca="1">'Database MK'!DE183</f>
        <v>Sudah, OnSchedule</v>
      </c>
      <c r="P182" s="307" t="str">
        <f ca="1">'Database MK'!DI183</f>
        <v>Sudah, OnSchedule</v>
      </c>
      <c r="Q182" s="307" t="str">
        <f ca="1">'Database MK'!DN183</f>
        <v>Belum, Delay</v>
      </c>
      <c r="R182" s="307" t="str">
        <f ca="1">'Database MK'!DR183</f>
        <v>Belum, Delay</v>
      </c>
      <c r="S182" s="307" t="str">
        <f ca="1">'Database MK'!EA183</f>
        <v>Belum, Delay</v>
      </c>
      <c r="T182" s="307" t="str">
        <f ca="1">'Database MK'!EI183</f>
        <v>Belum, Delay</v>
      </c>
      <c r="U182" s="307" t="str">
        <f ca="1">'Database MK'!ET183</f>
        <v>Belum, Delay</v>
      </c>
      <c r="V182" s="307" t="str">
        <f ca="1">'Database MK'!GA183</f>
        <v>Belum, Delay</v>
      </c>
      <c r="W182" s="307" t="str">
        <f ca="1">'Database MK'!GD183</f>
        <v>Belum, Delay</v>
      </c>
      <c r="X182" s="307" t="str">
        <f ca="1">'Database MK'!GG183</f>
        <v>Belum, Delay</v>
      </c>
      <c r="Y182" s="307" t="str">
        <f ca="1">'Database MK'!GK183</f>
        <v>Belum, Delay</v>
      </c>
      <c r="Z182" s="307" t="str">
        <f ca="1">'Database MK'!HH183</f>
        <v>Belum, Delay</v>
      </c>
      <c r="AA182" s="307" t="str">
        <f ca="1">'Database MK'!HQ183</f>
        <v>Belum, Delay</v>
      </c>
      <c r="AB182" s="307" t="str">
        <f ca="1">'Database MK'!HW183</f>
        <v>Belum, Delay</v>
      </c>
      <c r="AC182" s="307"/>
      <c r="AD182" s="307"/>
      <c r="AE182" s="307"/>
      <c r="AF182" s="307"/>
      <c r="AG182" s="307"/>
      <c r="AH182" s="307"/>
      <c r="AI182" s="307"/>
      <c r="AJ182" s="307">
        <f>'Database MK'!FY183-'Database MK'!FZ183</f>
        <v>0</v>
      </c>
      <c r="AK182" s="307"/>
      <c r="AL182" s="307"/>
      <c r="AM182" s="310"/>
      <c r="AN182" s="307"/>
      <c r="AO182" s="307"/>
      <c r="AP182" s="307"/>
    </row>
    <row r="183" spans="2:42" hidden="1" x14ac:dyDescent="0.2">
      <c r="B183" s="7">
        <f>SUBTOTAL(3,$C$4:C183)</f>
        <v>74</v>
      </c>
      <c r="C183" s="4" t="s">
        <v>244</v>
      </c>
      <c r="D183" s="4" t="s">
        <v>1343</v>
      </c>
      <c r="E183" s="4" t="s">
        <v>1344</v>
      </c>
      <c r="F183" s="300">
        <v>45931</v>
      </c>
      <c r="G183" s="4" t="s">
        <v>681</v>
      </c>
      <c r="H183" s="4" t="str">
        <f ca="1">'Database MK'!Q184</f>
        <v>DPPP</v>
      </c>
      <c r="I183" s="24">
        <f>'Database MK'!S184</f>
        <v>1</v>
      </c>
      <c r="J183" s="24">
        <f>'Database MK'!T184</f>
        <v>1</v>
      </c>
      <c r="K183" s="603">
        <f>'Database MK'!U184</f>
        <v>0</v>
      </c>
      <c r="L183" s="593">
        <f>'Database MK'!V184</f>
        <v>0</v>
      </c>
      <c r="M183" s="593">
        <f>'Database MK'!W184</f>
        <v>0</v>
      </c>
      <c r="N183" s="593">
        <f>Table3[[#This Row],[Total Panjang Pipa Aktual]]-Table3[[#This Row],[Volume
BA MC-0]]</f>
        <v>0</v>
      </c>
      <c r="O183" s="7" t="str">
        <f ca="1">'Database MK'!DE184</f>
        <v>Sudah, OnSchedule</v>
      </c>
      <c r="P183" s="7" t="str">
        <f ca="1">'Database MK'!DI184</f>
        <v>Sudah, OnSchedule</v>
      </c>
      <c r="Q183" s="7" t="str">
        <f ca="1">'Database MK'!DN184</f>
        <v>Sudah, Delay</v>
      </c>
      <c r="R183" s="7" t="str">
        <f ca="1">'Database MK'!DR184</f>
        <v>Sudah, Delay</v>
      </c>
      <c r="S183" s="7" t="str">
        <f ca="1">'Database MK'!EA184</f>
        <v>Sudah, Delay</v>
      </c>
      <c r="T183" s="7" t="str">
        <f ca="1">'Database MK'!EI184</f>
        <v>Sudah, Delay</v>
      </c>
      <c r="U183" s="7" t="str">
        <f ca="1">'Database MK'!ET184</f>
        <v>Sudah, Delay</v>
      </c>
      <c r="V183" s="7" t="str">
        <f ca="1">'Database MK'!GA184</f>
        <v>Belum, Delay</v>
      </c>
      <c r="W183" s="7" t="str">
        <f ca="1">'Database MK'!GD184</f>
        <v>Sudah, Delay</v>
      </c>
      <c r="X183" s="7" t="str">
        <f ca="1">'Database MK'!GG184</f>
        <v>Sudah, Delay</v>
      </c>
      <c r="Y183" s="7" t="str">
        <f ca="1">'Database MK'!GK184</f>
        <v>Sudah, Delay</v>
      </c>
      <c r="Z183" s="7" t="str">
        <f ca="1">'Database MK'!HH184</f>
        <v>Sudah, Delay</v>
      </c>
      <c r="AA183" s="7" t="str">
        <f ca="1">'Database MK'!HQ184</f>
        <v>Sudah, Delay</v>
      </c>
      <c r="AB183" s="7" t="str">
        <f ca="1">'Database MK'!HW184</f>
        <v>Sudah, Delay</v>
      </c>
      <c r="AC183" s="7">
        <f>'Database MK'!DA184-'Database MK'!DB184</f>
        <v>72</v>
      </c>
      <c r="AD183" s="7">
        <f>'Database MK'!DA184-'Database MK'!DF184</f>
        <v>59</v>
      </c>
      <c r="AE183" s="7">
        <f>'Database MK'!DK184-'Database MK'!DL184</f>
        <v>-33</v>
      </c>
      <c r="AF183" s="7">
        <f>'Database MK'!DK184-'Database MK'!DO184</f>
        <v>-61</v>
      </c>
      <c r="AG183" s="7">
        <f>'Database MK'!DU184-'Database MK'!DW184</f>
        <v>-33</v>
      </c>
      <c r="AH183" s="7">
        <f>IF('Database MK'!EB184="","Belum",'Database MK'!DU184-'Database MK'!EB184)</f>
        <v>-373</v>
      </c>
      <c r="AI183" s="7">
        <f>IF('Database MK'!EN184="","Belum",'Database MK'!EL184-'Database MK'!EN184)</f>
        <v>-274</v>
      </c>
      <c r="AJ183" s="7">
        <f>'Database MK'!FY184-'Database MK'!FZ184</f>
        <v>0</v>
      </c>
      <c r="AK183" s="7">
        <f>IF('Database MK'!GC184="","Belum",'Database MK'!GB184-'Database MK'!GC184)</f>
        <v>-43</v>
      </c>
      <c r="AL183" s="7">
        <f>IF('Database MK'!GF184="","Belum",'Database MK'!GE184-'Database MK'!GF184)</f>
        <v>-48</v>
      </c>
      <c r="AM183" s="309">
        <f>IF('Database MK'!GJ184="","Belum",'Database MK'!GI184-'Database MK'!GJ184)</f>
        <v>-29</v>
      </c>
      <c r="AN183" s="7">
        <f>IF('Database MK'!HG184="","Belum",'Database MK'!HF184-'Database MK'!HG184)</f>
        <v>-108</v>
      </c>
      <c r="AO183" s="7">
        <f>IF('Database MK'!HP184="","Belum",'Database MK'!HN184-'Database MK'!HP184)</f>
        <v>-94</v>
      </c>
      <c r="AP183" s="7">
        <f>IF('Database MK'!HV184="","Belum",'Database MK'!HT184-'Database MK'!HV184)</f>
        <v>-98</v>
      </c>
    </row>
    <row r="184" spans="2:42" hidden="1" x14ac:dyDescent="0.2">
      <c r="B184" s="7">
        <f>SUBTOTAL(3,$C$4:C184)</f>
        <v>74</v>
      </c>
      <c r="C184" s="4" t="s">
        <v>244</v>
      </c>
      <c r="D184" s="4" t="s">
        <v>1355</v>
      </c>
      <c r="E184" s="4" t="s">
        <v>1356</v>
      </c>
      <c r="F184" s="300">
        <v>45931</v>
      </c>
      <c r="G184" s="4" t="s">
        <v>681</v>
      </c>
      <c r="H184" s="4" t="str">
        <f ca="1">'Database MK'!Q185</f>
        <v>DPPP</v>
      </c>
      <c r="I184" s="24">
        <f>'Database MK'!S185</f>
        <v>1</v>
      </c>
      <c r="J184" s="24">
        <f>'Database MK'!T185</f>
        <v>1</v>
      </c>
      <c r="K184" s="603">
        <f>'Database MK'!U185</f>
        <v>0</v>
      </c>
      <c r="L184" s="593">
        <f>'Database MK'!V185</f>
        <v>265</v>
      </c>
      <c r="M184" s="593">
        <f>'Database MK'!W185</f>
        <v>214</v>
      </c>
      <c r="N184" s="593">
        <f>Table3[[#This Row],[Total Panjang Pipa Aktual]]-Table3[[#This Row],[Volume
BA MC-0]]</f>
        <v>-51</v>
      </c>
      <c r="O184" s="7" t="str">
        <f ca="1">'Database MK'!DE185</f>
        <v>Sudah, OnSchedule</v>
      </c>
      <c r="P184" s="7" t="str">
        <f ca="1">'Database MK'!DI185</f>
        <v>Sudah, OnSchedule</v>
      </c>
      <c r="Q184" s="7" t="str">
        <f ca="1">'Database MK'!DN185</f>
        <v>Sudah, OnSchedule</v>
      </c>
      <c r="R184" s="7" t="str">
        <f ca="1">'Database MK'!DR185</f>
        <v>Sudah, OnSchedule</v>
      </c>
      <c r="S184" s="7" t="str">
        <f ca="1">'Database MK'!EA185</f>
        <v>Sudah, OnSchedule</v>
      </c>
      <c r="T184" s="7" t="str">
        <f ca="1">'Database MK'!EI185</f>
        <v>Sudah, Delay</v>
      </c>
      <c r="U184" s="7" t="str">
        <f ca="1">'Database MK'!ET185</f>
        <v>Sudah, Delay</v>
      </c>
      <c r="V184" s="7" t="str">
        <f ca="1">'Database MK'!GA185</f>
        <v>Belum, Delay</v>
      </c>
      <c r="W184" s="7" t="str">
        <f ca="1">'Database MK'!GD185</f>
        <v>Belum, Delay</v>
      </c>
      <c r="X184" s="7" t="str">
        <f ca="1">'Database MK'!GG185</f>
        <v>Belum, Delay</v>
      </c>
      <c r="Y184" s="7" t="str">
        <f ca="1">'Database MK'!GK185</f>
        <v>Sudah, OnSchedule</v>
      </c>
      <c r="Z184" s="7" t="str">
        <f ca="1">'Database MK'!HH185</f>
        <v>Sudah, OnSchedule</v>
      </c>
      <c r="AA184" s="7" t="str">
        <f ca="1">'Database MK'!HQ185</f>
        <v>Sudah, OnSchedule</v>
      </c>
      <c r="AB184" s="7" t="str">
        <f ca="1">'Database MK'!HW185</f>
        <v>Sudah, Delay</v>
      </c>
      <c r="AC184" s="7">
        <f>'Database MK'!DA185-'Database MK'!DB185</f>
        <v>29</v>
      </c>
      <c r="AD184" s="7">
        <f>'Database MK'!DA185-'Database MK'!DF185</f>
        <v>20</v>
      </c>
      <c r="AE184" s="7">
        <f>'Database MK'!DK185-'Database MK'!DL185</f>
        <v>17</v>
      </c>
      <c r="AF184" s="7">
        <f>'Database MK'!DK185-'Database MK'!DO185</f>
        <v>12</v>
      </c>
      <c r="AG184" s="7">
        <f>'Database MK'!DU185-'Database MK'!DW185</f>
        <v>17</v>
      </c>
      <c r="AH184" s="7">
        <f>IF('Database MK'!EB185="","Belum",'Database MK'!DU185-'Database MK'!EB185)</f>
        <v>-249</v>
      </c>
      <c r="AI184" s="7">
        <f>IF('Database MK'!EN185="","Belum",'Database MK'!EL185-'Database MK'!EN185)</f>
        <v>-340</v>
      </c>
      <c r="AJ184" s="7">
        <f>'Database MK'!FY185-'Database MK'!FZ185</f>
        <v>0</v>
      </c>
      <c r="AK184" s="7" t="str">
        <f>IF('Database MK'!GC185="","Belum",'Database MK'!GB185-'Database MK'!GC185)</f>
        <v>Belum</v>
      </c>
      <c r="AL184" s="7" t="str">
        <f>IF('Database MK'!GF185="","Belum",'Database MK'!GE185-'Database MK'!GF185)</f>
        <v>Belum</v>
      </c>
      <c r="AM184" s="309">
        <f>IF('Database MK'!GJ185="","Belum",'Database MK'!GI185-'Database MK'!GJ185)</f>
        <v>69</v>
      </c>
      <c r="AN184" s="7">
        <f>IF('Database MK'!HG185="","Belum",'Database MK'!HF185-'Database MK'!HG185)</f>
        <v>30</v>
      </c>
      <c r="AO184" s="7">
        <f>IF('Database MK'!HP185="","Belum",'Database MK'!HN185-'Database MK'!HP185)</f>
        <v>35</v>
      </c>
      <c r="AP184" s="7">
        <f>IF('Database MK'!HV185="","Belum",'Database MK'!HT185-'Database MK'!HV185)</f>
        <v>-88</v>
      </c>
    </row>
    <row r="185" spans="2:42" hidden="1" x14ac:dyDescent="0.2">
      <c r="B185" s="7">
        <f>SUBTOTAL(3,$C$4:C185)</f>
        <v>74</v>
      </c>
      <c r="C185" s="4" t="s">
        <v>244</v>
      </c>
      <c r="D185" s="4" t="s">
        <v>1366</v>
      </c>
      <c r="E185" s="4" t="s">
        <v>1367</v>
      </c>
      <c r="F185" s="300">
        <v>45931</v>
      </c>
      <c r="G185" s="4" t="s">
        <v>681</v>
      </c>
      <c r="H185" s="4" t="str">
        <f ca="1">'Database MK'!Q186</f>
        <v>DPPP</v>
      </c>
      <c r="I185" s="24">
        <f>'Database MK'!S186</f>
        <v>1</v>
      </c>
      <c r="J185" s="24">
        <f>'Database MK'!T186</f>
        <v>1</v>
      </c>
      <c r="K185" s="603">
        <f>'Database MK'!U186</f>
        <v>0</v>
      </c>
      <c r="L185" s="593">
        <f>'Database MK'!V186</f>
        <v>97</v>
      </c>
      <c r="M185" s="593">
        <f>'Database MK'!W186</f>
        <v>92</v>
      </c>
      <c r="N185" s="593">
        <f>Table3[[#This Row],[Total Panjang Pipa Aktual]]-Table3[[#This Row],[Volume
BA MC-0]]</f>
        <v>-5</v>
      </c>
      <c r="O185" s="7" t="str">
        <f ca="1">'Database MK'!DE186</f>
        <v>Sudah, OnSchedule</v>
      </c>
      <c r="P185" s="7" t="str">
        <f ca="1">'Database MK'!DI186</f>
        <v>Sudah, OnSchedule</v>
      </c>
      <c r="Q185" s="7" t="str">
        <f ca="1">'Database MK'!DN186</f>
        <v>Sudah, Delay</v>
      </c>
      <c r="R185" s="7" t="str">
        <f ca="1">'Database MK'!DR186</f>
        <v>Sudah, Delay</v>
      </c>
      <c r="S185" s="7" t="str">
        <f ca="1">'Database MK'!EA186</f>
        <v>Sudah, OnSchedule</v>
      </c>
      <c r="T185" s="7" t="str">
        <f ca="1">'Database MK'!EI186</f>
        <v>Sudah, Delay</v>
      </c>
      <c r="U185" s="7" t="str">
        <f ca="1">'Database MK'!ET186</f>
        <v>Sudah, Delay</v>
      </c>
      <c r="V185" s="7" t="str">
        <f ca="1">'Database MK'!GA186</f>
        <v>Belum, Delay</v>
      </c>
      <c r="W185" s="7" t="str">
        <f ca="1">'Database MK'!GD186</f>
        <v>Belum, Delay</v>
      </c>
      <c r="X185" s="7" t="str">
        <f ca="1">'Database MK'!GG186</f>
        <v>Belum, Delay</v>
      </c>
      <c r="Y185" s="7" t="str">
        <f ca="1">'Database MK'!GK186</f>
        <v>Sudah, OnSchedule</v>
      </c>
      <c r="Z185" s="7" t="str">
        <f ca="1">'Database MK'!HH186</f>
        <v>Sudah, OnSchedule</v>
      </c>
      <c r="AA185" s="7" t="str">
        <f ca="1">'Database MK'!HQ186</f>
        <v>Sudah, OnSchedule</v>
      </c>
      <c r="AB185" s="7" t="str">
        <f ca="1">'Database MK'!HW186</f>
        <v>Sudah, Delay</v>
      </c>
      <c r="AC185" s="7">
        <f>'Database MK'!DA186-'Database MK'!DB186</f>
        <v>27</v>
      </c>
      <c r="AD185" s="7">
        <f>'Database MK'!DA186-'Database MK'!DF186</f>
        <v>20</v>
      </c>
      <c r="AE185" s="7">
        <f>'Database MK'!DK186-'Database MK'!DL186</f>
        <v>-36</v>
      </c>
      <c r="AF185" s="7">
        <f>'Database MK'!DK186-'Database MK'!DO186</f>
        <v>-88</v>
      </c>
      <c r="AG185" s="7">
        <f>'Database MK'!DU186-'Database MK'!DW186</f>
        <v>51</v>
      </c>
      <c r="AH185" s="7">
        <f>IF('Database MK'!EB186="","Belum",'Database MK'!DU186-'Database MK'!EB186)</f>
        <v>-220</v>
      </c>
      <c r="AI185" s="7">
        <f>IF('Database MK'!EN186="","Belum",'Database MK'!EL186-'Database MK'!EN186)</f>
        <v>-228</v>
      </c>
      <c r="AJ185" s="7">
        <f>'Database MK'!FY186-'Database MK'!FZ186</f>
        <v>0</v>
      </c>
      <c r="AK185" s="7" t="str">
        <f>IF('Database MK'!GC186="","Belum",'Database MK'!GB186-'Database MK'!GC186)</f>
        <v>Belum</v>
      </c>
      <c r="AL185" s="7" t="str">
        <f>IF('Database MK'!GF186="","Belum",'Database MK'!GE186-'Database MK'!GF186)</f>
        <v>Belum</v>
      </c>
      <c r="AM185" s="309">
        <f>IF('Database MK'!GJ186="","Belum",'Database MK'!GI186-'Database MK'!GJ186)</f>
        <v>66</v>
      </c>
      <c r="AN185" s="7">
        <f>IF('Database MK'!HG186="","Belum",'Database MK'!HF186-'Database MK'!HG186)</f>
        <v>30</v>
      </c>
      <c r="AO185" s="7">
        <f>IF('Database MK'!HP186="","Belum",'Database MK'!HN186-'Database MK'!HP186)</f>
        <v>35</v>
      </c>
      <c r="AP185" s="7">
        <f>IF('Database MK'!HV186="","Belum",'Database MK'!HT186-'Database MK'!HV186)</f>
        <v>-89</v>
      </c>
    </row>
    <row r="186" spans="2:42" hidden="1" x14ac:dyDescent="0.2">
      <c r="B186" s="7">
        <f>SUBTOTAL(3,$C$4:C186)</f>
        <v>74</v>
      </c>
      <c r="C186" s="4" t="s">
        <v>244</v>
      </c>
      <c r="D186" s="4" t="s">
        <v>1376</v>
      </c>
      <c r="E186" s="4" t="s">
        <v>1377</v>
      </c>
      <c r="F186" s="300">
        <v>45931</v>
      </c>
      <c r="G186" s="4" t="s">
        <v>681</v>
      </c>
      <c r="H186" s="4" t="str">
        <f ca="1">'Database MK'!Q187</f>
        <v>DPPP</v>
      </c>
      <c r="I186" s="24">
        <f>'Database MK'!S187</f>
        <v>1</v>
      </c>
      <c r="J186" s="24">
        <f>'Database MK'!T187</f>
        <v>1</v>
      </c>
      <c r="K186" s="603">
        <f>'Database MK'!U187</f>
        <v>0</v>
      </c>
      <c r="L186" s="593">
        <f>'Database MK'!V187</f>
        <v>91</v>
      </c>
      <c r="M186" s="593">
        <f>'Database MK'!W187</f>
        <v>76.099999999999994</v>
      </c>
      <c r="N186" s="593">
        <f>Table3[[#This Row],[Total Panjang Pipa Aktual]]-Table3[[#This Row],[Volume
BA MC-0]]</f>
        <v>-14.900000000000006</v>
      </c>
      <c r="O186" s="7" t="str">
        <f ca="1">'Database MK'!DE187</f>
        <v>Sudah, OnSchedule</v>
      </c>
      <c r="P186" s="7" t="str">
        <f ca="1">'Database MK'!DI187</f>
        <v>Sudah, OnSchedule</v>
      </c>
      <c r="Q186" s="7" t="str">
        <f ca="1">'Database MK'!DN187</f>
        <v>Sudah, OnSchedule</v>
      </c>
      <c r="R186" s="7" t="str">
        <f ca="1">'Database MK'!DR187</f>
        <v>Sudah, Delay</v>
      </c>
      <c r="S186" s="7" t="str">
        <f ca="1">'Database MK'!EA187</f>
        <v>Sudah, OnSchedule</v>
      </c>
      <c r="T186" s="7" t="str">
        <f ca="1">'Database MK'!EI187</f>
        <v>Sudah, Delay</v>
      </c>
      <c r="U186" s="7" t="str">
        <f ca="1">'Database MK'!ET187</f>
        <v>Sudah, Delay</v>
      </c>
      <c r="V186" s="7" t="str">
        <f ca="1">'Database MK'!GA187</f>
        <v>Belum, Delay</v>
      </c>
      <c r="W186" s="7" t="str">
        <f ca="1">'Database MK'!GD187</f>
        <v>Sudah, Delay</v>
      </c>
      <c r="X186" s="7" t="str">
        <f ca="1">'Database MK'!GG187</f>
        <v>Sudah, Delay</v>
      </c>
      <c r="Y186" s="7" t="str">
        <f ca="1">'Database MK'!GK187</f>
        <v>Sudah, OnSchedule</v>
      </c>
      <c r="Z186" s="7" t="str">
        <f ca="1">'Database MK'!HH187</f>
        <v>Sudah, Delay</v>
      </c>
      <c r="AA186" s="7" t="str">
        <f ca="1">'Database MK'!HQ187</f>
        <v>Sudah, Delay</v>
      </c>
      <c r="AB186" s="7" t="str">
        <f ca="1">'Database MK'!HW187</f>
        <v>Sudah, Delay</v>
      </c>
      <c r="AC186" s="7">
        <f>'Database MK'!DA187-'Database MK'!DB187</f>
        <v>19</v>
      </c>
      <c r="AD186" s="7">
        <f>'Database MK'!DA187-'Database MK'!DF187</f>
        <v>11</v>
      </c>
      <c r="AE186" s="7">
        <f>'Database MK'!DK187-'Database MK'!DL187</f>
        <v>32</v>
      </c>
      <c r="AF186" s="7">
        <f>'Database MK'!DK187-'Database MK'!DO187</f>
        <v>-60</v>
      </c>
      <c r="AG186" s="7">
        <f>'Database MK'!DU187-'Database MK'!DW187</f>
        <v>32</v>
      </c>
      <c r="AH186" s="7">
        <f>IF('Database MK'!EB187="","Belum",'Database MK'!DU187-'Database MK'!EB187)</f>
        <v>-344</v>
      </c>
      <c r="AI186" s="7">
        <f>IF('Database MK'!EN187="","Belum",'Database MK'!EL187-'Database MK'!EN187)</f>
        <v>-226</v>
      </c>
      <c r="AJ186" s="7">
        <f>'Database MK'!FY187-'Database MK'!FZ187</f>
        <v>0</v>
      </c>
      <c r="AK186" s="7">
        <f>IF('Database MK'!GC187="","Belum",'Database MK'!GB187-'Database MK'!GC187)</f>
        <v>-8</v>
      </c>
      <c r="AL186" s="7" t="e">
        <f>IF('Database MK'!GF187="","Belum",'Database MK'!GE187-'Database MK'!GF187)</f>
        <v>#VALUE!</v>
      </c>
      <c r="AM186" s="309">
        <f>IF('Database MK'!GJ187="","Belum",'Database MK'!GI187-'Database MK'!GJ187)</f>
        <v>5</v>
      </c>
      <c r="AN186" s="7">
        <f>IF('Database MK'!HG187="","Belum",'Database MK'!HF187-'Database MK'!HG187)</f>
        <v>-66</v>
      </c>
      <c r="AO186" s="7">
        <f>IF('Database MK'!HP187="","Belum",'Database MK'!HN187-'Database MK'!HP187)</f>
        <v>-59</v>
      </c>
      <c r="AP186" s="7">
        <f>IF('Database MK'!HV187="","Belum",'Database MK'!HT187-'Database MK'!HV187)</f>
        <v>-82</v>
      </c>
    </row>
    <row r="187" spans="2:42" s="77" customFormat="1" hidden="1" x14ac:dyDescent="0.2">
      <c r="B187" s="7">
        <f>SUBTOTAL(3,$C$4:C187)</f>
        <v>74</v>
      </c>
      <c r="C187" s="77" t="s">
        <v>244</v>
      </c>
      <c r="D187" s="77" t="s">
        <v>1386</v>
      </c>
      <c r="E187" s="77" t="s">
        <v>1387</v>
      </c>
      <c r="F187" s="302">
        <v>45931</v>
      </c>
      <c r="G187" s="77" t="s">
        <v>681</v>
      </c>
      <c r="H187" s="77" t="str">
        <f>'Database MK'!Q188</f>
        <v>BATAL / CANCEL</v>
      </c>
      <c r="I187" s="604">
        <f>'Database MK'!S188</f>
        <v>1</v>
      </c>
      <c r="J187" s="604">
        <f>'Database MK'!T188</f>
        <v>6.4062256248597543E-2</v>
      </c>
      <c r="K187" s="605">
        <f>'Database MK'!U188</f>
        <v>-0.93593774375140248</v>
      </c>
      <c r="L187" s="594">
        <f>'Database MK'!V188</f>
        <v>472</v>
      </c>
      <c r="M187" s="594">
        <f>'Database MK'!W188</f>
        <v>0</v>
      </c>
      <c r="N187" s="594">
        <f>Table3[[#This Row],[Total Panjang Pipa Aktual]]-Table3[[#This Row],[Volume
BA MC-0]]</f>
        <v>-472</v>
      </c>
      <c r="O187" s="307" t="str">
        <f ca="1">'Database MK'!DE188</f>
        <v>Sudah, OnSchedule</v>
      </c>
      <c r="P187" s="307" t="str">
        <f ca="1">'Database MK'!DI188</f>
        <v>Sudah, OnSchedule</v>
      </c>
      <c r="Q187" s="307" t="str">
        <f ca="1">'Database MK'!DN188</f>
        <v>Sudah, OnSchedule</v>
      </c>
      <c r="R187" s="307" t="str">
        <f ca="1">'Database MK'!DR188</f>
        <v>Sudah, Delay</v>
      </c>
      <c r="S187" s="307" t="str">
        <f ca="1">'Database MK'!EA188</f>
        <v>Sudah, Delay</v>
      </c>
      <c r="T187" s="307" t="str">
        <f ca="1">'Database MK'!EI188</f>
        <v>Belum, Delay</v>
      </c>
      <c r="U187" s="307" t="str">
        <f ca="1">'Database MK'!ET188</f>
        <v>Belum, Delay</v>
      </c>
      <c r="V187" s="307" t="str">
        <f ca="1">'Database MK'!GA188</f>
        <v>Belum, Delay</v>
      </c>
      <c r="W187" s="307" t="str">
        <f ca="1">'Database MK'!GD188</f>
        <v>Sudah, Delay</v>
      </c>
      <c r="X187" s="307" t="str">
        <f ca="1">'Database MK'!GG188</f>
        <v>Sudah, Delay</v>
      </c>
      <c r="Y187" s="307" t="b">
        <f ca="1">'Database MK'!GK188</f>
        <v>0</v>
      </c>
      <c r="Z187" s="307" t="str">
        <f ca="1">'Database MK'!HH188</f>
        <v>Belum, Delay</v>
      </c>
      <c r="AA187" s="307" t="str">
        <f ca="1">'Database MK'!HQ188</f>
        <v>Belum, Delay</v>
      </c>
      <c r="AB187" s="307" t="str">
        <f ca="1">'Database MK'!HW188</f>
        <v>Belum, Delay</v>
      </c>
      <c r="AC187" s="307"/>
      <c r="AD187" s="307"/>
      <c r="AE187" s="307"/>
      <c r="AF187" s="307"/>
      <c r="AG187" s="307"/>
      <c r="AH187" s="307"/>
      <c r="AI187" s="307"/>
      <c r="AJ187" s="307">
        <f>'Database MK'!FY188-'Database MK'!FZ188</f>
        <v>0</v>
      </c>
      <c r="AK187" s="307"/>
      <c r="AL187" s="307"/>
      <c r="AM187" s="310"/>
      <c r="AN187" s="307"/>
      <c r="AO187" s="307"/>
      <c r="AP187" s="307"/>
    </row>
    <row r="188" spans="2:42" hidden="1" x14ac:dyDescent="0.2">
      <c r="B188" s="7">
        <f>SUBTOTAL(3,$C$4:C188)</f>
        <v>74</v>
      </c>
      <c r="C188" s="4" t="s">
        <v>244</v>
      </c>
      <c r="D188" s="4" t="s">
        <v>1394</v>
      </c>
      <c r="E188" s="4" t="s">
        <v>1395</v>
      </c>
      <c r="F188" s="300">
        <v>45931</v>
      </c>
      <c r="G188" s="4" t="s">
        <v>681</v>
      </c>
      <c r="H188" s="4" t="str">
        <f ca="1">'Database MK'!Q189</f>
        <v>DPPP</v>
      </c>
      <c r="I188" s="24">
        <f>'Database MK'!S189</f>
        <v>1</v>
      </c>
      <c r="J188" s="24">
        <f>'Database MK'!T189</f>
        <v>1</v>
      </c>
      <c r="K188" s="603">
        <f>'Database MK'!U189</f>
        <v>0</v>
      </c>
      <c r="L188" s="593">
        <f>'Database MK'!V189</f>
        <v>584</v>
      </c>
      <c r="M188" s="593">
        <f>'Database MK'!W189</f>
        <v>438</v>
      </c>
      <c r="N188" s="593">
        <f>Table3[[#This Row],[Total Panjang Pipa Aktual]]-Table3[[#This Row],[Volume
BA MC-0]]</f>
        <v>-146</v>
      </c>
      <c r="O188" s="7" t="str">
        <f ca="1">'Database MK'!DE189</f>
        <v>Sudah, OnSchedule</v>
      </c>
      <c r="P188" s="7" t="str">
        <f ca="1">'Database MK'!DI189</f>
        <v>Sudah, OnSchedule</v>
      </c>
      <c r="Q188" s="7" t="str">
        <f ca="1">'Database MK'!DN189</f>
        <v>Sudah, OnSchedule</v>
      </c>
      <c r="R188" s="7" t="str">
        <f ca="1">'Database MK'!DR189</f>
        <v>Sudah, Delay</v>
      </c>
      <c r="S188" s="7" t="str">
        <f ca="1">'Database MK'!EA189</f>
        <v>Sudah, OnSchedule</v>
      </c>
      <c r="T188" s="7" t="str">
        <f ca="1">'Database MK'!EI189</f>
        <v>Sudah, Delay</v>
      </c>
      <c r="U188" s="7" t="str">
        <f ca="1">'Database MK'!ET189</f>
        <v>Sudah, Delay</v>
      </c>
      <c r="V188" s="7" t="str">
        <f ca="1">'Database MK'!GA189</f>
        <v>Belum, Delay</v>
      </c>
      <c r="W188" s="7" t="str">
        <f ca="1">'Database MK'!GD189</f>
        <v>Sudah, Delay</v>
      </c>
      <c r="X188" s="7" t="str">
        <f ca="1">'Database MK'!GG189</f>
        <v>Sudah, Delay</v>
      </c>
      <c r="Y188" s="7" t="b">
        <f ca="1">'Database MK'!GK189</f>
        <v>0</v>
      </c>
      <c r="Z188" s="7" t="str">
        <f ca="1">'Database MK'!HH189</f>
        <v>Sudah, OnSchedule</v>
      </c>
      <c r="AA188" s="7" t="str">
        <f ca="1">'Database MK'!HQ189</f>
        <v>Sudah, OnSchedule</v>
      </c>
      <c r="AB188" s="7" t="str">
        <f ca="1">'Database MK'!HW189</f>
        <v>Sudah, Delay</v>
      </c>
      <c r="AC188" s="7">
        <f>'Database MK'!DA189-'Database MK'!DB189</f>
        <v>13</v>
      </c>
      <c r="AD188" s="7">
        <f>'Database MK'!DA189-'Database MK'!DF189</f>
        <v>3</v>
      </c>
      <c r="AE188" s="7">
        <f>'Database MK'!DK189-'Database MK'!DL189</f>
        <v>32</v>
      </c>
      <c r="AF188" s="7">
        <f>'Database MK'!DK189-'Database MK'!DO189</f>
        <v>-15</v>
      </c>
      <c r="AG188" s="7">
        <f>'Database MK'!DU189-'Database MK'!DW189</f>
        <v>33</v>
      </c>
      <c r="AH188" s="7">
        <f>IF('Database MK'!EB189="","Belum",'Database MK'!DU189-'Database MK'!EB189)</f>
        <v>-344</v>
      </c>
      <c r="AI188" s="7">
        <f>IF('Database MK'!EN189="","Belum",'Database MK'!EL189-'Database MK'!EN189)</f>
        <v>-226</v>
      </c>
      <c r="AJ188" s="7">
        <f>'Database MK'!FY189-'Database MK'!FZ189</f>
        <v>0</v>
      </c>
      <c r="AK188" s="7">
        <f>IF('Database MK'!GC189="","Belum",'Database MK'!GB189-'Database MK'!GC189)</f>
        <v>-8</v>
      </c>
      <c r="AL188" s="7" t="e">
        <f>IF('Database MK'!GF189="","Belum",'Database MK'!GE189-'Database MK'!GF189)</f>
        <v>#VALUE!</v>
      </c>
      <c r="AM188" s="309">
        <f>IF('Database MK'!GJ189="","Belum",'Database MK'!GI189-'Database MK'!GJ189)</f>
        <v>0</v>
      </c>
      <c r="AN188" s="7">
        <f>IF('Database MK'!HG189="","Belum",'Database MK'!HF189-'Database MK'!HG189)</f>
        <v>40</v>
      </c>
      <c r="AO188" s="7">
        <f>IF('Database MK'!HP189="","Belum",'Database MK'!HN189-'Database MK'!HP189)</f>
        <v>49</v>
      </c>
      <c r="AP188" s="7">
        <f>IF('Database MK'!HV189="","Belum",'Database MK'!HT189-'Database MK'!HV189)</f>
        <v>-5</v>
      </c>
    </row>
    <row r="189" spans="2:42" s="77" customFormat="1" hidden="1" x14ac:dyDescent="0.2">
      <c r="B189" s="7">
        <f>SUBTOTAL(3,$C$4:C189)</f>
        <v>74</v>
      </c>
      <c r="C189" s="77" t="s">
        <v>244</v>
      </c>
      <c r="D189" s="77" t="s">
        <v>1404</v>
      </c>
      <c r="E189" s="77" t="s">
        <v>1405</v>
      </c>
      <c r="F189" s="302">
        <v>45931</v>
      </c>
      <c r="G189" s="77" t="s">
        <v>681</v>
      </c>
      <c r="H189" s="77" t="str">
        <f>'Database MK'!Q190</f>
        <v>BATAL / CANCEL</v>
      </c>
      <c r="I189" s="604">
        <f>'Database MK'!S190</f>
        <v>1</v>
      </c>
      <c r="J189" s="604">
        <f>'Database MK'!T190</f>
        <v>0</v>
      </c>
      <c r="K189" s="605">
        <f>'Database MK'!U190</f>
        <v>-1</v>
      </c>
      <c r="L189" s="594">
        <f>'Database MK'!V190</f>
        <v>815</v>
      </c>
      <c r="M189" s="594">
        <f>'Database MK'!W190</f>
        <v>0</v>
      </c>
      <c r="N189" s="594">
        <f>Table3[[#This Row],[Total Panjang Pipa Aktual]]-Table3[[#This Row],[Volume
BA MC-0]]</f>
        <v>-815</v>
      </c>
      <c r="O189" s="307" t="str">
        <f ca="1">'Database MK'!DE190</f>
        <v>Sudah, OnSchedule</v>
      </c>
      <c r="P189" s="307" t="str">
        <f ca="1">'Database MK'!DI190</f>
        <v>Sudah, OnSchedule</v>
      </c>
      <c r="Q189" s="307" t="str">
        <f ca="1">'Database MK'!DN190</f>
        <v>Sudah, OnSchedule</v>
      </c>
      <c r="R189" s="307" t="str">
        <f ca="1">'Database MK'!DR190</f>
        <v>Sudah, Delay</v>
      </c>
      <c r="S189" s="307" t="str">
        <f ca="1">'Database MK'!EA190</f>
        <v>Sudah, Delay</v>
      </c>
      <c r="T189" s="307" t="str">
        <f ca="1">'Database MK'!EI190</f>
        <v>Belum, Delay</v>
      </c>
      <c r="U189" s="307" t="str">
        <f ca="1">'Database MK'!ET190</f>
        <v>Belum, Delay</v>
      </c>
      <c r="V189" s="307" t="str">
        <f ca="1">'Database MK'!GA190</f>
        <v>Belum, Delay</v>
      </c>
      <c r="W189" s="307" t="str">
        <f ca="1">'Database MK'!GD190</f>
        <v>Sudah, Delay</v>
      </c>
      <c r="X189" s="307" t="str">
        <f ca="1">'Database MK'!GG190</f>
        <v>Sudah, Delay</v>
      </c>
      <c r="Y189" s="307" t="str">
        <f ca="1">'Database MK'!GK190</f>
        <v>Sudah, OnSchedule</v>
      </c>
      <c r="Z189" s="307" t="str">
        <f ca="1">'Database MK'!HH190</f>
        <v>Belum, Delay</v>
      </c>
      <c r="AA189" s="307" t="str">
        <f ca="1">'Database MK'!HQ190</f>
        <v>Belum, Delay</v>
      </c>
      <c r="AB189" s="307" t="str">
        <f ca="1">'Database MK'!HW190</f>
        <v>Belum, Delay</v>
      </c>
      <c r="AC189" s="307"/>
      <c r="AD189" s="307"/>
      <c r="AE189" s="307"/>
      <c r="AF189" s="307"/>
      <c r="AG189" s="307"/>
      <c r="AH189" s="307"/>
      <c r="AI189" s="307"/>
      <c r="AJ189" s="307">
        <f>'Database MK'!FY190-'Database MK'!FZ190</f>
        <v>0</v>
      </c>
      <c r="AK189" s="307"/>
      <c r="AL189" s="307"/>
      <c r="AM189" s="310"/>
      <c r="AN189" s="307"/>
      <c r="AO189" s="307"/>
      <c r="AP189" s="307"/>
    </row>
    <row r="190" spans="2:42" hidden="1" x14ac:dyDescent="0.2">
      <c r="B190" s="7">
        <f>SUBTOTAL(3,$C$4:C190)</f>
        <v>74</v>
      </c>
      <c r="C190" s="4" t="s">
        <v>244</v>
      </c>
      <c r="D190" s="4" t="s">
        <v>1412</v>
      </c>
      <c r="E190" s="4" t="s">
        <v>1413</v>
      </c>
      <c r="F190" s="300">
        <v>45931</v>
      </c>
      <c r="G190" s="4" t="s">
        <v>681</v>
      </c>
      <c r="H190" s="4" t="str">
        <f ca="1">'Database MK'!Q191</f>
        <v>DPPP</v>
      </c>
      <c r="I190" s="24">
        <f>'Database MK'!S191</f>
        <v>1</v>
      </c>
      <c r="J190" s="24">
        <f>'Database MK'!T191</f>
        <v>1</v>
      </c>
      <c r="K190" s="603">
        <f>'Database MK'!U191</f>
        <v>0</v>
      </c>
      <c r="L190" s="593">
        <f>'Database MK'!V191</f>
        <v>1096</v>
      </c>
      <c r="M190" s="593">
        <f>'Database MK'!W191</f>
        <v>1075.4000000000001</v>
      </c>
      <c r="N190" s="593">
        <f>Table3[[#This Row],[Total Panjang Pipa Aktual]]-Table3[[#This Row],[Volume
BA MC-0]]</f>
        <v>-20.599999999999909</v>
      </c>
      <c r="O190" s="7" t="str">
        <f ca="1">'Database MK'!DE191</f>
        <v>Sudah, OnSchedule</v>
      </c>
      <c r="P190" s="7" t="str">
        <f ca="1">'Database MK'!DI191</f>
        <v>Sudah, Delay</v>
      </c>
      <c r="Q190" s="7" t="str">
        <f ca="1">'Database MK'!DN191</f>
        <v>Sudah, OnSchedule</v>
      </c>
      <c r="R190" s="7" t="str">
        <f ca="1">'Database MK'!DR191</f>
        <v>Sudah, Delay</v>
      </c>
      <c r="S190" s="7" t="str">
        <f ca="1">'Database MK'!EA191</f>
        <v>Sudah, OnSchedule</v>
      </c>
      <c r="T190" s="7" t="str">
        <f ca="1">'Database MK'!EI191</f>
        <v>Sudah, Delay</v>
      </c>
      <c r="U190" s="7" t="str">
        <f ca="1">'Database MK'!ET191</f>
        <v>Sudah, Delay</v>
      </c>
      <c r="V190" s="7" t="str">
        <f ca="1">'Database MK'!GA191</f>
        <v>Belum, Delay</v>
      </c>
      <c r="W190" s="7" t="str">
        <f ca="1">'Database MK'!GD191</f>
        <v>Sudah, Delay</v>
      </c>
      <c r="X190" s="7" t="str">
        <f ca="1">'Database MK'!GG191</f>
        <v>Sudah, Delay</v>
      </c>
      <c r="Y190" s="7" t="b">
        <f ca="1">'Database MK'!GK191</f>
        <v>0</v>
      </c>
      <c r="Z190" s="7" t="str">
        <f ca="1">'Database MK'!HH191</f>
        <v>Sudah, OnSchedule</v>
      </c>
      <c r="AA190" s="7" t="str">
        <f ca="1">'Database MK'!HQ191</f>
        <v>Sudah, OnSchedule</v>
      </c>
      <c r="AB190" s="7" t="str">
        <f ca="1">'Database MK'!HW191</f>
        <v>Sudah, Delay</v>
      </c>
      <c r="AC190" s="7">
        <f>'Database MK'!DA191-'Database MK'!DB191</f>
        <v>17</v>
      </c>
      <c r="AD190" s="7">
        <f>'Database MK'!DA191-'Database MK'!DF191</f>
        <v>-9</v>
      </c>
      <c r="AE190" s="7">
        <f>'Database MK'!DK191-'Database MK'!DL191</f>
        <v>19</v>
      </c>
      <c r="AF190" s="7">
        <f>'Database MK'!DK191-'Database MK'!DO191</f>
        <v>-15</v>
      </c>
      <c r="AG190" s="7">
        <f>'Database MK'!DU191-'Database MK'!DW191</f>
        <v>19</v>
      </c>
      <c r="AH190" s="7">
        <f>IF('Database MK'!EB191="","Belum",'Database MK'!DU191-'Database MK'!EB191)</f>
        <v>-222</v>
      </c>
      <c r="AI190" s="7">
        <f>IF('Database MK'!EN191="","Belum",'Database MK'!EL191-'Database MK'!EN191)</f>
        <v>-286</v>
      </c>
      <c r="AJ190" s="7">
        <f>'Database MK'!FY191-'Database MK'!FZ191</f>
        <v>0</v>
      </c>
      <c r="AK190" s="7">
        <f>IF('Database MK'!GC191="","Belum",'Database MK'!GB191-'Database MK'!GC191)</f>
        <v>-8</v>
      </c>
      <c r="AL190" s="7" t="e">
        <f>IF('Database MK'!GF191="","Belum",'Database MK'!GE191-'Database MK'!GF191)</f>
        <v>#VALUE!</v>
      </c>
      <c r="AM190" s="309">
        <f>IF('Database MK'!GJ191="","Belum",'Database MK'!GI191-'Database MK'!GJ191)</f>
        <v>0</v>
      </c>
      <c r="AN190" s="7">
        <f>IF('Database MK'!HG191="","Belum",'Database MK'!HF191-'Database MK'!HG191)</f>
        <v>16</v>
      </c>
      <c r="AO190" s="7">
        <f>IF('Database MK'!HP191="","Belum",'Database MK'!HN191-'Database MK'!HP191)</f>
        <v>25</v>
      </c>
      <c r="AP190" s="7">
        <f>IF('Database MK'!HV191="","Belum",'Database MK'!HT191-'Database MK'!HV191)</f>
        <v>-5</v>
      </c>
    </row>
    <row r="191" spans="2:42" s="77" customFormat="1" hidden="1" x14ac:dyDescent="0.2">
      <c r="B191" s="7">
        <f>SUBTOTAL(3,$C$4:C191)</f>
        <v>74</v>
      </c>
      <c r="C191" s="77" t="s">
        <v>244</v>
      </c>
      <c r="D191" s="77" t="s">
        <v>1421</v>
      </c>
      <c r="E191" s="77" t="s">
        <v>1422</v>
      </c>
      <c r="F191" s="302">
        <v>45931</v>
      </c>
      <c r="G191" s="77" t="s">
        <v>681</v>
      </c>
      <c r="H191" s="77" t="str">
        <f>'Database MK'!Q192</f>
        <v>BATAL / CANCEL</v>
      </c>
      <c r="I191" s="604">
        <f>'Database MK'!S192</f>
        <v>1</v>
      </c>
      <c r="J191" s="604">
        <f>'Database MK'!T192</f>
        <v>0</v>
      </c>
      <c r="K191" s="605">
        <f>'Database MK'!U192</f>
        <v>-1</v>
      </c>
      <c r="L191" s="594">
        <f>'Database MK'!V192</f>
        <v>18</v>
      </c>
      <c r="M191" s="594">
        <f>'Database MK'!W192</f>
        <v>0</v>
      </c>
      <c r="N191" s="594">
        <f>Table3[[#This Row],[Total Panjang Pipa Aktual]]-Table3[[#This Row],[Volume
BA MC-0]]</f>
        <v>-18</v>
      </c>
      <c r="O191" s="307" t="str">
        <f ca="1">'Database MK'!DE192</f>
        <v>Sudah, OnSchedule</v>
      </c>
      <c r="P191" s="307" t="str">
        <f ca="1">'Database MK'!DI192</f>
        <v>Sudah, OnSchedule</v>
      </c>
      <c r="Q191" s="307" t="str">
        <f ca="1">'Database MK'!DN192</f>
        <v>Sudah, OnSchedule</v>
      </c>
      <c r="R191" s="307" t="str">
        <f ca="1">'Database MK'!DR192</f>
        <v>Sudah, Delay</v>
      </c>
      <c r="S191" s="307" t="str">
        <f ca="1">'Database MK'!EA192</f>
        <v>Belum, Delay</v>
      </c>
      <c r="T191" s="307" t="str">
        <f ca="1">'Database MK'!EI192</f>
        <v>Belum, Delay</v>
      </c>
      <c r="U191" s="307" t="str">
        <f ca="1">'Database MK'!ET192</f>
        <v>Belum, Delay</v>
      </c>
      <c r="V191" s="307" t="str">
        <f ca="1">'Database MK'!GA192</f>
        <v>Belum, Delay</v>
      </c>
      <c r="W191" s="307" t="str">
        <f ca="1">'Database MK'!GD192</f>
        <v>Sudah, Delay</v>
      </c>
      <c r="X191" s="307" t="str">
        <f ca="1">'Database MK'!GG192</f>
        <v>Sudah, Delay</v>
      </c>
      <c r="Y191" s="307" t="str">
        <f ca="1">'Database MK'!GK192</f>
        <v>Sudah, OnSchedule</v>
      </c>
      <c r="Z191" s="307" t="str">
        <f ca="1">'Database MK'!HH192</f>
        <v>Belum, Delay</v>
      </c>
      <c r="AA191" s="307" t="str">
        <f ca="1">'Database MK'!HQ192</f>
        <v>Belum, Delay</v>
      </c>
      <c r="AB191" s="307" t="str">
        <f ca="1">'Database MK'!HW192</f>
        <v>Belum, Delay</v>
      </c>
      <c r="AC191" s="307"/>
      <c r="AD191" s="307"/>
      <c r="AE191" s="307"/>
      <c r="AF191" s="307"/>
      <c r="AG191" s="307"/>
      <c r="AH191" s="307"/>
      <c r="AI191" s="307"/>
      <c r="AJ191" s="307">
        <f>'Database MK'!FY192-'Database MK'!FZ192</f>
        <v>0</v>
      </c>
      <c r="AK191" s="307"/>
      <c r="AL191" s="307"/>
      <c r="AM191" s="310"/>
      <c r="AN191" s="307"/>
      <c r="AO191" s="307"/>
      <c r="AP191" s="307"/>
    </row>
    <row r="192" spans="2:42" hidden="1" x14ac:dyDescent="0.2">
      <c r="B192" s="7">
        <f>SUBTOTAL(3,$C$4:C192)</f>
        <v>74</v>
      </c>
      <c r="C192" s="4" t="s">
        <v>244</v>
      </c>
      <c r="D192" s="4" t="s">
        <v>1428</v>
      </c>
      <c r="E192" s="4" t="s">
        <v>1429</v>
      </c>
      <c r="F192" s="300">
        <v>45931</v>
      </c>
      <c r="G192" s="4" t="s">
        <v>681</v>
      </c>
      <c r="H192" s="4" t="str">
        <f ca="1">'Database MK'!Q193</f>
        <v>DPPP</v>
      </c>
      <c r="I192" s="24">
        <f>'Database MK'!S193</f>
        <v>1</v>
      </c>
      <c r="J192" s="24">
        <f>'Database MK'!T193</f>
        <v>1</v>
      </c>
      <c r="K192" s="603">
        <f>'Database MK'!U193</f>
        <v>0</v>
      </c>
      <c r="L192" s="593">
        <f>'Database MK'!V193</f>
        <v>978</v>
      </c>
      <c r="M192" s="593">
        <f>'Database MK'!W193</f>
        <v>889</v>
      </c>
      <c r="N192" s="593">
        <f>Table3[[#This Row],[Total Panjang Pipa Aktual]]-Table3[[#This Row],[Volume
BA MC-0]]</f>
        <v>-89</v>
      </c>
      <c r="O192" s="7" t="str">
        <f ca="1">'Database MK'!DE193</f>
        <v>Sudah, OnSchedule</v>
      </c>
      <c r="P192" s="7" t="str">
        <f ca="1">'Database MK'!DI193</f>
        <v>Sudah, OnSchedule</v>
      </c>
      <c r="Q192" s="7" t="str">
        <f ca="1">'Database MK'!DN193</f>
        <v>Sudah, OnSchedule</v>
      </c>
      <c r="R192" s="7" t="str">
        <f ca="1">'Database MK'!DR193</f>
        <v>Sudah, Delay</v>
      </c>
      <c r="S192" s="7" t="str">
        <f ca="1">'Database MK'!EA193</f>
        <v>Sudah, OnSchedule</v>
      </c>
      <c r="T192" s="7" t="str">
        <f ca="1">'Database MK'!EI193</f>
        <v>Sudah, Delay</v>
      </c>
      <c r="U192" s="7" t="str">
        <f ca="1">'Database MK'!ET193</f>
        <v>Sudah, Delay</v>
      </c>
      <c r="V192" s="7" t="str">
        <f ca="1">'Database MK'!GA193</f>
        <v>Belum, Delay</v>
      </c>
      <c r="W192" s="7" t="str">
        <f ca="1">'Database MK'!GD193</f>
        <v>Sudah, Delay</v>
      </c>
      <c r="X192" s="7" t="str">
        <f ca="1">'Database MK'!GG193</f>
        <v>Sudah, Delay</v>
      </c>
      <c r="Y192" s="7" t="str">
        <f ca="1">'Database MK'!GK193</f>
        <v>Sudah, Delay</v>
      </c>
      <c r="Z192" s="7" t="str">
        <f ca="1">'Database MK'!HH193</f>
        <v>Sudah, Delay</v>
      </c>
      <c r="AA192" s="7" t="str">
        <f ca="1">'Database MK'!HQ193</f>
        <v>Sudah, Delay</v>
      </c>
      <c r="AB192" s="7" t="str">
        <f ca="1">'Database MK'!HW193</f>
        <v>Sudah, Delay</v>
      </c>
      <c r="AC192" s="7">
        <f>'Database MK'!DA193-'Database MK'!DB193</f>
        <v>16</v>
      </c>
      <c r="AD192" s="7">
        <f>'Database MK'!DA193-'Database MK'!DF193</f>
        <v>3</v>
      </c>
      <c r="AE192" s="7">
        <f>'Database MK'!DK193-'Database MK'!DL193</f>
        <v>24</v>
      </c>
      <c r="AF192" s="7">
        <f>'Database MK'!DK193-'Database MK'!DO193</f>
        <v>-9</v>
      </c>
      <c r="AG192" s="7">
        <f>'Database MK'!DU193-'Database MK'!DW193</f>
        <v>24</v>
      </c>
      <c r="AH192" s="7">
        <f>IF('Database MK'!EB193="","Belum",'Database MK'!DU193-'Database MK'!EB193)</f>
        <v>-296</v>
      </c>
      <c r="AI192" s="7">
        <f>IF('Database MK'!EN193="","Belum",'Database MK'!EL193-'Database MK'!EN193)</f>
        <v>-286</v>
      </c>
      <c r="AJ192" s="7">
        <f>'Database MK'!FY193-'Database MK'!FZ193</f>
        <v>0</v>
      </c>
      <c r="AK192" s="7">
        <f>IF('Database MK'!GC193="","Belum",'Database MK'!GB193-'Database MK'!GC193)</f>
        <v>-8</v>
      </c>
      <c r="AL192" s="7" t="e">
        <f>IF('Database MK'!GF193="","Belum",'Database MK'!GE193-'Database MK'!GF193)</f>
        <v>#VALUE!</v>
      </c>
      <c r="AM192" s="309">
        <f>IF('Database MK'!GJ193="","Belum",'Database MK'!GI193-'Database MK'!GJ193)</f>
        <v>-1</v>
      </c>
      <c r="AN192" s="7">
        <f>IF('Database MK'!HG193="","Belum",'Database MK'!HF193-'Database MK'!HG193)</f>
        <v>-100</v>
      </c>
      <c r="AO192" s="7">
        <f>IF('Database MK'!HP193="","Belum",'Database MK'!HN193-'Database MK'!HP193)</f>
        <v>-96</v>
      </c>
      <c r="AP192" s="7">
        <f>IF('Database MK'!HV193="","Belum",'Database MK'!HT193-'Database MK'!HV193)</f>
        <v>-98</v>
      </c>
    </row>
    <row r="193" spans="2:42" hidden="1" x14ac:dyDescent="0.2">
      <c r="B193" s="7">
        <f>SUBTOTAL(3,$C$4:C193)</f>
        <v>74</v>
      </c>
      <c r="C193" s="4" t="s">
        <v>244</v>
      </c>
      <c r="D193" s="4" t="s">
        <v>1437</v>
      </c>
      <c r="E193" s="4" t="s">
        <v>1438</v>
      </c>
      <c r="F193" s="300">
        <v>45931</v>
      </c>
      <c r="G193" s="4" t="s">
        <v>681</v>
      </c>
      <c r="H193" s="4" t="str">
        <f ca="1">'Database MK'!Q194</f>
        <v>DPPP</v>
      </c>
      <c r="I193" s="24">
        <f>'Database MK'!S194</f>
        <v>1</v>
      </c>
      <c r="J193" s="24">
        <f>'Database MK'!T194</f>
        <v>1</v>
      </c>
      <c r="K193" s="603">
        <f>'Database MK'!U194</f>
        <v>0</v>
      </c>
      <c r="L193" s="593">
        <f>'Database MK'!V194</f>
        <v>284.8</v>
      </c>
      <c r="M193" s="593">
        <f>'Database MK'!W194</f>
        <v>273.7</v>
      </c>
      <c r="N193" s="593">
        <f>Table3[[#This Row],[Total Panjang Pipa Aktual]]-Table3[[#This Row],[Volume
BA MC-0]]</f>
        <v>-11.100000000000023</v>
      </c>
      <c r="O193" s="7" t="str">
        <f ca="1">'Database MK'!DE194</f>
        <v>Sudah, OnSchedule</v>
      </c>
      <c r="P193" s="7" t="str">
        <f ca="1">'Database MK'!DI194</f>
        <v>Sudah, OnSchedule</v>
      </c>
      <c r="Q193" s="7" t="str">
        <f ca="1">'Database MK'!DN194</f>
        <v>Sudah, OnSchedule</v>
      </c>
      <c r="R193" s="7" t="str">
        <f ca="1">'Database MK'!DR194</f>
        <v>Sudah, Delay</v>
      </c>
      <c r="S193" s="7" t="str">
        <f ca="1">'Database MK'!EA194</f>
        <v>Sudah, OnSchedule</v>
      </c>
      <c r="T193" s="7" t="str">
        <f ca="1">'Database MK'!EI194</f>
        <v>Sudah, Delay</v>
      </c>
      <c r="U193" s="7" t="str">
        <f ca="1">'Database MK'!ET194</f>
        <v>Sudah, Delay</v>
      </c>
      <c r="V193" s="7" t="str">
        <f ca="1">'Database MK'!GA194</f>
        <v>Belum, Delay</v>
      </c>
      <c r="W193" s="7" t="str">
        <f ca="1">'Database MK'!GD194</f>
        <v>Sudah, Delay</v>
      </c>
      <c r="X193" s="7" t="str">
        <f ca="1">'Database MK'!GG194</f>
        <v>Sudah, Delay</v>
      </c>
      <c r="Y193" s="7" t="str">
        <f ca="1">'Database MK'!GK194</f>
        <v>Sudah, Delay</v>
      </c>
      <c r="Z193" s="7" t="str">
        <f ca="1">'Database MK'!HH194</f>
        <v>Sudah, Delay</v>
      </c>
      <c r="AA193" s="7" t="str">
        <f ca="1">'Database MK'!HQ194</f>
        <v>Sudah, Delay</v>
      </c>
      <c r="AB193" s="7" t="str">
        <f ca="1">'Database MK'!HW194</f>
        <v>Sudah, Delay</v>
      </c>
      <c r="AC193" s="7">
        <f>'Database MK'!DA194-'Database MK'!DB194</f>
        <v>13</v>
      </c>
      <c r="AD193" s="7">
        <f>'Database MK'!DA194-'Database MK'!DF194</f>
        <v>3</v>
      </c>
      <c r="AE193" s="7">
        <f>'Database MK'!DK194-'Database MK'!DL194</f>
        <v>32</v>
      </c>
      <c r="AF193" s="7">
        <f>'Database MK'!DK194-'Database MK'!DO194</f>
        <v>-9</v>
      </c>
      <c r="AG193" s="7">
        <f>'Database MK'!DU194-'Database MK'!DW194</f>
        <v>32</v>
      </c>
      <c r="AH193" s="7">
        <f>IF('Database MK'!EB194="","Belum",'Database MK'!DU194-'Database MK'!EB194)</f>
        <v>-344</v>
      </c>
      <c r="AI193" s="7">
        <f>IF('Database MK'!EN194="","Belum",'Database MK'!EL194-'Database MK'!EN194)</f>
        <v>-196</v>
      </c>
      <c r="AJ193" s="7">
        <f>'Database MK'!FY194-'Database MK'!FZ194</f>
        <v>0</v>
      </c>
      <c r="AK193" s="7">
        <f>IF('Database MK'!GC194="","Belum",'Database MK'!GB194-'Database MK'!GC194)</f>
        <v>-8</v>
      </c>
      <c r="AL193" s="7" t="e">
        <f>IF('Database MK'!GF194="","Belum",'Database MK'!GE194-'Database MK'!GF194)</f>
        <v>#VALUE!</v>
      </c>
      <c r="AM193" s="309">
        <f>IF('Database MK'!GJ194="","Belum",'Database MK'!GI194-'Database MK'!GJ194)</f>
        <v>-1</v>
      </c>
      <c r="AN193" s="7">
        <f>IF('Database MK'!HG194="","Belum",'Database MK'!HF194-'Database MK'!HG194)</f>
        <v>-12</v>
      </c>
      <c r="AO193" s="7">
        <f>IF('Database MK'!HP194="","Belum",'Database MK'!HN194-'Database MK'!HP194)</f>
        <v>-3</v>
      </c>
      <c r="AP193" s="7">
        <f>IF('Database MK'!HV194="","Belum",'Database MK'!HT194-'Database MK'!HV194)</f>
        <v>-33</v>
      </c>
    </row>
    <row r="194" spans="2:42" hidden="1" x14ac:dyDescent="0.2">
      <c r="B194" s="7">
        <f>SUBTOTAL(3,$C$4:C194)</f>
        <v>74</v>
      </c>
      <c r="C194" s="4" t="s">
        <v>244</v>
      </c>
      <c r="D194" s="4" t="s">
        <v>1446</v>
      </c>
      <c r="E194" s="4" t="s">
        <v>1447</v>
      </c>
      <c r="F194" s="300">
        <v>45931</v>
      </c>
      <c r="G194" s="4" t="s">
        <v>681</v>
      </c>
      <c r="H194" s="4" t="str">
        <f ca="1">'Database MK'!Q195</f>
        <v>DPPP</v>
      </c>
      <c r="I194" s="24">
        <f>'Database MK'!S195</f>
        <v>1</v>
      </c>
      <c r="J194" s="24">
        <f>'Database MK'!T195</f>
        <v>1</v>
      </c>
      <c r="K194" s="603">
        <f>'Database MK'!U195</f>
        <v>0</v>
      </c>
      <c r="L194" s="593">
        <f>'Database MK'!V195</f>
        <v>112</v>
      </c>
      <c r="M194" s="593">
        <f>'Database MK'!W195</f>
        <v>149.69999999999999</v>
      </c>
      <c r="N194" s="593">
        <f>Table3[[#This Row],[Total Panjang Pipa Aktual]]-Table3[[#This Row],[Volume
BA MC-0]]</f>
        <v>37.699999999999989</v>
      </c>
      <c r="O194" s="7" t="str">
        <f ca="1">'Database MK'!DE195</f>
        <v>Sudah, OnSchedule</v>
      </c>
      <c r="P194" s="7" t="str">
        <f ca="1">'Database MK'!DI195</f>
        <v>Sudah, Delay</v>
      </c>
      <c r="Q194" s="7" t="str">
        <f ca="1">'Database MK'!DN195</f>
        <v>Sudah, OnSchedule</v>
      </c>
      <c r="R194" s="7" t="str">
        <f ca="1">'Database MK'!DR195</f>
        <v>Sudah, Delay</v>
      </c>
      <c r="S194" s="7" t="str">
        <f ca="1">'Database MK'!EA195</f>
        <v>Sudah, OnSchedule</v>
      </c>
      <c r="T194" s="7" t="str">
        <f ca="1">'Database MK'!EI195</f>
        <v>Sudah, Delay</v>
      </c>
      <c r="U194" s="7" t="str">
        <f ca="1">'Database MK'!ET195</f>
        <v>Sudah, Delay</v>
      </c>
      <c r="V194" s="7" t="str">
        <f ca="1">'Database MK'!GA195</f>
        <v>Belum, Delay</v>
      </c>
      <c r="W194" s="7" t="str">
        <f ca="1">'Database MK'!GD195</f>
        <v>Sudah, Delay</v>
      </c>
      <c r="X194" s="7" t="str">
        <f ca="1">'Database MK'!GG195</f>
        <v>Sudah, Delay</v>
      </c>
      <c r="Y194" s="7" t="b">
        <f ca="1">'Database MK'!GK195</f>
        <v>0</v>
      </c>
      <c r="Z194" s="7" t="str">
        <f ca="1">'Database MK'!HH195</f>
        <v>Sudah, Delay</v>
      </c>
      <c r="AA194" s="7" t="str">
        <f ca="1">'Database MK'!HQ195</f>
        <v>Sudah, Delay</v>
      </c>
      <c r="AB194" s="7" t="str">
        <f ca="1">'Database MK'!HW195</f>
        <v>Sudah, Delay</v>
      </c>
      <c r="AC194" s="7">
        <f>'Database MK'!DA195-'Database MK'!DB195</f>
        <v>17</v>
      </c>
      <c r="AD194" s="7">
        <f>'Database MK'!DA195-'Database MK'!DF195</f>
        <v>-18</v>
      </c>
      <c r="AE194" s="7">
        <f>'Database MK'!DK195-'Database MK'!DL195</f>
        <v>6</v>
      </c>
      <c r="AF194" s="7">
        <f>'Database MK'!DK195-'Database MK'!DO195</f>
        <v>-60</v>
      </c>
      <c r="AG194" s="7">
        <f>'Database MK'!DU195-'Database MK'!DW195</f>
        <v>6</v>
      </c>
      <c r="AH194" s="7">
        <f>IF('Database MK'!EB195="","Belum",'Database MK'!DU195-'Database MK'!EB195)</f>
        <v>-344</v>
      </c>
      <c r="AI194" s="7">
        <f>IF('Database MK'!EN195="","Belum",'Database MK'!EL195-'Database MK'!EN195)</f>
        <v>-226</v>
      </c>
      <c r="AJ194" s="7">
        <f>'Database MK'!FY195-'Database MK'!FZ195</f>
        <v>0</v>
      </c>
      <c r="AK194" s="7">
        <f>IF('Database MK'!GC195="","Belum",'Database MK'!GB195-'Database MK'!GC195)</f>
        <v>-8</v>
      </c>
      <c r="AL194" s="7" t="e">
        <f>IF('Database MK'!GF195="","Belum",'Database MK'!GE195-'Database MK'!GF195)</f>
        <v>#VALUE!</v>
      </c>
      <c r="AM194" s="309">
        <f>IF('Database MK'!GJ195="","Belum",'Database MK'!GI195-'Database MK'!GJ195)</f>
        <v>0</v>
      </c>
      <c r="AN194" s="7">
        <f>IF('Database MK'!HG195="","Belum",'Database MK'!HF195-'Database MK'!HG195)</f>
        <v>-42</v>
      </c>
      <c r="AO194" s="7">
        <f>IF('Database MK'!HP195="","Belum",'Database MK'!HN195-'Database MK'!HP195)</f>
        <v>-38</v>
      </c>
      <c r="AP194" s="7">
        <f>IF('Database MK'!HV195="","Belum",'Database MK'!HT195-'Database MK'!HV195)</f>
        <v>-36</v>
      </c>
    </row>
    <row r="195" spans="2:42" hidden="1" x14ac:dyDescent="0.2">
      <c r="B195" s="7">
        <f>SUBTOTAL(3,$C$4:C195)</f>
        <v>74</v>
      </c>
      <c r="C195" s="4" t="s">
        <v>244</v>
      </c>
      <c r="D195" s="4" t="s">
        <v>1454</v>
      </c>
      <c r="E195" s="4" t="s">
        <v>1455</v>
      </c>
      <c r="F195" s="300">
        <v>45931</v>
      </c>
      <c r="G195" s="4" t="s">
        <v>681</v>
      </c>
      <c r="H195" s="4" t="str">
        <f ca="1">'Database MK'!Q196</f>
        <v>DPPP</v>
      </c>
      <c r="I195" s="24">
        <f>'Database MK'!S196</f>
        <v>1</v>
      </c>
      <c r="J195" s="24">
        <f>'Database MK'!T196</f>
        <v>1</v>
      </c>
      <c r="K195" s="603">
        <f>'Database MK'!U196</f>
        <v>0</v>
      </c>
      <c r="L195" s="593">
        <f>'Database MK'!V196</f>
        <v>333</v>
      </c>
      <c r="M195" s="593">
        <f>'Database MK'!W196</f>
        <v>456</v>
      </c>
      <c r="N195" s="593">
        <f>Table3[[#This Row],[Total Panjang Pipa Aktual]]-Table3[[#This Row],[Volume
BA MC-0]]</f>
        <v>123</v>
      </c>
      <c r="O195" s="7" t="str">
        <f ca="1">'Database MK'!DE196</f>
        <v>Sudah, OnSchedule</v>
      </c>
      <c r="P195" s="7" t="str">
        <f ca="1">'Database MK'!DI196</f>
        <v>Sudah, OnSchedule</v>
      </c>
      <c r="Q195" s="7" t="str">
        <f ca="1">'Database MK'!DN196</f>
        <v>Sudah, OnSchedule</v>
      </c>
      <c r="R195" s="7" t="str">
        <f ca="1">'Database MK'!DR196</f>
        <v>Sudah, Delay</v>
      </c>
      <c r="S195" s="7" t="str">
        <f ca="1">'Database MK'!EA196</f>
        <v>Sudah, OnSchedule</v>
      </c>
      <c r="T195" s="7" t="str">
        <f ca="1">'Database MK'!EI196</f>
        <v>Sudah, Delay</v>
      </c>
      <c r="U195" s="7" t="str">
        <f ca="1">'Database MK'!ET196</f>
        <v>Sudah, Delay</v>
      </c>
      <c r="V195" s="7" t="str">
        <f ca="1">'Database MK'!GA196</f>
        <v>Belum, Delay</v>
      </c>
      <c r="W195" s="7" t="str">
        <f ca="1">'Database MK'!GD196</f>
        <v>Sudah, Delay</v>
      </c>
      <c r="X195" s="7" t="str">
        <f ca="1">'Database MK'!GG196</f>
        <v>Sudah, Delay</v>
      </c>
      <c r="Y195" s="7" t="str">
        <f ca="1">'Database MK'!GK196</f>
        <v>Sudah, OnSchedule</v>
      </c>
      <c r="Z195" s="7" t="str">
        <f ca="1">'Database MK'!HH196</f>
        <v>Sudah, Delay</v>
      </c>
      <c r="AA195" s="7" t="str">
        <f ca="1">'Database MK'!HQ196</f>
        <v>Sudah, Delay</v>
      </c>
      <c r="AB195" s="7" t="str">
        <f ca="1">'Database MK'!HW196</f>
        <v>Sudah, Delay</v>
      </c>
      <c r="AC195" s="7">
        <f>'Database MK'!DA196-'Database MK'!DB196</f>
        <v>17</v>
      </c>
      <c r="AD195" s="7">
        <f>'Database MK'!DA196-'Database MK'!DF196</f>
        <v>3</v>
      </c>
      <c r="AE195" s="7">
        <f>'Database MK'!DK196-'Database MK'!DL196</f>
        <v>24</v>
      </c>
      <c r="AF195" s="7">
        <f>'Database MK'!DK196-'Database MK'!DO196</f>
        <v>-51</v>
      </c>
      <c r="AG195" s="7">
        <f>'Database MK'!DU196-'Database MK'!DW196</f>
        <v>24</v>
      </c>
      <c r="AH195" s="7">
        <f>IF('Database MK'!EB196="","Belum",'Database MK'!DU196-'Database MK'!EB196)</f>
        <v>-344</v>
      </c>
      <c r="AI195" s="7">
        <f>IF('Database MK'!EN196="","Belum",'Database MK'!EL196-'Database MK'!EN196)</f>
        <v>-226</v>
      </c>
      <c r="AJ195" s="7">
        <f>'Database MK'!FY196-'Database MK'!FZ196</f>
        <v>0</v>
      </c>
      <c r="AK195" s="7">
        <f>IF('Database MK'!GC196="","Belum",'Database MK'!GB196-'Database MK'!GC196)</f>
        <v>-8</v>
      </c>
      <c r="AL195" s="7" t="e">
        <f>IF('Database MK'!GF196="","Belum",'Database MK'!GE196-'Database MK'!GF196)</f>
        <v>#VALUE!</v>
      </c>
      <c r="AM195" s="309">
        <f>IF('Database MK'!GJ196="","Belum",'Database MK'!GI196-'Database MK'!GJ196)</f>
        <v>5</v>
      </c>
      <c r="AN195" s="7">
        <f>IF('Database MK'!HG196="","Belum",'Database MK'!HF196-'Database MK'!HG196)</f>
        <v>-98</v>
      </c>
      <c r="AO195" s="7">
        <f>IF('Database MK'!HP196="","Belum",'Database MK'!HN196-'Database MK'!HP196)</f>
        <v>-117</v>
      </c>
      <c r="AP195" s="7">
        <f>IF('Database MK'!HV196="","Belum",'Database MK'!HT196-'Database MK'!HV196)</f>
        <v>-126</v>
      </c>
    </row>
    <row r="196" spans="2:42" hidden="1" x14ac:dyDescent="0.2">
      <c r="B196" s="7">
        <f>SUBTOTAL(3,$C$4:C196)</f>
        <v>74</v>
      </c>
      <c r="C196" s="4" t="s">
        <v>244</v>
      </c>
      <c r="D196" s="4" t="s">
        <v>1462</v>
      </c>
      <c r="E196" s="4" t="s">
        <v>1463</v>
      </c>
      <c r="F196" s="300">
        <v>45931</v>
      </c>
      <c r="G196" s="4" t="s">
        <v>681</v>
      </c>
      <c r="H196" s="4" t="str">
        <f ca="1">'Database MK'!Q197</f>
        <v>DPPP</v>
      </c>
      <c r="I196" s="24">
        <f>'Database MK'!S197</f>
        <v>1</v>
      </c>
      <c r="J196" s="24">
        <f>'Database MK'!T197</f>
        <v>1</v>
      </c>
      <c r="K196" s="603">
        <f>'Database MK'!U197</f>
        <v>0</v>
      </c>
      <c r="L196" s="593">
        <f>'Database MK'!V197</f>
        <v>130</v>
      </c>
      <c r="M196" s="593">
        <f>'Database MK'!W197</f>
        <v>123.89999999999999</v>
      </c>
      <c r="N196" s="593">
        <f>Table3[[#This Row],[Total Panjang Pipa Aktual]]-Table3[[#This Row],[Volume
BA MC-0]]</f>
        <v>-6.1000000000000085</v>
      </c>
      <c r="O196" s="7" t="str">
        <f ca="1">'Database MK'!DE197</f>
        <v>Sudah, OnSchedule</v>
      </c>
      <c r="P196" s="7" t="str">
        <f ca="1">'Database MK'!DI197</f>
        <v>Sudah, OnSchedule</v>
      </c>
      <c r="Q196" s="7" t="str">
        <f ca="1">'Database MK'!DN197</f>
        <v>Sudah, OnSchedule</v>
      </c>
      <c r="R196" s="7" t="str">
        <f ca="1">'Database MK'!DR197</f>
        <v>Sudah, OnSchedule</v>
      </c>
      <c r="S196" s="7" t="str">
        <f ca="1">'Database MK'!EA197</f>
        <v>Sudah, OnSchedule</v>
      </c>
      <c r="T196" s="7" t="str">
        <f ca="1">'Database MK'!EI197</f>
        <v>Sudah, Delay</v>
      </c>
      <c r="U196" s="7" t="str">
        <f ca="1">'Database MK'!ET197</f>
        <v>Sudah, Delay</v>
      </c>
      <c r="V196" s="7" t="str">
        <f ca="1">'Database MK'!GA197</f>
        <v>Belum, Delay</v>
      </c>
      <c r="W196" s="7" t="str">
        <f ca="1">'Database MK'!GD197</f>
        <v>Sudah, OnSchedule</v>
      </c>
      <c r="X196" s="7" t="str">
        <f ca="1">'Database MK'!GG197</f>
        <v>Sudah, Delay</v>
      </c>
      <c r="Y196" s="7" t="str">
        <f ca="1">'Database MK'!GK197</f>
        <v>Sudah, OnSchedule</v>
      </c>
      <c r="Z196" s="7" t="str">
        <f ca="1">'Database MK'!HH197</f>
        <v>Sudah, Delay</v>
      </c>
      <c r="AA196" s="7" t="str">
        <f ca="1">'Database MK'!HQ197</f>
        <v>Sudah, Delay</v>
      </c>
      <c r="AB196" s="7" t="str">
        <f ca="1">'Database MK'!HW197</f>
        <v>Sudah, Delay</v>
      </c>
      <c r="AC196" s="7">
        <f>'Database MK'!DA197-'Database MK'!DB197</f>
        <v>23</v>
      </c>
      <c r="AD196" s="7">
        <f>'Database MK'!DA197-'Database MK'!DF197</f>
        <v>12</v>
      </c>
      <c r="AE196" s="7">
        <f>'Database MK'!DK197-'Database MK'!DL197</f>
        <v>61</v>
      </c>
      <c r="AF196" s="7">
        <f>'Database MK'!DK197-'Database MK'!DO197</f>
        <v>38</v>
      </c>
      <c r="AG196" s="7">
        <f>'Database MK'!DU197-'Database MK'!DW197</f>
        <v>33</v>
      </c>
      <c r="AH196" s="7">
        <f>IF('Database MK'!EB197="","Belum",'Database MK'!DU197-'Database MK'!EB197)</f>
        <v>-163</v>
      </c>
      <c r="AI196" s="7">
        <f>IF('Database MK'!EN197="","Belum",'Database MK'!EL197-'Database MK'!EN197)</f>
        <v>-256</v>
      </c>
      <c r="AJ196" s="7">
        <f>'Database MK'!FY197-'Database MK'!FZ197</f>
        <v>0</v>
      </c>
      <c r="AK196" s="7">
        <f>IF('Database MK'!GC197="","Belum",'Database MK'!GB197-'Database MK'!GC197)</f>
        <v>34</v>
      </c>
      <c r="AL196" s="7" t="e">
        <f>IF('Database MK'!GF197="","Belum",'Database MK'!GE197-'Database MK'!GF197)</f>
        <v>#VALUE!</v>
      </c>
      <c r="AM196" s="309">
        <f>IF('Database MK'!GJ197="","Belum",'Database MK'!GI197-'Database MK'!GJ197)</f>
        <v>48</v>
      </c>
      <c r="AN196" s="7">
        <f>IF('Database MK'!HG197="","Belum",'Database MK'!HF197-'Database MK'!HG197)</f>
        <v>-8</v>
      </c>
      <c r="AO196" s="7">
        <f>IF('Database MK'!HP197="","Belum",'Database MK'!HN197-'Database MK'!HP197)</f>
        <v>-7</v>
      </c>
      <c r="AP196" s="7">
        <f>IF('Database MK'!HV197="","Belum",'Database MK'!HT197-'Database MK'!HV197)</f>
        <v>-7</v>
      </c>
    </row>
    <row r="197" spans="2:42" s="77" customFormat="1" hidden="1" x14ac:dyDescent="0.2">
      <c r="B197" s="7">
        <f>SUBTOTAL(3,$C$4:C197)</f>
        <v>74</v>
      </c>
      <c r="C197" s="77" t="s">
        <v>244</v>
      </c>
      <c r="D197" s="77" t="s">
        <v>1471</v>
      </c>
      <c r="E197" s="77" t="s">
        <v>1472</v>
      </c>
      <c r="F197" s="302">
        <v>45931</v>
      </c>
      <c r="G197" s="77" t="s">
        <v>681</v>
      </c>
      <c r="H197" s="77" t="str">
        <f>'Database MK'!Q198</f>
        <v>BATAL / CANCEL</v>
      </c>
      <c r="I197" s="604">
        <f>'Database MK'!S198</f>
        <v>1</v>
      </c>
      <c r="J197" s="604">
        <f>'Database MK'!T198</f>
        <v>0</v>
      </c>
      <c r="K197" s="605">
        <f>'Database MK'!U198</f>
        <v>-1</v>
      </c>
      <c r="L197" s="594">
        <f>'Database MK'!V198</f>
        <v>0</v>
      </c>
      <c r="M197" s="594">
        <f>'Database MK'!W198</f>
        <v>0</v>
      </c>
      <c r="N197" s="594">
        <f>Table3[[#This Row],[Total Panjang Pipa Aktual]]-Table3[[#This Row],[Volume
BA MC-0]]</f>
        <v>0</v>
      </c>
      <c r="O197" s="307" t="str">
        <f ca="1">'Database MK'!DE198</f>
        <v>Sudah, OnSchedule</v>
      </c>
      <c r="P197" s="307" t="str">
        <f ca="1">'Database MK'!DI198</f>
        <v>Sudah, Delay</v>
      </c>
      <c r="Q197" s="307" t="str">
        <f ca="1">'Database MK'!DN198</f>
        <v>Sudah, OnSchedule</v>
      </c>
      <c r="R197" s="307" t="str">
        <f ca="1">'Database MK'!DR198</f>
        <v>Sudah, Delay</v>
      </c>
      <c r="S197" s="307" t="str">
        <f ca="1">'Database MK'!EA198</f>
        <v>Belum, Delay</v>
      </c>
      <c r="T197" s="307" t="str">
        <f ca="1">'Database MK'!EI198</f>
        <v>Belum, Delay</v>
      </c>
      <c r="U197" s="307" t="str">
        <f ca="1">'Database MK'!ET198</f>
        <v>Belum, Delay</v>
      </c>
      <c r="V197" s="307" t="str">
        <f ca="1">'Database MK'!GA198</f>
        <v>Belum, Delay</v>
      </c>
      <c r="W197" s="307" t="str">
        <f ca="1">'Database MK'!GD198</f>
        <v>Sudah, OnSchedule</v>
      </c>
      <c r="X197" s="307" t="str">
        <f ca="1">'Database MK'!GG198</f>
        <v>Sudah, Delay</v>
      </c>
      <c r="Y197" s="307" t="str">
        <f ca="1">'Database MK'!GK198</f>
        <v>Sudah, OnSchedule</v>
      </c>
      <c r="Z197" s="307" t="str">
        <f ca="1">'Database MK'!HH198</f>
        <v>Belum, Delay</v>
      </c>
      <c r="AA197" s="307" t="str">
        <f ca="1">'Database MK'!HQ198</f>
        <v>Belum, Delay</v>
      </c>
      <c r="AB197" s="307" t="str">
        <f ca="1">'Database MK'!HW198</f>
        <v>Belum, Delay</v>
      </c>
      <c r="AC197" s="307"/>
      <c r="AD197" s="307"/>
      <c r="AE197" s="307"/>
      <c r="AF197" s="307"/>
      <c r="AG197" s="307"/>
      <c r="AH197" s="307"/>
      <c r="AI197" s="307"/>
      <c r="AJ197" s="307">
        <f>'Database MK'!FY198-'Database MK'!FZ198</f>
        <v>0</v>
      </c>
      <c r="AK197" s="307"/>
      <c r="AL197" s="307"/>
      <c r="AM197" s="310"/>
      <c r="AN197" s="307"/>
      <c r="AO197" s="307"/>
      <c r="AP197" s="307"/>
    </row>
    <row r="198" spans="2:42" hidden="1" x14ac:dyDescent="0.2">
      <c r="B198" s="7">
        <f>SUBTOTAL(3,$C$4:C198)</f>
        <v>74</v>
      </c>
      <c r="C198" s="4" t="s">
        <v>244</v>
      </c>
      <c r="D198" s="4" t="s">
        <v>1478</v>
      </c>
      <c r="E198" s="4" t="s">
        <v>1479</v>
      </c>
      <c r="F198" s="300">
        <v>45931</v>
      </c>
      <c r="G198" s="4" t="s">
        <v>681</v>
      </c>
      <c r="H198" s="4" t="str">
        <f ca="1">'Database MK'!Q199</f>
        <v>DPPP</v>
      </c>
      <c r="I198" s="24">
        <f>'Database MK'!S199</f>
        <v>1</v>
      </c>
      <c r="J198" s="24">
        <f>'Database MK'!T199</f>
        <v>1</v>
      </c>
      <c r="K198" s="603">
        <f>'Database MK'!U199</f>
        <v>0</v>
      </c>
      <c r="L198" s="593">
        <f>'Database MK'!V199</f>
        <v>32</v>
      </c>
      <c r="M198" s="593">
        <f>'Database MK'!W199</f>
        <v>26</v>
      </c>
      <c r="N198" s="593">
        <f>Table3[[#This Row],[Total Panjang Pipa Aktual]]-Table3[[#This Row],[Volume
BA MC-0]]</f>
        <v>-6</v>
      </c>
      <c r="O198" s="7" t="str">
        <f ca="1">'Database MK'!DE199</f>
        <v>Sudah, OnSchedule</v>
      </c>
      <c r="P198" s="7" t="str">
        <f ca="1">'Database MK'!DI199</f>
        <v>Sudah, OnSchedule</v>
      </c>
      <c r="Q198" s="7" t="str">
        <f ca="1">'Database MK'!DN199</f>
        <v>Sudah, OnSchedule</v>
      </c>
      <c r="R198" s="7" t="str">
        <f ca="1">'Database MK'!DR199</f>
        <v>Sudah, Delay</v>
      </c>
      <c r="S198" s="7" t="str">
        <f ca="1">'Database MK'!EA199</f>
        <v>Sudah, OnSchedule</v>
      </c>
      <c r="T198" s="7" t="str">
        <f ca="1">'Database MK'!EI199</f>
        <v>Sudah, Delay</v>
      </c>
      <c r="U198" s="7" t="str">
        <f ca="1">'Database MK'!ET199</f>
        <v>Sudah, Delay</v>
      </c>
      <c r="V198" s="7" t="str">
        <f ca="1">'Database MK'!GA199</f>
        <v>Belum, Delay</v>
      </c>
      <c r="W198" s="7" t="str">
        <f ca="1">'Database MK'!GD199</f>
        <v>Sudah, OnSchedule</v>
      </c>
      <c r="X198" s="7" t="str">
        <f ca="1">'Database MK'!GG199</f>
        <v>Sudah, Delay</v>
      </c>
      <c r="Y198" s="7" t="str">
        <f ca="1">'Database MK'!GK199</f>
        <v>Sudah, OnSchedule</v>
      </c>
      <c r="Z198" s="7" t="str">
        <f ca="1">'Database MK'!HH199</f>
        <v>Sudah, Delay</v>
      </c>
      <c r="AA198" s="7" t="str">
        <f ca="1">'Database MK'!HQ199</f>
        <v>Sudah, Delay</v>
      </c>
      <c r="AB198" s="7" t="str">
        <f ca="1">'Database MK'!HW199</f>
        <v>Sudah, Delay</v>
      </c>
      <c r="AC198" s="7">
        <f>'Database MK'!DA199-'Database MK'!DB199</f>
        <v>20</v>
      </c>
      <c r="AD198" s="7">
        <f>'Database MK'!DA199-'Database MK'!DF199</f>
        <v>4</v>
      </c>
      <c r="AE198" s="7">
        <f>'Database MK'!DK199-'Database MK'!DL199</f>
        <v>44</v>
      </c>
      <c r="AF198" s="7">
        <f>'Database MK'!DK199-'Database MK'!DO199</f>
        <v>-4</v>
      </c>
      <c r="AG198" s="7">
        <f>'Database MK'!DU199-'Database MK'!DW199</f>
        <v>16</v>
      </c>
      <c r="AH198" s="7">
        <f>IF('Database MK'!EB199="","Belum",'Database MK'!DU199-'Database MK'!EB199)</f>
        <v>-163</v>
      </c>
      <c r="AI198" s="7">
        <f>IF('Database MK'!EN199="","Belum",'Database MK'!EL199-'Database MK'!EN199)</f>
        <v>-191</v>
      </c>
      <c r="AJ198" s="7">
        <f>'Database MK'!FY199-'Database MK'!FZ199</f>
        <v>0</v>
      </c>
      <c r="AK198" s="7">
        <f>IF('Database MK'!GC199="","Belum",'Database MK'!GB199-'Database MK'!GC199)</f>
        <v>34</v>
      </c>
      <c r="AL198" s="7" t="e">
        <f>IF('Database MK'!GF199="","Belum",'Database MK'!GE199-'Database MK'!GF199)</f>
        <v>#VALUE!</v>
      </c>
      <c r="AM198" s="309">
        <f>IF('Database MK'!GJ199="","Belum",'Database MK'!GI199-'Database MK'!GJ199)</f>
        <v>48</v>
      </c>
      <c r="AN198" s="7">
        <f>IF('Database MK'!HG199="","Belum",'Database MK'!HF199-'Database MK'!HG199)</f>
        <v>-8</v>
      </c>
      <c r="AO198" s="7">
        <f>IF('Database MK'!HP199="","Belum",'Database MK'!HN199-'Database MK'!HP199)</f>
        <v>-7</v>
      </c>
      <c r="AP198" s="7">
        <f>IF('Database MK'!HV199="","Belum",'Database MK'!HT199-'Database MK'!HV199)</f>
        <v>-7</v>
      </c>
    </row>
    <row r="199" spans="2:42" hidden="1" x14ac:dyDescent="0.2">
      <c r="B199" s="7">
        <f>SUBTOTAL(3,$C$4:C199)</f>
        <v>74</v>
      </c>
      <c r="C199" s="4" t="s">
        <v>244</v>
      </c>
      <c r="D199" s="4" t="s">
        <v>1487</v>
      </c>
      <c r="E199" s="4" t="s">
        <v>1488</v>
      </c>
      <c r="F199" s="300">
        <v>45931</v>
      </c>
      <c r="G199" s="4" t="s">
        <v>681</v>
      </c>
      <c r="H199" s="4" t="str">
        <f ca="1">'Database MK'!Q200</f>
        <v>DPPP</v>
      </c>
      <c r="I199" s="24">
        <f>'Database MK'!S200</f>
        <v>1</v>
      </c>
      <c r="J199" s="24">
        <f>'Database MK'!T200</f>
        <v>1</v>
      </c>
      <c r="K199" s="603">
        <f>'Database MK'!U200</f>
        <v>0</v>
      </c>
      <c r="L199" s="593">
        <f>'Database MK'!V200</f>
        <v>152</v>
      </c>
      <c r="M199" s="593">
        <f>'Database MK'!W200</f>
        <v>128</v>
      </c>
      <c r="N199" s="593">
        <f>Table3[[#This Row],[Total Panjang Pipa Aktual]]-Table3[[#This Row],[Volume
BA MC-0]]</f>
        <v>-24</v>
      </c>
      <c r="O199" s="7" t="str">
        <f ca="1">'Database MK'!DE200</f>
        <v>Sudah, OnSchedule</v>
      </c>
      <c r="P199" s="7" t="str">
        <f ca="1">'Database MK'!DI200</f>
        <v>Sudah, OnSchedule</v>
      </c>
      <c r="Q199" s="7" t="str">
        <f ca="1">'Database MK'!DN200</f>
        <v>Sudah, OnSchedule</v>
      </c>
      <c r="R199" s="7" t="str">
        <f ca="1">'Database MK'!DR200</f>
        <v>Sudah, Delay</v>
      </c>
      <c r="S199" s="7" t="str">
        <f ca="1">'Database MK'!EA200</f>
        <v>Sudah, OnSchedule</v>
      </c>
      <c r="T199" s="7" t="str">
        <f ca="1">'Database MK'!EI200</f>
        <v>Sudah, Delay</v>
      </c>
      <c r="U199" s="7" t="str">
        <f ca="1">'Database MK'!ET200</f>
        <v>Sudah, Delay</v>
      </c>
      <c r="V199" s="7" t="str">
        <f ca="1">'Database MK'!GA200</f>
        <v>Belum, Delay</v>
      </c>
      <c r="W199" s="7" t="str">
        <f ca="1">'Database MK'!GD200</f>
        <v>Sudah, OnSchedule</v>
      </c>
      <c r="X199" s="7" t="str">
        <f ca="1">'Database MK'!GG200</f>
        <v>Sudah, Delay</v>
      </c>
      <c r="Y199" s="7" t="str">
        <f ca="1">'Database MK'!GK200</f>
        <v>Sudah, OnSchedule</v>
      </c>
      <c r="Z199" s="7" t="str">
        <f ca="1">'Database MK'!HH200</f>
        <v>Sudah, Delay</v>
      </c>
      <c r="AA199" s="7" t="str">
        <f ca="1">'Database MK'!HQ200</f>
        <v>Sudah, Delay</v>
      </c>
      <c r="AB199" s="7" t="str">
        <f ca="1">'Database MK'!HW200</f>
        <v>Sudah, Delay</v>
      </c>
      <c r="AC199" s="7">
        <f>'Database MK'!DA200-'Database MK'!DB200</f>
        <v>20</v>
      </c>
      <c r="AD199" s="7">
        <f>'Database MK'!DA200-'Database MK'!DF200</f>
        <v>3</v>
      </c>
      <c r="AE199" s="7">
        <f>'Database MK'!DK200-'Database MK'!DL200</f>
        <v>50</v>
      </c>
      <c r="AF199" s="7">
        <f>'Database MK'!DK200-'Database MK'!DO200</f>
        <v>-4</v>
      </c>
      <c r="AG199" s="7">
        <f>'Database MK'!DU200-'Database MK'!DW200</f>
        <v>23</v>
      </c>
      <c r="AH199" s="7">
        <f>IF('Database MK'!EB200="","Belum",'Database MK'!DU200-'Database MK'!EB200)</f>
        <v>-316</v>
      </c>
      <c r="AI199" s="7">
        <f>IF('Database MK'!EN200="","Belum",'Database MK'!EL200-'Database MK'!EN200)</f>
        <v>-191</v>
      </c>
      <c r="AJ199" s="7">
        <f>'Database MK'!FY200-'Database MK'!FZ200</f>
        <v>0</v>
      </c>
      <c r="AK199" s="7">
        <f>IF('Database MK'!GC200="","Belum",'Database MK'!GB200-'Database MK'!GC200)</f>
        <v>34</v>
      </c>
      <c r="AL199" s="7" t="e">
        <f>IF('Database MK'!GF200="","Belum",'Database MK'!GE200-'Database MK'!GF200)</f>
        <v>#VALUE!</v>
      </c>
      <c r="AM199" s="309">
        <f>IF('Database MK'!GJ200="","Belum",'Database MK'!GI200-'Database MK'!GJ200)</f>
        <v>48</v>
      </c>
      <c r="AN199" s="7">
        <f>IF('Database MK'!HG200="","Belum",'Database MK'!HF200-'Database MK'!HG200)</f>
        <v>-8</v>
      </c>
      <c r="AO199" s="7">
        <f>IF('Database MK'!HP200="","Belum",'Database MK'!HN200-'Database MK'!HP200)</f>
        <v>-7</v>
      </c>
      <c r="AP199" s="7">
        <f>IF('Database MK'!HV200="","Belum",'Database MK'!HT200-'Database MK'!HV200)</f>
        <v>-7</v>
      </c>
    </row>
    <row r="200" spans="2:42" hidden="1" x14ac:dyDescent="0.2">
      <c r="B200" s="7">
        <f>SUBTOTAL(3,$C$4:C200)</f>
        <v>74</v>
      </c>
      <c r="C200" s="4" t="s">
        <v>244</v>
      </c>
      <c r="D200" s="4" t="s">
        <v>1497</v>
      </c>
      <c r="E200" s="4" t="s">
        <v>1498</v>
      </c>
      <c r="F200" s="300">
        <v>45931</v>
      </c>
      <c r="G200" s="4" t="s">
        <v>681</v>
      </c>
      <c r="H200" s="4" t="str">
        <f ca="1">'Database MK'!Q201</f>
        <v>DPPP</v>
      </c>
      <c r="I200" s="24">
        <f>'Database MK'!S201</f>
        <v>1</v>
      </c>
      <c r="J200" s="24">
        <f>'Database MK'!T201</f>
        <v>1</v>
      </c>
      <c r="K200" s="603">
        <f>'Database MK'!U201</f>
        <v>0</v>
      </c>
      <c r="L200" s="593">
        <f>'Database MK'!V201</f>
        <v>84</v>
      </c>
      <c r="M200" s="593">
        <f>'Database MK'!W201</f>
        <v>84</v>
      </c>
      <c r="N200" s="593">
        <f>Table3[[#This Row],[Total Panjang Pipa Aktual]]-Table3[[#This Row],[Volume
BA MC-0]]</f>
        <v>0</v>
      </c>
      <c r="O200" s="7" t="str">
        <f ca="1">'Database MK'!DE201</f>
        <v>Sudah, OnSchedule</v>
      </c>
      <c r="P200" s="7" t="str">
        <f ca="1">'Database MK'!DI201</f>
        <v>Sudah, OnSchedule</v>
      </c>
      <c r="Q200" s="7" t="str">
        <f ca="1">'Database MK'!DN201</f>
        <v>Sudah, OnSchedule</v>
      </c>
      <c r="R200" s="7" t="str">
        <f ca="1">'Database MK'!DR201</f>
        <v>Sudah, Delay</v>
      </c>
      <c r="S200" s="7" t="str">
        <f ca="1">'Database MK'!EA201</f>
        <v>Sudah, OnSchedule</v>
      </c>
      <c r="T200" s="7" t="str">
        <f ca="1">'Database MK'!EI201</f>
        <v>Sudah, Delay</v>
      </c>
      <c r="U200" s="7" t="str">
        <f ca="1">'Database MK'!ET201</f>
        <v>Sudah, Delay</v>
      </c>
      <c r="V200" s="7" t="str">
        <f ca="1">'Database MK'!GA201</f>
        <v>Belum, Delay</v>
      </c>
      <c r="W200" s="7" t="str">
        <f ca="1">'Database MK'!GD201</f>
        <v>Sudah, OnSchedule</v>
      </c>
      <c r="X200" s="7" t="str">
        <f ca="1">'Database MK'!GG201</f>
        <v>Sudah, Delay</v>
      </c>
      <c r="Y200" s="7" t="str">
        <f ca="1">'Database MK'!GK201</f>
        <v>Sudah, OnSchedule</v>
      </c>
      <c r="Z200" s="7" t="str">
        <f ca="1">'Database MK'!HH201</f>
        <v>Sudah, Delay</v>
      </c>
      <c r="AA200" s="7" t="str">
        <f ca="1">'Database MK'!HQ201</f>
        <v>Sudah, Delay</v>
      </c>
      <c r="AB200" s="7" t="str">
        <f ca="1">'Database MK'!HW201</f>
        <v>Sudah, Delay</v>
      </c>
      <c r="AC200" s="7">
        <f>'Database MK'!DA201-'Database MK'!DB201</f>
        <v>23</v>
      </c>
      <c r="AD200" s="7">
        <f>'Database MK'!DA201-'Database MK'!DF201</f>
        <v>3</v>
      </c>
      <c r="AE200" s="7">
        <f>'Database MK'!DK201-'Database MK'!DL201</f>
        <v>34</v>
      </c>
      <c r="AF200" s="7">
        <f>'Database MK'!DK201-'Database MK'!DO201</f>
        <v>-23</v>
      </c>
      <c r="AG200" s="7">
        <f>'Database MK'!DU201-'Database MK'!DW201</f>
        <v>13</v>
      </c>
      <c r="AH200" s="7">
        <f>IF('Database MK'!EB201="","Belum",'Database MK'!DU201-'Database MK'!EB201)</f>
        <v>-194</v>
      </c>
      <c r="AI200" s="7">
        <f>IF('Database MK'!EN201="","Belum",'Database MK'!EL201-'Database MK'!EN201)</f>
        <v>-198</v>
      </c>
      <c r="AJ200" s="7">
        <f>'Database MK'!FY201-'Database MK'!FZ201</f>
        <v>0</v>
      </c>
      <c r="AK200" s="7">
        <f>IF('Database MK'!GC201="","Belum",'Database MK'!GB201-'Database MK'!GC201)</f>
        <v>27</v>
      </c>
      <c r="AL200" s="7" t="e">
        <f>IF('Database MK'!GF201="","Belum",'Database MK'!GE201-'Database MK'!GF201)</f>
        <v>#VALUE!</v>
      </c>
      <c r="AM200" s="309">
        <f>IF('Database MK'!GJ201="","Belum",'Database MK'!GI201-'Database MK'!GJ201)</f>
        <v>45</v>
      </c>
      <c r="AN200" s="7">
        <f>IF('Database MK'!HG201="","Belum",'Database MK'!HF201-'Database MK'!HG201)</f>
        <v>-3</v>
      </c>
      <c r="AO200" s="7">
        <f>IF('Database MK'!HP201="","Belum",'Database MK'!HN201-'Database MK'!HP201)</f>
        <v>-8</v>
      </c>
      <c r="AP200" s="7">
        <f>IF('Database MK'!HV201="","Belum",'Database MK'!HT201-'Database MK'!HV201)</f>
        <v>-7</v>
      </c>
    </row>
    <row r="201" spans="2:42" hidden="1" x14ac:dyDescent="0.2">
      <c r="B201" s="7">
        <f>SUBTOTAL(3,$C$4:C201)</f>
        <v>74</v>
      </c>
      <c r="C201" s="4" t="s">
        <v>244</v>
      </c>
      <c r="D201" s="4" t="s">
        <v>1506</v>
      </c>
      <c r="E201" s="4" t="s">
        <v>1507</v>
      </c>
      <c r="F201" s="300">
        <v>45931</v>
      </c>
      <c r="G201" s="4" t="s">
        <v>681</v>
      </c>
      <c r="H201" s="4" t="str">
        <f ca="1">'Database MK'!Q202</f>
        <v>DPPP</v>
      </c>
      <c r="I201" s="24">
        <f>'Database MK'!S202</f>
        <v>1</v>
      </c>
      <c r="J201" s="24">
        <f>'Database MK'!T202</f>
        <v>1</v>
      </c>
      <c r="K201" s="603">
        <f>'Database MK'!U202</f>
        <v>0</v>
      </c>
      <c r="L201" s="593">
        <f>'Database MK'!V202</f>
        <v>51</v>
      </c>
      <c r="M201" s="593">
        <f>'Database MK'!W202</f>
        <v>48</v>
      </c>
      <c r="N201" s="593">
        <f>Table3[[#This Row],[Total Panjang Pipa Aktual]]-Table3[[#This Row],[Volume
BA MC-0]]</f>
        <v>-3</v>
      </c>
      <c r="O201" s="7" t="str">
        <f ca="1">'Database MK'!DE202</f>
        <v>Sudah, OnSchedule</v>
      </c>
      <c r="P201" s="7" t="str">
        <f ca="1">'Database MK'!DI202</f>
        <v>Sudah, OnSchedule</v>
      </c>
      <c r="Q201" s="7" t="str">
        <f ca="1">'Database MK'!DN202</f>
        <v>Sudah, OnSchedule</v>
      </c>
      <c r="R201" s="7" t="str">
        <f ca="1">'Database MK'!DR202</f>
        <v>Sudah, Delay</v>
      </c>
      <c r="S201" s="7" t="str">
        <f ca="1">'Database MK'!EA202</f>
        <v>Sudah, OnSchedule</v>
      </c>
      <c r="T201" s="7" t="str">
        <f ca="1">'Database MK'!EI202</f>
        <v>Sudah, Delay</v>
      </c>
      <c r="U201" s="7" t="str">
        <f ca="1">'Database MK'!ET202</f>
        <v>Sudah, Delay</v>
      </c>
      <c r="V201" s="7" t="str">
        <f ca="1">'Database MK'!GA202</f>
        <v>Belum, Delay</v>
      </c>
      <c r="W201" s="7" t="str">
        <f ca="1">'Database MK'!GD202</f>
        <v>Sudah, OnSchedule</v>
      </c>
      <c r="X201" s="7" t="str">
        <f ca="1">'Database MK'!GG202</f>
        <v>Sudah, Delay</v>
      </c>
      <c r="Y201" s="7" t="str">
        <f ca="1">'Database MK'!GK202</f>
        <v>Sudah, OnSchedule</v>
      </c>
      <c r="Z201" s="7" t="str">
        <f ca="1">'Database MK'!HH202</f>
        <v>Sudah, Delay</v>
      </c>
      <c r="AA201" s="7" t="str">
        <f ca="1">'Database MK'!HQ202</f>
        <v>Sudah, Delay</v>
      </c>
      <c r="AB201" s="7" t="str">
        <f ca="1">'Database MK'!HW202</f>
        <v>Sudah, Delay</v>
      </c>
      <c r="AC201" s="7">
        <f>'Database MK'!DA202-'Database MK'!DB202</f>
        <v>19</v>
      </c>
      <c r="AD201" s="7">
        <f>'Database MK'!DA202-'Database MK'!DF202</f>
        <v>3</v>
      </c>
      <c r="AE201" s="7">
        <f>'Database MK'!DK202-'Database MK'!DL202</f>
        <v>41</v>
      </c>
      <c r="AF201" s="7">
        <f>'Database MK'!DK202-'Database MK'!DO202</f>
        <v>-4</v>
      </c>
      <c r="AG201" s="7">
        <f>'Database MK'!DU202-'Database MK'!DW202</f>
        <v>13</v>
      </c>
      <c r="AH201" s="7">
        <f>IF('Database MK'!EB202="","Belum",'Database MK'!DU202-'Database MK'!EB202)</f>
        <v>-195</v>
      </c>
      <c r="AI201" s="7">
        <f>IF('Database MK'!EN202="","Belum",'Database MK'!EL202-'Database MK'!EN202)</f>
        <v>-191</v>
      </c>
      <c r="AJ201" s="7">
        <f>'Database MK'!FY202-'Database MK'!FZ202</f>
        <v>0</v>
      </c>
      <c r="AK201" s="7">
        <f>IF('Database MK'!GC202="","Belum",'Database MK'!GB202-'Database MK'!GC202)</f>
        <v>34</v>
      </c>
      <c r="AL201" s="7" t="e">
        <f>IF('Database MK'!GF202="","Belum",'Database MK'!GE202-'Database MK'!GF202)</f>
        <v>#VALUE!</v>
      </c>
      <c r="AM201" s="309">
        <f>IF('Database MK'!GJ202="","Belum",'Database MK'!GI202-'Database MK'!GJ202)</f>
        <v>51</v>
      </c>
      <c r="AN201" s="7">
        <f>IF('Database MK'!HG202="","Belum",'Database MK'!HF202-'Database MK'!HG202)</f>
        <v>-13</v>
      </c>
      <c r="AO201" s="7">
        <f>IF('Database MK'!HP202="","Belum",'Database MK'!HN202-'Database MK'!HP202)</f>
        <v>-11</v>
      </c>
      <c r="AP201" s="7">
        <f>IF('Database MK'!HV202="","Belum",'Database MK'!HT202-'Database MK'!HV202)</f>
        <v>-7</v>
      </c>
    </row>
    <row r="202" spans="2:42" hidden="1" x14ac:dyDescent="0.2">
      <c r="B202" s="7">
        <f>SUBTOTAL(3,$C$4:C202)</f>
        <v>74</v>
      </c>
      <c r="C202" s="299" t="s">
        <v>673</v>
      </c>
      <c r="D202" s="4" t="s">
        <v>1515</v>
      </c>
      <c r="E202" s="4" t="s">
        <v>1516</v>
      </c>
      <c r="F202" s="300">
        <v>45931</v>
      </c>
      <c r="G202" s="4" t="s">
        <v>247</v>
      </c>
      <c r="H202" s="4" t="str">
        <f ca="1">'Database MK'!Q203</f>
        <v>DPPP</v>
      </c>
      <c r="I202" s="24">
        <f>'Database MK'!S203</f>
        <v>1</v>
      </c>
      <c r="J202" s="24">
        <f>'Database MK'!T203</f>
        <v>1</v>
      </c>
      <c r="K202" s="603">
        <f>'Database MK'!U203</f>
        <v>0</v>
      </c>
      <c r="L202" s="593">
        <f>'Database MK'!V203</f>
        <v>3460</v>
      </c>
      <c r="M202" s="593">
        <f>'Database MK'!W203</f>
        <v>3738.5</v>
      </c>
      <c r="N202" s="593">
        <f>Table3[[#This Row],[Total Panjang Pipa Aktual]]-Table3[[#This Row],[Volume
BA MC-0]]</f>
        <v>278.5</v>
      </c>
      <c r="O202" s="7" t="str">
        <f ca="1">'Database MK'!DE203</f>
        <v>Sudah, OnSchedule</v>
      </c>
      <c r="P202" s="7" t="str">
        <f ca="1">'Database MK'!DI203</f>
        <v>Sudah, OnSchedule</v>
      </c>
      <c r="Q202" s="7" t="str">
        <f ca="1">'Database MK'!DN203</f>
        <v>Sudah, Delay</v>
      </c>
      <c r="R202" s="7" t="str">
        <f ca="1">'Database MK'!DR203</f>
        <v>Sudah, Delay</v>
      </c>
      <c r="S202" s="7" t="str">
        <f ca="1">'Database MK'!EA203</f>
        <v>Sudah, Delay</v>
      </c>
      <c r="T202" s="7" t="str">
        <f ca="1">'Database MK'!EI203</f>
        <v>Sudah, Delay</v>
      </c>
      <c r="U202" s="7" t="str">
        <f ca="1">'Database MK'!ET203</f>
        <v>Sudah, Delay</v>
      </c>
      <c r="V202" s="7" t="str">
        <f ca="1">'Database MK'!GA203</f>
        <v>Belum, Delay</v>
      </c>
      <c r="W202" s="7" t="str">
        <f ca="1">'Database MK'!GD203</f>
        <v>Sudah, Delay</v>
      </c>
      <c r="X202" s="7" t="str">
        <f ca="1">'Database MK'!GG203</f>
        <v>Sudah, Delay</v>
      </c>
      <c r="Y202" s="7" t="str">
        <f ca="1">'Database MK'!GK203</f>
        <v>Sudah, Delay</v>
      </c>
      <c r="Z202" s="7" t="str">
        <f ca="1">'Database MK'!HH203</f>
        <v>Sudah, Delay</v>
      </c>
      <c r="AA202" s="7" t="str">
        <f ca="1">'Database MK'!HQ203</f>
        <v>Sudah, Delay</v>
      </c>
      <c r="AB202" s="7" t="str">
        <f ca="1">'Database MK'!HW203</f>
        <v>Sudah, Delay</v>
      </c>
      <c r="AC202" s="7">
        <f>'Database MK'!DA203-'Database MK'!DB203</f>
        <v>110</v>
      </c>
      <c r="AD202" s="7">
        <f>'Database MK'!DA203-'Database MK'!DF203</f>
        <v>95</v>
      </c>
      <c r="AE202" s="7">
        <f>'Database MK'!DK203-'Database MK'!DL203</f>
        <v>-48</v>
      </c>
      <c r="AF202" s="7">
        <f>'Database MK'!DK203-'Database MK'!DO203</f>
        <v>-85</v>
      </c>
      <c r="AG202" s="7">
        <f>'Database MK'!DU203-'Database MK'!DW203</f>
        <v>-248</v>
      </c>
      <c r="AH202" s="7">
        <f>IF('Database MK'!EB203="","Belum",'Database MK'!DU203-'Database MK'!EB203)</f>
        <v>-260</v>
      </c>
      <c r="AI202" s="7">
        <f>IF('Database MK'!EN203="","Belum",'Database MK'!EL203-'Database MK'!EN203)</f>
        <v>-262</v>
      </c>
      <c r="AJ202" s="7">
        <f>'Database MK'!FY203-'Database MK'!FZ203</f>
        <v>0</v>
      </c>
      <c r="AK202" s="7">
        <f>IF('Database MK'!GC203="","Belum",'Database MK'!GB203-'Database MK'!GC203)</f>
        <v>-78</v>
      </c>
      <c r="AL202" s="7">
        <f>IF('Database MK'!GF203="","Belum",'Database MK'!GE203-'Database MK'!GF203)</f>
        <v>-89</v>
      </c>
      <c r="AM202" s="309">
        <f>IF('Database MK'!GJ203="","Belum",'Database MK'!GI203-'Database MK'!GJ203)</f>
        <v>-99</v>
      </c>
      <c r="AN202" s="7">
        <f>IF('Database MK'!HG203="","Belum",'Database MK'!HF203-'Database MK'!HG203)</f>
        <v>-219</v>
      </c>
      <c r="AO202" s="7">
        <f>IF('Database MK'!HP203="","Belum",'Database MK'!HN203-'Database MK'!HP203)</f>
        <v>-203</v>
      </c>
      <c r="AP202" s="7">
        <f>IF('Database MK'!HV203="","Belum",'Database MK'!HT203-'Database MK'!HV203)</f>
        <v>-203</v>
      </c>
    </row>
    <row r="203" spans="2:42" hidden="1" x14ac:dyDescent="0.2">
      <c r="B203" s="7">
        <f>SUBTOTAL(3,$C$4:C203)</f>
        <v>74</v>
      </c>
      <c r="C203" s="299" t="s">
        <v>673</v>
      </c>
      <c r="D203" s="4" t="s">
        <v>1526</v>
      </c>
      <c r="E203" s="4" t="s">
        <v>1527</v>
      </c>
      <c r="F203" s="300">
        <v>45931</v>
      </c>
      <c r="G203" s="4" t="s">
        <v>247</v>
      </c>
      <c r="H203" s="4" t="str">
        <f ca="1">'Database MK'!Q204</f>
        <v>Proses Konstruksi</v>
      </c>
      <c r="I203" s="24">
        <f>'Database MK'!S204</f>
        <v>1</v>
      </c>
      <c r="J203" s="24">
        <f>'Database MK'!T204</f>
        <v>0.85293851210947458</v>
      </c>
      <c r="K203" s="603">
        <f>'Database MK'!U204</f>
        <v>-0.14706148789052542</v>
      </c>
      <c r="L203" s="593">
        <f>'Database MK'!V204</f>
        <v>2000</v>
      </c>
      <c r="M203" s="593">
        <f>'Database MK'!W204</f>
        <v>1823.9</v>
      </c>
      <c r="N203" s="593">
        <f>Table3[[#This Row],[Total Panjang Pipa Aktual]]-Table3[[#This Row],[Volume
BA MC-0]]</f>
        <v>-176.09999999999991</v>
      </c>
      <c r="O203" s="7" t="str">
        <f ca="1">'Database MK'!DE204</f>
        <v>Sudah, OnSchedule</v>
      </c>
      <c r="P203" s="7" t="str">
        <f ca="1">'Database MK'!DI204</f>
        <v>Sudah, Delay</v>
      </c>
      <c r="Q203" s="7" t="str">
        <f ca="1">'Database MK'!DN204</f>
        <v>Sudah, Delay</v>
      </c>
      <c r="R203" s="7" t="str">
        <f ca="1">'Database MK'!DR204</f>
        <v>Sudah, Delay</v>
      </c>
      <c r="S203" s="7" t="str">
        <f ca="1">'Database MK'!EA204</f>
        <v>Sudah, Delay</v>
      </c>
      <c r="T203" s="7" t="str">
        <f ca="1">'Database MK'!EI204</f>
        <v>Sudah, Delay</v>
      </c>
      <c r="U203" s="7" t="str">
        <f ca="1">'Database MK'!ET204</f>
        <v>Belum, Delay</v>
      </c>
      <c r="V203" s="7" t="str">
        <f ca="1">'Database MK'!GA204</f>
        <v>Belum, Delay</v>
      </c>
      <c r="W203" s="7" t="str">
        <f ca="1">'Database MK'!GD204</f>
        <v>Sudah, Delay</v>
      </c>
      <c r="X203" s="7" t="str">
        <f ca="1">'Database MK'!GG204</f>
        <v>Sudah, Delay</v>
      </c>
      <c r="Y203" s="7" t="str">
        <f ca="1">'Database MK'!GK204</f>
        <v>Sudah, Delay</v>
      </c>
      <c r="Z203" s="7" t="str">
        <f ca="1">'Database MK'!HH204</f>
        <v>Belum, Delay</v>
      </c>
      <c r="AA203" s="7" t="str">
        <f ca="1">'Database MK'!HQ204</f>
        <v>Belum, Delay</v>
      </c>
      <c r="AB203" s="7" t="str">
        <f ca="1">'Database MK'!HW204</f>
        <v>Belum, Delay</v>
      </c>
      <c r="AC203" s="7">
        <f>'Database MK'!DA204-'Database MK'!DB204</f>
        <v>110</v>
      </c>
      <c r="AD203" s="7">
        <f>'Database MK'!DA204-'Database MK'!DF204</f>
        <v>-115</v>
      </c>
      <c r="AE203" s="7">
        <f>'Database MK'!DK204-'Database MK'!DL204</f>
        <v>-304</v>
      </c>
      <c r="AF203" s="7">
        <f>'Database MK'!DK204-'Database MK'!DO204</f>
        <v>-346</v>
      </c>
      <c r="AG203" s="7">
        <f>'Database MK'!DU204-'Database MK'!DW204</f>
        <v>-297</v>
      </c>
      <c r="AH203" s="7">
        <f>IF('Database MK'!EB204="","Belum",'Database MK'!DU204-'Database MK'!EB204)</f>
        <v>-324</v>
      </c>
      <c r="AI203" s="7" t="str">
        <f>IF('Database MK'!EN204="","Belum",'Database MK'!EL204-'Database MK'!EN204)</f>
        <v>Belum</v>
      </c>
      <c r="AJ203" s="7">
        <f>'Database MK'!FY204-'Database MK'!FZ204</f>
        <v>0</v>
      </c>
      <c r="AK203" s="7">
        <f>IF('Database MK'!GC204="","Belum",'Database MK'!GB204-'Database MK'!GC204)</f>
        <v>-101</v>
      </c>
      <c r="AL203" s="7">
        <f>IF('Database MK'!GF204="","Belum",'Database MK'!GE204-'Database MK'!GF204)</f>
        <v>-110</v>
      </c>
      <c r="AM203" s="309">
        <f>IF('Database MK'!GJ204="","Belum",'Database MK'!GI204-'Database MK'!GJ204)</f>
        <v>-113</v>
      </c>
      <c r="AN203" s="7" t="str">
        <f>IF('Database MK'!HG204="","Belum",'Database MK'!HF204-'Database MK'!HG204)</f>
        <v>Belum</v>
      </c>
      <c r="AO203" s="7" t="str">
        <f>IF('Database MK'!HP204="","Belum",'Database MK'!HN204-'Database MK'!HP204)</f>
        <v>Belum</v>
      </c>
      <c r="AP203" s="7" t="str">
        <f>IF('Database MK'!HV204="","Belum",'Database MK'!HT204-'Database MK'!HV204)</f>
        <v>Belum</v>
      </c>
    </row>
    <row r="204" spans="2:42" hidden="1" x14ac:dyDescent="0.2">
      <c r="B204" s="7">
        <f>SUBTOTAL(3,$C$4:C204)</f>
        <v>74</v>
      </c>
      <c r="C204" s="299" t="s">
        <v>673</v>
      </c>
      <c r="D204" s="4" t="s">
        <v>1535</v>
      </c>
      <c r="E204" s="4" t="s">
        <v>1536</v>
      </c>
      <c r="F204" s="300">
        <v>45931</v>
      </c>
      <c r="G204" s="4" t="s">
        <v>247</v>
      </c>
      <c r="H204" s="4" t="str">
        <f ca="1">'Database MK'!Q205</f>
        <v>DPPP</v>
      </c>
      <c r="I204" s="24">
        <f>'Database MK'!S205</f>
        <v>1</v>
      </c>
      <c r="J204" s="24">
        <f>'Database MK'!T205</f>
        <v>1</v>
      </c>
      <c r="K204" s="603">
        <f>'Database MK'!U205</f>
        <v>0</v>
      </c>
      <c r="L204" s="593">
        <f>'Database MK'!V205</f>
        <v>764</v>
      </c>
      <c r="M204" s="593">
        <f>'Database MK'!W205</f>
        <v>780</v>
      </c>
      <c r="N204" s="593">
        <f>Table3[[#This Row],[Total Panjang Pipa Aktual]]-Table3[[#This Row],[Volume
BA MC-0]]</f>
        <v>16</v>
      </c>
      <c r="O204" s="7" t="str">
        <f ca="1">'Database MK'!DE205</f>
        <v>Sudah, OnSchedule</v>
      </c>
      <c r="P204" s="7" t="str">
        <f ca="1">'Database MK'!DI205</f>
        <v>Sudah, OnSchedule</v>
      </c>
      <c r="Q204" s="7" t="str">
        <f ca="1">'Database MK'!DN205</f>
        <v>Sudah, Delay</v>
      </c>
      <c r="R204" s="7" t="str">
        <f ca="1">'Database MK'!DR205</f>
        <v>Sudah, Delay</v>
      </c>
      <c r="S204" s="7" t="str">
        <f ca="1">'Database MK'!EA205</f>
        <v>Sudah, Delay</v>
      </c>
      <c r="T204" s="7" t="str">
        <f ca="1">'Database MK'!EI205</f>
        <v>Sudah, Delay</v>
      </c>
      <c r="U204" s="7" t="str">
        <f ca="1">'Database MK'!ET205</f>
        <v>Sudah, Delay</v>
      </c>
      <c r="V204" s="7" t="str">
        <f ca="1">'Database MK'!GA205</f>
        <v>Belum, Delay</v>
      </c>
      <c r="W204" s="7" t="str">
        <f ca="1">'Database MK'!GD205</f>
        <v>Sudah, Delay</v>
      </c>
      <c r="X204" s="7" t="str">
        <f ca="1">'Database MK'!GG205</f>
        <v>Sudah, Delay</v>
      </c>
      <c r="Y204" s="7" t="str">
        <f ca="1">'Database MK'!GK205</f>
        <v>Sudah, Delay</v>
      </c>
      <c r="Z204" s="7" t="str">
        <f ca="1">'Database MK'!HH205</f>
        <v>Sudah, Delay</v>
      </c>
      <c r="AA204" s="7" t="str">
        <f ca="1">'Database MK'!HQ205</f>
        <v>Sudah, Delay</v>
      </c>
      <c r="AB204" s="7" t="str">
        <f ca="1">'Database MK'!HW205</f>
        <v>Sudah, Delay</v>
      </c>
      <c r="AC204" s="7">
        <f>'Database MK'!DA205-'Database MK'!DB205</f>
        <v>110</v>
      </c>
      <c r="AD204" s="7">
        <f>'Database MK'!DA205-'Database MK'!DF205</f>
        <v>97</v>
      </c>
      <c r="AE204" s="7">
        <f>'Database MK'!DK205-'Database MK'!DL205</f>
        <v>-47</v>
      </c>
      <c r="AF204" s="7">
        <f>'Database MK'!DK205-'Database MK'!DO205</f>
        <v>-285</v>
      </c>
      <c r="AG204" s="7">
        <f>'Database MK'!DU205-'Database MK'!DW205</f>
        <v>-47</v>
      </c>
      <c r="AH204" s="7">
        <f>IF('Database MK'!EB205="","Belum",'Database MK'!DU205-'Database MK'!EB205)</f>
        <v>-436</v>
      </c>
      <c r="AI204" s="7">
        <f>IF('Database MK'!EN205="","Belum",'Database MK'!EL205-'Database MK'!EN205)</f>
        <v>-176</v>
      </c>
      <c r="AJ204" s="7">
        <f>'Database MK'!FY205-'Database MK'!FZ205</f>
        <v>0</v>
      </c>
      <c r="AK204" s="7">
        <f>IF('Database MK'!GC205="","Belum",'Database MK'!GB205-'Database MK'!GC205)</f>
        <v>-57</v>
      </c>
      <c r="AL204" s="7">
        <f>IF('Database MK'!GF205="","Belum",'Database MK'!GE205-'Database MK'!GF205)</f>
        <v>-82</v>
      </c>
      <c r="AM204" s="309">
        <f>IF('Database MK'!GJ205="","Belum",'Database MK'!GI205-'Database MK'!GJ205)</f>
        <v>-92</v>
      </c>
      <c r="AN204" s="7">
        <f>IF('Database MK'!HG205="","Belum",'Database MK'!HF205-'Database MK'!HG205)</f>
        <v>-113</v>
      </c>
      <c r="AO204" s="7">
        <f>IF('Database MK'!HP205="","Belum",'Database MK'!HN205-'Database MK'!HP205)</f>
        <v>-96</v>
      </c>
      <c r="AP204" s="7">
        <f>IF('Database MK'!HV205="","Belum",'Database MK'!HT205-'Database MK'!HV205)</f>
        <v>-96</v>
      </c>
    </row>
    <row r="205" spans="2:42" hidden="1" x14ac:dyDescent="0.2">
      <c r="B205" s="7">
        <f>SUBTOTAL(3,$C$4:C205)</f>
        <v>74</v>
      </c>
      <c r="C205" s="299" t="s">
        <v>673</v>
      </c>
      <c r="D205" s="4" t="s">
        <v>1545</v>
      </c>
      <c r="E205" s="4" t="s">
        <v>1546</v>
      </c>
      <c r="F205" s="300">
        <v>45931</v>
      </c>
      <c r="G205" s="4" t="s">
        <v>247</v>
      </c>
      <c r="H205" s="4" t="str">
        <f ca="1">'Database MK'!Q206</f>
        <v>Proses Konstruksi</v>
      </c>
      <c r="I205" s="24">
        <f>'Database MK'!S206</f>
        <v>1</v>
      </c>
      <c r="J205" s="24">
        <f>'Database MK'!T206</f>
        <v>0.69557710916655635</v>
      </c>
      <c r="K205" s="603">
        <f>'Database MK'!U206</f>
        <v>-0.30442289083344365</v>
      </c>
      <c r="L205" s="593">
        <f>'Database MK'!V206</f>
        <v>4922</v>
      </c>
      <c r="M205" s="593">
        <f>'Database MK'!W206</f>
        <v>3836.32</v>
      </c>
      <c r="N205" s="593">
        <f>Table3[[#This Row],[Total Panjang Pipa Aktual]]-Table3[[#This Row],[Volume
BA MC-0]]</f>
        <v>-1085.6799999999998</v>
      </c>
      <c r="O205" s="7" t="str">
        <f ca="1">'Database MK'!DE206</f>
        <v>Sudah, OnSchedule</v>
      </c>
      <c r="P205" s="7" t="str">
        <f ca="1">'Database MK'!DI206</f>
        <v>Sudah, Delay</v>
      </c>
      <c r="Q205" s="7" t="str">
        <f ca="1">'Database MK'!DN206</f>
        <v>Sudah, Delay</v>
      </c>
      <c r="R205" s="7" t="str">
        <f ca="1">'Database MK'!DR206</f>
        <v>Sudah, Delay</v>
      </c>
      <c r="S205" s="7" t="str">
        <f ca="1">'Database MK'!EA206</f>
        <v>Sudah, Delay</v>
      </c>
      <c r="T205" s="7" t="str">
        <f ca="1">'Database MK'!EI206</f>
        <v>Belum, Delay</v>
      </c>
      <c r="U205" s="7" t="str">
        <f ca="1">'Database MK'!ET206</f>
        <v>Belum, Delay</v>
      </c>
      <c r="V205" s="7" t="str">
        <f ca="1">'Database MK'!GA206</f>
        <v>Belum, Delay</v>
      </c>
      <c r="W205" s="7" t="str">
        <f ca="1">'Database MK'!GD206</f>
        <v>Sudah, Delay</v>
      </c>
      <c r="X205" s="7" t="str">
        <f ca="1">'Database MK'!GG206</f>
        <v>Sudah, Delay</v>
      </c>
      <c r="Y205" s="7" t="str">
        <f ca="1">'Database MK'!GK206</f>
        <v>Sudah, Delay</v>
      </c>
      <c r="Z205" s="7" t="str">
        <f ca="1">'Database MK'!HH206</f>
        <v>Belum, Delay</v>
      </c>
      <c r="AA205" s="7" t="str">
        <f ca="1">'Database MK'!HQ206</f>
        <v>Belum, Delay</v>
      </c>
      <c r="AB205" s="7" t="str">
        <f ca="1">'Database MK'!HW206</f>
        <v>Belum, Delay</v>
      </c>
      <c r="AC205" s="7">
        <f>'Database MK'!DA206-'Database MK'!DB206</f>
        <v>110</v>
      </c>
      <c r="AD205" s="7">
        <f>'Database MK'!DA206-'Database MK'!DF206</f>
        <v>-115</v>
      </c>
      <c r="AE205" s="7">
        <f>'Database MK'!DK206-'Database MK'!DL206</f>
        <v>-75</v>
      </c>
      <c r="AF205" s="7">
        <f>'Database MK'!DK206-'Database MK'!DO206</f>
        <v>-107</v>
      </c>
      <c r="AG205" s="7">
        <f>'Database MK'!DU206-'Database MK'!DW206</f>
        <v>-297</v>
      </c>
      <c r="AH205" s="7" t="str">
        <f>IF('Database MK'!EB206="","Belum",'Database MK'!DU206-'Database MK'!EB206)</f>
        <v>Belum</v>
      </c>
      <c r="AI205" s="7" t="str">
        <f>IF('Database MK'!EN206="","Belum",'Database MK'!EL206-'Database MK'!EN206)</f>
        <v>Belum</v>
      </c>
      <c r="AJ205" s="7">
        <f>'Database MK'!FY206-'Database MK'!FZ206</f>
        <v>0</v>
      </c>
      <c r="AK205" s="7">
        <f>IF('Database MK'!GC206="","Belum",'Database MK'!GB206-'Database MK'!GC206)</f>
        <v>-101</v>
      </c>
      <c r="AL205" s="7">
        <f>IF('Database MK'!GF206="","Belum",'Database MK'!GE206-'Database MK'!GF206)</f>
        <v>-110</v>
      </c>
      <c r="AM205" s="309">
        <f>IF('Database MK'!GJ206="","Belum",'Database MK'!GI206-'Database MK'!GJ206)</f>
        <v>-114</v>
      </c>
      <c r="AN205" s="7" t="str">
        <f>IF('Database MK'!HG206="","Belum",'Database MK'!HF206-'Database MK'!HG206)</f>
        <v>Belum</v>
      </c>
      <c r="AO205" s="7" t="str">
        <f>IF('Database MK'!HP206="","Belum",'Database MK'!HN206-'Database MK'!HP206)</f>
        <v>Belum</v>
      </c>
      <c r="AP205" s="7" t="str">
        <f>IF('Database MK'!HV206="","Belum",'Database MK'!HT206-'Database MK'!HV206)</f>
        <v>Belum</v>
      </c>
    </row>
    <row r="206" spans="2:42" hidden="1" x14ac:dyDescent="0.2">
      <c r="B206" s="7">
        <f>SUBTOTAL(3,$C$4:C206)</f>
        <v>74</v>
      </c>
      <c r="C206" s="299" t="s">
        <v>673</v>
      </c>
      <c r="D206" s="4" t="s">
        <v>1553</v>
      </c>
      <c r="E206" s="4" t="s">
        <v>1554</v>
      </c>
      <c r="F206" s="300">
        <v>45931</v>
      </c>
      <c r="G206" s="4" t="s">
        <v>247</v>
      </c>
      <c r="H206" s="4" t="str">
        <f ca="1">'Database MK'!Q207</f>
        <v>DPPP</v>
      </c>
      <c r="I206" s="24">
        <f>'Database MK'!S207</f>
        <v>1</v>
      </c>
      <c r="J206" s="24">
        <f>'Database MK'!T207</f>
        <v>1</v>
      </c>
      <c r="K206" s="603">
        <f>'Database MK'!U207</f>
        <v>0</v>
      </c>
      <c r="L206" s="593">
        <f>'Database MK'!V207</f>
        <v>2150</v>
      </c>
      <c r="M206" s="593">
        <f>'Database MK'!W207</f>
        <v>2162.6999999999998</v>
      </c>
      <c r="N206" s="593">
        <f>Table3[[#This Row],[Total Panjang Pipa Aktual]]-Table3[[#This Row],[Volume
BA MC-0]]</f>
        <v>12.699999999999818</v>
      </c>
      <c r="O206" s="7" t="str">
        <f ca="1">'Database MK'!DE207</f>
        <v>Sudah, OnSchedule</v>
      </c>
      <c r="P206" s="7" t="str">
        <f ca="1">'Database MK'!DI207</f>
        <v>Sudah, Delay</v>
      </c>
      <c r="Q206" s="7" t="str">
        <f ca="1">'Database MK'!DN207</f>
        <v>Sudah, Delay</v>
      </c>
      <c r="R206" s="7" t="str">
        <f ca="1">'Database MK'!DR207</f>
        <v>Sudah, Delay</v>
      </c>
      <c r="S206" s="7" t="str">
        <f ca="1">'Database MK'!EA207</f>
        <v>Sudah, Delay</v>
      </c>
      <c r="T206" s="7" t="str">
        <f ca="1">'Database MK'!EI207</f>
        <v>Sudah, Delay</v>
      </c>
      <c r="U206" s="7" t="str">
        <f ca="1">'Database MK'!ET207</f>
        <v>Sudah, Delay</v>
      </c>
      <c r="V206" s="7" t="str">
        <f ca="1">'Database MK'!GA207</f>
        <v>Belum, Delay</v>
      </c>
      <c r="W206" s="7" t="str">
        <f ca="1">'Database MK'!GD207</f>
        <v>Sudah, Delay</v>
      </c>
      <c r="X206" s="7" t="str">
        <f ca="1">'Database MK'!GG207</f>
        <v>Sudah, Delay</v>
      </c>
      <c r="Y206" s="7" t="str">
        <f ca="1">'Database MK'!GK207</f>
        <v>Sudah, Delay</v>
      </c>
      <c r="Z206" s="7" t="str">
        <f ca="1">'Database MK'!HH207</f>
        <v>Sudah, Delay</v>
      </c>
      <c r="AA206" s="7" t="str">
        <f ca="1">'Database MK'!HQ207</f>
        <v>Sudah, Delay</v>
      </c>
      <c r="AB206" s="7" t="str">
        <f ca="1">'Database MK'!HW207</f>
        <v>Sudah, Delay</v>
      </c>
      <c r="AC206" s="7">
        <f>'Database MK'!DA207-'Database MK'!DB207</f>
        <v>110</v>
      </c>
      <c r="AD206" s="7">
        <f>'Database MK'!DA207-'Database MK'!DF207</f>
        <v>-115</v>
      </c>
      <c r="AE206" s="7">
        <f>'Database MK'!DK207-'Database MK'!DL207</f>
        <v>-304</v>
      </c>
      <c r="AF206" s="7">
        <f>'Database MK'!DK207-'Database MK'!DO207</f>
        <v>-346</v>
      </c>
      <c r="AG206" s="7">
        <f>'Database MK'!DU207-'Database MK'!DW207</f>
        <v>-317</v>
      </c>
      <c r="AH206" s="7">
        <f>IF('Database MK'!EB207="","Belum",'Database MK'!DU207-'Database MK'!EB207)</f>
        <v>-312</v>
      </c>
      <c r="AI206" s="7">
        <f>IF('Database MK'!EN207="","Belum",'Database MK'!EL207-'Database MK'!EN207)</f>
        <v>-335</v>
      </c>
      <c r="AJ206" s="7">
        <f>'Database MK'!FY207-'Database MK'!FZ207</f>
        <v>0</v>
      </c>
      <c r="AK206" s="7">
        <f>IF('Database MK'!GC207="","Belum",'Database MK'!GB207-'Database MK'!GC207)</f>
        <v>-101</v>
      </c>
      <c r="AL206" s="7">
        <f>IF('Database MK'!GF207="","Belum",'Database MK'!GE207-'Database MK'!GF207)</f>
        <v>-110</v>
      </c>
      <c r="AM206" s="309">
        <f>IF('Database MK'!GJ207="","Belum",'Database MK'!GI207-'Database MK'!GJ207)</f>
        <v>-113</v>
      </c>
      <c r="AN206" s="7">
        <f>IF('Database MK'!HG207="","Belum",'Database MK'!HF207-'Database MK'!HG207)</f>
        <v>-229</v>
      </c>
      <c r="AO206" s="7">
        <f>IF('Database MK'!HP207="","Belum",'Database MK'!HN207-'Database MK'!HP207)</f>
        <v>-215</v>
      </c>
      <c r="AP206" s="7">
        <f>IF('Database MK'!HV207="","Belum",'Database MK'!HT207-'Database MK'!HV207)</f>
        <v>-215</v>
      </c>
    </row>
    <row r="207" spans="2:42" hidden="1" x14ac:dyDescent="0.2">
      <c r="B207" s="7">
        <f>SUBTOTAL(3,$C$4:C207)</f>
        <v>74</v>
      </c>
      <c r="C207" s="299" t="s">
        <v>673</v>
      </c>
      <c r="D207" s="4" t="s">
        <v>1562</v>
      </c>
      <c r="E207" s="4" t="s">
        <v>1563</v>
      </c>
      <c r="F207" s="300">
        <v>45931</v>
      </c>
      <c r="G207" s="4" t="s">
        <v>247</v>
      </c>
      <c r="H207" s="4" t="str">
        <f ca="1">'Database MK'!Q208</f>
        <v>Proses Konstruksi</v>
      </c>
      <c r="I207" s="24">
        <f>'Database MK'!S208</f>
        <v>1</v>
      </c>
      <c r="J207" s="24">
        <f>'Database MK'!T208</f>
        <v>0.65119875276563988</v>
      </c>
      <c r="K207" s="603">
        <f>'Database MK'!U208</f>
        <v>-0.34880124723436012</v>
      </c>
      <c r="L207" s="593">
        <f>'Database MK'!V208</f>
        <v>12190</v>
      </c>
      <c r="M207" s="593">
        <f>'Database MK'!W208</f>
        <v>7422</v>
      </c>
      <c r="N207" s="593">
        <f>Table3[[#This Row],[Total Panjang Pipa Aktual]]-Table3[[#This Row],[Volume
BA MC-0]]</f>
        <v>-4768</v>
      </c>
      <c r="O207" s="7" t="str">
        <f ca="1">'Database MK'!DE208</f>
        <v>Sudah, OnSchedule</v>
      </c>
      <c r="P207" s="7" t="str">
        <f ca="1">'Database MK'!DI208</f>
        <v>Sudah, OnSchedule</v>
      </c>
      <c r="Q207" s="7" t="str">
        <f ca="1">'Database MK'!DN208</f>
        <v>Sudah, Delay</v>
      </c>
      <c r="R207" s="7" t="str">
        <f ca="1">'Database MK'!DR208</f>
        <v>Sudah, Delay</v>
      </c>
      <c r="S207" s="7" t="str">
        <f ca="1">'Database MK'!EA208</f>
        <v>Sudah, Delay</v>
      </c>
      <c r="T207" s="7" t="str">
        <f ca="1">'Database MK'!EI208</f>
        <v>Sudah, Delay</v>
      </c>
      <c r="U207" s="7" t="str">
        <f ca="1">'Database MK'!ET208</f>
        <v>Belum, Delay</v>
      </c>
      <c r="V207" s="7" t="str">
        <f ca="1">'Database MK'!GA208</f>
        <v>Belum, Delay</v>
      </c>
      <c r="W207" s="7" t="str">
        <f ca="1">'Database MK'!GD208</f>
        <v>Sudah, OnSchedule</v>
      </c>
      <c r="X207" s="7" t="str">
        <f ca="1">'Database MK'!GG208</f>
        <v>Sudah, OnSchedule</v>
      </c>
      <c r="Y207" s="7" t="str">
        <f ca="1">'Database MK'!GK208</f>
        <v>Sudah, OnSchedule</v>
      </c>
      <c r="Z207" s="7" t="str">
        <f ca="1">'Database MK'!HH208</f>
        <v>Belum, Delay</v>
      </c>
      <c r="AA207" s="7" t="str">
        <f ca="1">'Database MK'!HQ208</f>
        <v>Belum, Delay</v>
      </c>
      <c r="AB207" s="7" t="str">
        <f ca="1">'Database MK'!HW208</f>
        <v>Belum, Delay</v>
      </c>
      <c r="AC207" s="7">
        <f>'Database MK'!DA208-'Database MK'!DB208</f>
        <v>144</v>
      </c>
      <c r="AD207" s="7">
        <f>'Database MK'!DA208-'Database MK'!DF208</f>
        <v>31</v>
      </c>
      <c r="AE207" s="7">
        <f>'Database MK'!DK208-'Database MK'!DL208</f>
        <v>-60</v>
      </c>
      <c r="AF207" s="7">
        <f>'Database MK'!DK208-'Database MK'!DO208</f>
        <v>-66</v>
      </c>
      <c r="AG207" s="7">
        <f>'Database MK'!DU208-'Database MK'!DW208</f>
        <v>-510</v>
      </c>
      <c r="AH207" s="7">
        <f>IF('Database MK'!EB208="","Belum",'Database MK'!DU208-'Database MK'!EB208)</f>
        <v>-506</v>
      </c>
      <c r="AI207" s="7" t="str">
        <f>IF('Database MK'!EN208="","Belum",'Database MK'!EL208-'Database MK'!EN208)</f>
        <v>Belum</v>
      </c>
      <c r="AJ207" s="7">
        <f>'Database MK'!FY208-'Database MK'!FZ208</f>
        <v>0</v>
      </c>
      <c r="AK207" s="7">
        <f>IF('Database MK'!GC208="","Belum",'Database MK'!GB208-'Database MK'!GC208)</f>
        <v>231</v>
      </c>
      <c r="AL207" s="7">
        <f>IF('Database MK'!GF208="","Belum",'Database MK'!GE208-'Database MK'!GF208)</f>
        <v>238</v>
      </c>
      <c r="AM207" s="309">
        <f>IF('Database MK'!GJ208="","Belum",'Database MK'!GI208-'Database MK'!GJ208)</f>
        <v>93</v>
      </c>
      <c r="AN207" s="7" t="str">
        <f>IF('Database MK'!HG208="","Belum",'Database MK'!HF208-'Database MK'!HG208)</f>
        <v>Belum</v>
      </c>
      <c r="AO207" s="7" t="str">
        <f>IF('Database MK'!HP208="","Belum",'Database MK'!HN208-'Database MK'!HP208)</f>
        <v>Belum</v>
      </c>
      <c r="AP207" s="7" t="str">
        <f>IF('Database MK'!HV208="","Belum",'Database MK'!HT208-'Database MK'!HV208)</f>
        <v>Belum</v>
      </c>
    </row>
    <row r="208" spans="2:42" hidden="1" x14ac:dyDescent="0.2">
      <c r="B208" s="7">
        <f>SUBTOTAL(3,$C$4:C208)</f>
        <v>74</v>
      </c>
      <c r="C208" s="299" t="s">
        <v>673</v>
      </c>
      <c r="D208" s="4" t="s">
        <v>1570</v>
      </c>
      <c r="E208" s="4" t="s">
        <v>1571</v>
      </c>
      <c r="F208" s="300">
        <v>45931</v>
      </c>
      <c r="G208" s="4" t="s">
        <v>247</v>
      </c>
      <c r="H208" s="4" t="str">
        <f ca="1">'Database MK'!Q209</f>
        <v>Proses Konstruksi</v>
      </c>
      <c r="I208" s="24">
        <f>'Database MK'!S209</f>
        <v>1</v>
      </c>
      <c r="J208" s="24">
        <f>'Database MK'!T209</f>
        <v>0.85562308552364053</v>
      </c>
      <c r="K208" s="603">
        <f>'Database MK'!U209</f>
        <v>-0.14437691447635947</v>
      </c>
      <c r="L208" s="593">
        <f>'Database MK'!V209</f>
        <v>18591</v>
      </c>
      <c r="M208" s="593">
        <f>'Database MK'!W209</f>
        <v>18446</v>
      </c>
      <c r="N208" s="593">
        <f>Table3[[#This Row],[Total Panjang Pipa Aktual]]-Table3[[#This Row],[Volume
BA MC-0]]</f>
        <v>-145</v>
      </c>
      <c r="O208" s="7" t="str">
        <f ca="1">'Database MK'!DE209</f>
        <v>Sudah, OnSchedule</v>
      </c>
      <c r="P208" s="7" t="str">
        <f ca="1">'Database MK'!DI209</f>
        <v>Sudah, OnSchedule</v>
      </c>
      <c r="Q208" s="7" t="str">
        <f ca="1">'Database MK'!DN209</f>
        <v>Sudah, OnSchedule</v>
      </c>
      <c r="R208" s="7" t="str">
        <f ca="1">'Database MK'!DR209</f>
        <v>Sudah, Delay</v>
      </c>
      <c r="S208" s="7" t="str">
        <f ca="1">'Database MK'!EA209</f>
        <v>Sudah, Delay</v>
      </c>
      <c r="T208" s="7" t="str">
        <f ca="1">'Database MK'!EI209</f>
        <v>Belum, Delay</v>
      </c>
      <c r="U208" s="7" t="str">
        <f ca="1">'Database MK'!ET209</f>
        <v>Belum, Delay</v>
      </c>
      <c r="V208" s="7" t="str">
        <f ca="1">'Database MK'!GA209</f>
        <v>Belum, Delay</v>
      </c>
      <c r="W208" s="7" t="str">
        <f ca="1">'Database MK'!GD209</f>
        <v>Sudah, OnSchedule</v>
      </c>
      <c r="X208" s="7" t="str">
        <f ca="1">'Database MK'!GG209</f>
        <v>Sudah, OnSchedule</v>
      </c>
      <c r="Y208" s="7" t="str">
        <f ca="1">'Database MK'!GK209</f>
        <v>Sudah, OnSchedule</v>
      </c>
      <c r="Z208" s="7" t="str">
        <f ca="1">'Database MK'!HH209</f>
        <v>Belum, Delay</v>
      </c>
      <c r="AA208" s="7" t="str">
        <f ca="1">'Database MK'!HQ209</f>
        <v>Belum, Delay</v>
      </c>
      <c r="AB208" s="7" t="str">
        <f ca="1">'Database MK'!HW209</f>
        <v>Belum, Delay</v>
      </c>
      <c r="AC208" s="7">
        <f>'Database MK'!DA209-'Database MK'!DB209</f>
        <v>404</v>
      </c>
      <c r="AD208" s="7">
        <f>'Database MK'!DA209-'Database MK'!DF209</f>
        <v>397</v>
      </c>
      <c r="AE208" s="7">
        <f>'Database MK'!DK209-'Database MK'!DL209</f>
        <v>78</v>
      </c>
      <c r="AF208" s="7">
        <f>'Database MK'!DK209-'Database MK'!DO209</f>
        <v>-50</v>
      </c>
      <c r="AG208" s="7">
        <f>'Database MK'!DU209-'Database MK'!DW209</f>
        <v>-417</v>
      </c>
      <c r="AH208" s="7" t="str">
        <f>IF('Database MK'!EB209="","Belum",'Database MK'!DU209-'Database MK'!EB209)</f>
        <v>Belum</v>
      </c>
      <c r="AI208" s="7" t="str">
        <f>IF('Database MK'!EN209="","Belum",'Database MK'!EL209-'Database MK'!EN209)</f>
        <v>Belum</v>
      </c>
      <c r="AJ208" s="7">
        <f>'Database MK'!FY209-'Database MK'!FZ209</f>
        <v>0</v>
      </c>
      <c r="AK208" s="7">
        <f>IF('Database MK'!GC209="","Belum",'Database MK'!GB209-'Database MK'!GC209)</f>
        <v>19</v>
      </c>
      <c r="AL208" s="7">
        <f>IF('Database MK'!GF209="","Belum",'Database MK'!GE209-'Database MK'!GF209)</f>
        <v>26</v>
      </c>
      <c r="AM208" s="309">
        <f>IF('Database MK'!GJ209="","Belum",'Database MK'!GI209-'Database MK'!GJ209)</f>
        <v>24</v>
      </c>
      <c r="AN208" s="7" t="str">
        <f>IF('Database MK'!HG209="","Belum",'Database MK'!HF209-'Database MK'!HG209)</f>
        <v>Belum</v>
      </c>
      <c r="AO208" s="7" t="str">
        <f>IF('Database MK'!HP209="","Belum",'Database MK'!HN209-'Database MK'!HP209)</f>
        <v>Belum</v>
      </c>
      <c r="AP208" s="7" t="str">
        <f>IF('Database MK'!HV209="","Belum",'Database MK'!HT209-'Database MK'!HV209)</f>
        <v>Belum</v>
      </c>
    </row>
    <row r="209" spans="2:42" hidden="1" x14ac:dyDescent="0.2">
      <c r="B209" s="7">
        <f>SUBTOTAL(3,$C$4:C209)</f>
        <v>74</v>
      </c>
      <c r="C209" s="299" t="s">
        <v>673</v>
      </c>
      <c r="D209" s="4" t="s">
        <v>1578</v>
      </c>
      <c r="E209" s="4" t="s">
        <v>1579</v>
      </c>
      <c r="F209" s="300">
        <v>45931</v>
      </c>
      <c r="G209" s="4" t="s">
        <v>247</v>
      </c>
      <c r="H209" s="4" t="str">
        <f ca="1">'Database MK'!Q210</f>
        <v>Proses Konstruksi</v>
      </c>
      <c r="I209" s="24">
        <f>'Database MK'!S210</f>
        <v>1</v>
      </c>
      <c r="J209" s="24">
        <f>'Database MK'!T210</f>
        <v>0.90327936950739918</v>
      </c>
      <c r="K209" s="603">
        <f>'Database MK'!U210</f>
        <v>-9.6720630492600823E-2</v>
      </c>
      <c r="L209" s="593">
        <f>'Database MK'!V210</f>
        <v>28242</v>
      </c>
      <c r="M209" s="593">
        <f>'Database MK'!W210</f>
        <v>28540</v>
      </c>
      <c r="N209" s="593">
        <f>Table3[[#This Row],[Total Panjang Pipa Aktual]]-Table3[[#This Row],[Volume
BA MC-0]]</f>
        <v>298</v>
      </c>
      <c r="O209" s="7" t="str">
        <f ca="1">'Database MK'!DE210</f>
        <v>Sudah, OnSchedule</v>
      </c>
      <c r="P209" s="7" t="str">
        <f ca="1">'Database MK'!DI210</f>
        <v>Sudah, OnSchedule</v>
      </c>
      <c r="Q209" s="7" t="str">
        <f ca="1">'Database MK'!DN210</f>
        <v>Sudah, OnSchedule</v>
      </c>
      <c r="R209" s="7" t="str">
        <f ca="1">'Database MK'!DR210</f>
        <v>Sudah, Delay</v>
      </c>
      <c r="S209" s="7" t="str">
        <f ca="1">'Database MK'!EA210</f>
        <v>Sudah, Delay</v>
      </c>
      <c r="T209" s="7" t="str">
        <f ca="1">'Database MK'!EI210</f>
        <v>Belum, Delay</v>
      </c>
      <c r="U209" s="7" t="str">
        <f ca="1">'Database MK'!ET210</f>
        <v>Belum, Delay</v>
      </c>
      <c r="V209" s="7" t="str">
        <f ca="1">'Database MK'!GA210</f>
        <v>Belum, Delay</v>
      </c>
      <c r="W209" s="7" t="str">
        <f ca="1">'Database MK'!GD210</f>
        <v>Sudah, OnSchedule</v>
      </c>
      <c r="X209" s="7" t="str">
        <f ca="1">'Database MK'!GG210</f>
        <v>Sudah, OnSchedule</v>
      </c>
      <c r="Y209" s="7" t="str">
        <f ca="1">'Database MK'!GK210</f>
        <v>Sudah, OnSchedule</v>
      </c>
      <c r="Z209" s="7" t="str">
        <f ca="1">'Database MK'!HH210</f>
        <v>Belum, Delay</v>
      </c>
      <c r="AA209" s="7" t="str">
        <f ca="1">'Database MK'!HQ210</f>
        <v>Belum, Delay</v>
      </c>
      <c r="AB209" s="7" t="str">
        <f ca="1">'Database MK'!HW210</f>
        <v>Belum, Delay</v>
      </c>
      <c r="AC209" s="7">
        <f>'Database MK'!DA210-'Database MK'!DB210</f>
        <v>404</v>
      </c>
      <c r="AD209" s="7">
        <f>'Database MK'!DA210-'Database MK'!DF210</f>
        <v>395</v>
      </c>
      <c r="AE209" s="7">
        <f>'Database MK'!DK210-'Database MK'!DL210</f>
        <v>78</v>
      </c>
      <c r="AF209" s="7">
        <f>'Database MK'!DK210-'Database MK'!DO210</f>
        <v>-3</v>
      </c>
      <c r="AG209" s="7">
        <f>'Database MK'!DU210-'Database MK'!DW210</f>
        <v>-428</v>
      </c>
      <c r="AH209" s="7" t="str">
        <f>IF('Database MK'!EB210="","Belum",'Database MK'!DU210-'Database MK'!EB210)</f>
        <v>Belum</v>
      </c>
      <c r="AI209" s="7" t="str">
        <f>IF('Database MK'!EN210="","Belum",'Database MK'!EL210-'Database MK'!EN210)</f>
        <v>Belum</v>
      </c>
      <c r="AJ209" s="7">
        <f>'Database MK'!FY210-'Database MK'!FZ210</f>
        <v>0</v>
      </c>
      <c r="AK209" s="7">
        <f>IF('Database MK'!GC210="","Belum",'Database MK'!GB210-'Database MK'!GC210)</f>
        <v>19</v>
      </c>
      <c r="AL209" s="7">
        <f>IF('Database MK'!GF210="","Belum",'Database MK'!GE210-'Database MK'!GF210)</f>
        <v>26</v>
      </c>
      <c r="AM209" s="309">
        <f>IF('Database MK'!GJ210="","Belum",'Database MK'!GI210-'Database MK'!GJ210)</f>
        <v>27</v>
      </c>
      <c r="AN209" s="7" t="str">
        <f>IF('Database MK'!HG210="","Belum",'Database MK'!HF210-'Database MK'!HG210)</f>
        <v>Belum</v>
      </c>
      <c r="AO209" s="7" t="str">
        <f>IF('Database MK'!HP210="","Belum",'Database MK'!HN210-'Database MK'!HP210)</f>
        <v>Belum</v>
      </c>
      <c r="AP209" s="7" t="str">
        <f>IF('Database MK'!HV210="","Belum",'Database MK'!HT210-'Database MK'!HV210)</f>
        <v>Belum</v>
      </c>
    </row>
    <row r="210" spans="2:42" s="77" customFormat="1" hidden="1" x14ac:dyDescent="0.2">
      <c r="B210" s="307">
        <f>SUBTOTAL(3,$C$4:C210)</f>
        <v>74</v>
      </c>
      <c r="C210" s="77" t="s">
        <v>673</v>
      </c>
      <c r="D210" s="77" t="s">
        <v>1587</v>
      </c>
      <c r="E210" s="77" t="s">
        <v>1588</v>
      </c>
      <c r="F210" s="302">
        <v>45931</v>
      </c>
      <c r="G210" s="77" t="s">
        <v>247</v>
      </c>
      <c r="H210" s="77" t="str">
        <f>'Database MK'!Q211</f>
        <v>BATAL / CANCEL</v>
      </c>
      <c r="I210" s="604">
        <f>'Database MK'!S211</f>
        <v>1</v>
      </c>
      <c r="J210" s="604">
        <f>'Database MK'!T211</f>
        <v>0</v>
      </c>
      <c r="K210" s="605">
        <f>'Database MK'!U211</f>
        <v>-1</v>
      </c>
      <c r="L210" s="594">
        <f>'Database MK'!V211</f>
        <v>0</v>
      </c>
      <c r="M210" s="594">
        <f>'Database MK'!W211</f>
        <v>0</v>
      </c>
      <c r="N210" s="594">
        <f>Table3[[#This Row],[Total Panjang Pipa Aktual]]-Table3[[#This Row],[Volume
BA MC-0]]</f>
        <v>0</v>
      </c>
      <c r="O210" s="307" t="str">
        <f ca="1">'Database MK'!DE211</f>
        <v>Sudah, OnSchedule</v>
      </c>
      <c r="P210" s="307" t="str">
        <f ca="1">'Database MK'!DI211</f>
        <v>Sudah, OnSchedule</v>
      </c>
      <c r="Q210" s="307" t="str">
        <f ca="1">'Database MK'!DN211</f>
        <v>Belum, Delay</v>
      </c>
      <c r="R210" s="307" t="str">
        <f ca="1">'Database MK'!DR211</f>
        <v>Belum, Delay</v>
      </c>
      <c r="S210" s="307" t="str">
        <f ca="1">'Database MK'!EA211</f>
        <v>Belum, Delay</v>
      </c>
      <c r="T210" s="307" t="str">
        <f ca="1">'Database MK'!EI211</f>
        <v>Belum, Delay</v>
      </c>
      <c r="U210" s="307" t="str">
        <f ca="1">'Database MK'!ET211</f>
        <v>Belum, Delay</v>
      </c>
      <c r="V210" s="307" t="str">
        <f ca="1">'Database MK'!GA211</f>
        <v>Belum, Delay</v>
      </c>
      <c r="W210" s="307" t="str">
        <f ca="1">'Database MK'!GD211</f>
        <v>Sudah, OnSchedule</v>
      </c>
      <c r="X210" s="307" t="str">
        <f ca="1">'Database MK'!GG211</f>
        <v>Sudah, OnSchedule</v>
      </c>
      <c r="Y210" s="307" t="str">
        <f ca="1">'Database MK'!GK211</f>
        <v>Sudah, OnSchedule</v>
      </c>
      <c r="Z210" s="307" t="str">
        <f ca="1">'Database MK'!HH211</f>
        <v>Belum, Delay</v>
      </c>
      <c r="AA210" s="307" t="str">
        <f ca="1">'Database MK'!HQ211</f>
        <v>Belum, Delay</v>
      </c>
      <c r="AB210" s="307" t="str">
        <f ca="1">'Database MK'!HW211</f>
        <v>Belum, Delay</v>
      </c>
      <c r="AC210" s="307"/>
      <c r="AD210" s="307"/>
      <c r="AE210" s="307"/>
      <c r="AF210" s="307"/>
      <c r="AG210" s="307"/>
      <c r="AH210" s="307"/>
      <c r="AI210" s="307"/>
      <c r="AJ210" s="307">
        <f>'Database MK'!FY211-'Database MK'!FZ211</f>
        <v>0</v>
      </c>
      <c r="AK210" s="307"/>
      <c r="AL210" s="307"/>
      <c r="AM210" s="310"/>
      <c r="AN210" s="307"/>
      <c r="AO210" s="307"/>
      <c r="AP210" s="307"/>
    </row>
    <row r="211" spans="2:42" hidden="1" x14ac:dyDescent="0.2">
      <c r="B211" s="7">
        <f>SUBTOTAL(3,$C$4:C211)</f>
        <v>74</v>
      </c>
      <c r="C211" s="299" t="s">
        <v>673</v>
      </c>
      <c r="D211" s="4" t="s">
        <v>1593</v>
      </c>
      <c r="E211" s="4" t="s">
        <v>1594</v>
      </c>
      <c r="F211" s="300">
        <v>45931</v>
      </c>
      <c r="G211" s="4" t="s">
        <v>247</v>
      </c>
      <c r="H211" s="4" t="str">
        <f ca="1">'Database MK'!Q212</f>
        <v>DPPP</v>
      </c>
      <c r="I211" s="24">
        <f>'Database MK'!S212</f>
        <v>1</v>
      </c>
      <c r="J211" s="24">
        <f>'Database MK'!T212</f>
        <v>1</v>
      </c>
      <c r="K211" s="603">
        <f>'Database MK'!U212</f>
        <v>0</v>
      </c>
      <c r="L211" s="593">
        <f>'Database MK'!V212</f>
        <v>2867</v>
      </c>
      <c r="M211" s="593">
        <f>'Database MK'!W212</f>
        <v>2259</v>
      </c>
      <c r="N211" s="593">
        <f>Table3[[#This Row],[Total Panjang Pipa Aktual]]-Table3[[#This Row],[Volume
BA MC-0]]</f>
        <v>-608</v>
      </c>
      <c r="O211" s="7" t="str">
        <f ca="1">'Database MK'!DE212</f>
        <v>Sudah, OnSchedule</v>
      </c>
      <c r="P211" s="7" t="str">
        <f ca="1">'Database MK'!DI212</f>
        <v>Sudah, Delay</v>
      </c>
      <c r="Q211" s="7" t="str">
        <f ca="1">'Database MK'!DN212</f>
        <v>Sudah, Delay</v>
      </c>
      <c r="R211" s="7" t="str">
        <f ca="1">'Database MK'!DR212</f>
        <v>Sudah, Delay</v>
      </c>
      <c r="S211" s="7" t="str">
        <f ca="1">'Database MK'!EA212</f>
        <v>Sudah, Delay</v>
      </c>
      <c r="T211" s="7" t="str">
        <f ca="1">'Database MK'!EI212</f>
        <v>Sudah, Delay</v>
      </c>
      <c r="U211" s="7" t="str">
        <f ca="1">'Database MK'!ET212</f>
        <v>Sudah, Delay</v>
      </c>
      <c r="V211" s="7" t="str">
        <f ca="1">'Database MK'!GA212</f>
        <v>Belum, Delay</v>
      </c>
      <c r="W211" s="7" t="str">
        <f ca="1">'Database MK'!GD212</f>
        <v>Sudah, OnSchedule</v>
      </c>
      <c r="X211" s="7" t="str">
        <f ca="1">'Database MK'!GG212</f>
        <v>Sudah, OnSchedule</v>
      </c>
      <c r="Y211" s="7" t="str">
        <f ca="1">'Database MK'!GK212</f>
        <v>Sudah, Delay</v>
      </c>
      <c r="Z211" s="7" t="str">
        <f ca="1">'Database MK'!HH212</f>
        <v>Sudah, Delay</v>
      </c>
      <c r="AA211" s="7" t="str">
        <f ca="1">'Database MK'!HQ212</f>
        <v>Sudah, Delay</v>
      </c>
      <c r="AB211" s="7" t="str">
        <f ca="1">'Database MK'!HW212</f>
        <v>Sudah, Delay</v>
      </c>
      <c r="AC211" s="7">
        <f>'Database MK'!DA212-'Database MK'!DB212</f>
        <v>6</v>
      </c>
      <c r="AD211" s="7">
        <f>'Database MK'!DA212-'Database MK'!DF212</f>
        <v>-7</v>
      </c>
      <c r="AE211" s="7">
        <f>'Database MK'!DK212-'Database MK'!DL212</f>
        <v>-18</v>
      </c>
      <c r="AF211" s="7">
        <f>'Database MK'!DK212-'Database MK'!DO212</f>
        <v>-31</v>
      </c>
      <c r="AG211" s="7">
        <f>'Database MK'!DU212-'Database MK'!DW212</f>
        <v>-39</v>
      </c>
      <c r="AH211" s="7">
        <f>IF('Database MK'!EB212="","Belum",'Database MK'!DU212-'Database MK'!EB212)</f>
        <v>-177</v>
      </c>
      <c r="AI211" s="7">
        <f>IF('Database MK'!EN212="","Belum",'Database MK'!EL212-'Database MK'!EN212)</f>
        <v>-405</v>
      </c>
      <c r="AJ211" s="7">
        <f>'Database MK'!FY212-'Database MK'!FZ212</f>
        <v>0</v>
      </c>
      <c r="AK211" s="7">
        <f>IF('Database MK'!GC212="","Belum",'Database MK'!GB212-'Database MK'!GC212)</f>
        <v>138</v>
      </c>
      <c r="AL211" s="7">
        <f>IF('Database MK'!GF212="","Belum",'Database MK'!GE212-'Database MK'!GF212)</f>
        <v>145</v>
      </c>
      <c r="AM211" s="309">
        <f>IF('Database MK'!GJ212="","Belum",'Database MK'!GI212-'Database MK'!GJ212)</f>
        <v>-1</v>
      </c>
      <c r="AN211" s="7">
        <f>IF('Database MK'!HG212="","Belum",'Database MK'!HF212-'Database MK'!HG212)</f>
        <v>-148</v>
      </c>
      <c r="AO211" s="7">
        <f>IF('Database MK'!HP212="","Belum",'Database MK'!HN212-'Database MK'!HP212)</f>
        <v>-164</v>
      </c>
      <c r="AP211" s="7">
        <f>IF('Database MK'!HV212="","Belum",'Database MK'!HT212-'Database MK'!HV212)</f>
        <v>-174</v>
      </c>
    </row>
    <row r="212" spans="2:42" s="77" customFormat="1" hidden="1" x14ac:dyDescent="0.2">
      <c r="B212" s="307">
        <f>SUBTOTAL(3,$C$4:C212)</f>
        <v>74</v>
      </c>
      <c r="C212" s="77" t="s">
        <v>673</v>
      </c>
      <c r="D212" s="77" t="s">
        <v>1603</v>
      </c>
      <c r="E212" s="77" t="s">
        <v>1604</v>
      </c>
      <c r="F212" s="302">
        <v>45931</v>
      </c>
      <c r="G212" s="77" t="s">
        <v>247</v>
      </c>
      <c r="H212" s="77" t="str">
        <f>'Database MK'!Q213</f>
        <v>BATAL / CANCEL</v>
      </c>
      <c r="I212" s="604">
        <f>'Database MK'!S213</f>
        <v>1</v>
      </c>
      <c r="J212" s="604">
        <f>'Database MK'!T213</f>
        <v>0</v>
      </c>
      <c r="K212" s="605">
        <f>'Database MK'!U213</f>
        <v>-1</v>
      </c>
      <c r="L212" s="594">
        <f>'Database MK'!V213</f>
        <v>0</v>
      </c>
      <c r="M212" s="594">
        <f>'Database MK'!W213</f>
        <v>0</v>
      </c>
      <c r="N212" s="594">
        <f>Table3[[#This Row],[Total Panjang Pipa Aktual]]-Table3[[#This Row],[Volume
BA MC-0]]</f>
        <v>0</v>
      </c>
      <c r="O212" s="307" t="str">
        <f ca="1">'Database MK'!DE213</f>
        <v>Sudah, OnSchedule</v>
      </c>
      <c r="P212" s="307" t="str">
        <f ca="1">'Database MK'!DI213</f>
        <v>Sudah, Delay</v>
      </c>
      <c r="Q212" s="307" t="str">
        <f ca="1">'Database MK'!DN213</f>
        <v>Belum, Delay</v>
      </c>
      <c r="R212" s="307" t="str">
        <f ca="1">'Database MK'!DR213</f>
        <v>Belum, Delay</v>
      </c>
      <c r="S212" s="307" t="str">
        <f ca="1">'Database MK'!EA213</f>
        <v>Belum, Delay</v>
      </c>
      <c r="T212" s="307" t="str">
        <f ca="1">'Database MK'!EI213</f>
        <v>Belum, Delay</v>
      </c>
      <c r="U212" s="307" t="str">
        <f ca="1">'Database MK'!ET213</f>
        <v>Belum, Delay</v>
      </c>
      <c r="V212" s="307" t="str">
        <f ca="1">'Database MK'!GA213</f>
        <v>Belum, Delay</v>
      </c>
      <c r="W212" s="307" t="str">
        <f ca="1">'Database MK'!GD213</f>
        <v>Sudah, OnSchedule</v>
      </c>
      <c r="X212" s="307" t="str">
        <f ca="1">'Database MK'!GG213</f>
        <v>Sudah, OnSchedule</v>
      </c>
      <c r="Y212" s="307" t="str">
        <f ca="1">'Database MK'!GK213</f>
        <v>Sudah, OnSchedule</v>
      </c>
      <c r="Z212" s="307" t="str">
        <f ca="1">'Database MK'!HH213</f>
        <v>Belum, Delay</v>
      </c>
      <c r="AA212" s="307" t="str">
        <f ca="1">'Database MK'!HQ213</f>
        <v>Belum, Delay</v>
      </c>
      <c r="AB212" s="307" t="str">
        <f ca="1">'Database MK'!HW213</f>
        <v>Belum, Delay</v>
      </c>
      <c r="AC212" s="307"/>
      <c r="AD212" s="307"/>
      <c r="AE212" s="307"/>
      <c r="AF212" s="307"/>
      <c r="AG212" s="307"/>
      <c r="AH212" s="307"/>
      <c r="AI212" s="307"/>
      <c r="AJ212" s="307">
        <f>'Database MK'!FY213-'Database MK'!FZ213</f>
        <v>0</v>
      </c>
      <c r="AK212" s="307"/>
      <c r="AL212" s="307"/>
      <c r="AM212" s="310"/>
      <c r="AN212" s="307"/>
      <c r="AO212" s="307"/>
      <c r="AP212" s="307"/>
    </row>
    <row r="213" spans="2:42" hidden="1" x14ac:dyDescent="0.2">
      <c r="B213" s="7">
        <f>SUBTOTAL(3,$C$4:C213)</f>
        <v>74</v>
      </c>
      <c r="C213" s="299" t="s">
        <v>673</v>
      </c>
      <c r="D213" s="4" t="s">
        <v>1608</v>
      </c>
      <c r="E213" s="4" t="s">
        <v>1609</v>
      </c>
      <c r="F213" s="300">
        <v>45931</v>
      </c>
      <c r="G213" s="4" t="s">
        <v>247</v>
      </c>
      <c r="H213" s="4" t="str">
        <f ca="1">'Database MK'!Q214</f>
        <v>DPPP</v>
      </c>
      <c r="I213" s="24">
        <f>'Database MK'!S214</f>
        <v>1</v>
      </c>
      <c r="J213" s="24">
        <f>'Database MK'!T214</f>
        <v>1</v>
      </c>
      <c r="K213" s="603">
        <f>'Database MK'!U214</f>
        <v>0</v>
      </c>
      <c r="L213" s="593">
        <f>'Database MK'!V214</f>
        <v>1608</v>
      </c>
      <c r="M213" s="593">
        <f>'Database MK'!W214</f>
        <v>1608</v>
      </c>
      <c r="N213" s="593">
        <f>Table3[[#This Row],[Total Panjang Pipa Aktual]]-Table3[[#This Row],[Volume
BA MC-0]]</f>
        <v>0</v>
      </c>
      <c r="O213" s="7" t="str">
        <f ca="1">'Database MK'!DE214</f>
        <v>Sudah, OnSchedule</v>
      </c>
      <c r="P213" s="7" t="str">
        <f ca="1">'Database MK'!DI214</f>
        <v>Sudah, OnSchedule</v>
      </c>
      <c r="Q213" s="7" t="str">
        <f ca="1">'Database MK'!DN214</f>
        <v>Sudah, OnSchedule</v>
      </c>
      <c r="R213" s="7" t="str">
        <f ca="1">'Database MK'!DR214</f>
        <v>Sudah, Delay</v>
      </c>
      <c r="S213" s="7" t="str">
        <f ca="1">'Database MK'!EA214</f>
        <v>Sudah, OnSchedule</v>
      </c>
      <c r="T213" s="7" t="str">
        <f ca="1">'Database MK'!EI214</f>
        <v>Sudah, Delay</v>
      </c>
      <c r="U213" s="7" t="str">
        <f ca="1">'Database MK'!ET214</f>
        <v>Sudah, Delay</v>
      </c>
      <c r="V213" s="7" t="str">
        <f ca="1">'Database MK'!GA214</f>
        <v>Belum, Delay</v>
      </c>
      <c r="W213" s="7" t="str">
        <f ca="1">'Database MK'!GD214</f>
        <v>Sudah, OnSchedule</v>
      </c>
      <c r="X213" s="7" t="str">
        <f ca="1">'Database MK'!GG214</f>
        <v>Sudah, OnSchedule</v>
      </c>
      <c r="Y213" s="7" t="str">
        <f ca="1">'Database MK'!GK214</f>
        <v>Sudah, OnSchedule</v>
      </c>
      <c r="Z213" s="7" t="str">
        <f ca="1">'Database MK'!HH214</f>
        <v>Sudah, Delay</v>
      </c>
      <c r="AA213" s="7" t="str">
        <f ca="1">'Database MK'!HQ214</f>
        <v>Sudah, Delay</v>
      </c>
      <c r="AB213" s="7" t="str">
        <f ca="1">'Database MK'!HW214</f>
        <v>Sudah, Delay</v>
      </c>
      <c r="AC213" s="7">
        <f>'Database MK'!DA214-'Database MK'!DB214</f>
        <v>17</v>
      </c>
      <c r="AD213" s="7">
        <f>'Database MK'!DA214-'Database MK'!DF214</f>
        <v>9</v>
      </c>
      <c r="AE213" s="7">
        <f>'Database MK'!DK214-'Database MK'!DL214</f>
        <v>23</v>
      </c>
      <c r="AF213" s="7">
        <f>'Database MK'!DK214-'Database MK'!DO214</f>
        <v>-16</v>
      </c>
      <c r="AG213" s="7">
        <f>'Database MK'!DU214-'Database MK'!DW214</f>
        <v>12</v>
      </c>
      <c r="AH213" s="7">
        <f>IF('Database MK'!EB214="","Belum",'Database MK'!DU214-'Database MK'!EB214)</f>
        <v>-178</v>
      </c>
      <c r="AI213" s="7">
        <f>IF('Database MK'!EN214="","Belum",'Database MK'!EL214-'Database MK'!EN214)</f>
        <v>-213</v>
      </c>
      <c r="AJ213" s="7">
        <f>'Database MK'!FY214-'Database MK'!FZ214</f>
        <v>0</v>
      </c>
      <c r="AK213" s="7">
        <f>IF('Database MK'!GC214="","Belum",'Database MK'!GB214-'Database MK'!GC214)</f>
        <v>0</v>
      </c>
      <c r="AL213" s="7">
        <f>IF('Database MK'!GF214="","Belum",'Database MK'!GE214-'Database MK'!GF214)</f>
        <v>7</v>
      </c>
      <c r="AM213" s="309">
        <f>IF('Database MK'!GJ214="","Belum",'Database MK'!GI214-'Database MK'!GJ214)</f>
        <v>12</v>
      </c>
      <c r="AN213" s="7">
        <f>IF('Database MK'!HG214="","Belum",'Database MK'!HF214-'Database MK'!HG214)</f>
        <v>-78</v>
      </c>
      <c r="AO213" s="7">
        <f>IF('Database MK'!HP214="","Belum",'Database MK'!HN214-'Database MK'!HP214)</f>
        <v>-161</v>
      </c>
      <c r="AP213" s="7">
        <f>IF('Database MK'!HV214="","Belum",'Database MK'!HT214-'Database MK'!HV214)</f>
        <v>-162</v>
      </c>
    </row>
    <row r="214" spans="2:42" hidden="1" x14ac:dyDescent="0.2">
      <c r="B214" s="7">
        <f>SUBTOTAL(3,$C$4:C214)</f>
        <v>74</v>
      </c>
      <c r="C214" s="299" t="s">
        <v>673</v>
      </c>
      <c r="D214" s="4" t="s">
        <v>1618</v>
      </c>
      <c r="E214" s="4" t="s">
        <v>1619</v>
      </c>
      <c r="F214" s="300">
        <v>45931</v>
      </c>
      <c r="G214" s="4" t="s">
        <v>247</v>
      </c>
      <c r="H214" s="4" t="str">
        <f ca="1">'Database MK'!Q215</f>
        <v>DPPP</v>
      </c>
      <c r="I214" s="24">
        <f>'Database MK'!S215</f>
        <v>1</v>
      </c>
      <c r="J214" s="24">
        <f>'Database MK'!T215</f>
        <v>1</v>
      </c>
      <c r="K214" s="603">
        <f>'Database MK'!U215</f>
        <v>0</v>
      </c>
      <c r="L214" s="593">
        <f>'Database MK'!V215</f>
        <v>2409</v>
      </c>
      <c r="M214" s="593">
        <f>'Database MK'!W215</f>
        <v>2499</v>
      </c>
      <c r="N214" s="593">
        <f>Table3[[#This Row],[Total Panjang Pipa Aktual]]-Table3[[#This Row],[Volume
BA MC-0]]</f>
        <v>90</v>
      </c>
      <c r="O214" s="7" t="str">
        <f ca="1">'Database MK'!DE215</f>
        <v>Sudah, OnSchedule</v>
      </c>
      <c r="P214" s="7" t="str">
        <f ca="1">'Database MK'!DI215</f>
        <v>Sudah, Delay</v>
      </c>
      <c r="Q214" s="7" t="str">
        <f ca="1">'Database MK'!DN215</f>
        <v>Sudah, Delay</v>
      </c>
      <c r="R214" s="7" t="str">
        <f ca="1">'Database MK'!DR215</f>
        <v>Sudah, Delay</v>
      </c>
      <c r="S214" s="7" t="str">
        <f ca="1">'Database MK'!EA215</f>
        <v>Sudah, Delay</v>
      </c>
      <c r="T214" s="7" t="str">
        <f ca="1">'Database MK'!EI215</f>
        <v>Sudah, Delay</v>
      </c>
      <c r="U214" s="7" t="str">
        <f ca="1">'Database MK'!ET215</f>
        <v>Sudah, Delay</v>
      </c>
      <c r="V214" s="7" t="str">
        <f ca="1">'Database MK'!GA215</f>
        <v>Belum, Delay</v>
      </c>
      <c r="W214" s="7" t="str">
        <f ca="1">'Database MK'!GD215</f>
        <v>Sudah, OnSchedule</v>
      </c>
      <c r="X214" s="7" t="str">
        <f ca="1">'Database MK'!GG215</f>
        <v>Sudah, OnSchedule</v>
      </c>
      <c r="Y214" s="7" t="str">
        <f ca="1">'Database MK'!GK215</f>
        <v>Sudah, Delay</v>
      </c>
      <c r="Z214" s="7" t="str">
        <f ca="1">'Database MK'!HH215</f>
        <v>Sudah, Delay</v>
      </c>
      <c r="AA214" s="7" t="str">
        <f ca="1">'Database MK'!HQ215</f>
        <v>Sudah, Delay</v>
      </c>
      <c r="AB214" s="7" t="str">
        <f ca="1">'Database MK'!HW215</f>
        <v>Sudah, Delay</v>
      </c>
      <c r="AC214" s="7">
        <f>'Database MK'!DA215-'Database MK'!DB215</f>
        <v>5</v>
      </c>
      <c r="AD214" s="7">
        <f>'Database MK'!DA215-'Database MK'!DF215</f>
        <v>-4</v>
      </c>
      <c r="AE214" s="7">
        <f>'Database MK'!DK215-'Database MK'!DL215</f>
        <v>-46</v>
      </c>
      <c r="AF214" s="7">
        <f>'Database MK'!DK215-'Database MK'!DO215</f>
        <v>-64</v>
      </c>
      <c r="AG214" s="7">
        <f>'Database MK'!DU215-'Database MK'!DW215</f>
        <v>-67</v>
      </c>
      <c r="AH214" s="7">
        <f>IF('Database MK'!EB215="","Belum",'Database MK'!DU215-'Database MK'!EB215)</f>
        <v>-526</v>
      </c>
      <c r="AI214" s="7">
        <f>IF('Database MK'!EN215="","Belum",'Database MK'!EL215-'Database MK'!EN215)</f>
        <v>-440</v>
      </c>
      <c r="AJ214" s="7">
        <f>'Database MK'!FY215-'Database MK'!FZ215</f>
        <v>0</v>
      </c>
      <c r="AK214" s="7">
        <f>IF('Database MK'!GC215="","Belum",'Database MK'!GB215-'Database MK'!GC215)</f>
        <v>110</v>
      </c>
      <c r="AL214" s="7">
        <f>IF('Database MK'!GF215="","Belum",'Database MK'!GE215-'Database MK'!GF215)</f>
        <v>117</v>
      </c>
      <c r="AM214" s="309">
        <f>IF('Database MK'!GJ215="","Belum",'Database MK'!GI215-'Database MK'!GJ215)</f>
        <v>-31</v>
      </c>
      <c r="AN214" s="7">
        <f>IF('Database MK'!HG215="","Belum",'Database MK'!HF215-'Database MK'!HG215)</f>
        <v>-180</v>
      </c>
      <c r="AO214" s="7">
        <f>IF('Database MK'!HP215="","Belum",'Database MK'!HN215-'Database MK'!HP215)</f>
        <v>-173</v>
      </c>
      <c r="AP214" s="7">
        <f>IF('Database MK'!HV215="","Belum",'Database MK'!HT215-'Database MK'!HV215)</f>
        <v>-208</v>
      </c>
    </row>
    <row r="215" spans="2:42" hidden="1" x14ac:dyDescent="0.2">
      <c r="B215" s="7">
        <f>SUBTOTAL(3,$C$4:C215)</f>
        <v>74</v>
      </c>
      <c r="C215" s="299" t="s">
        <v>673</v>
      </c>
      <c r="D215" s="4" t="s">
        <v>1629</v>
      </c>
      <c r="E215" s="4" t="s">
        <v>1630</v>
      </c>
      <c r="F215" s="300">
        <v>45931</v>
      </c>
      <c r="G215" s="4" t="s">
        <v>247</v>
      </c>
      <c r="H215" s="4" t="str">
        <f ca="1">'Database MK'!Q216</f>
        <v>DPPP</v>
      </c>
      <c r="I215" s="24">
        <f>'Database MK'!S216</f>
        <v>1</v>
      </c>
      <c r="J215" s="24">
        <f>'Database MK'!T216</f>
        <v>1</v>
      </c>
      <c r="K215" s="603">
        <f>'Database MK'!U216</f>
        <v>0</v>
      </c>
      <c r="L215" s="593">
        <f>'Database MK'!V216</f>
        <v>3458</v>
      </c>
      <c r="M215" s="593">
        <f>'Database MK'!W216</f>
        <v>3364</v>
      </c>
      <c r="N215" s="593">
        <f>Table3[[#This Row],[Total Panjang Pipa Aktual]]-Table3[[#This Row],[Volume
BA MC-0]]</f>
        <v>-94</v>
      </c>
      <c r="O215" s="7" t="str">
        <f ca="1">'Database MK'!DE216</f>
        <v>Sudah, OnSchedule</v>
      </c>
      <c r="P215" s="7" t="str">
        <f ca="1">'Database MK'!DI216</f>
        <v>Sudah, Delay</v>
      </c>
      <c r="Q215" s="7" t="str">
        <f ca="1">'Database MK'!DN216</f>
        <v>Sudah, Delay</v>
      </c>
      <c r="R215" s="7" t="str">
        <f ca="1">'Database MK'!DR216</f>
        <v>Sudah, Delay</v>
      </c>
      <c r="S215" s="7" t="str">
        <f ca="1">'Database MK'!EA216</f>
        <v>Sudah, Delay</v>
      </c>
      <c r="T215" s="7" t="str">
        <f ca="1">'Database MK'!EI216</f>
        <v>Sudah, Delay</v>
      </c>
      <c r="U215" s="7" t="str">
        <f ca="1">'Database MK'!ET216</f>
        <v>Sudah, Delay</v>
      </c>
      <c r="V215" s="7" t="str">
        <f ca="1">'Database MK'!GA216</f>
        <v>Belum, Delay</v>
      </c>
      <c r="W215" s="7" t="str">
        <f ca="1">'Database MK'!GD216</f>
        <v>Sudah, OnSchedule</v>
      </c>
      <c r="X215" s="7" t="str">
        <f ca="1">'Database MK'!GG216</f>
        <v>Sudah, OnSchedule</v>
      </c>
      <c r="Y215" s="7" t="str">
        <f ca="1">'Database MK'!GK216</f>
        <v>Sudah, Delay</v>
      </c>
      <c r="Z215" s="7" t="str">
        <f ca="1">'Database MK'!HH216</f>
        <v>Sudah, Delay</v>
      </c>
      <c r="AA215" s="7" t="str">
        <f ca="1">'Database MK'!HQ216</f>
        <v>Sudah, Delay</v>
      </c>
      <c r="AB215" s="7" t="str">
        <f ca="1">'Database MK'!HW216</f>
        <v>Sudah, Delay</v>
      </c>
      <c r="AC215" s="7">
        <f>'Database MK'!DA216-'Database MK'!DB216</f>
        <v>0</v>
      </c>
      <c r="AD215" s="7">
        <f>'Database MK'!DA216-'Database MK'!DF216</f>
        <v>-8</v>
      </c>
      <c r="AE215" s="7">
        <f>'Database MK'!DK216-'Database MK'!DL216</f>
        <v>-18</v>
      </c>
      <c r="AF215" s="7">
        <f>'Database MK'!DK216-'Database MK'!DO216</f>
        <v>-29</v>
      </c>
      <c r="AG215" s="7">
        <f>'Database MK'!DU216-'Database MK'!DW216</f>
        <v>-39</v>
      </c>
      <c r="AH215" s="7">
        <f>IF('Database MK'!EB216="","Belum",'Database MK'!DU216-'Database MK'!EB216)</f>
        <v>-121</v>
      </c>
      <c r="AI215" s="7">
        <f>IF('Database MK'!EN216="","Belum",'Database MK'!EL216-'Database MK'!EN216)</f>
        <v>-342</v>
      </c>
      <c r="AJ215" s="7">
        <f>'Database MK'!FY216-'Database MK'!FZ216</f>
        <v>0</v>
      </c>
      <c r="AK215" s="7">
        <f>IF('Database MK'!GC216="","Belum",'Database MK'!GB216-'Database MK'!GC216)</f>
        <v>138</v>
      </c>
      <c r="AL215" s="7">
        <f>IF('Database MK'!GF216="","Belum",'Database MK'!GE216-'Database MK'!GF216)</f>
        <v>145</v>
      </c>
      <c r="AM215" s="309">
        <f>IF('Database MK'!GJ216="","Belum",'Database MK'!GI216-'Database MK'!GJ216)</f>
        <v>-2</v>
      </c>
      <c r="AN215" s="7">
        <f>IF('Database MK'!HG216="","Belum",'Database MK'!HF216-'Database MK'!HG216)</f>
        <v>-80</v>
      </c>
      <c r="AO215" s="7">
        <f>IF('Database MK'!HP216="","Belum",'Database MK'!HN216-'Database MK'!HP216)</f>
        <v>-73</v>
      </c>
      <c r="AP215" s="7">
        <f>IF('Database MK'!HV216="","Belum",'Database MK'!HT216-'Database MK'!HV216)</f>
        <v>-71</v>
      </c>
    </row>
    <row r="216" spans="2:42" hidden="1" x14ac:dyDescent="0.2">
      <c r="B216" s="7">
        <f>SUBTOTAL(3,$C$4:C216)</f>
        <v>74</v>
      </c>
      <c r="C216" s="299" t="s">
        <v>673</v>
      </c>
      <c r="D216" s="4" t="s">
        <v>1640</v>
      </c>
      <c r="E216" s="4" t="s">
        <v>1641</v>
      </c>
      <c r="F216" s="300">
        <v>45931</v>
      </c>
      <c r="G216" s="4" t="s">
        <v>247</v>
      </c>
      <c r="H216" s="4" t="str">
        <f ca="1">'Database MK'!Q217</f>
        <v>DPPP</v>
      </c>
      <c r="I216" s="24">
        <f>'Database MK'!S217</f>
        <v>1</v>
      </c>
      <c r="J216" s="24">
        <f>'Database MK'!T217</f>
        <v>1</v>
      </c>
      <c r="K216" s="603">
        <f>'Database MK'!U217</f>
        <v>0</v>
      </c>
      <c r="L216" s="593">
        <f>'Database MK'!V217</f>
        <v>375</v>
      </c>
      <c r="M216" s="593">
        <f>'Database MK'!W217</f>
        <v>387</v>
      </c>
      <c r="N216" s="593">
        <f>Table3[[#This Row],[Total Panjang Pipa Aktual]]-Table3[[#This Row],[Volume
BA MC-0]]</f>
        <v>12</v>
      </c>
      <c r="O216" s="7" t="str">
        <f ca="1">'Database MK'!DE217</f>
        <v>Sudah, OnSchedule</v>
      </c>
      <c r="P216" s="7" t="str">
        <f ca="1">'Database MK'!DI217</f>
        <v>Sudah, Delay</v>
      </c>
      <c r="Q216" s="7" t="str">
        <f ca="1">'Database MK'!DN217</f>
        <v>Sudah, Delay</v>
      </c>
      <c r="R216" s="7" t="str">
        <f ca="1">'Database MK'!DR217</f>
        <v>Sudah, Delay</v>
      </c>
      <c r="S216" s="7" t="str">
        <f ca="1">'Database MK'!EA217</f>
        <v>Sudah, Delay</v>
      </c>
      <c r="T216" s="7" t="str">
        <f ca="1">'Database MK'!EI217</f>
        <v>Sudah, Delay</v>
      </c>
      <c r="U216" s="7" t="str">
        <f ca="1">'Database MK'!ET217</f>
        <v>Sudah, Delay</v>
      </c>
      <c r="V216" s="7" t="str">
        <f ca="1">'Database MK'!GA217</f>
        <v>Belum, Delay</v>
      </c>
      <c r="W216" s="7" t="str">
        <f ca="1">'Database MK'!GD217</f>
        <v>Sudah, OnSchedule</v>
      </c>
      <c r="X216" s="7" t="str">
        <f ca="1">'Database MK'!GG217</f>
        <v>Sudah, OnSchedule</v>
      </c>
      <c r="Y216" s="7" t="str">
        <f ca="1">'Database MK'!GK217</f>
        <v>Sudah, Delay</v>
      </c>
      <c r="Z216" s="7" t="str">
        <f ca="1">'Database MK'!HH217</f>
        <v>Sudah, Delay</v>
      </c>
      <c r="AA216" s="7" t="str">
        <f ca="1">'Database MK'!HQ217</f>
        <v>Sudah, Delay</v>
      </c>
      <c r="AB216" s="7" t="str">
        <f ca="1">'Database MK'!HW217</f>
        <v>Sudah, Delay</v>
      </c>
      <c r="AC216" s="7">
        <f>'Database MK'!DA217-'Database MK'!DB217</f>
        <v>6</v>
      </c>
      <c r="AD216" s="7">
        <f>'Database MK'!DA217-'Database MK'!DF217</f>
        <v>-5</v>
      </c>
      <c r="AE216" s="7">
        <f>'Database MK'!DK217-'Database MK'!DL217</f>
        <v>-5</v>
      </c>
      <c r="AF216" s="7">
        <f>'Database MK'!DK217-'Database MK'!DO217</f>
        <v>-36</v>
      </c>
      <c r="AG216" s="7">
        <f>'Database MK'!DU217-'Database MK'!DW217</f>
        <v>-26</v>
      </c>
      <c r="AH216" s="7">
        <f>IF('Database MK'!EB217="","Belum",'Database MK'!DU217-'Database MK'!EB217)</f>
        <v>-190</v>
      </c>
      <c r="AI216" s="7">
        <f>IF('Database MK'!EN217="","Belum",'Database MK'!EL217-'Database MK'!EN217)</f>
        <v>-405</v>
      </c>
      <c r="AJ216" s="7">
        <f>'Database MK'!FY217-'Database MK'!FZ217</f>
        <v>0</v>
      </c>
      <c r="AK216" s="7">
        <f>IF('Database MK'!GC217="","Belum",'Database MK'!GB217-'Database MK'!GC217)</f>
        <v>138</v>
      </c>
      <c r="AL216" s="7">
        <f>IF('Database MK'!GF217="","Belum",'Database MK'!GE217-'Database MK'!GF217)</f>
        <v>145</v>
      </c>
      <c r="AM216" s="309">
        <f>IF('Database MK'!GJ217="","Belum",'Database MK'!GI217-'Database MK'!GJ217)</f>
        <v>-2</v>
      </c>
      <c r="AN216" s="7">
        <f>IF('Database MK'!HG217="","Belum",'Database MK'!HF217-'Database MK'!HG217)</f>
        <v>-150</v>
      </c>
      <c r="AO216" s="7">
        <f>IF('Database MK'!HP217="","Belum",'Database MK'!HN217-'Database MK'!HP217)</f>
        <v>-136</v>
      </c>
      <c r="AP216" s="7">
        <f>IF('Database MK'!HV217="","Belum",'Database MK'!HT217-'Database MK'!HV217)</f>
        <v>-134</v>
      </c>
    </row>
    <row r="217" spans="2:42" hidden="1" x14ac:dyDescent="0.2">
      <c r="B217" s="7">
        <f>SUBTOTAL(3,$C$4:C217)</f>
        <v>74</v>
      </c>
      <c r="C217" s="299" t="s">
        <v>673</v>
      </c>
      <c r="D217" s="4" t="s">
        <v>1648</v>
      </c>
      <c r="E217" s="4" t="s">
        <v>1649</v>
      </c>
      <c r="F217" s="300">
        <v>45931</v>
      </c>
      <c r="G217" s="4" t="s">
        <v>247</v>
      </c>
      <c r="H217" s="4" t="str">
        <f ca="1">'Database MK'!Q218</f>
        <v>DPPP</v>
      </c>
      <c r="I217" s="24">
        <f>'Database MK'!S218</f>
        <v>1</v>
      </c>
      <c r="J217" s="24">
        <f>'Database MK'!T218</f>
        <v>1</v>
      </c>
      <c r="K217" s="603">
        <f>'Database MK'!U218</f>
        <v>0</v>
      </c>
      <c r="L217" s="593">
        <f>'Database MK'!V218</f>
        <v>1595</v>
      </c>
      <c r="M217" s="593">
        <f>'Database MK'!W218</f>
        <v>1647</v>
      </c>
      <c r="N217" s="593">
        <f>Table3[[#This Row],[Total Panjang Pipa Aktual]]-Table3[[#This Row],[Volume
BA MC-0]]</f>
        <v>52</v>
      </c>
      <c r="O217" s="7" t="str">
        <f ca="1">'Database MK'!DE218</f>
        <v>Sudah, OnSchedule</v>
      </c>
      <c r="P217" s="7" t="str">
        <f ca="1">'Database MK'!DI218</f>
        <v>Sudah, OnSchedule</v>
      </c>
      <c r="Q217" s="7" t="str">
        <f ca="1">'Database MK'!DN218</f>
        <v>Sudah, OnSchedule</v>
      </c>
      <c r="R217" s="7" t="str">
        <f ca="1">'Database MK'!DR218</f>
        <v>Sudah, Delay</v>
      </c>
      <c r="S217" s="7" t="str">
        <f ca="1">'Database MK'!EA218</f>
        <v>Sudah, OnSchedule</v>
      </c>
      <c r="T217" s="7" t="str">
        <f ca="1">'Database MK'!EI218</f>
        <v>Sudah, Delay</v>
      </c>
      <c r="U217" s="7" t="str">
        <f ca="1">'Database MK'!ET218</f>
        <v>Sudah, Delay</v>
      </c>
      <c r="V217" s="7" t="str">
        <f ca="1">'Database MK'!GA218</f>
        <v>Belum, Delay</v>
      </c>
      <c r="W217" s="7" t="str">
        <f ca="1">'Database MK'!GD218</f>
        <v>Sudah, OnSchedule</v>
      </c>
      <c r="X217" s="7" t="str">
        <f ca="1">'Database MK'!GG218</f>
        <v>Sudah, OnSchedule</v>
      </c>
      <c r="Y217" s="7" t="str">
        <f ca="1">'Database MK'!GK218</f>
        <v>Sudah, OnSchedule</v>
      </c>
      <c r="Z217" s="7" t="str">
        <f ca="1">'Database MK'!HH218</f>
        <v>Sudah, Delay</v>
      </c>
      <c r="AA217" s="7" t="str">
        <f ca="1">'Database MK'!HQ218</f>
        <v>Sudah, Delay</v>
      </c>
      <c r="AB217" s="7" t="str">
        <f ca="1">'Database MK'!HW218</f>
        <v>Sudah, Delay</v>
      </c>
      <c r="AC217" s="7">
        <f>'Database MK'!DA218-'Database MK'!DB218</f>
        <v>17</v>
      </c>
      <c r="AD217" s="7">
        <f>'Database MK'!DA218-'Database MK'!DF218</f>
        <v>9</v>
      </c>
      <c r="AE217" s="7">
        <f>'Database MK'!DK218-'Database MK'!DL218</f>
        <v>25</v>
      </c>
      <c r="AF217" s="7">
        <f>'Database MK'!DK218-'Database MK'!DO218</f>
        <v>-29</v>
      </c>
      <c r="AG217" s="7">
        <f>'Database MK'!DU218-'Database MK'!DW218</f>
        <v>18</v>
      </c>
      <c r="AH217" s="7">
        <f>IF('Database MK'!EB218="","Belum",'Database MK'!DU218-'Database MK'!EB218)</f>
        <v>-269</v>
      </c>
      <c r="AI217" s="7">
        <f>IF('Database MK'!EN218="","Belum",'Database MK'!EL218-'Database MK'!EN218)</f>
        <v>-277</v>
      </c>
      <c r="AJ217" s="7">
        <f>'Database MK'!FY218-'Database MK'!FZ218</f>
        <v>0</v>
      </c>
      <c r="AK217" s="7">
        <f>IF('Database MK'!GC218="","Belum",'Database MK'!GB218-'Database MK'!GC218)</f>
        <v>0</v>
      </c>
      <c r="AL217" s="7">
        <f>IF('Database MK'!GF218="","Belum",'Database MK'!GE218-'Database MK'!GF218)</f>
        <v>7</v>
      </c>
      <c r="AM217" s="309">
        <f>IF('Database MK'!GJ218="","Belum",'Database MK'!GI218-'Database MK'!GJ218)</f>
        <v>12</v>
      </c>
      <c r="AN217" s="7">
        <f>IF('Database MK'!HG218="","Belum",'Database MK'!HF218-'Database MK'!HG218)</f>
        <v>-79</v>
      </c>
      <c r="AO217" s="7">
        <f>IF('Database MK'!HP218="","Belum",'Database MK'!HN218-'Database MK'!HP218)</f>
        <v>-161</v>
      </c>
      <c r="AP217" s="7">
        <f>IF('Database MK'!HV218="","Belum",'Database MK'!HT218-'Database MK'!HV218)</f>
        <v>-162</v>
      </c>
    </row>
    <row r="218" spans="2:42" hidden="1" x14ac:dyDescent="0.2">
      <c r="B218" s="7">
        <f>SUBTOTAL(3,$C$4:C218)</f>
        <v>74</v>
      </c>
      <c r="C218" s="299" t="s">
        <v>673</v>
      </c>
      <c r="D218" s="4" t="s">
        <v>1655</v>
      </c>
      <c r="E218" s="4" t="s">
        <v>1656</v>
      </c>
      <c r="F218" s="300">
        <v>45931</v>
      </c>
      <c r="G218" s="4" t="s">
        <v>247</v>
      </c>
      <c r="H218" s="4" t="str">
        <f ca="1">'Database MK'!Q219</f>
        <v>Proses Konstruksi</v>
      </c>
      <c r="I218" s="24">
        <f>'Database MK'!S219</f>
        <v>1</v>
      </c>
      <c r="J218" s="24">
        <f>'Database MK'!T219</f>
        <v>0.90117315102742679</v>
      </c>
      <c r="K218" s="603">
        <f>'Database MK'!U219</f>
        <v>-9.8826848972573211E-2</v>
      </c>
      <c r="L218" s="593">
        <f>'Database MK'!V219</f>
        <v>220</v>
      </c>
      <c r="M218" s="593">
        <f>'Database MK'!W219</f>
        <v>220</v>
      </c>
      <c r="N218" s="593">
        <f>Table3[[#This Row],[Total Panjang Pipa Aktual]]-Table3[[#This Row],[Volume
BA MC-0]]</f>
        <v>0</v>
      </c>
      <c r="O218" s="7" t="str">
        <f ca="1">'Database MK'!DE219</f>
        <v>Sudah, Delay</v>
      </c>
      <c r="P218" s="7" t="str">
        <f ca="1">'Database MK'!DI219</f>
        <v>Sudah, Delay</v>
      </c>
      <c r="Q218" s="7" t="str">
        <f ca="1">'Database MK'!DN219</f>
        <v>Sudah, Delay</v>
      </c>
      <c r="R218" s="7" t="str">
        <f ca="1">'Database MK'!DR219</f>
        <v>Sudah, Delay</v>
      </c>
      <c r="S218" s="7" t="str">
        <f ca="1">'Database MK'!EA219</f>
        <v>Sudah, Delay</v>
      </c>
      <c r="T218" s="7" t="str">
        <f ca="1">'Database MK'!EI219</f>
        <v>Sudah, Delay</v>
      </c>
      <c r="U218" s="7" t="str">
        <f ca="1">'Database MK'!ET219</f>
        <v>Belum, Delay</v>
      </c>
      <c r="V218" s="7" t="str">
        <f ca="1">'Database MK'!GA219</f>
        <v>Belum, Delay</v>
      </c>
      <c r="W218" s="7" t="str">
        <f ca="1">'Database MK'!GD219</f>
        <v>Sudah, OnSchedule</v>
      </c>
      <c r="X218" s="7" t="str">
        <f ca="1">'Database MK'!GG219</f>
        <v>Sudah, OnSchedule</v>
      </c>
      <c r="Y218" s="7" t="str">
        <f ca="1">'Database MK'!GK219</f>
        <v>Sudah, Delay</v>
      </c>
      <c r="Z218" s="7" t="str">
        <f ca="1">'Database MK'!HH219</f>
        <v>Belum, Delay</v>
      </c>
      <c r="AA218" s="7" t="str">
        <f ca="1">'Database MK'!HQ219</f>
        <v>Belum, Delay</v>
      </c>
      <c r="AB218" s="7" t="str">
        <f ca="1">'Database MK'!HW219</f>
        <v>Belum, Delay</v>
      </c>
      <c r="AC218" s="7">
        <f>'Database MK'!DA219-'Database MK'!DB219</f>
        <v>-46</v>
      </c>
      <c r="AD218" s="7">
        <f>'Database MK'!DA219-'Database MK'!DF219</f>
        <v>-57</v>
      </c>
      <c r="AE218" s="7">
        <f>'Database MK'!DK219-'Database MK'!DL219</f>
        <v>-46</v>
      </c>
      <c r="AF218" s="7">
        <f>'Database MK'!DK219-'Database MK'!DO219</f>
        <v>-79</v>
      </c>
      <c r="AG218" s="7">
        <f>'Database MK'!DU219-'Database MK'!DW219</f>
        <v>-67</v>
      </c>
      <c r="AH218" s="7">
        <f>IF('Database MK'!EB219="","Belum",'Database MK'!DU219-'Database MK'!EB219)</f>
        <v>-106</v>
      </c>
      <c r="AI218" s="7" t="str">
        <f>IF('Database MK'!EN219="","Belum",'Database MK'!EL219-'Database MK'!EN219)</f>
        <v>Belum</v>
      </c>
      <c r="AJ218" s="7">
        <f>'Database MK'!FY219-'Database MK'!FZ219</f>
        <v>0</v>
      </c>
      <c r="AK218" s="7">
        <f>IF('Database MK'!GC219="","Belum",'Database MK'!GB219-'Database MK'!GC219)</f>
        <v>110</v>
      </c>
      <c r="AL218" s="7">
        <f>IF('Database MK'!GF219="","Belum",'Database MK'!GE219-'Database MK'!GF219)</f>
        <v>117</v>
      </c>
      <c r="AM218" s="309">
        <f>IF('Database MK'!GJ219="","Belum",'Database MK'!GI219-'Database MK'!GJ219)</f>
        <v>-29</v>
      </c>
      <c r="AN218" s="7" t="str">
        <f>IF('Database MK'!HG219="","Belum",'Database MK'!HF219-'Database MK'!HG219)</f>
        <v>Belum</v>
      </c>
      <c r="AO218" s="7" t="str">
        <f>IF('Database MK'!HP219="","Belum",'Database MK'!HN219-'Database MK'!HP219)</f>
        <v>Belum</v>
      </c>
      <c r="AP218" s="7" t="str">
        <f>IF('Database MK'!HV219="","Belum",'Database MK'!HT219-'Database MK'!HV219)</f>
        <v>Belum</v>
      </c>
    </row>
    <row r="219" spans="2:42" hidden="1" x14ac:dyDescent="0.2">
      <c r="B219" s="7">
        <f>SUBTOTAL(3,$C$4:C219)</f>
        <v>74</v>
      </c>
      <c r="C219" s="299" t="s">
        <v>673</v>
      </c>
      <c r="D219" s="4" t="s">
        <v>1664</v>
      </c>
      <c r="E219" s="4" t="s">
        <v>1665</v>
      </c>
      <c r="F219" s="300">
        <v>45931</v>
      </c>
      <c r="G219" s="4" t="s">
        <v>247</v>
      </c>
      <c r="H219" s="4" t="str">
        <f ca="1">'Database MK'!Q220</f>
        <v>DPPP</v>
      </c>
      <c r="I219" s="24">
        <f>'Database MK'!S220</f>
        <v>1</v>
      </c>
      <c r="J219" s="24">
        <f>'Database MK'!T220</f>
        <v>1</v>
      </c>
      <c r="K219" s="603">
        <f>'Database MK'!U220</f>
        <v>0</v>
      </c>
      <c r="L219" s="593">
        <f>'Database MK'!V220</f>
        <v>541</v>
      </c>
      <c r="M219" s="593">
        <f>'Database MK'!W220</f>
        <v>540</v>
      </c>
      <c r="N219" s="593">
        <f>Table3[[#This Row],[Total Panjang Pipa Aktual]]-Table3[[#This Row],[Volume
BA MC-0]]</f>
        <v>-1</v>
      </c>
      <c r="O219" s="7" t="str">
        <f ca="1">'Database MK'!DE220</f>
        <v>Sudah, OnSchedule</v>
      </c>
      <c r="P219" s="7" t="str">
        <f ca="1">'Database MK'!DI220</f>
        <v>Sudah, Delay</v>
      </c>
      <c r="Q219" s="7" t="str">
        <f ca="1">'Database MK'!DN220</f>
        <v>Sudah, Delay</v>
      </c>
      <c r="R219" s="7" t="str">
        <f ca="1">'Database MK'!DR220</f>
        <v>Sudah, Delay</v>
      </c>
      <c r="S219" s="7" t="str">
        <f ca="1">'Database MK'!EA220</f>
        <v>Sudah, Delay</v>
      </c>
      <c r="T219" s="7" t="str">
        <f ca="1">'Database MK'!EI220</f>
        <v>Sudah, Delay</v>
      </c>
      <c r="U219" s="7" t="str">
        <f ca="1">'Database MK'!ET220</f>
        <v>Sudah, Delay</v>
      </c>
      <c r="V219" s="7" t="str">
        <f ca="1">'Database MK'!GA220</f>
        <v>Belum, Delay</v>
      </c>
      <c r="W219" s="7" t="str">
        <f ca="1">'Database MK'!GD220</f>
        <v>Sudah, OnSchedule</v>
      </c>
      <c r="X219" s="7" t="str">
        <f ca="1">'Database MK'!GG220</f>
        <v>Sudah, OnSchedule</v>
      </c>
      <c r="Y219" s="7" t="str">
        <f ca="1">'Database MK'!GK220</f>
        <v>Sudah, Delay</v>
      </c>
      <c r="Z219" s="7" t="str">
        <f ca="1">'Database MK'!HH220</f>
        <v>Sudah, Delay</v>
      </c>
      <c r="AA219" s="7" t="str">
        <f ca="1">'Database MK'!HQ220</f>
        <v>Sudah, Delay</v>
      </c>
      <c r="AB219" s="7" t="str">
        <f ca="1">'Database MK'!HW220</f>
        <v>Sudah, Delay</v>
      </c>
      <c r="AC219" s="7">
        <f>'Database MK'!DA220-'Database MK'!DB220</f>
        <v>6</v>
      </c>
      <c r="AD219" s="7">
        <f>'Database MK'!DA220-'Database MK'!DF220</f>
        <v>-5</v>
      </c>
      <c r="AE219" s="7">
        <f>'Database MK'!DK220-'Database MK'!DL220</f>
        <v>-18</v>
      </c>
      <c r="AF219" s="7">
        <f>'Database MK'!DK220-'Database MK'!DO220</f>
        <v>-38</v>
      </c>
      <c r="AG219" s="7">
        <f>'Database MK'!DU220-'Database MK'!DW220</f>
        <v>-39</v>
      </c>
      <c r="AH219" s="7">
        <f>IF('Database MK'!EB220="","Belum",'Database MK'!DU220-'Database MK'!EB220)</f>
        <v>-47</v>
      </c>
      <c r="AI219" s="7">
        <f>IF('Database MK'!EN220="","Belum",'Database MK'!EL220-'Database MK'!EN220)</f>
        <v>-405</v>
      </c>
      <c r="AJ219" s="7">
        <f>'Database MK'!FY220-'Database MK'!FZ220</f>
        <v>0</v>
      </c>
      <c r="AK219" s="7">
        <f>IF('Database MK'!GC220="","Belum",'Database MK'!GB220-'Database MK'!GC220)</f>
        <v>138</v>
      </c>
      <c r="AL219" s="7">
        <f>IF('Database MK'!GF220="","Belum",'Database MK'!GE220-'Database MK'!GF220)</f>
        <v>145</v>
      </c>
      <c r="AM219" s="309">
        <f>IF('Database MK'!GJ220="","Belum",'Database MK'!GI220-'Database MK'!GJ220)</f>
        <v>-2</v>
      </c>
      <c r="AN219" s="7">
        <f>IF('Database MK'!HG220="","Belum",'Database MK'!HF220-'Database MK'!HG220)</f>
        <v>-50</v>
      </c>
      <c r="AO219" s="7">
        <f>IF('Database MK'!HP220="","Belum",'Database MK'!HN220-'Database MK'!HP220)</f>
        <v>-133</v>
      </c>
      <c r="AP219" s="7">
        <f>IF('Database MK'!HV220="","Belum",'Database MK'!HT220-'Database MK'!HV220)</f>
        <v>-134</v>
      </c>
    </row>
    <row r="220" spans="2:42" s="77" customFormat="1" hidden="1" x14ac:dyDescent="0.2">
      <c r="B220" s="307">
        <f>SUBTOTAL(3,$C$4:C220)</f>
        <v>74</v>
      </c>
      <c r="C220" s="77" t="s">
        <v>673</v>
      </c>
      <c r="D220" s="77" t="s">
        <v>1674</v>
      </c>
      <c r="E220" s="77" t="s">
        <v>1675</v>
      </c>
      <c r="F220" s="302">
        <v>45931</v>
      </c>
      <c r="G220" s="77" t="s">
        <v>247</v>
      </c>
      <c r="H220" s="77" t="str">
        <f>'Database MK'!Q221</f>
        <v>BATAL / CANCEL</v>
      </c>
      <c r="I220" s="604">
        <f>'Database MK'!S221</f>
        <v>1</v>
      </c>
      <c r="J220" s="604">
        <f>'Database MK'!T221</f>
        <v>0</v>
      </c>
      <c r="K220" s="605">
        <f>'Database MK'!U221</f>
        <v>-1</v>
      </c>
      <c r="L220" s="594">
        <f>'Database MK'!V221</f>
        <v>200</v>
      </c>
      <c r="M220" s="594">
        <f>'Database MK'!W221</f>
        <v>0</v>
      </c>
      <c r="N220" s="594">
        <f>Table3[[#This Row],[Total Panjang Pipa Aktual]]-Table3[[#This Row],[Volume
BA MC-0]]</f>
        <v>-200</v>
      </c>
      <c r="O220" s="307" t="str">
        <f ca="1">'Database MK'!DE221</f>
        <v>Sudah, Delay</v>
      </c>
      <c r="P220" s="307" t="str">
        <f ca="1">'Database MK'!DI221</f>
        <v>Sudah, Delay</v>
      </c>
      <c r="Q220" s="307" t="str">
        <f ca="1">'Database MK'!DN221</f>
        <v>Belum, Delay</v>
      </c>
      <c r="R220" s="307" t="str">
        <f ca="1">'Database MK'!DR221</f>
        <v>Belum, Delay</v>
      </c>
      <c r="S220" s="307" t="str">
        <f ca="1">'Database MK'!EA221</f>
        <v>Belum, Delay</v>
      </c>
      <c r="T220" s="307" t="str">
        <f ca="1">'Database MK'!EI221</f>
        <v>Belum, Delay</v>
      </c>
      <c r="U220" s="307" t="str">
        <f ca="1">'Database MK'!ET221</f>
        <v>Belum, Delay</v>
      </c>
      <c r="V220" s="307" t="str">
        <f ca="1">'Database MK'!GA221</f>
        <v>Belum, Delay</v>
      </c>
      <c r="W220" s="307" t="str">
        <f ca="1">'Database MK'!GD221</f>
        <v>Sudah, OnSchedule</v>
      </c>
      <c r="X220" s="307" t="str">
        <f ca="1">'Database MK'!GG221</f>
        <v>Sudah, OnSchedule</v>
      </c>
      <c r="Y220" s="307" t="str">
        <f ca="1">'Database MK'!GK221</f>
        <v>Sudah, OnSchedule</v>
      </c>
      <c r="Z220" s="307" t="str">
        <f ca="1">'Database MK'!HH221</f>
        <v>Belum, Delay</v>
      </c>
      <c r="AA220" s="307" t="str">
        <f ca="1">'Database MK'!HQ221</f>
        <v>Belum, Delay</v>
      </c>
      <c r="AB220" s="307" t="str">
        <f ca="1">'Database MK'!HW221</f>
        <v>Belum, Delay</v>
      </c>
      <c r="AC220" s="307"/>
      <c r="AD220" s="307"/>
      <c r="AE220" s="307"/>
      <c r="AF220" s="307"/>
      <c r="AG220" s="307"/>
      <c r="AH220" s="307"/>
      <c r="AI220" s="307"/>
      <c r="AJ220" s="307">
        <f>'Database MK'!FY221-'Database MK'!FZ221</f>
        <v>0</v>
      </c>
      <c r="AK220" s="307"/>
      <c r="AL220" s="307"/>
      <c r="AM220" s="310"/>
      <c r="AN220" s="307"/>
      <c r="AO220" s="307"/>
      <c r="AP220" s="307"/>
    </row>
    <row r="221" spans="2:42" hidden="1" x14ac:dyDescent="0.2">
      <c r="B221" s="7">
        <f>SUBTOTAL(3,$C$4:C221)</f>
        <v>74</v>
      </c>
      <c r="C221" s="299" t="s">
        <v>673</v>
      </c>
      <c r="D221" s="4" t="s">
        <v>1679</v>
      </c>
      <c r="E221" s="4" t="s">
        <v>1680</v>
      </c>
      <c r="F221" s="300">
        <v>45931</v>
      </c>
      <c r="G221" s="4" t="s">
        <v>247</v>
      </c>
      <c r="H221" s="4" t="str">
        <f ca="1">'Database MK'!Q222</f>
        <v>DPPP</v>
      </c>
      <c r="I221" s="24">
        <f>'Database MK'!S222</f>
        <v>1</v>
      </c>
      <c r="J221" s="24">
        <f>'Database MK'!T222</f>
        <v>1</v>
      </c>
      <c r="K221" s="603">
        <f>'Database MK'!U222</f>
        <v>0</v>
      </c>
      <c r="L221" s="593">
        <f>'Database MK'!V222</f>
        <v>6849</v>
      </c>
      <c r="M221" s="593">
        <f>'Database MK'!W222</f>
        <v>6830</v>
      </c>
      <c r="N221" s="593">
        <f>Table3[[#This Row],[Total Panjang Pipa Aktual]]-Table3[[#This Row],[Volume
BA MC-0]]</f>
        <v>-19</v>
      </c>
      <c r="O221" s="7" t="str">
        <f ca="1">'Database MK'!DE222</f>
        <v>Sudah, OnSchedule</v>
      </c>
      <c r="P221" s="7" t="str">
        <f ca="1">'Database MK'!DI222</f>
        <v>Sudah, Delay</v>
      </c>
      <c r="Q221" s="7" t="str">
        <f ca="1">'Database MK'!DN222</f>
        <v>Sudah, OnSchedule</v>
      </c>
      <c r="R221" s="7" t="str">
        <f ca="1">'Database MK'!DR222</f>
        <v>Sudah, Delay</v>
      </c>
      <c r="S221" s="7" t="str">
        <f ca="1">'Database MK'!EA222</f>
        <v>Sudah, OnSchedule</v>
      </c>
      <c r="T221" s="7" t="str">
        <f ca="1">'Database MK'!EI222</f>
        <v>Sudah, Delay</v>
      </c>
      <c r="U221" s="7" t="str">
        <f ca="1">'Database MK'!ET222</f>
        <v>Sudah, Delay</v>
      </c>
      <c r="V221" s="7" t="str">
        <f ca="1">'Database MK'!GA222</f>
        <v>Belum, Delay</v>
      </c>
      <c r="W221" s="7" t="str">
        <f ca="1">'Database MK'!GD222</f>
        <v>Sudah, OnSchedule</v>
      </c>
      <c r="X221" s="7" t="str">
        <f ca="1">'Database MK'!GG222</f>
        <v>Sudah, OnSchedule</v>
      </c>
      <c r="Y221" s="7" t="str">
        <f ca="1">'Database MK'!GK222</f>
        <v>Sudah, OnSchedule</v>
      </c>
      <c r="Z221" s="7" t="str">
        <f ca="1">'Database MK'!HH222</f>
        <v>Sudah, Delay</v>
      </c>
      <c r="AA221" s="7" t="str">
        <f ca="1">'Database MK'!HQ222</f>
        <v>Sudah, Delay</v>
      </c>
      <c r="AB221" s="7" t="str">
        <f ca="1">'Database MK'!HW222</f>
        <v>Sudah, Delay</v>
      </c>
      <c r="AC221" s="7">
        <f>'Database MK'!DA222-'Database MK'!DB222</f>
        <v>27</v>
      </c>
      <c r="AD221" s="7">
        <f>'Database MK'!DA222-'Database MK'!DF222</f>
        <v>-141</v>
      </c>
      <c r="AE221" s="7">
        <f>'Database MK'!DK222-'Database MK'!DL222</f>
        <v>25</v>
      </c>
      <c r="AF221" s="7">
        <f>'Database MK'!DK222-'Database MK'!DO222</f>
        <v>-64</v>
      </c>
      <c r="AG221" s="7">
        <f>'Database MK'!DU222-'Database MK'!DW222</f>
        <v>18</v>
      </c>
      <c r="AH221" s="7">
        <f>IF('Database MK'!EB222="","Belum",'Database MK'!DU222-'Database MK'!EB222)</f>
        <v>-269</v>
      </c>
      <c r="AI221" s="7">
        <f>IF('Database MK'!EN222="","Belum",'Database MK'!EL222-'Database MK'!EN222)</f>
        <v>-408</v>
      </c>
      <c r="AJ221" s="7">
        <f>'Database MK'!FY222-'Database MK'!FZ222</f>
        <v>0</v>
      </c>
      <c r="AK221" s="7">
        <f>IF('Database MK'!GC222="","Belum",'Database MK'!GB222-'Database MK'!GC222)</f>
        <v>0</v>
      </c>
      <c r="AL221" s="7">
        <f>IF('Database MK'!GF222="","Belum",'Database MK'!GE222-'Database MK'!GF222)</f>
        <v>7</v>
      </c>
      <c r="AM221" s="309">
        <f>IF('Database MK'!GJ222="","Belum",'Database MK'!GI222-'Database MK'!GJ222)</f>
        <v>12</v>
      </c>
      <c r="AN221" s="7">
        <f>IF('Database MK'!HG222="","Belum",'Database MK'!HF222-'Database MK'!HG222)</f>
        <v>-173</v>
      </c>
      <c r="AO221" s="7">
        <f>IF('Database MK'!HP222="","Belum",'Database MK'!HN222-'Database MK'!HP222)</f>
        <v>-161</v>
      </c>
      <c r="AP221" s="7">
        <f>IF('Database MK'!HV222="","Belum",'Database MK'!HT222-'Database MK'!HV222)</f>
        <v>-162</v>
      </c>
    </row>
    <row r="222" spans="2:42" hidden="1" x14ac:dyDescent="0.2">
      <c r="B222" s="7">
        <f>SUBTOTAL(3,$C$4:C222)</f>
        <v>74</v>
      </c>
      <c r="C222" s="299" t="s">
        <v>673</v>
      </c>
      <c r="D222" s="4" t="s">
        <v>1687</v>
      </c>
      <c r="E222" s="4" t="s">
        <v>1688</v>
      </c>
      <c r="F222" s="300">
        <v>45931</v>
      </c>
      <c r="G222" s="4" t="s">
        <v>247</v>
      </c>
      <c r="H222" s="4" t="str">
        <f ca="1">'Database MK'!Q223</f>
        <v>Flushing</v>
      </c>
      <c r="I222" s="24">
        <f>'Database MK'!S223</f>
        <v>1</v>
      </c>
      <c r="J222" s="24">
        <f>'Database MK'!T223</f>
        <v>0.94206072134420127</v>
      </c>
      <c r="K222" s="603">
        <f>'Database MK'!U223</f>
        <v>-5.7939278655798732E-2</v>
      </c>
      <c r="L222" s="593">
        <f>'Database MK'!V223</f>
        <v>15593</v>
      </c>
      <c r="M222" s="593">
        <f>'Database MK'!W223</f>
        <v>14577</v>
      </c>
      <c r="N222" s="593">
        <f>Table3[[#This Row],[Total Panjang Pipa Aktual]]-Table3[[#This Row],[Volume
BA MC-0]]</f>
        <v>-1016</v>
      </c>
      <c r="O222" s="7" t="str">
        <f ca="1">'Database MK'!DE223</f>
        <v>Sudah, OnSchedule</v>
      </c>
      <c r="P222" s="7" t="str">
        <f ca="1">'Database MK'!DI223</f>
        <v>Sudah, OnSchedule</v>
      </c>
      <c r="Q222" s="7" t="str">
        <f ca="1">'Database MK'!DN223</f>
        <v>Sudah, OnSchedule</v>
      </c>
      <c r="R222" s="7" t="str">
        <f ca="1">'Database MK'!DR223</f>
        <v>Sudah, Delay</v>
      </c>
      <c r="S222" s="7" t="str">
        <f ca="1">'Database MK'!EA223</f>
        <v>Sudah, Delay</v>
      </c>
      <c r="T222" s="7" t="str">
        <f ca="1">'Database MK'!EI223</f>
        <v>Belum, Delay</v>
      </c>
      <c r="U222" s="7" t="str">
        <f ca="1">'Database MK'!ET223</f>
        <v>Belum, Delay</v>
      </c>
      <c r="V222" s="7" t="str">
        <f ca="1">'Database MK'!GA223</f>
        <v>Belum, Delay</v>
      </c>
      <c r="W222" s="7" t="str">
        <f ca="1">'Database MK'!GD223</f>
        <v>Sudah, Delay</v>
      </c>
      <c r="X222" s="7" t="str">
        <f ca="1">'Database MK'!GG223</f>
        <v>Sudah, Delay</v>
      </c>
      <c r="Y222" s="7" t="str">
        <f ca="1">'Database MK'!GK223</f>
        <v>Sudah, Delay</v>
      </c>
      <c r="Z222" s="7" t="str">
        <f ca="1">'Database MK'!HH223</f>
        <v>Belum, Delay</v>
      </c>
      <c r="AA222" s="7" t="str">
        <f ca="1">'Database MK'!HQ223</f>
        <v>Belum, Delay</v>
      </c>
      <c r="AB222" s="7" t="str">
        <f ca="1">'Database MK'!HW223</f>
        <v>Belum, Delay</v>
      </c>
      <c r="AC222" s="7">
        <f>'Database MK'!DA223-'Database MK'!DB223</f>
        <v>108</v>
      </c>
      <c r="AD222" s="7">
        <f>'Database MK'!DA223-'Database MK'!DF223</f>
        <v>96</v>
      </c>
      <c r="AE222" s="7">
        <f>'Database MK'!DK223-'Database MK'!DL223</f>
        <v>10</v>
      </c>
      <c r="AF222" s="7">
        <f>'Database MK'!DK223-'Database MK'!DO223</f>
        <v>-15</v>
      </c>
      <c r="AG222" s="7">
        <f>'Database MK'!DU223-'Database MK'!DW223</f>
        <v>-284</v>
      </c>
      <c r="AH222" s="7" t="str">
        <f>IF('Database MK'!EB223="","Belum",'Database MK'!DU223-'Database MK'!EB223)</f>
        <v>Belum</v>
      </c>
      <c r="AI222" s="7" t="str">
        <f>IF('Database MK'!EN223="","Belum",'Database MK'!EL223-'Database MK'!EN223)</f>
        <v>Belum</v>
      </c>
      <c r="AJ222" s="7">
        <f>'Database MK'!FY223-'Database MK'!FZ223</f>
        <v>0</v>
      </c>
      <c r="AK222" s="7">
        <f>IF('Database MK'!GC223="","Belum",'Database MK'!GB223-'Database MK'!GC223)</f>
        <v>-54</v>
      </c>
      <c r="AL222" s="7">
        <f>IF('Database MK'!GF223="","Belum",'Database MK'!GE223-'Database MK'!GF223)</f>
        <v>-61</v>
      </c>
      <c r="AM222" s="309">
        <f>IF('Database MK'!GJ223="","Belum",'Database MK'!GI223-'Database MK'!GJ223)</f>
        <v>-72</v>
      </c>
      <c r="AN222" s="7" t="str">
        <f>IF('Database MK'!HG223="","Belum",'Database MK'!HF223-'Database MK'!HG223)</f>
        <v>Belum</v>
      </c>
      <c r="AO222" s="7" t="str">
        <f>IF('Database MK'!HP223="","Belum",'Database MK'!HN223-'Database MK'!HP223)</f>
        <v>Belum</v>
      </c>
      <c r="AP222" s="7" t="str">
        <f>IF('Database MK'!HV223="","Belum",'Database MK'!HT223-'Database MK'!HV223)</f>
        <v>Belum</v>
      </c>
    </row>
    <row r="223" spans="2:42" hidden="1" x14ac:dyDescent="0.2">
      <c r="B223" s="7">
        <f>SUBTOTAL(3,$C$4:C223)</f>
        <v>74</v>
      </c>
      <c r="C223" s="299" t="s">
        <v>673</v>
      </c>
      <c r="D223" s="4" t="s">
        <v>1696</v>
      </c>
      <c r="E223" s="4" t="s">
        <v>1697</v>
      </c>
      <c r="F223" s="300">
        <v>45931</v>
      </c>
      <c r="G223" s="4" t="s">
        <v>247</v>
      </c>
      <c r="H223" s="4" t="str">
        <f ca="1">'Database MK'!Q224</f>
        <v>Proses Konstruksi</v>
      </c>
      <c r="I223" s="24">
        <f>'Database MK'!S224</f>
        <v>1</v>
      </c>
      <c r="J223" s="24">
        <f>'Database MK'!T224</f>
        <v>0.9304821308518475</v>
      </c>
      <c r="K223" s="603">
        <f>'Database MK'!U224</f>
        <v>-6.95178691481525E-2</v>
      </c>
      <c r="L223" s="593">
        <f>'Database MK'!V224</f>
        <v>20298</v>
      </c>
      <c r="M223" s="593">
        <f>'Database MK'!W224</f>
        <v>21356</v>
      </c>
      <c r="N223" s="593">
        <f>Table3[[#This Row],[Total Panjang Pipa Aktual]]-Table3[[#This Row],[Volume
BA MC-0]]</f>
        <v>1058</v>
      </c>
      <c r="O223" s="7" t="str">
        <f ca="1">'Database MK'!DE224</f>
        <v>Sudah, OnSchedule</v>
      </c>
      <c r="P223" s="7" t="str">
        <f ca="1">'Database MK'!DI224</f>
        <v>Sudah, OnSchedule</v>
      </c>
      <c r="Q223" s="7" t="str">
        <f ca="1">'Database MK'!DN224</f>
        <v>Sudah, OnSchedule</v>
      </c>
      <c r="R223" s="7" t="str">
        <f ca="1">'Database MK'!DR224</f>
        <v>Sudah, Delay</v>
      </c>
      <c r="S223" s="7" t="str">
        <f ca="1">'Database MK'!EA224</f>
        <v>Sudah, OnSchedule</v>
      </c>
      <c r="T223" s="7" t="str">
        <f ca="1">'Database MK'!EI224</f>
        <v>Sudah, Delay</v>
      </c>
      <c r="U223" s="7" t="str">
        <f ca="1">'Database MK'!ET224</f>
        <v>Belum, Delay</v>
      </c>
      <c r="V223" s="7" t="str">
        <f ca="1">'Database MK'!GA224</f>
        <v>Belum, Delay</v>
      </c>
      <c r="W223" s="7" t="str">
        <f ca="1">'Database MK'!GD224</f>
        <v>Sudah, Delay</v>
      </c>
      <c r="X223" s="7" t="str">
        <f ca="1">'Database MK'!GG224</f>
        <v>Sudah, Delay</v>
      </c>
      <c r="Y223" s="7" t="str">
        <f ca="1">'Database MK'!GK224</f>
        <v>Sudah, Delay</v>
      </c>
      <c r="Z223" s="7" t="str">
        <f ca="1">'Database MK'!HH224</f>
        <v>Belum, Delay</v>
      </c>
      <c r="AA223" s="7" t="str">
        <f ca="1">'Database MK'!HQ224</f>
        <v>Belum, Delay</v>
      </c>
      <c r="AB223" s="7" t="str">
        <f ca="1">'Database MK'!HW224</f>
        <v>Belum, Delay</v>
      </c>
      <c r="AC223" s="7">
        <f>'Database MK'!DA224-'Database MK'!DB224</f>
        <v>108</v>
      </c>
      <c r="AD223" s="7">
        <f>'Database MK'!DA224-'Database MK'!DF224</f>
        <v>96</v>
      </c>
      <c r="AE223" s="7">
        <f>'Database MK'!DK224-'Database MK'!DL224</f>
        <v>18</v>
      </c>
      <c r="AF223" s="7">
        <f>'Database MK'!DK224-'Database MK'!DO224</f>
        <v>-44</v>
      </c>
      <c r="AG223" s="7">
        <f>'Database MK'!DU224-'Database MK'!DW224</f>
        <v>20</v>
      </c>
      <c r="AH223" s="7">
        <f>IF('Database MK'!EB224="","Belum",'Database MK'!DU224-'Database MK'!EB224)</f>
        <v>-226</v>
      </c>
      <c r="AI223" s="7" t="str">
        <f>IF('Database MK'!EN224="","Belum",'Database MK'!EL224-'Database MK'!EN224)</f>
        <v>Belum</v>
      </c>
      <c r="AJ223" s="7">
        <f>'Database MK'!FY224-'Database MK'!FZ224</f>
        <v>0</v>
      </c>
      <c r="AK223" s="7">
        <f>IF('Database MK'!GC224="","Belum",'Database MK'!GB224-'Database MK'!GC224)</f>
        <v>-54</v>
      </c>
      <c r="AL223" s="7">
        <f>IF('Database MK'!GF224="","Belum",'Database MK'!GE224-'Database MK'!GF224)</f>
        <v>-61</v>
      </c>
      <c r="AM223" s="309">
        <f>IF('Database MK'!GJ224="","Belum",'Database MK'!GI224-'Database MK'!GJ224)</f>
        <v>-73</v>
      </c>
      <c r="AN223" s="7" t="str">
        <f>IF('Database MK'!HG224="","Belum",'Database MK'!HF224-'Database MK'!HG224)</f>
        <v>Belum</v>
      </c>
      <c r="AO223" s="7" t="str">
        <f>IF('Database MK'!HP224="","Belum",'Database MK'!HN224-'Database MK'!HP224)</f>
        <v>Belum</v>
      </c>
      <c r="AP223" s="7" t="str">
        <f>IF('Database MK'!HV224="","Belum",'Database MK'!HT224-'Database MK'!HV224)</f>
        <v>Belum</v>
      </c>
    </row>
    <row r="224" spans="2:42" hidden="1" x14ac:dyDescent="0.2">
      <c r="B224" s="7">
        <f>SUBTOTAL(3,$C$4:C224)</f>
        <v>74</v>
      </c>
      <c r="C224" s="299" t="s">
        <v>673</v>
      </c>
      <c r="D224" s="4" t="s">
        <v>1706</v>
      </c>
      <c r="E224" s="4" t="s">
        <v>1707</v>
      </c>
      <c r="F224" s="300">
        <v>45931</v>
      </c>
      <c r="G224" s="4" t="s">
        <v>247</v>
      </c>
      <c r="H224" s="4" t="str">
        <f ca="1">'Database MK'!Q225</f>
        <v>Proses Konstruksi</v>
      </c>
      <c r="I224" s="24">
        <f>'Database MK'!S225</f>
        <v>1</v>
      </c>
      <c r="J224" s="24">
        <f>'Database MK'!T225</f>
        <v>0.89781398847195915</v>
      </c>
      <c r="K224" s="603">
        <f>'Database MK'!U225</f>
        <v>-0.10218601152804085</v>
      </c>
      <c r="L224" s="593">
        <f>'Database MK'!V225</f>
        <v>23500</v>
      </c>
      <c r="M224" s="593">
        <f>'Database MK'!W225</f>
        <v>22072</v>
      </c>
      <c r="N224" s="593">
        <f>Table3[[#This Row],[Total Panjang Pipa Aktual]]-Table3[[#This Row],[Volume
BA MC-0]]</f>
        <v>-1428</v>
      </c>
      <c r="O224" s="7" t="str">
        <f ca="1">'Database MK'!DE225</f>
        <v>Sudah, OnSchedule</v>
      </c>
      <c r="P224" s="7" t="str">
        <f ca="1">'Database MK'!DI225</f>
        <v>Sudah, OnSchedule</v>
      </c>
      <c r="Q224" s="7" t="str">
        <f ca="1">'Database MK'!DN225</f>
        <v>Sudah, OnSchedule</v>
      </c>
      <c r="R224" s="7" t="str">
        <f ca="1">'Database MK'!DR225</f>
        <v>Sudah, Delay</v>
      </c>
      <c r="S224" s="7" t="str">
        <f ca="1">'Database MK'!EA225</f>
        <v>Sudah, Delay</v>
      </c>
      <c r="T224" s="7" t="str">
        <f ca="1">'Database MK'!EI225</f>
        <v>Sudah, Delay</v>
      </c>
      <c r="U224" s="7" t="str">
        <f ca="1">'Database MK'!ET225</f>
        <v>Belum, Delay</v>
      </c>
      <c r="V224" s="7" t="str">
        <f ca="1">'Database MK'!GA225</f>
        <v>Belum, Delay</v>
      </c>
      <c r="W224" s="7" t="str">
        <f ca="1">'Database MK'!GD225</f>
        <v>Sudah, Delay</v>
      </c>
      <c r="X224" s="7" t="str">
        <f ca="1">'Database MK'!GG225</f>
        <v>Sudah, Delay</v>
      </c>
      <c r="Y224" s="7" t="str">
        <f ca="1">'Database MK'!GK225</f>
        <v>Sudah, Delay</v>
      </c>
      <c r="Z224" s="7" t="str">
        <f ca="1">'Database MK'!HH225</f>
        <v>Belum, Delay</v>
      </c>
      <c r="AA224" s="7" t="str">
        <f ca="1">'Database MK'!HQ225</f>
        <v>Belum, Delay</v>
      </c>
      <c r="AB224" s="7" t="str">
        <f ca="1">'Database MK'!HW225</f>
        <v>Belum, Delay</v>
      </c>
      <c r="AC224" s="7">
        <f>'Database MK'!DA225-'Database MK'!DB225</f>
        <v>108</v>
      </c>
      <c r="AD224" s="7">
        <f>'Database MK'!DA225-'Database MK'!DF225</f>
        <v>96</v>
      </c>
      <c r="AE224" s="7">
        <f>'Database MK'!DK225-'Database MK'!DL225</f>
        <v>18</v>
      </c>
      <c r="AF224" s="7">
        <f>'Database MK'!DK225-'Database MK'!DO225</f>
        <v>-15</v>
      </c>
      <c r="AG224" s="7">
        <f>'Database MK'!DU225-'Database MK'!DW225</f>
        <v>-104</v>
      </c>
      <c r="AH224" s="7">
        <f>IF('Database MK'!EB225="","Belum",'Database MK'!DU225-'Database MK'!EB225)</f>
        <v>-218</v>
      </c>
      <c r="AI224" s="7" t="str">
        <f>IF('Database MK'!EN225="","Belum",'Database MK'!EL225-'Database MK'!EN225)</f>
        <v>Belum</v>
      </c>
      <c r="AJ224" s="7">
        <f>'Database MK'!FY225-'Database MK'!FZ225</f>
        <v>0</v>
      </c>
      <c r="AK224" s="7">
        <f>IF('Database MK'!GC225="","Belum",'Database MK'!GB225-'Database MK'!GC225)</f>
        <v>-54</v>
      </c>
      <c r="AL224" s="7">
        <f>IF('Database MK'!GF225="","Belum",'Database MK'!GE225-'Database MK'!GF225)</f>
        <v>-61</v>
      </c>
      <c r="AM224" s="309">
        <f>IF('Database MK'!GJ225="","Belum",'Database MK'!GI225-'Database MK'!GJ225)</f>
        <v>-67</v>
      </c>
      <c r="AN224" s="7" t="str">
        <f>IF('Database MK'!HG225="","Belum",'Database MK'!HF225-'Database MK'!HG225)</f>
        <v>Belum</v>
      </c>
      <c r="AO224" s="7" t="str">
        <f>IF('Database MK'!HP225="","Belum",'Database MK'!HN225-'Database MK'!HP225)</f>
        <v>Belum</v>
      </c>
      <c r="AP224" s="7" t="str">
        <f>IF('Database MK'!HV225="","Belum",'Database MK'!HT225-'Database MK'!HV225)</f>
        <v>Belum</v>
      </c>
    </row>
    <row r="225" spans="2:42" hidden="1" x14ac:dyDescent="0.2">
      <c r="B225" s="7">
        <f>SUBTOTAL(3,$C$4:C225)</f>
        <v>74</v>
      </c>
      <c r="C225" s="299" t="s">
        <v>673</v>
      </c>
      <c r="D225" s="4" t="s">
        <v>1715</v>
      </c>
      <c r="E225" s="4" t="s">
        <v>1716</v>
      </c>
      <c r="F225" s="300">
        <v>45931</v>
      </c>
      <c r="G225" s="4" t="s">
        <v>247</v>
      </c>
      <c r="H225" s="4" t="str">
        <f ca="1">'Database MK'!Q226</f>
        <v>Proses Konstruksi</v>
      </c>
      <c r="I225" s="24">
        <f>'Database MK'!S226</f>
        <v>1</v>
      </c>
      <c r="J225" s="24">
        <f>'Database MK'!T226</f>
        <v>0.63846090235737296</v>
      </c>
      <c r="K225" s="603">
        <f>'Database MK'!U226</f>
        <v>-0.36153909764262704</v>
      </c>
      <c r="L225" s="593">
        <f>'Database MK'!V226</f>
        <v>11490</v>
      </c>
      <c r="M225" s="593">
        <f>'Database MK'!W226</f>
        <v>7537</v>
      </c>
      <c r="N225" s="593">
        <f>Table3[[#This Row],[Total Panjang Pipa Aktual]]-Table3[[#This Row],[Volume
BA MC-0]]</f>
        <v>-3953</v>
      </c>
      <c r="O225" s="7" t="str">
        <f ca="1">'Database MK'!DE226</f>
        <v>Sudah, OnSchedule</v>
      </c>
      <c r="P225" s="7" t="str">
        <f ca="1">'Database MK'!DI226</f>
        <v>Sudah, OnSchedule</v>
      </c>
      <c r="Q225" s="7" t="str">
        <f ca="1">'Database MK'!DN226</f>
        <v>Sudah, OnSchedule</v>
      </c>
      <c r="R225" s="7" t="str">
        <f ca="1">'Database MK'!DR226</f>
        <v>Sudah, Delay</v>
      </c>
      <c r="S225" s="7" t="str">
        <f ca="1">'Database MK'!EA226</f>
        <v>Sudah, Delay</v>
      </c>
      <c r="T225" s="7" t="str">
        <f ca="1">'Database MK'!EI226</f>
        <v>Sudah, Delay</v>
      </c>
      <c r="U225" s="7" t="str">
        <f ca="1">'Database MK'!ET226</f>
        <v>Belum, Delay</v>
      </c>
      <c r="V225" s="7" t="str">
        <f ca="1">'Database MK'!GA226</f>
        <v>Belum, Delay</v>
      </c>
      <c r="W225" s="7" t="str">
        <f ca="1">'Database MK'!GD226</f>
        <v>Sudah, Delay</v>
      </c>
      <c r="X225" s="7" t="str">
        <f ca="1">'Database MK'!GG226</f>
        <v>Sudah, Delay</v>
      </c>
      <c r="Y225" s="7" t="str">
        <f ca="1">'Database MK'!GK226</f>
        <v>Sudah, Delay</v>
      </c>
      <c r="Z225" s="7" t="str">
        <f ca="1">'Database MK'!HH226</f>
        <v>Belum, Delay</v>
      </c>
      <c r="AA225" s="7" t="str">
        <f ca="1">'Database MK'!HQ226</f>
        <v>Belum, Delay</v>
      </c>
      <c r="AB225" s="7" t="str">
        <f ca="1">'Database MK'!HW226</f>
        <v>Belum, Delay</v>
      </c>
      <c r="AC225" s="7">
        <f>'Database MK'!DA226-'Database MK'!DB226</f>
        <v>105</v>
      </c>
      <c r="AD225" s="7">
        <f>'Database MK'!DA226-'Database MK'!DF226</f>
        <v>95</v>
      </c>
      <c r="AE225" s="7">
        <f>'Database MK'!DK226-'Database MK'!DL226</f>
        <v>17</v>
      </c>
      <c r="AF225" s="7">
        <f>'Database MK'!DK226-'Database MK'!DO226</f>
        <v>-11</v>
      </c>
      <c r="AG225" s="7">
        <f>'Database MK'!DU226-'Database MK'!DW226</f>
        <v>-104</v>
      </c>
      <c r="AH225" s="7">
        <f>IF('Database MK'!EB226="","Belum",'Database MK'!DU226-'Database MK'!EB226)</f>
        <v>-127</v>
      </c>
      <c r="AI225" s="7" t="str">
        <f>IF('Database MK'!EN226="","Belum",'Database MK'!EL226-'Database MK'!EN226)</f>
        <v>Belum</v>
      </c>
      <c r="AJ225" s="7">
        <f>'Database MK'!FY226-'Database MK'!FZ226</f>
        <v>0</v>
      </c>
      <c r="AK225" s="7">
        <f>IF('Database MK'!GC226="","Belum",'Database MK'!GB226-'Database MK'!GC226)</f>
        <v>-54</v>
      </c>
      <c r="AL225" s="7">
        <f>IF('Database MK'!GF226="","Belum",'Database MK'!GE226-'Database MK'!GF226)</f>
        <v>-61</v>
      </c>
      <c r="AM225" s="309">
        <f>IF('Database MK'!GJ226="","Belum",'Database MK'!GI226-'Database MK'!GJ226)</f>
        <v>-71</v>
      </c>
      <c r="AN225" s="7" t="str">
        <f>IF('Database MK'!HG226="","Belum",'Database MK'!HF226-'Database MK'!HG226)</f>
        <v>Belum</v>
      </c>
      <c r="AO225" s="7" t="str">
        <f>IF('Database MK'!HP226="","Belum",'Database MK'!HN226-'Database MK'!HP226)</f>
        <v>Belum</v>
      </c>
      <c r="AP225" s="7" t="str">
        <f>IF('Database MK'!HV226="","Belum",'Database MK'!HT226-'Database MK'!HV226)</f>
        <v>Belum</v>
      </c>
    </row>
    <row r="226" spans="2:42" hidden="1" x14ac:dyDescent="0.2">
      <c r="B226" s="7">
        <f>SUBTOTAL(3,$C$4:C226)</f>
        <v>74</v>
      </c>
      <c r="C226" s="299" t="s">
        <v>673</v>
      </c>
      <c r="D226" s="4" t="s">
        <v>1725</v>
      </c>
      <c r="E226" s="4" t="s">
        <v>1726</v>
      </c>
      <c r="F226" s="300">
        <v>45931</v>
      </c>
      <c r="G226" s="4" t="s">
        <v>247</v>
      </c>
      <c r="H226" s="4" t="str">
        <f ca="1">'Database MK'!Q227</f>
        <v>Proses Konstruksi</v>
      </c>
      <c r="I226" s="24">
        <f>'Database MK'!S227</f>
        <v>1</v>
      </c>
      <c r="J226" s="24">
        <f>'Database MK'!T227</f>
        <v>0.92093927029196132</v>
      </c>
      <c r="K226" s="603">
        <f>'Database MK'!U227</f>
        <v>-7.9060729708038679E-2</v>
      </c>
      <c r="L226" s="593">
        <f>'Database MK'!V227</f>
        <v>5343</v>
      </c>
      <c r="M226" s="593">
        <f>'Database MK'!W227</f>
        <v>4866</v>
      </c>
      <c r="N226" s="593">
        <f>Table3[[#This Row],[Total Panjang Pipa Aktual]]-Table3[[#This Row],[Volume
BA MC-0]]</f>
        <v>-477</v>
      </c>
      <c r="O226" s="7" t="str">
        <f ca="1">'Database MK'!DE227</f>
        <v>Sudah, OnSchedule</v>
      </c>
      <c r="P226" s="7" t="str">
        <f ca="1">'Database MK'!DI227</f>
        <v>Sudah, OnSchedule</v>
      </c>
      <c r="Q226" s="7" t="str">
        <f ca="1">'Database MK'!DN227</f>
        <v>Sudah, OnSchedule</v>
      </c>
      <c r="R226" s="7" t="str">
        <f ca="1">'Database MK'!DR227</f>
        <v>Sudah, Delay</v>
      </c>
      <c r="S226" s="7" t="str">
        <f ca="1">'Database MK'!EA227</f>
        <v>Sudah, OnSchedule</v>
      </c>
      <c r="T226" s="7" t="str">
        <f ca="1">'Database MK'!EI227</f>
        <v>Sudah, OnSchedule</v>
      </c>
      <c r="U226" s="7" t="str">
        <f ca="1">'Database MK'!ET227</f>
        <v>Sudah, Delay</v>
      </c>
      <c r="V226" s="7" t="str">
        <f ca="1">'Database MK'!GA227</f>
        <v>Belum, Delay</v>
      </c>
      <c r="W226" s="7" t="str">
        <f ca="1">'Database MK'!GD227</f>
        <v>Sudah, Delay</v>
      </c>
      <c r="X226" s="7" t="str">
        <f ca="1">'Database MK'!GG227</f>
        <v>Sudah, Delay</v>
      </c>
      <c r="Y226" s="7" t="str">
        <f ca="1">'Database MK'!GK227</f>
        <v>Sudah, Delay</v>
      </c>
      <c r="Z226" s="7" t="str">
        <f ca="1">'Database MK'!HH227</f>
        <v>Belum, Delay</v>
      </c>
      <c r="AA226" s="7" t="str">
        <f ca="1">'Database MK'!HQ227</f>
        <v>Belum, Delay</v>
      </c>
      <c r="AB226" s="7" t="str">
        <f ca="1">'Database MK'!HW227</f>
        <v>Belum, Delay</v>
      </c>
      <c r="AC226" s="7">
        <f>'Database MK'!DA227-'Database MK'!DB227</f>
        <v>105</v>
      </c>
      <c r="AD226" s="7">
        <f>'Database MK'!DA227-'Database MK'!DF227</f>
        <v>87</v>
      </c>
      <c r="AE226" s="7">
        <f>'Database MK'!DK227-'Database MK'!DL227</f>
        <v>16</v>
      </c>
      <c r="AF226" s="7">
        <f>'Database MK'!DK227-'Database MK'!DO227</f>
        <v>-11</v>
      </c>
      <c r="AG226" s="7">
        <f>'Database MK'!DU227-'Database MK'!DW227</f>
        <v>16</v>
      </c>
      <c r="AH226" s="7">
        <f>IF('Database MK'!EB227="","Belum",'Database MK'!DU227-'Database MK'!EB227)</f>
        <v>9</v>
      </c>
      <c r="AI226" s="7">
        <f>IF('Database MK'!EN227="","Belum",'Database MK'!EL227-'Database MK'!EN227)</f>
        <v>-145</v>
      </c>
      <c r="AJ226" s="7">
        <f>'Database MK'!FY227-'Database MK'!FZ227</f>
        <v>0</v>
      </c>
      <c r="AK226" s="7">
        <f>IF('Database MK'!GC227="","Belum",'Database MK'!GB227-'Database MK'!GC227)</f>
        <v>-54</v>
      </c>
      <c r="AL226" s="7">
        <f>IF('Database MK'!GF227="","Belum",'Database MK'!GE227-'Database MK'!GF227)</f>
        <v>-61</v>
      </c>
      <c r="AM226" s="309">
        <f>IF('Database MK'!GJ227="","Belum",'Database MK'!GI227-'Database MK'!GJ227)</f>
        <v>-65</v>
      </c>
      <c r="AN226" s="7" t="str">
        <f>IF('Database MK'!HG227="","Belum",'Database MK'!HF227-'Database MK'!HG227)</f>
        <v>Belum</v>
      </c>
      <c r="AO226" s="7" t="str">
        <f>IF('Database MK'!HP227="","Belum",'Database MK'!HN227-'Database MK'!HP227)</f>
        <v>Belum</v>
      </c>
      <c r="AP226" s="7" t="str">
        <f>IF('Database MK'!HV227="","Belum",'Database MK'!HT227-'Database MK'!HV227)</f>
        <v>Belum</v>
      </c>
    </row>
    <row r="227" spans="2:42" hidden="1" x14ac:dyDescent="0.2">
      <c r="B227" s="7">
        <f>SUBTOTAL(3,$C$4:C227)</f>
        <v>74</v>
      </c>
      <c r="C227" s="299" t="s">
        <v>673</v>
      </c>
      <c r="D227" s="4" t="s">
        <v>1735</v>
      </c>
      <c r="E227" s="4" t="s">
        <v>1736</v>
      </c>
      <c r="F227" s="300">
        <v>45931</v>
      </c>
      <c r="G227" s="4" t="s">
        <v>247</v>
      </c>
      <c r="H227" s="4" t="str">
        <f ca="1">'Database MK'!Q228</f>
        <v>Proses Konstruksi</v>
      </c>
      <c r="I227" s="24">
        <f>'Database MK'!S228</f>
        <v>1</v>
      </c>
      <c r="J227" s="24">
        <f>'Database MK'!T228</f>
        <v>0.68790582635696873</v>
      </c>
      <c r="K227" s="603">
        <f>'Database MK'!U228</f>
        <v>-0.31209417364303127</v>
      </c>
      <c r="L227" s="593">
        <f>'Database MK'!V228</f>
        <v>14965</v>
      </c>
      <c r="M227" s="593">
        <f>'Database MK'!W228</f>
        <v>11448</v>
      </c>
      <c r="N227" s="593">
        <f>Table3[[#This Row],[Total Panjang Pipa Aktual]]-Table3[[#This Row],[Volume
BA MC-0]]</f>
        <v>-3517</v>
      </c>
      <c r="O227" s="7" t="str">
        <f ca="1">'Database MK'!DE228</f>
        <v>Sudah, OnSchedule</v>
      </c>
      <c r="P227" s="7" t="str">
        <f ca="1">'Database MK'!DI228</f>
        <v>Sudah, OnSchedule</v>
      </c>
      <c r="Q227" s="7" t="str">
        <f ca="1">'Database MK'!DN228</f>
        <v>Sudah, OnSchedule</v>
      </c>
      <c r="R227" s="7" t="str">
        <f ca="1">'Database MK'!DR228</f>
        <v>Sudah, Delay</v>
      </c>
      <c r="S227" s="7" t="str">
        <f ca="1">'Database MK'!EA228</f>
        <v>Sudah, Delay</v>
      </c>
      <c r="T227" s="7" t="str">
        <f ca="1">'Database MK'!EI228</f>
        <v>Belum, Delay</v>
      </c>
      <c r="U227" s="7" t="str">
        <f ca="1">'Database MK'!ET228</f>
        <v>Belum, Delay</v>
      </c>
      <c r="V227" s="7" t="str">
        <f ca="1">'Database MK'!GA228</f>
        <v>Belum, Delay</v>
      </c>
      <c r="W227" s="7" t="str">
        <f ca="1">'Database MK'!GD228</f>
        <v>Sudah, Delay</v>
      </c>
      <c r="X227" s="7" t="str">
        <f ca="1">'Database MK'!GG228</f>
        <v>Sudah, Delay</v>
      </c>
      <c r="Y227" s="7" t="str">
        <f ca="1">'Database MK'!GK228</f>
        <v>Sudah, Delay</v>
      </c>
      <c r="Z227" s="7" t="str">
        <f ca="1">'Database MK'!HH228</f>
        <v>Belum, Delay</v>
      </c>
      <c r="AA227" s="7" t="str">
        <f ca="1">'Database MK'!HQ228</f>
        <v>Belum, Delay</v>
      </c>
      <c r="AB227" s="7" t="str">
        <f ca="1">'Database MK'!HW228</f>
        <v>Belum, Delay</v>
      </c>
      <c r="AC227" s="7">
        <f>'Database MK'!DA228-'Database MK'!DB228</f>
        <v>105</v>
      </c>
      <c r="AD227" s="7">
        <f>'Database MK'!DA228-'Database MK'!DF228</f>
        <v>81</v>
      </c>
      <c r="AE227" s="7">
        <f>'Database MK'!DK228-'Database MK'!DL228</f>
        <v>13</v>
      </c>
      <c r="AF227" s="7">
        <f>'Database MK'!DK228-'Database MK'!DO228</f>
        <v>-11</v>
      </c>
      <c r="AG227" s="7">
        <f>'Database MK'!DU228-'Database MK'!DW228</f>
        <v>-284</v>
      </c>
      <c r="AH227" s="7" t="str">
        <f>IF('Database MK'!EB228="","Belum",'Database MK'!DU228-'Database MK'!EB228)</f>
        <v>Belum</v>
      </c>
      <c r="AI227" s="7" t="str">
        <f>IF('Database MK'!EN228="","Belum",'Database MK'!EL228-'Database MK'!EN228)</f>
        <v>Belum</v>
      </c>
      <c r="AJ227" s="7">
        <f>'Database MK'!FY228-'Database MK'!FZ228</f>
        <v>0</v>
      </c>
      <c r="AK227" s="7">
        <f>IF('Database MK'!GC228="","Belum",'Database MK'!GB228-'Database MK'!GC228)</f>
        <v>-54</v>
      </c>
      <c r="AL227" s="7">
        <f>IF('Database MK'!GF228="","Belum",'Database MK'!GE228-'Database MK'!GF228)</f>
        <v>-61</v>
      </c>
      <c r="AM227" s="309">
        <f>IF('Database MK'!GJ228="","Belum",'Database MK'!GI228-'Database MK'!GJ228)</f>
        <v>-65</v>
      </c>
      <c r="AN227" s="7" t="str">
        <f>IF('Database MK'!HG228="","Belum",'Database MK'!HF228-'Database MK'!HG228)</f>
        <v>Belum</v>
      </c>
      <c r="AO227" s="7" t="str">
        <f>IF('Database MK'!HP228="","Belum",'Database MK'!HN228-'Database MK'!HP228)</f>
        <v>Belum</v>
      </c>
      <c r="AP227" s="7" t="str">
        <f>IF('Database MK'!HV228="","Belum",'Database MK'!HT228-'Database MK'!HV228)</f>
        <v>Belum</v>
      </c>
    </row>
    <row r="228" spans="2:42" hidden="1" x14ac:dyDescent="0.2">
      <c r="B228" s="7">
        <f>SUBTOTAL(3,$C$4:C228)</f>
        <v>74</v>
      </c>
      <c r="C228" s="299" t="s">
        <v>673</v>
      </c>
      <c r="D228" s="4" t="s">
        <v>1744</v>
      </c>
      <c r="E228" s="4" t="s">
        <v>1745</v>
      </c>
      <c r="F228" s="300">
        <v>45931</v>
      </c>
      <c r="G228" s="4" t="s">
        <v>681</v>
      </c>
      <c r="H228" s="4" t="str">
        <f ca="1">'Database MK'!Q229</f>
        <v>DPPP</v>
      </c>
      <c r="I228" s="24">
        <f>'Database MK'!S229</f>
        <v>1</v>
      </c>
      <c r="J228" s="24">
        <f>'Database MK'!T229</f>
        <v>1</v>
      </c>
      <c r="K228" s="603">
        <f>'Database MK'!U229</f>
        <v>0</v>
      </c>
      <c r="L228" s="593">
        <f>'Database MK'!V229</f>
        <v>600</v>
      </c>
      <c r="M228" s="593">
        <f>'Database MK'!W229</f>
        <v>600</v>
      </c>
      <c r="N228" s="593">
        <f>Table3[[#This Row],[Total Panjang Pipa Aktual]]-Table3[[#This Row],[Volume
BA MC-0]]</f>
        <v>0</v>
      </c>
      <c r="O228" s="7" t="str">
        <f ca="1">'Database MK'!DE229</f>
        <v>Sudah, OnSchedule</v>
      </c>
      <c r="P228" s="7" t="str">
        <f ca="1">'Database MK'!DI229</f>
        <v>Sudah, OnSchedule</v>
      </c>
      <c r="Q228" s="7" t="str">
        <f ca="1">'Database MK'!DN229</f>
        <v>Sudah, OnSchedule</v>
      </c>
      <c r="R228" s="7" t="str">
        <f ca="1">'Database MK'!DR229</f>
        <v>Sudah, Delay</v>
      </c>
      <c r="S228" s="7" t="str">
        <f ca="1">'Database MK'!EA229</f>
        <v>Sudah, OnSchedule</v>
      </c>
      <c r="T228" s="7" t="str">
        <f ca="1">'Database MK'!EI229</f>
        <v>Sudah, Delay</v>
      </c>
      <c r="U228" s="7" t="str">
        <f ca="1">'Database MK'!ET229</f>
        <v>Sudah, Delay</v>
      </c>
      <c r="V228" s="7" t="str">
        <f ca="1">'Database MK'!GA229</f>
        <v>Belum, Delay</v>
      </c>
      <c r="W228" s="7" t="str">
        <f ca="1">'Database MK'!GD229</f>
        <v>Sudah, OnSchedule</v>
      </c>
      <c r="X228" s="7" t="str">
        <f ca="1">'Database MK'!GG229</f>
        <v>Sudah, OnSchedule</v>
      </c>
      <c r="Y228" s="7" t="str">
        <f ca="1">'Database MK'!GK229</f>
        <v>Sudah, OnSchedule</v>
      </c>
      <c r="Z228" s="7" t="str">
        <f ca="1">'Database MK'!HH229</f>
        <v>Sudah, Delay</v>
      </c>
      <c r="AA228" s="7" t="str">
        <f ca="1">'Database MK'!HQ229</f>
        <v>Sudah, Delay</v>
      </c>
      <c r="AB228" s="7" t="str">
        <f ca="1">'Database MK'!HW229</f>
        <v>Sudah, Delay</v>
      </c>
      <c r="AC228" s="7">
        <f>'Database MK'!DA229-'Database MK'!DB229</f>
        <v>24</v>
      </c>
      <c r="AD228" s="7">
        <f>'Database MK'!DA229-'Database MK'!DF229</f>
        <v>16</v>
      </c>
      <c r="AE228" s="7">
        <f>'Database MK'!DK229-'Database MK'!DL229</f>
        <v>53</v>
      </c>
      <c r="AF228" s="7">
        <f>'Database MK'!DK229-'Database MK'!DO229</f>
        <v>-1</v>
      </c>
      <c r="AG228" s="7">
        <f>'Database MK'!DU229-'Database MK'!DW229</f>
        <v>32</v>
      </c>
      <c r="AH228" s="7">
        <f>IF('Database MK'!EB229="","Belum",'Database MK'!DU229-'Database MK'!EB229)</f>
        <v>-92</v>
      </c>
      <c r="AI228" s="7">
        <f>IF('Database MK'!EN229="","Belum",'Database MK'!EL229-'Database MK'!EN229)</f>
        <v>-163</v>
      </c>
      <c r="AJ228" s="7">
        <f>'Database MK'!FY229-'Database MK'!FZ229</f>
        <v>0</v>
      </c>
      <c r="AK228" s="7">
        <f>IF('Database MK'!GC229="","Belum",'Database MK'!GB229-'Database MK'!GC229)</f>
        <v>28</v>
      </c>
      <c r="AL228" s="7">
        <f>IF('Database MK'!GF229="","Belum",'Database MK'!GE229-'Database MK'!GF229)</f>
        <v>35</v>
      </c>
      <c r="AM228" s="309">
        <f>IF('Database MK'!GJ229="","Belum",'Database MK'!GI229-'Database MK'!GJ229)</f>
        <v>40</v>
      </c>
      <c r="AN228" s="7">
        <f>IF('Database MK'!HG229="","Belum",'Database MK'!HF229-'Database MK'!HG229)</f>
        <v>-128</v>
      </c>
      <c r="AO228" s="7">
        <f>IF('Database MK'!HP229="","Belum",'Database MK'!HN229-'Database MK'!HP229)</f>
        <v>-225</v>
      </c>
      <c r="AP228" s="7">
        <f>IF('Database MK'!HV229="","Belum",'Database MK'!HT229-'Database MK'!HV229)</f>
        <v>-225</v>
      </c>
    </row>
    <row r="229" spans="2:42" hidden="1" x14ac:dyDescent="0.2">
      <c r="B229" s="7">
        <f>SUBTOTAL(3,$C$4:C229)</f>
        <v>74</v>
      </c>
      <c r="C229" s="299" t="s">
        <v>673</v>
      </c>
      <c r="D229" s="4" t="s">
        <v>1754</v>
      </c>
      <c r="E229" s="4" t="s">
        <v>1755</v>
      </c>
      <c r="F229" s="300">
        <v>45931</v>
      </c>
      <c r="G229" s="4" t="s">
        <v>681</v>
      </c>
      <c r="H229" s="4" t="str">
        <f ca="1">'Database MK'!Q230</f>
        <v>DPPP</v>
      </c>
      <c r="I229" s="24">
        <f>'Database MK'!S230</f>
        <v>1</v>
      </c>
      <c r="J229" s="24">
        <f>'Database MK'!T230</f>
        <v>1</v>
      </c>
      <c r="K229" s="603">
        <f>'Database MK'!U230</f>
        <v>0</v>
      </c>
      <c r="L229" s="593">
        <f>'Database MK'!V230</f>
        <v>12</v>
      </c>
      <c r="M229" s="593">
        <f>'Database MK'!W230</f>
        <v>12</v>
      </c>
      <c r="N229" s="593">
        <f>Table3[[#This Row],[Total Panjang Pipa Aktual]]-Table3[[#This Row],[Volume
BA MC-0]]</f>
        <v>0</v>
      </c>
      <c r="O229" s="7" t="str">
        <f ca="1">'Database MK'!DE230</f>
        <v>Sudah, OnSchedule</v>
      </c>
      <c r="P229" s="7" t="str">
        <f ca="1">'Database MK'!DI230</f>
        <v>Sudah, OnSchedule</v>
      </c>
      <c r="Q229" s="7" t="str">
        <f ca="1">'Database MK'!DN230</f>
        <v>Sudah, OnSchedule</v>
      </c>
      <c r="R229" s="7" t="str">
        <f ca="1">'Database MK'!DR230</f>
        <v>Sudah, Delay</v>
      </c>
      <c r="S229" s="7" t="str">
        <f ca="1">'Database MK'!EA230</f>
        <v>Sudah, OnSchedule</v>
      </c>
      <c r="T229" s="7" t="str">
        <f ca="1">'Database MK'!EI230</f>
        <v>Sudah, Delay</v>
      </c>
      <c r="U229" s="7" t="str">
        <f ca="1">'Database MK'!ET230</f>
        <v>Sudah, Delay</v>
      </c>
      <c r="V229" s="7" t="str">
        <f ca="1">'Database MK'!GA230</f>
        <v>Belum, Delay</v>
      </c>
      <c r="W229" s="7" t="str">
        <f ca="1">'Database MK'!GD230</f>
        <v>Sudah, OnSchedule</v>
      </c>
      <c r="X229" s="7" t="str">
        <f ca="1">'Database MK'!GG230</f>
        <v>Sudah, OnSchedule</v>
      </c>
      <c r="Y229" s="7" t="str">
        <f ca="1">'Database MK'!GK230</f>
        <v>Sudah, OnSchedule</v>
      </c>
      <c r="Z229" s="7" t="str">
        <f ca="1">'Database MK'!HH230</f>
        <v>Sudah, Delay</v>
      </c>
      <c r="AA229" s="7" t="str">
        <f ca="1">'Database MK'!HQ230</f>
        <v>Sudah, Delay</v>
      </c>
      <c r="AB229" s="7" t="str">
        <f ca="1">'Database MK'!HW230</f>
        <v>Sudah, Delay</v>
      </c>
      <c r="AC229" s="7">
        <f>'Database MK'!DA230-'Database MK'!DB230</f>
        <v>10</v>
      </c>
      <c r="AD229" s="7">
        <f>'Database MK'!DA230-'Database MK'!DF230</f>
        <v>2</v>
      </c>
      <c r="AE229" s="7">
        <f>'Database MK'!DK230-'Database MK'!DL230</f>
        <v>25</v>
      </c>
      <c r="AF229" s="7">
        <f>'Database MK'!DK230-'Database MK'!DO230</f>
        <v>-29</v>
      </c>
      <c r="AG229" s="7">
        <f>'Database MK'!DU230-'Database MK'!DW230</f>
        <v>4</v>
      </c>
      <c r="AH229" s="7">
        <f>IF('Database MK'!EB230="","Belum",'Database MK'!DU230-'Database MK'!EB230)</f>
        <v>-283</v>
      </c>
      <c r="AI229" s="7">
        <f>IF('Database MK'!EN230="","Belum",'Database MK'!EL230-'Database MK'!EN230)</f>
        <v>-158</v>
      </c>
      <c r="AJ229" s="7">
        <f>'Database MK'!FY230-'Database MK'!FZ230</f>
        <v>0</v>
      </c>
      <c r="AK229" s="7">
        <f>IF('Database MK'!GC230="","Belum",'Database MK'!GB230-'Database MK'!GC230)</f>
        <v>0</v>
      </c>
      <c r="AL229" s="7">
        <f>IF('Database MK'!GF230="","Belum",'Database MK'!GE230-'Database MK'!GF230)</f>
        <v>7</v>
      </c>
      <c r="AM229" s="309">
        <f>IF('Database MK'!GJ230="","Belum",'Database MK'!GI230-'Database MK'!GJ230)</f>
        <v>10</v>
      </c>
      <c r="AN229" s="7">
        <f>IF('Database MK'!HG230="","Belum",'Database MK'!HF230-'Database MK'!HG230)</f>
        <v>-156</v>
      </c>
      <c r="AO229" s="7">
        <f>IF('Database MK'!HP230="","Belum",'Database MK'!HN230-'Database MK'!HP230)</f>
        <v>-253</v>
      </c>
      <c r="AP229" s="7">
        <f>IF('Database MK'!HV230="","Belum",'Database MK'!HT230-'Database MK'!HV230)</f>
        <v>-253</v>
      </c>
    </row>
    <row r="230" spans="2:42" hidden="1" x14ac:dyDescent="0.2">
      <c r="B230" s="7">
        <f>SUBTOTAL(3,$C$4:C230)</f>
        <v>74</v>
      </c>
      <c r="C230" s="299" t="s">
        <v>673</v>
      </c>
      <c r="D230" s="4" t="s">
        <v>1762</v>
      </c>
      <c r="E230" s="4" t="s">
        <v>1763</v>
      </c>
      <c r="F230" s="300">
        <v>45931</v>
      </c>
      <c r="G230" s="4" t="s">
        <v>681</v>
      </c>
      <c r="H230" s="4" t="str">
        <f ca="1">'Database MK'!Q231</f>
        <v>DPPP</v>
      </c>
      <c r="I230" s="24">
        <f>'Database MK'!S231</f>
        <v>1</v>
      </c>
      <c r="J230" s="24">
        <f>'Database MK'!T231</f>
        <v>1</v>
      </c>
      <c r="K230" s="603">
        <f>'Database MK'!U231</f>
        <v>0</v>
      </c>
      <c r="L230" s="593">
        <f>'Database MK'!V231</f>
        <v>2526</v>
      </c>
      <c r="M230" s="593">
        <f>'Database MK'!W231</f>
        <v>2061</v>
      </c>
      <c r="N230" s="593">
        <f>Table3[[#This Row],[Total Panjang Pipa Aktual]]-Table3[[#This Row],[Volume
BA MC-0]]</f>
        <v>-465</v>
      </c>
      <c r="O230" s="7" t="str">
        <f ca="1">'Database MK'!DE231</f>
        <v>Sudah, Delay</v>
      </c>
      <c r="P230" s="7" t="str">
        <f ca="1">'Database MK'!DI231</f>
        <v>Sudah, Delay</v>
      </c>
      <c r="Q230" s="7" t="str">
        <f ca="1">'Database MK'!DN231</f>
        <v>Sudah, OnSchedule</v>
      </c>
      <c r="R230" s="7" t="str">
        <f ca="1">'Database MK'!DR231</f>
        <v>Sudah, OnSchedule</v>
      </c>
      <c r="S230" s="7" t="str">
        <f ca="1">'Database MK'!EA231</f>
        <v>Sudah, OnSchedule</v>
      </c>
      <c r="T230" s="7" t="str">
        <f ca="1">'Database MK'!EI231</f>
        <v>Sudah, Delay</v>
      </c>
      <c r="U230" s="7" t="str">
        <f ca="1">'Database MK'!ET231</f>
        <v>Sudah, Delay</v>
      </c>
      <c r="V230" s="7" t="str">
        <f ca="1">'Database MK'!GA231</f>
        <v>Belum, Delay</v>
      </c>
      <c r="W230" s="7" t="str">
        <f ca="1">'Database MK'!GD231</f>
        <v>Sudah, OnSchedule</v>
      </c>
      <c r="X230" s="7" t="str">
        <f ca="1">'Database MK'!GG231</f>
        <v>Sudah, OnSchedule</v>
      </c>
      <c r="Y230" s="7" t="str">
        <f ca="1">'Database MK'!GK231</f>
        <v>Sudah, Delay</v>
      </c>
      <c r="Z230" s="7" t="str">
        <f ca="1">'Database MK'!HH231</f>
        <v>Sudah, Delay</v>
      </c>
      <c r="AA230" s="7" t="str">
        <f ca="1">'Database MK'!HQ231</f>
        <v>Sudah, Delay</v>
      </c>
      <c r="AB230" s="7" t="str">
        <f ca="1">'Database MK'!HW231</f>
        <v>Sudah, Delay</v>
      </c>
      <c r="AC230" s="7">
        <f>'Database MK'!DA231-'Database MK'!DB231</f>
        <v>-1</v>
      </c>
      <c r="AD230" s="7">
        <f>'Database MK'!DA231-'Database MK'!DF231</f>
        <v>-5</v>
      </c>
      <c r="AE230" s="7">
        <f>'Database MK'!DK231-'Database MK'!DL231</f>
        <v>435</v>
      </c>
      <c r="AF230" s="7">
        <f>'Database MK'!DK231-'Database MK'!DO231</f>
        <v>319</v>
      </c>
      <c r="AG230" s="7">
        <f>'Database MK'!DU231-'Database MK'!DW231</f>
        <v>452</v>
      </c>
      <c r="AH230" s="7">
        <f>IF('Database MK'!EB231="","Belum",'Database MK'!DU231-'Database MK'!EB231)</f>
        <v>-66</v>
      </c>
      <c r="AI230" s="7">
        <f>IF('Database MK'!EN231="","Belum",'Database MK'!EL231-'Database MK'!EN231)</f>
        <v>-121</v>
      </c>
      <c r="AJ230" s="7">
        <f>'Database MK'!FY231-'Database MK'!FZ231</f>
        <v>0</v>
      </c>
      <c r="AK230" s="7">
        <f>IF('Database MK'!GC231="","Belum",'Database MK'!GB231-'Database MK'!GC231)</f>
        <v>138</v>
      </c>
      <c r="AL230" s="7">
        <f>IF('Database MK'!GF231="","Belum",'Database MK'!GE231-'Database MK'!GF231)</f>
        <v>145</v>
      </c>
      <c r="AM230" s="309">
        <f>IF('Database MK'!GJ231="","Belum",'Database MK'!GI231-'Database MK'!GJ231)</f>
        <v>-3</v>
      </c>
      <c r="AN230" s="7">
        <f>IF('Database MK'!HG231="","Belum",'Database MK'!HF231-'Database MK'!HG231)</f>
        <v>-100</v>
      </c>
      <c r="AO230" s="7">
        <f>IF('Database MK'!HP231="","Belum",'Database MK'!HN231-'Database MK'!HP231)</f>
        <v>-101</v>
      </c>
      <c r="AP230" s="7">
        <f>IF('Database MK'!HV231="","Belum",'Database MK'!HT231-'Database MK'!HV231)</f>
        <v>-99</v>
      </c>
    </row>
    <row r="231" spans="2:42" hidden="1" x14ac:dyDescent="0.2">
      <c r="B231" s="7">
        <f>SUBTOTAL(3,$C$4:C231)</f>
        <v>74</v>
      </c>
      <c r="C231" s="299" t="s">
        <v>673</v>
      </c>
      <c r="D231" s="4" t="s">
        <v>1771</v>
      </c>
      <c r="E231" s="4" t="s">
        <v>1772</v>
      </c>
      <c r="F231" s="300">
        <v>45931</v>
      </c>
      <c r="G231" s="4" t="s">
        <v>681</v>
      </c>
      <c r="H231" s="4" t="str">
        <f ca="1">'Database MK'!Q232</f>
        <v>DPPP</v>
      </c>
      <c r="I231" s="24">
        <f>'Database MK'!S232</f>
        <v>1</v>
      </c>
      <c r="J231" s="24">
        <f>'Database MK'!T232</f>
        <v>1</v>
      </c>
      <c r="K231" s="603">
        <f>'Database MK'!U232</f>
        <v>0</v>
      </c>
      <c r="L231" s="593">
        <f>'Database MK'!V232</f>
        <v>196</v>
      </c>
      <c r="M231" s="593">
        <f>'Database MK'!W232</f>
        <v>196</v>
      </c>
      <c r="N231" s="593">
        <f>Table3[[#This Row],[Total Panjang Pipa Aktual]]-Table3[[#This Row],[Volume
BA MC-0]]</f>
        <v>0</v>
      </c>
      <c r="O231" s="7" t="str">
        <f ca="1">'Database MK'!DE232</f>
        <v>Sudah, OnSchedule</v>
      </c>
      <c r="P231" s="7" t="str">
        <f ca="1">'Database MK'!DI232</f>
        <v>Sudah, OnSchedule</v>
      </c>
      <c r="Q231" s="7" t="str">
        <f ca="1">'Database MK'!DN232</f>
        <v>Sudah, OnSchedule</v>
      </c>
      <c r="R231" s="7" t="str">
        <f ca="1">'Database MK'!DR232</f>
        <v>Sudah, OnSchedule</v>
      </c>
      <c r="S231" s="7" t="str">
        <f ca="1">'Database MK'!EA232</f>
        <v>Sudah, OnSchedule</v>
      </c>
      <c r="T231" s="7" t="str">
        <f ca="1">'Database MK'!EI232</f>
        <v>Sudah, Delay</v>
      </c>
      <c r="U231" s="7" t="str">
        <f ca="1">'Database MK'!ET232</f>
        <v>Sudah, OnSchedule</v>
      </c>
      <c r="V231" s="7" t="str">
        <f ca="1">'Database MK'!GA232</f>
        <v>Belum, Delay</v>
      </c>
      <c r="W231" s="7" t="str">
        <f ca="1">'Database MK'!GD232</f>
        <v>Sudah, OnSchedule</v>
      </c>
      <c r="X231" s="7" t="str">
        <f ca="1">'Database MK'!GG232</f>
        <v>Sudah, OnSchedule</v>
      </c>
      <c r="Y231" s="7" t="str">
        <f ca="1">'Database MK'!GK232</f>
        <v>Sudah, OnSchedule</v>
      </c>
      <c r="Z231" s="7" t="str">
        <f ca="1">'Database MK'!HH232</f>
        <v>Sudah, Delay</v>
      </c>
      <c r="AA231" s="7" t="str">
        <f ca="1">'Database MK'!HQ232</f>
        <v>Sudah, Delay</v>
      </c>
      <c r="AB231" s="7" t="str">
        <f ca="1">'Database MK'!HW232</f>
        <v>Sudah, Delay</v>
      </c>
      <c r="AC231" s="7">
        <f>'Database MK'!DA232-'Database MK'!DB232</f>
        <v>58</v>
      </c>
      <c r="AD231" s="7">
        <f>'Database MK'!DA232-'Database MK'!DF232</f>
        <v>47</v>
      </c>
      <c r="AE231" s="7">
        <f>'Database MK'!DK232-'Database MK'!DL232</f>
        <v>73</v>
      </c>
      <c r="AF231" s="7">
        <f>'Database MK'!DK232-'Database MK'!DO232</f>
        <v>55</v>
      </c>
      <c r="AG231" s="7">
        <f>'Database MK'!DU232-'Database MK'!DW232</f>
        <v>52</v>
      </c>
      <c r="AH231" s="7">
        <f>IF('Database MK'!EB232="","Belum",'Database MK'!DU232-'Database MK'!EB232)</f>
        <v>-30</v>
      </c>
      <c r="AI231" s="7">
        <f>IF('Database MK'!EN232="","Belum",'Database MK'!EL232-'Database MK'!EN232)</f>
        <v>5</v>
      </c>
      <c r="AJ231" s="7">
        <f>'Database MK'!FY232-'Database MK'!FZ232</f>
        <v>0</v>
      </c>
      <c r="AK231" s="7">
        <f>IF('Database MK'!GC232="","Belum",'Database MK'!GB232-'Database MK'!GC232)</f>
        <v>229</v>
      </c>
      <c r="AL231" s="7">
        <f>IF('Database MK'!GF232="","Belum",'Database MK'!GE232-'Database MK'!GF232)</f>
        <v>236</v>
      </c>
      <c r="AM231" s="309">
        <f>IF('Database MK'!GJ232="","Belum",'Database MK'!GI232-'Database MK'!GJ232)</f>
        <v>89</v>
      </c>
      <c r="AN231" s="7">
        <f>IF('Database MK'!HG232="","Belum",'Database MK'!HF232-'Database MK'!HG232)</f>
        <v>-1</v>
      </c>
      <c r="AO231" s="7">
        <f>IF('Database MK'!HP232="","Belum",'Database MK'!HN232-'Database MK'!HP232)</f>
        <v>-99</v>
      </c>
      <c r="AP231" s="7">
        <f>IF('Database MK'!HV232="","Belum",'Database MK'!HT232-'Database MK'!HV232)</f>
        <v>-99</v>
      </c>
    </row>
    <row r="232" spans="2:42" hidden="1" x14ac:dyDescent="0.2">
      <c r="B232" s="7">
        <f>SUBTOTAL(3,$C$4:C232)</f>
        <v>74</v>
      </c>
      <c r="C232" s="299" t="s">
        <v>673</v>
      </c>
      <c r="D232" s="4" t="s">
        <v>1780</v>
      </c>
      <c r="E232" s="4" t="s">
        <v>1781</v>
      </c>
      <c r="F232" s="300">
        <v>45931</v>
      </c>
      <c r="G232" s="4" t="s">
        <v>681</v>
      </c>
      <c r="H232" s="4" t="str">
        <f ca="1">'Database MK'!Q233</f>
        <v>DPPP</v>
      </c>
      <c r="I232" s="24">
        <f>'Database MK'!S233</f>
        <v>1</v>
      </c>
      <c r="J232" s="24">
        <f>'Database MK'!T233</f>
        <v>1</v>
      </c>
      <c r="K232" s="603">
        <f>'Database MK'!U233</f>
        <v>0</v>
      </c>
      <c r="L232" s="593">
        <f>'Database MK'!V233</f>
        <v>208</v>
      </c>
      <c r="M232" s="593">
        <f>'Database MK'!W233</f>
        <v>208</v>
      </c>
      <c r="N232" s="593">
        <f>Table3[[#This Row],[Total Panjang Pipa Aktual]]-Table3[[#This Row],[Volume
BA MC-0]]</f>
        <v>0</v>
      </c>
      <c r="O232" s="7" t="str">
        <f ca="1">'Database MK'!DE233</f>
        <v>Sudah, OnSchedule</v>
      </c>
      <c r="P232" s="7" t="str">
        <f ca="1">'Database MK'!DI233</f>
        <v>Sudah, OnSchedule</v>
      </c>
      <c r="Q232" s="7" t="str">
        <f ca="1">'Database MK'!DN233</f>
        <v>Sudah, OnSchedule</v>
      </c>
      <c r="R232" s="7" t="str">
        <f ca="1">'Database MK'!DR233</f>
        <v>Sudah, Delay</v>
      </c>
      <c r="S232" s="7" t="str">
        <f ca="1">'Database MK'!EA233</f>
        <v>Sudah, OnSchedule</v>
      </c>
      <c r="T232" s="7" t="str">
        <f ca="1">'Database MK'!EI233</f>
        <v>Sudah, Delay</v>
      </c>
      <c r="U232" s="7" t="str">
        <f ca="1">'Database MK'!ET233</f>
        <v>Sudah, Delay</v>
      </c>
      <c r="V232" s="7" t="str">
        <f ca="1">'Database MK'!GA233</f>
        <v>Belum, Delay</v>
      </c>
      <c r="W232" s="7" t="str">
        <f ca="1">'Database MK'!GD233</f>
        <v>Sudah, Delay</v>
      </c>
      <c r="X232" s="7" t="str">
        <f ca="1">'Database MK'!GG233</f>
        <v>Sudah, Delay</v>
      </c>
      <c r="Y232" s="7" t="str">
        <f ca="1">'Database MK'!GK233</f>
        <v>Sudah, Delay</v>
      </c>
      <c r="Z232" s="7" t="str">
        <f ca="1">'Database MK'!HH233</f>
        <v>Sudah, Delay</v>
      </c>
      <c r="AA232" s="7" t="str">
        <f ca="1">'Database MK'!HQ233</f>
        <v>Sudah, Delay</v>
      </c>
      <c r="AB232" s="7" t="str">
        <f ca="1">'Database MK'!HW233</f>
        <v>Sudah, Delay</v>
      </c>
      <c r="AC232" s="7">
        <f>'Database MK'!DA233-'Database MK'!DB233</f>
        <v>19</v>
      </c>
      <c r="AD232" s="7">
        <f>'Database MK'!DA233-'Database MK'!DF233</f>
        <v>11</v>
      </c>
      <c r="AE232" s="7">
        <f>'Database MK'!DK233-'Database MK'!DL233</f>
        <v>51</v>
      </c>
      <c r="AF232" s="7">
        <f>'Database MK'!DK233-'Database MK'!DO233</f>
        <v>-45</v>
      </c>
      <c r="AG232" s="7">
        <f>'Database MK'!DU233-'Database MK'!DW233</f>
        <v>30</v>
      </c>
      <c r="AH232" s="7">
        <f>IF('Database MK'!EB233="","Belum",'Database MK'!DU233-'Database MK'!EB233)</f>
        <v>-190</v>
      </c>
      <c r="AI232" s="7">
        <f>IF('Database MK'!EN233="","Belum",'Database MK'!EL233-'Database MK'!EN233)</f>
        <v>-226</v>
      </c>
      <c r="AJ232" s="7">
        <f>'Database MK'!FY233-'Database MK'!FZ233</f>
        <v>0</v>
      </c>
      <c r="AK232" s="7">
        <f>IF('Database MK'!GC233="","Belum",'Database MK'!GB233-'Database MK'!GC233)</f>
        <v>-41</v>
      </c>
      <c r="AL232" s="7">
        <f>IF('Database MK'!GF233="","Belum",'Database MK'!GE233-'Database MK'!GF233)</f>
        <v>-34</v>
      </c>
      <c r="AM232" s="309">
        <f>IF('Database MK'!GJ233="","Belum",'Database MK'!GI233-'Database MK'!GJ233)</f>
        <v>-58</v>
      </c>
      <c r="AN232" s="7">
        <f>IF('Database MK'!HG233="","Belum",'Database MK'!HF233-'Database MK'!HG233)</f>
        <v>-43</v>
      </c>
      <c r="AO232" s="7">
        <f>IF('Database MK'!HP233="","Belum",'Database MK'!HN233-'Database MK'!HP233)</f>
        <v>-40</v>
      </c>
      <c r="AP232" s="7">
        <f>IF('Database MK'!HV233="","Belum",'Database MK'!HT233-'Database MK'!HV233)</f>
        <v>-70</v>
      </c>
    </row>
    <row r="233" spans="2:42" hidden="1" x14ac:dyDescent="0.2">
      <c r="B233" s="7">
        <f>SUBTOTAL(3,$C$4:C233)</f>
        <v>74</v>
      </c>
      <c r="C233" s="299" t="s">
        <v>673</v>
      </c>
      <c r="D233" s="4" t="s">
        <v>1789</v>
      </c>
      <c r="E233" s="4" t="s">
        <v>1790</v>
      </c>
      <c r="F233" s="300">
        <v>45931</v>
      </c>
      <c r="G233" s="4" t="s">
        <v>681</v>
      </c>
      <c r="H233" s="4" t="str">
        <f ca="1">'Database MK'!Q234</f>
        <v>DPPP</v>
      </c>
      <c r="I233" s="24">
        <f>'Database MK'!S234</f>
        <v>1</v>
      </c>
      <c r="J233" s="24">
        <f>'Database MK'!T234</f>
        <v>1</v>
      </c>
      <c r="K233" s="603">
        <f>'Database MK'!U234</f>
        <v>0</v>
      </c>
      <c r="L233" s="593">
        <f>'Database MK'!V234</f>
        <v>100</v>
      </c>
      <c r="M233" s="593">
        <f>'Database MK'!W234</f>
        <v>100</v>
      </c>
      <c r="N233" s="593">
        <f>Table3[[#This Row],[Total Panjang Pipa Aktual]]-Table3[[#This Row],[Volume
BA MC-0]]</f>
        <v>0</v>
      </c>
      <c r="O233" s="7" t="str">
        <f ca="1">'Database MK'!DE234</f>
        <v>Sudah, OnSchedule</v>
      </c>
      <c r="P233" s="7" t="str">
        <f ca="1">'Database MK'!DI234</f>
        <v>Sudah, OnSchedule</v>
      </c>
      <c r="Q233" s="7" t="str">
        <f ca="1">'Database MK'!DN234</f>
        <v>Sudah, OnSchedule</v>
      </c>
      <c r="R233" s="7" t="str">
        <f ca="1">'Database MK'!DR234</f>
        <v>Sudah, OnSchedule</v>
      </c>
      <c r="S233" s="7" t="str">
        <f ca="1">'Database MK'!EA234</f>
        <v>Sudah, OnSchedule</v>
      </c>
      <c r="T233" s="7" t="str">
        <f ca="1">'Database MK'!EI234</f>
        <v>Sudah, OnSchedule</v>
      </c>
      <c r="U233" s="7" t="str">
        <f ca="1">'Database MK'!ET234</f>
        <v>Sudah, Delay</v>
      </c>
      <c r="V233" s="7" t="str">
        <f ca="1">'Database MK'!GA234</f>
        <v>Belum, Delay</v>
      </c>
      <c r="W233" s="7" t="str">
        <f ca="1">'Database MK'!GD234</f>
        <v>Sudah, Delay</v>
      </c>
      <c r="X233" s="7" t="str">
        <f ca="1">'Database MK'!GG234</f>
        <v>Sudah, OnSchedule</v>
      </c>
      <c r="Y233" s="7" t="str">
        <f ca="1">'Database MK'!GK234</f>
        <v>Sudah, OnSchedule</v>
      </c>
      <c r="Z233" s="7" t="str">
        <f ca="1">'Database MK'!HH234</f>
        <v>Sudah, OnSchedule</v>
      </c>
      <c r="AA233" s="7" t="str">
        <f ca="1">'Database MK'!HQ234</f>
        <v>Sudah, Delay</v>
      </c>
      <c r="AB233" s="7" t="str">
        <f ca="1">'Database MK'!HW234</f>
        <v>Sudah, Delay</v>
      </c>
      <c r="AC233" s="7">
        <f>'Database MK'!DA234-'Database MK'!DB234</f>
        <v>9</v>
      </c>
      <c r="AD233" s="7">
        <f>'Database MK'!DA234-'Database MK'!DF234</f>
        <v>3</v>
      </c>
      <c r="AE233" s="7">
        <f>'Database MK'!DK234-'Database MK'!DL234</f>
        <v>48</v>
      </c>
      <c r="AF233" s="7">
        <f>'Database MK'!DK234-'Database MK'!DO234</f>
        <v>19</v>
      </c>
      <c r="AG233" s="7">
        <f>'Database MK'!DU234-'Database MK'!DW234</f>
        <v>20</v>
      </c>
      <c r="AH233" s="7">
        <f>IF('Database MK'!EB234="","Belum",'Database MK'!DU234-'Database MK'!EB234)</f>
        <v>122</v>
      </c>
      <c r="AI233" s="7">
        <f>IF('Database MK'!EN234="","Belum",'Database MK'!EL234-'Database MK'!EN234)</f>
        <v>-191</v>
      </c>
      <c r="AJ233" s="7">
        <f>'Database MK'!FY234-'Database MK'!FZ234</f>
        <v>0</v>
      </c>
      <c r="AK233" s="7">
        <f>IF('Database MK'!GC234="","Belum",'Database MK'!GB234-'Database MK'!GC234)</f>
        <v>-6</v>
      </c>
      <c r="AL233" s="7">
        <f>IF('Database MK'!GF234="","Belum",'Database MK'!GE234-'Database MK'!GF234)</f>
        <v>1</v>
      </c>
      <c r="AM233" s="309">
        <f>IF('Database MK'!GJ234="","Belum",'Database MK'!GI234-'Database MK'!GJ234)</f>
        <v>11</v>
      </c>
      <c r="AN233" s="7">
        <f>IF('Database MK'!HG234="","Belum",'Database MK'!HF234-'Database MK'!HG234)</f>
        <v>6</v>
      </c>
      <c r="AO233" s="7">
        <f>IF('Database MK'!HP234="","Belum",'Database MK'!HN234-'Database MK'!HP234)</f>
        <v>-8</v>
      </c>
      <c r="AP233" s="7">
        <f>IF('Database MK'!HV234="","Belum",'Database MK'!HT234-'Database MK'!HV234)</f>
        <v>-8</v>
      </c>
    </row>
    <row r="234" spans="2:42" hidden="1" x14ac:dyDescent="0.2">
      <c r="B234" s="7">
        <f>SUBTOTAL(3,$C$4:C234)</f>
        <v>74</v>
      </c>
      <c r="C234" s="299" t="s">
        <v>673</v>
      </c>
      <c r="D234" s="4" t="s">
        <v>1798</v>
      </c>
      <c r="E234" s="4" t="s">
        <v>1799</v>
      </c>
      <c r="F234" s="300">
        <v>45931</v>
      </c>
      <c r="G234" s="4" t="s">
        <v>681</v>
      </c>
      <c r="H234" s="4" t="str">
        <f ca="1">'Database MK'!Q235</f>
        <v>DPPP</v>
      </c>
      <c r="I234" s="24">
        <f>'Database MK'!S235</f>
        <v>1</v>
      </c>
      <c r="J234" s="24">
        <f>'Database MK'!T235</f>
        <v>1</v>
      </c>
      <c r="K234" s="603">
        <f>'Database MK'!U235</f>
        <v>0</v>
      </c>
      <c r="L234" s="593">
        <f>'Database MK'!V235</f>
        <v>791</v>
      </c>
      <c r="M234" s="593">
        <f>'Database MK'!W235</f>
        <v>783</v>
      </c>
      <c r="N234" s="593">
        <f>Table3[[#This Row],[Total Panjang Pipa Aktual]]-Table3[[#This Row],[Volume
BA MC-0]]</f>
        <v>-8</v>
      </c>
      <c r="O234" s="7" t="str">
        <f ca="1">'Database MK'!DE235</f>
        <v>Sudah, OnSchedule</v>
      </c>
      <c r="P234" s="7" t="str">
        <f ca="1">'Database MK'!DI235</f>
        <v>Sudah, Delay</v>
      </c>
      <c r="Q234" s="7" t="str">
        <f ca="1">'Database MK'!DN235</f>
        <v>Sudah, OnSchedule</v>
      </c>
      <c r="R234" s="7" t="str">
        <f ca="1">'Database MK'!DR235</f>
        <v>Sudah, OnSchedule</v>
      </c>
      <c r="S234" s="7" t="str">
        <f ca="1">'Database MK'!EA235</f>
        <v>Sudah, OnSchedule</v>
      </c>
      <c r="T234" s="7" t="str">
        <f ca="1">'Database MK'!EI235</f>
        <v>Sudah, Delay</v>
      </c>
      <c r="U234" s="7" t="str">
        <f ca="1">'Database MK'!ET235</f>
        <v>Sudah, Delay</v>
      </c>
      <c r="V234" s="7" t="str">
        <f ca="1">'Database MK'!GA235</f>
        <v>Belum, Delay</v>
      </c>
      <c r="W234" s="7" t="str">
        <f ca="1">'Database MK'!GD235</f>
        <v>Sudah, OnSchedule</v>
      </c>
      <c r="X234" s="7" t="str">
        <f ca="1">'Database MK'!GG235</f>
        <v>Sudah, OnSchedule</v>
      </c>
      <c r="Y234" s="7" t="str">
        <f ca="1">'Database MK'!GK235</f>
        <v>Sudah, OnSchedule</v>
      </c>
      <c r="Z234" s="7" t="str">
        <f ca="1">'Database MK'!HH235</f>
        <v>Sudah, Delay</v>
      </c>
      <c r="AA234" s="7" t="str">
        <f ca="1">'Database MK'!HQ235</f>
        <v>Sudah, Delay</v>
      </c>
      <c r="AB234" s="7" t="str">
        <f ca="1">'Database MK'!HW235</f>
        <v>Sudah, Delay</v>
      </c>
      <c r="AC234" s="7">
        <f>'Database MK'!DA235-'Database MK'!DB235</f>
        <v>13</v>
      </c>
      <c r="AD234" s="7">
        <f>'Database MK'!DA235-'Database MK'!DF235</f>
        <v>-4</v>
      </c>
      <c r="AE234" s="7">
        <f>'Database MK'!DK235-'Database MK'!DL235</f>
        <v>20</v>
      </c>
      <c r="AF234" s="7">
        <f>'Database MK'!DK235-'Database MK'!DO235</f>
        <v>13</v>
      </c>
      <c r="AG234" s="7">
        <f>'Database MK'!DU235-'Database MK'!DW235</f>
        <v>13</v>
      </c>
      <c r="AH234" s="7">
        <f>IF('Database MK'!EB235="","Belum",'Database MK'!DU235-'Database MK'!EB235)</f>
        <v>-305</v>
      </c>
      <c r="AI234" s="7">
        <f>IF('Database MK'!EN235="","Belum",'Database MK'!EL235-'Database MK'!EN235)</f>
        <v>-281</v>
      </c>
      <c r="AJ234" s="7">
        <f>'Database MK'!FY235-'Database MK'!FZ235</f>
        <v>0</v>
      </c>
      <c r="AK234" s="7">
        <f>IF('Database MK'!GC235="","Belum",'Database MK'!GB235-'Database MK'!GC235)</f>
        <v>13</v>
      </c>
      <c r="AL234" s="7">
        <f>IF('Database MK'!GF235="","Belum",'Database MK'!GE235-'Database MK'!GF235)</f>
        <v>18</v>
      </c>
      <c r="AM234" s="309">
        <f>IF('Database MK'!GJ235="","Belum",'Database MK'!GI235-'Database MK'!GJ235)</f>
        <v>26</v>
      </c>
      <c r="AN234" s="7">
        <f>IF('Database MK'!HG235="","Belum",'Database MK'!HF235-'Database MK'!HG235)</f>
        <v>-17</v>
      </c>
      <c r="AO234" s="7">
        <f>IF('Database MK'!HP235="","Belum",'Database MK'!HN235-'Database MK'!HP235)</f>
        <v>-10</v>
      </c>
      <c r="AP234" s="7">
        <f>IF('Database MK'!HV235="","Belum",'Database MK'!HT235-'Database MK'!HV235)</f>
        <v>-8</v>
      </c>
    </row>
    <row r="235" spans="2:42" hidden="1" x14ac:dyDescent="0.2">
      <c r="B235" s="7">
        <f>SUBTOTAL(3,$C$4:C235)</f>
        <v>74</v>
      </c>
      <c r="C235" s="299" t="s">
        <v>673</v>
      </c>
      <c r="D235" s="4" t="s">
        <v>1807</v>
      </c>
      <c r="E235" s="4" t="s">
        <v>1808</v>
      </c>
      <c r="F235" s="300">
        <v>45931</v>
      </c>
      <c r="G235" s="4" t="s">
        <v>681</v>
      </c>
      <c r="H235" s="4" t="str">
        <f ca="1">'Database MK'!Q236</f>
        <v>DPPP</v>
      </c>
      <c r="I235" s="24">
        <f>'Database MK'!S236</f>
        <v>1</v>
      </c>
      <c r="J235" s="24">
        <f>'Database MK'!T236</f>
        <v>1</v>
      </c>
      <c r="K235" s="603">
        <f>'Database MK'!U236</f>
        <v>0</v>
      </c>
      <c r="L235" s="593">
        <f>'Database MK'!V236</f>
        <v>395</v>
      </c>
      <c r="M235" s="593">
        <f>'Database MK'!W236</f>
        <v>360</v>
      </c>
      <c r="N235" s="593">
        <f>Table3[[#This Row],[Total Panjang Pipa Aktual]]-Table3[[#This Row],[Volume
BA MC-0]]</f>
        <v>-35</v>
      </c>
      <c r="O235" s="7" t="str">
        <f ca="1">'Database MK'!DE236</f>
        <v>Sudah, OnSchedule</v>
      </c>
      <c r="P235" s="7" t="str">
        <f ca="1">'Database MK'!DI236</f>
        <v>Sudah, Delay</v>
      </c>
      <c r="Q235" s="7" t="str">
        <f ca="1">'Database MK'!DN236</f>
        <v>Sudah, OnSchedule</v>
      </c>
      <c r="R235" s="7" t="str">
        <f ca="1">'Database MK'!DR236</f>
        <v>Sudah, OnSchedule</v>
      </c>
      <c r="S235" s="7" t="str">
        <f ca="1">'Database MK'!EA236</f>
        <v>Sudah, OnSchedule</v>
      </c>
      <c r="T235" s="7" t="str">
        <f ca="1">'Database MK'!EI236</f>
        <v>Sudah, Delay</v>
      </c>
      <c r="U235" s="7" t="str">
        <f ca="1">'Database MK'!ET236</f>
        <v>Sudah, Delay</v>
      </c>
      <c r="V235" s="7" t="str">
        <f ca="1">'Database MK'!GA236</f>
        <v>Belum, Delay</v>
      </c>
      <c r="W235" s="7" t="str">
        <f ca="1">'Database MK'!GD236</f>
        <v>Sudah, OnSchedule</v>
      </c>
      <c r="X235" s="7" t="str">
        <f ca="1">'Database MK'!GG236</f>
        <v>Sudah, OnSchedule</v>
      </c>
      <c r="Y235" s="7" t="str">
        <f ca="1">'Database MK'!GK236</f>
        <v>Sudah, OnSchedule</v>
      </c>
      <c r="Z235" s="7" t="str">
        <f ca="1">'Database MK'!HH236</f>
        <v>Sudah, OnSchedule</v>
      </c>
      <c r="AA235" s="7" t="str">
        <f ca="1">'Database MK'!HQ236</f>
        <v>Sudah, Delay</v>
      </c>
      <c r="AB235" s="7" t="str">
        <f ca="1">'Database MK'!HW236</f>
        <v>Sudah, Delay</v>
      </c>
      <c r="AC235" s="7">
        <f>'Database MK'!DA236-'Database MK'!DB236</f>
        <v>19</v>
      </c>
      <c r="AD235" s="7">
        <f>'Database MK'!DA236-'Database MK'!DF236</f>
        <v>-2</v>
      </c>
      <c r="AE235" s="7">
        <f>'Database MK'!DK236-'Database MK'!DL236</f>
        <v>44</v>
      </c>
      <c r="AF235" s="7">
        <f>'Database MK'!DK236-'Database MK'!DO236</f>
        <v>19</v>
      </c>
      <c r="AG235" s="7">
        <f>'Database MK'!DU236-'Database MK'!DW236</f>
        <v>30</v>
      </c>
      <c r="AH235" s="7">
        <f>IF('Database MK'!EB236="","Belum",'Database MK'!DU236-'Database MK'!EB236)</f>
        <v>-181</v>
      </c>
      <c r="AI235" s="7">
        <f>IF('Database MK'!EN236="","Belum",'Database MK'!EL236-'Database MK'!EN236)</f>
        <v>-188</v>
      </c>
      <c r="AJ235" s="7">
        <f>'Database MK'!FY236-'Database MK'!FZ236</f>
        <v>0</v>
      </c>
      <c r="AK235" s="7">
        <f>IF('Database MK'!GC236="","Belum",'Database MK'!GB236-'Database MK'!GC236)</f>
        <v>48</v>
      </c>
      <c r="AL235" s="7">
        <f>IF('Database MK'!GF236="","Belum",'Database MK'!GE236-'Database MK'!GF236)</f>
        <v>53</v>
      </c>
      <c r="AM235" s="309">
        <f>IF('Database MK'!GJ236="","Belum",'Database MK'!GI236-'Database MK'!GJ236)</f>
        <v>61</v>
      </c>
      <c r="AN235" s="7">
        <f>IF('Database MK'!HG236="","Belum",'Database MK'!HF236-'Database MK'!HG236)</f>
        <v>5</v>
      </c>
      <c r="AO235" s="7">
        <f>IF('Database MK'!HP236="","Belum",'Database MK'!HN236-'Database MK'!HP236)</f>
        <v>-10</v>
      </c>
      <c r="AP235" s="7">
        <f>IF('Database MK'!HV236="","Belum",'Database MK'!HT236-'Database MK'!HV236)</f>
        <v>-8</v>
      </c>
    </row>
    <row r="236" spans="2:42" hidden="1" x14ac:dyDescent="0.2">
      <c r="B236" s="7">
        <f>SUBTOTAL(3,$C$4:C236)</f>
        <v>74</v>
      </c>
      <c r="C236" s="4" t="s">
        <v>629</v>
      </c>
      <c r="D236" s="4" t="s">
        <v>1816</v>
      </c>
      <c r="E236" s="4" t="s">
        <v>1817</v>
      </c>
      <c r="F236" s="300">
        <v>46113</v>
      </c>
      <c r="G236" s="4" t="s">
        <v>247</v>
      </c>
      <c r="H236" s="4" t="str">
        <f>'Database MK'!Q237</f>
        <v>Proses Konstruksi</v>
      </c>
      <c r="I236" s="24">
        <f>'Database MK'!S237</f>
        <v>1</v>
      </c>
      <c r="J236" s="24">
        <f>'Database MK'!T237</f>
        <v>0.82439331406627447</v>
      </c>
      <c r="K236" s="603">
        <f>'Database MK'!U237</f>
        <v>-0.17560668593372553</v>
      </c>
      <c r="L236" s="593">
        <f>'Database MK'!V237</f>
        <v>2363</v>
      </c>
      <c r="M236" s="593">
        <f>'Database MK'!W237</f>
        <v>2107.5</v>
      </c>
      <c r="N236" s="593">
        <f>Table3[[#This Row],[Total Panjang Pipa Aktual]]-Table3[[#This Row],[Volume
BA MC-0]]</f>
        <v>-255.5</v>
      </c>
      <c r="O236" s="7" t="str">
        <f ca="1">'Database MK'!DE237</f>
        <v>Sudah, OnSchedule</v>
      </c>
      <c r="P236" s="7" t="str">
        <f ca="1">'Database MK'!DI237</f>
        <v>Sudah, OnSchedule</v>
      </c>
      <c r="Q236" s="7" t="str">
        <f ca="1">'Database MK'!DN237</f>
        <v>Sudah, OnSchedule</v>
      </c>
      <c r="R236" s="7" t="str">
        <f ca="1">'Database MK'!DR237</f>
        <v>Sudah, OnSchedule</v>
      </c>
      <c r="S236" s="7" t="str">
        <f ca="1">'Database MK'!EA237</f>
        <v>Sudah, Delay</v>
      </c>
      <c r="T236" s="7" t="str">
        <f ca="1">'Database MK'!EI237</f>
        <v>Belum, Delay</v>
      </c>
      <c r="U236" s="7" t="str">
        <f ca="1">'Database MK'!ET237</f>
        <v>Belum, Delay</v>
      </c>
      <c r="V236" s="7" t="str">
        <f ca="1">'Database MK'!GA237</f>
        <v>Sudah, Delay</v>
      </c>
      <c r="W236" s="7" t="str">
        <f ca="1">'Database MK'!GD237</f>
        <v>Sudah, Delay</v>
      </c>
      <c r="X236" s="7" t="str">
        <f ca="1">'Database MK'!GG237</f>
        <v>Sudah, Delay</v>
      </c>
      <c r="Y236" s="7" t="str">
        <f ca="1">'Database MK'!GK237</f>
        <v>Sudah, Delay</v>
      </c>
      <c r="Z236" s="7" t="str">
        <f ca="1">'Database MK'!HH237</f>
        <v>Sudah, Delay</v>
      </c>
      <c r="AA236" s="7" t="str">
        <f ca="1">'Database MK'!HQ237</f>
        <v>Belum, Delay</v>
      </c>
      <c r="AB236" s="7" t="str">
        <f ca="1">'Database MK'!HW237</f>
        <v>Belum, Delay</v>
      </c>
      <c r="AC236" s="7">
        <f>'Database MK'!DA237-'Database MK'!DB237</f>
        <v>54</v>
      </c>
      <c r="AD236" s="7">
        <f>'Database MK'!DA237-'Database MK'!DF237</f>
        <v>23</v>
      </c>
      <c r="AE236" s="7">
        <f>'Database MK'!DK237-'Database MK'!DL237</f>
        <v>26</v>
      </c>
      <c r="AF236" s="7">
        <f>'Database MK'!DK237-'Database MK'!DO237</f>
        <v>6</v>
      </c>
      <c r="AG236" s="7">
        <f>'Database MK'!DU237-'Database MK'!DW237</f>
        <v>-164</v>
      </c>
      <c r="AH236" s="7" t="str">
        <f>IF('Database MK'!EB237="","Belum",'Database MK'!DU237-'Database MK'!EB237)</f>
        <v>Belum</v>
      </c>
      <c r="AI236" s="7" t="str">
        <f>IF('Database MK'!EN237="","Belum",'Database MK'!EL237-'Database MK'!EN237)</f>
        <v>Belum</v>
      </c>
      <c r="AJ236" s="7">
        <f>'Database MK'!FY237-'Database MK'!FZ237</f>
        <v>-45911</v>
      </c>
      <c r="AK236" s="7">
        <f>IF('Database MK'!GC237="","Belum",'Database MK'!GB237-'Database MK'!GC237)</f>
        <v>-95</v>
      </c>
      <c r="AL236" s="7">
        <f>IF('Database MK'!GF237="","Belum",'Database MK'!GE237-'Database MK'!GF237)</f>
        <v>-61</v>
      </c>
      <c r="AM236" s="309">
        <f>IF('Database MK'!GJ237="","Belum",'Database MK'!GI237-'Database MK'!GJ237)</f>
        <v>-49</v>
      </c>
      <c r="AN236" s="7">
        <f>IF('Database MK'!HG237="","Belum",'Database MK'!HF237-'Database MK'!HG237)</f>
        <v>-96</v>
      </c>
      <c r="AO236" s="7" t="str">
        <f>IF('Database MK'!HP237="","Belum",'Database MK'!HN237-'Database MK'!HP237)</f>
        <v>Belum</v>
      </c>
      <c r="AP236" s="7" t="str">
        <f>IF('Database MK'!HV237="","Belum",'Database MK'!HT237-'Database MK'!HV237)</f>
        <v>Belum</v>
      </c>
    </row>
    <row r="237" spans="2:42" hidden="1" x14ac:dyDescent="0.2">
      <c r="B237" s="7">
        <f>SUBTOTAL(3,$C$4:C237)</f>
        <v>74</v>
      </c>
      <c r="C237" s="4" t="s">
        <v>629</v>
      </c>
      <c r="D237" s="4" t="s">
        <v>1828</v>
      </c>
      <c r="E237" s="4" t="s">
        <v>1829</v>
      </c>
      <c r="F237" s="300">
        <v>46113</v>
      </c>
      <c r="G237" s="4" t="s">
        <v>247</v>
      </c>
      <c r="H237" s="4" t="str">
        <f ca="1">'Database MK'!Q238</f>
        <v>DPPP</v>
      </c>
      <c r="I237" s="24">
        <f>'Database MK'!S238</f>
        <v>1</v>
      </c>
      <c r="J237" s="24">
        <f>'Database MK'!T238</f>
        <v>1</v>
      </c>
      <c r="K237" s="603">
        <f>'Database MK'!U238</f>
        <v>0</v>
      </c>
      <c r="L237" s="593">
        <f>'Database MK'!V238</f>
        <v>2248</v>
      </c>
      <c r="M237" s="593">
        <f>'Database MK'!W238</f>
        <v>2183.6999999999998</v>
      </c>
      <c r="N237" s="593">
        <f>Table3[[#This Row],[Total Panjang Pipa Aktual]]-Table3[[#This Row],[Volume
BA MC-0]]</f>
        <v>-64.300000000000182</v>
      </c>
      <c r="O237" s="7" t="str">
        <f ca="1">'Database MK'!DE238</f>
        <v>Sudah, OnSchedule</v>
      </c>
      <c r="P237" s="7" t="str">
        <f ca="1">'Database MK'!DI238</f>
        <v>Sudah, OnSchedule</v>
      </c>
      <c r="Q237" s="7" t="str">
        <f ca="1">'Database MK'!DN238</f>
        <v>Sudah, OnSchedule</v>
      </c>
      <c r="R237" s="7" t="str">
        <f ca="1">'Database MK'!DR238</f>
        <v>Sudah, Delay</v>
      </c>
      <c r="S237" s="7" t="str">
        <f ca="1">'Database MK'!EA238</f>
        <v>Sudah, Delay</v>
      </c>
      <c r="T237" s="7" t="str">
        <f ca="1">'Database MK'!EI238</f>
        <v>Sudah, Delay</v>
      </c>
      <c r="U237" s="7" t="str">
        <f ca="1">'Database MK'!ET238</f>
        <v>Sudah, Delay</v>
      </c>
      <c r="V237" s="7" t="str">
        <f ca="1">'Database MK'!GA238</f>
        <v>Sudah, Delay</v>
      </c>
      <c r="W237" s="7" t="str">
        <f ca="1">'Database MK'!GD238</f>
        <v>Sudah, OnSchedule</v>
      </c>
      <c r="X237" s="7" t="str">
        <f ca="1">'Database MK'!GG238</f>
        <v>Sudah, Delay</v>
      </c>
      <c r="Y237" s="7" t="str">
        <f ca="1">'Database MK'!GK238</f>
        <v>Sudah, OnSchedule</v>
      </c>
      <c r="Z237" s="7" t="str">
        <f ca="1">'Database MK'!HH238</f>
        <v>Sudah, Delay</v>
      </c>
      <c r="AA237" s="7" t="str">
        <f ca="1">'Database MK'!HQ238</f>
        <v>Sudah, Delay</v>
      </c>
      <c r="AB237" s="7" t="str">
        <f ca="1">'Database MK'!HW238</f>
        <v>Sudah, Delay</v>
      </c>
      <c r="AC237" s="7">
        <f>'Database MK'!DA238-'Database MK'!DB238</f>
        <v>465</v>
      </c>
      <c r="AD237" s="7">
        <f>'Database MK'!DA238-'Database MK'!DF238</f>
        <v>25</v>
      </c>
      <c r="AE237" s="7">
        <f>'Database MK'!DK238-'Database MK'!DL238</f>
        <v>75</v>
      </c>
      <c r="AF237" s="7">
        <f>'Database MK'!DK238-'Database MK'!DO238</f>
        <v>-24</v>
      </c>
      <c r="AG237" s="7">
        <f>'Database MK'!DU238-'Database MK'!DW238</f>
        <v>-40</v>
      </c>
      <c r="AH237" s="7">
        <f>IF('Database MK'!EB238="","Belum",'Database MK'!DU238-'Database MK'!EB238)</f>
        <v>-208</v>
      </c>
      <c r="AI237" s="7">
        <f>IF('Database MK'!EN238="","Belum",'Database MK'!EL238-'Database MK'!EN238)</f>
        <v>-88</v>
      </c>
      <c r="AJ237" s="7">
        <f>'Database MK'!FY238-'Database MK'!FZ238</f>
        <v>-45947</v>
      </c>
      <c r="AK237" s="7">
        <f>IF('Database MK'!GC238="","Belum",'Database MK'!GB238-'Database MK'!GC238)</f>
        <v>82</v>
      </c>
      <c r="AL237" s="7">
        <f>IF('Database MK'!GF238="","Belum",'Database MK'!GE238-'Database MK'!GF238)</f>
        <v>-88</v>
      </c>
      <c r="AM237" s="309">
        <f>IF('Database MK'!GJ238="","Belum",'Database MK'!GI238-'Database MK'!GJ238)</f>
        <v>89</v>
      </c>
      <c r="AN237" s="7">
        <f>IF('Database MK'!HG238="","Belum",'Database MK'!HF238-'Database MK'!HG238)</f>
        <v>-33</v>
      </c>
      <c r="AO237" s="7">
        <f>IF('Database MK'!HP238="","Belum",'Database MK'!HN238-'Database MK'!HP238)</f>
        <v>-15</v>
      </c>
      <c r="AP237" s="7">
        <f>IF('Database MK'!HV238="","Belum",'Database MK'!HT238-'Database MK'!HV238)</f>
        <v>-8</v>
      </c>
    </row>
    <row r="238" spans="2:42" hidden="1" x14ac:dyDescent="0.2">
      <c r="B238" s="7">
        <f>SUBTOTAL(3,$C$4:C238)</f>
        <v>74</v>
      </c>
      <c r="C238" s="4" t="s">
        <v>629</v>
      </c>
      <c r="D238" s="4" t="s">
        <v>1839</v>
      </c>
      <c r="E238" s="4" t="s">
        <v>1840</v>
      </c>
      <c r="F238" s="300">
        <v>46113</v>
      </c>
      <c r="G238" s="4" t="s">
        <v>247</v>
      </c>
      <c r="H238" s="4" t="str">
        <f ca="1">'Database MK'!Q239</f>
        <v>DPPP</v>
      </c>
      <c r="I238" s="24">
        <f>'Database MK'!S239</f>
        <v>1</v>
      </c>
      <c r="J238" s="24">
        <f>'Database MK'!T239</f>
        <v>1</v>
      </c>
      <c r="K238" s="603">
        <f>'Database MK'!U239</f>
        <v>0</v>
      </c>
      <c r="L238" s="593">
        <f>'Database MK'!V239</f>
        <v>484</v>
      </c>
      <c r="M238" s="593">
        <f>'Database MK'!W239</f>
        <v>539</v>
      </c>
      <c r="N238" s="593">
        <f>Table3[[#This Row],[Total Panjang Pipa Aktual]]-Table3[[#This Row],[Volume
BA MC-0]]</f>
        <v>55</v>
      </c>
      <c r="O238" s="7" t="str">
        <f ca="1">'Database MK'!DE239</f>
        <v>Sudah, OnSchedule</v>
      </c>
      <c r="P238" s="7" t="str">
        <f ca="1">'Database MK'!DI239</f>
        <v>Sudah, OnSchedule</v>
      </c>
      <c r="Q238" s="7" t="str">
        <f ca="1">'Database MK'!DN239</f>
        <v>Sudah, OnSchedule</v>
      </c>
      <c r="R238" s="7" t="str">
        <f ca="1">'Database MK'!DR239</f>
        <v>Sudah, OnSchedule</v>
      </c>
      <c r="S238" s="7" t="str">
        <f ca="1">'Database MK'!EA239</f>
        <v>Sudah, Delay</v>
      </c>
      <c r="T238" s="7" t="str">
        <f ca="1">'Database MK'!EI239</f>
        <v>Sudah, Delay</v>
      </c>
      <c r="U238" s="7" t="str">
        <f ca="1">'Database MK'!ET239</f>
        <v>Sudah, Delay</v>
      </c>
      <c r="V238" s="7" t="str">
        <f ca="1">'Database MK'!GA239</f>
        <v>Sudah, Delay</v>
      </c>
      <c r="W238" s="7" t="str">
        <f ca="1">'Database MK'!GD239</f>
        <v>Sudah, OnSchedule</v>
      </c>
      <c r="X238" s="7" t="str">
        <f ca="1">'Database MK'!GG239</f>
        <v>Sudah, OnSchedule</v>
      </c>
      <c r="Y238" s="7" t="str">
        <f ca="1">'Database MK'!GK239</f>
        <v>Sudah, OnSchedule</v>
      </c>
      <c r="Z238" s="7" t="str">
        <f ca="1">'Database MK'!HH239</f>
        <v>Sudah, Delay</v>
      </c>
      <c r="AA238" s="7" t="str">
        <f ca="1">'Database MK'!HQ239</f>
        <v>Sudah, Delay</v>
      </c>
      <c r="AB238" s="7" t="str">
        <f ca="1">'Database MK'!HW239</f>
        <v>Sudah, Delay</v>
      </c>
      <c r="AC238" s="7">
        <f>'Database MK'!DA239-'Database MK'!DB239</f>
        <v>60</v>
      </c>
      <c r="AD238" s="7">
        <f>'Database MK'!DA239-'Database MK'!DF239</f>
        <v>32</v>
      </c>
      <c r="AE238" s="7">
        <f>'Database MK'!DK239-'Database MK'!DL239</f>
        <v>151</v>
      </c>
      <c r="AF238" s="7">
        <f>'Database MK'!DK239-'Database MK'!DO239</f>
        <v>132</v>
      </c>
      <c r="AG238" s="7">
        <f>'Database MK'!DU239-'Database MK'!DW239</f>
        <v>-43</v>
      </c>
      <c r="AH238" s="7">
        <f>IF('Database MK'!EB239="","Belum",'Database MK'!DU239-'Database MK'!EB239)</f>
        <v>-241</v>
      </c>
      <c r="AI238" s="7">
        <f>IF('Database MK'!EN239="","Belum",'Database MK'!EL239-'Database MK'!EN239)</f>
        <v>-122</v>
      </c>
      <c r="AJ238" s="7">
        <f>'Database MK'!FY239-'Database MK'!FZ239</f>
        <v>-45947</v>
      </c>
      <c r="AK238" s="7">
        <f>IF('Database MK'!GC239="","Belum",'Database MK'!GB239-'Database MK'!GC239)</f>
        <v>173</v>
      </c>
      <c r="AL238" s="7">
        <f>IF('Database MK'!GF239="","Belum",'Database MK'!GE239-'Database MK'!GF239)</f>
        <v>3</v>
      </c>
      <c r="AM238" s="309">
        <f>IF('Database MK'!GJ239="","Belum",'Database MK'!GI239-'Database MK'!GJ239)</f>
        <v>180</v>
      </c>
      <c r="AN238" s="7">
        <f>IF('Database MK'!HG239="","Belum",'Database MK'!HF239-'Database MK'!HG239)</f>
        <v>-30</v>
      </c>
      <c r="AO238" s="7">
        <f>IF('Database MK'!HP239="","Belum",'Database MK'!HN239-'Database MK'!HP239)</f>
        <v>-15</v>
      </c>
      <c r="AP238" s="7">
        <f>IF('Database MK'!HV239="","Belum",'Database MK'!HT239-'Database MK'!HV239)</f>
        <v>-8</v>
      </c>
    </row>
    <row r="239" spans="2:42" hidden="1" x14ac:dyDescent="0.2">
      <c r="B239" s="7">
        <f>SUBTOTAL(3,$C$4:C239)</f>
        <v>74</v>
      </c>
      <c r="C239" s="4" t="s">
        <v>629</v>
      </c>
      <c r="D239" s="4" t="s">
        <v>1848</v>
      </c>
      <c r="E239" s="4" t="s">
        <v>1849</v>
      </c>
      <c r="F239" s="300">
        <v>46113</v>
      </c>
      <c r="G239" s="4" t="s">
        <v>247</v>
      </c>
      <c r="H239" s="4" t="str">
        <f ca="1">'Database MK'!Q240</f>
        <v>Proses Konstruksi</v>
      </c>
      <c r="I239" s="24">
        <f>'Database MK'!S240</f>
        <v>1</v>
      </c>
      <c r="J239" s="24">
        <f>'Database MK'!T240</f>
        <v>0.81768367320736579</v>
      </c>
      <c r="K239" s="603">
        <f>'Database MK'!U240</f>
        <v>-0.18231632679263421</v>
      </c>
      <c r="L239" s="593">
        <f>'Database MK'!V240</f>
        <v>4335</v>
      </c>
      <c r="M239" s="593">
        <f>'Database MK'!W240</f>
        <v>3046.4</v>
      </c>
      <c r="N239" s="593">
        <f>Table3[[#This Row],[Total Panjang Pipa Aktual]]-Table3[[#This Row],[Volume
BA MC-0]]</f>
        <v>-1288.5999999999999</v>
      </c>
      <c r="O239" s="7" t="str">
        <f ca="1">'Database MK'!DE240</f>
        <v>Sudah, OnSchedule</v>
      </c>
      <c r="P239" s="7" t="str">
        <f ca="1">'Database MK'!DI240</f>
        <v>Sudah, OnSchedule</v>
      </c>
      <c r="Q239" s="7" t="str">
        <f ca="1">'Database MK'!DN240</f>
        <v>Sudah, OnSchedule</v>
      </c>
      <c r="R239" s="7" t="str">
        <f ca="1">'Database MK'!DR240</f>
        <v>Sudah, OnSchedule</v>
      </c>
      <c r="S239" s="7" t="str">
        <f ca="1">'Database MK'!EA240</f>
        <v>Sudah, Delay</v>
      </c>
      <c r="T239" s="7" t="str">
        <f ca="1">'Database MK'!EI240</f>
        <v>Belum, Delay</v>
      </c>
      <c r="U239" s="7" t="str">
        <f ca="1">'Database MK'!ET240</f>
        <v>Belum, Delay</v>
      </c>
      <c r="V239" s="7" t="str">
        <f ca="1">'Database MK'!GA240</f>
        <v>Sudah, Delay</v>
      </c>
      <c r="W239" s="7" t="str">
        <f ca="1">'Database MK'!GD240</f>
        <v>Sudah, OnSchedule</v>
      </c>
      <c r="X239" s="7" t="str">
        <f ca="1">'Database MK'!GG240</f>
        <v>Sudah, Delay</v>
      </c>
      <c r="Y239" s="7" t="str">
        <f ca="1">'Database MK'!GK240</f>
        <v>Sudah, OnSchedule</v>
      </c>
      <c r="Z239" s="7" t="str">
        <f ca="1">'Database MK'!HH240</f>
        <v>Belum, Delay</v>
      </c>
      <c r="AA239" s="7" t="str">
        <f ca="1">'Database MK'!HQ240</f>
        <v>Belum, Delay</v>
      </c>
      <c r="AB239" s="7" t="str">
        <f ca="1">'Database MK'!HW240</f>
        <v>Belum, Delay</v>
      </c>
      <c r="AC239" s="7">
        <f>'Database MK'!DA240-'Database MK'!DB240</f>
        <v>60</v>
      </c>
      <c r="AD239" s="7">
        <f>'Database MK'!DA240-'Database MK'!DF240</f>
        <v>48</v>
      </c>
      <c r="AE239" s="7">
        <f>'Database MK'!DK240-'Database MK'!DL240</f>
        <v>75</v>
      </c>
      <c r="AF239" s="7">
        <f>'Database MK'!DK240-'Database MK'!DO240</f>
        <v>41</v>
      </c>
      <c r="AG239" s="7">
        <f>'Database MK'!DU240-'Database MK'!DW240</f>
        <v>-50</v>
      </c>
      <c r="AH239" s="7" t="str">
        <f>IF('Database MK'!EB240="","Belum",'Database MK'!DU240-'Database MK'!EB240)</f>
        <v>Belum</v>
      </c>
      <c r="AI239" s="7" t="str">
        <f>IF('Database MK'!EN240="","Belum",'Database MK'!EL240-'Database MK'!EN240)</f>
        <v>Belum</v>
      </c>
      <c r="AJ239" s="7">
        <f>'Database MK'!FY240-'Database MK'!FZ240</f>
        <v>-45947</v>
      </c>
      <c r="AK239" s="7">
        <f>IF('Database MK'!GC240="","Belum",'Database MK'!GB240-'Database MK'!GC240)</f>
        <v>82</v>
      </c>
      <c r="AL239" s="7">
        <f>IF('Database MK'!GF240="","Belum",'Database MK'!GE240-'Database MK'!GF240)</f>
        <v>-88</v>
      </c>
      <c r="AM239" s="309">
        <f>IF('Database MK'!GJ240="","Belum",'Database MK'!GI240-'Database MK'!GJ240)</f>
        <v>88</v>
      </c>
      <c r="AN239" s="7" t="str">
        <f>IF('Database MK'!HG240="","Belum",'Database MK'!HF240-'Database MK'!HG240)</f>
        <v>Belum</v>
      </c>
      <c r="AO239" s="7" t="str">
        <f>IF('Database MK'!HP240="","Belum",'Database MK'!HN240-'Database MK'!HP240)</f>
        <v>Belum</v>
      </c>
      <c r="AP239" s="7" t="str">
        <f>IF('Database MK'!HV240="","Belum",'Database MK'!HT240-'Database MK'!HV240)</f>
        <v>Belum</v>
      </c>
    </row>
    <row r="240" spans="2:42" hidden="1" x14ac:dyDescent="0.2">
      <c r="B240" s="7">
        <f>SUBTOTAL(3,$C$4:C240)</f>
        <v>74</v>
      </c>
      <c r="C240" s="4" t="s">
        <v>629</v>
      </c>
      <c r="D240" s="4" t="s">
        <v>1856</v>
      </c>
      <c r="E240" s="4" t="s">
        <v>1857</v>
      </c>
      <c r="F240" s="300">
        <v>46113</v>
      </c>
      <c r="G240" s="4" t="s">
        <v>247</v>
      </c>
      <c r="H240" s="4" t="str">
        <f ca="1">'Database MK'!Q241</f>
        <v>Tes Com</v>
      </c>
      <c r="I240" s="24">
        <f>'Database MK'!S241</f>
        <v>1</v>
      </c>
      <c r="J240" s="24">
        <f>'Database MK'!T241</f>
        <v>0.94810093755324509</v>
      </c>
      <c r="K240" s="603">
        <f>'Database MK'!U241</f>
        <v>-5.1899062446754907E-2</v>
      </c>
      <c r="L240" s="593">
        <f>'Database MK'!V241</f>
        <v>2066</v>
      </c>
      <c r="M240" s="593">
        <f>'Database MK'!W241</f>
        <v>2066</v>
      </c>
      <c r="N240" s="593">
        <f>Table3[[#This Row],[Total Panjang Pipa Aktual]]-Table3[[#This Row],[Volume
BA MC-0]]</f>
        <v>0</v>
      </c>
      <c r="O240" s="7" t="str">
        <f ca="1">'Database MK'!DE241</f>
        <v>Sudah, Delay</v>
      </c>
      <c r="P240" s="7" t="str">
        <f ca="1">'Database MK'!DI241</f>
        <v>Sudah, Delay</v>
      </c>
      <c r="Q240" s="7" t="str">
        <f ca="1">'Database MK'!DN241</f>
        <v>Sudah, Delay</v>
      </c>
      <c r="R240" s="7" t="str">
        <f ca="1">'Database MK'!DR241</f>
        <v>Sudah, Delay</v>
      </c>
      <c r="S240" s="7" t="str">
        <f ca="1">'Database MK'!EA241</f>
        <v>Sudah, Delay</v>
      </c>
      <c r="T240" s="7" t="str">
        <f ca="1">'Database MK'!EI241</f>
        <v>Belum, Delay</v>
      </c>
      <c r="U240" s="7" t="str">
        <f ca="1">'Database MK'!ET241</f>
        <v>Belum, Delay</v>
      </c>
      <c r="V240" s="7" t="str">
        <f ca="1">'Database MK'!GA241</f>
        <v>Sudah, Delay</v>
      </c>
      <c r="W240" s="7" t="str">
        <f ca="1">'Database MK'!GD241</f>
        <v>Sudah, Delay</v>
      </c>
      <c r="X240" s="7" t="str">
        <f ca="1">'Database MK'!GG241</f>
        <v>Sudah, Delay</v>
      </c>
      <c r="Y240" s="7" t="str">
        <f ca="1">'Database MK'!GK241</f>
        <v>Sudah, Delay</v>
      </c>
      <c r="Z240" s="7" t="str">
        <f ca="1">'Database MK'!HH241</f>
        <v>Sudah, Delay</v>
      </c>
      <c r="AA240" s="7" t="str">
        <f ca="1">'Database MK'!HQ241</f>
        <v>Belum, Delay</v>
      </c>
      <c r="AB240" s="7" t="str">
        <f ca="1">'Database MK'!HW241</f>
        <v>Belum, Delay</v>
      </c>
      <c r="AC240" s="7">
        <f>'Database MK'!DA241-'Database MK'!DB241</f>
        <v>-45</v>
      </c>
      <c r="AD240" s="7">
        <f>'Database MK'!DA241-'Database MK'!DF241</f>
        <v>-54</v>
      </c>
      <c r="AE240" s="7">
        <f>'Database MK'!DK241-'Database MK'!DL241</f>
        <v>-10</v>
      </c>
      <c r="AF240" s="7">
        <f>'Database MK'!DK241-'Database MK'!DO241</f>
        <v>-44</v>
      </c>
      <c r="AG240" s="7">
        <f>'Database MK'!DU241-'Database MK'!DW241</f>
        <v>-38</v>
      </c>
      <c r="AH240" s="7" t="str">
        <f>IF('Database MK'!EB241="","Belum",'Database MK'!DU241-'Database MK'!EB241)</f>
        <v>Belum</v>
      </c>
      <c r="AI240" s="7" t="str">
        <f>IF('Database MK'!EN241="","Belum",'Database MK'!EL241-'Database MK'!EN241)</f>
        <v>Belum</v>
      </c>
      <c r="AJ240" s="7">
        <f>'Database MK'!FY241-'Database MK'!FZ241</f>
        <v>-45903</v>
      </c>
      <c r="AK240" s="7">
        <f>IF('Database MK'!GC241="","Belum",'Database MK'!GB241-'Database MK'!GC241)</f>
        <v>-15</v>
      </c>
      <c r="AL240" s="7">
        <f>IF('Database MK'!GF241="","Belum",'Database MK'!GE241-'Database MK'!GF241)</f>
        <v>-3</v>
      </c>
      <c r="AM240" s="309">
        <f>IF('Database MK'!GJ241="","Belum",'Database MK'!GI241-'Database MK'!GJ241)</f>
        <v>-1</v>
      </c>
      <c r="AN240" s="7">
        <f>IF('Database MK'!HG241="","Belum",'Database MK'!HF241-'Database MK'!HG241)</f>
        <v>-96</v>
      </c>
      <c r="AO240" s="7" t="str">
        <f>IF('Database MK'!HP241="","Belum",'Database MK'!HN241-'Database MK'!HP241)</f>
        <v>Belum</v>
      </c>
      <c r="AP240" s="7" t="str">
        <f>IF('Database MK'!HV241="","Belum",'Database MK'!HT241-'Database MK'!HV241)</f>
        <v>Belum</v>
      </c>
    </row>
    <row r="241" spans="2:42" hidden="1" x14ac:dyDescent="0.2">
      <c r="B241" s="7">
        <f>SUBTOTAL(3,$C$4:C241)</f>
        <v>74</v>
      </c>
      <c r="C241" s="4" t="s">
        <v>629</v>
      </c>
      <c r="D241" s="4" t="s">
        <v>1866</v>
      </c>
      <c r="E241" s="4" t="s">
        <v>1867</v>
      </c>
      <c r="F241" s="300">
        <v>46113</v>
      </c>
      <c r="G241" s="4" t="s">
        <v>247</v>
      </c>
      <c r="H241" s="4" t="str">
        <f ca="1">'Database MK'!Q242</f>
        <v>Proses Konstruksi</v>
      </c>
      <c r="I241" s="24">
        <f>'Database MK'!S242</f>
        <v>1</v>
      </c>
      <c r="J241" s="24">
        <f>'Database MK'!T242</f>
        <v>0.42552050001018388</v>
      </c>
      <c r="K241" s="603">
        <f>'Database MK'!U242</f>
        <v>-0.57447949998981618</v>
      </c>
      <c r="L241" s="593">
        <f>'Database MK'!V242</f>
        <v>7889.7</v>
      </c>
      <c r="M241" s="593">
        <f>'Database MK'!W242</f>
        <v>4871.5</v>
      </c>
      <c r="N241" s="593">
        <f>Table3[[#This Row],[Total Panjang Pipa Aktual]]-Table3[[#This Row],[Volume
BA MC-0]]</f>
        <v>-3018.2</v>
      </c>
      <c r="O241" s="7" t="str">
        <f ca="1">'Database MK'!DE242</f>
        <v>Sudah, OnSchedule</v>
      </c>
      <c r="P241" s="7" t="str">
        <f ca="1">'Database MK'!DI242</f>
        <v>Sudah, OnSchedule</v>
      </c>
      <c r="Q241" s="7" t="str">
        <f ca="1">'Database MK'!DN242</f>
        <v>Sudah, OnSchedule</v>
      </c>
      <c r="R241" s="7" t="str">
        <f ca="1">'Database MK'!DR242</f>
        <v>Sudah, Delay</v>
      </c>
      <c r="S241" s="7" t="str">
        <f ca="1">'Database MK'!EA242</f>
        <v>Sudah, Delay</v>
      </c>
      <c r="T241" s="7" t="str">
        <f ca="1">'Database MK'!EI242</f>
        <v>Sudah, Delay</v>
      </c>
      <c r="U241" s="7" t="str">
        <f ca="1">'Database MK'!ET242</f>
        <v>Belum, Delay</v>
      </c>
      <c r="V241" s="7" t="str">
        <f ca="1">'Database MK'!GA242</f>
        <v>Sudah, Delay</v>
      </c>
      <c r="W241" s="7" t="str">
        <f ca="1">'Database MK'!GD242</f>
        <v>Sudah, OnSchedule</v>
      </c>
      <c r="X241" s="7" t="str">
        <f ca="1">'Database MK'!GG242</f>
        <v>Sudah, OnSchedule</v>
      </c>
      <c r="Y241" s="7" t="str">
        <f ca="1">'Database MK'!GK242</f>
        <v>Sudah, OnSchedule</v>
      </c>
      <c r="Z241" s="7" t="str">
        <f ca="1">'Database MK'!HH242</f>
        <v>Belum, Delay</v>
      </c>
      <c r="AA241" s="7" t="str">
        <f ca="1">'Database MK'!HQ242</f>
        <v>Belum, Delay</v>
      </c>
      <c r="AB241" s="7" t="str">
        <f ca="1">'Database MK'!HW242</f>
        <v>Belum, Delay</v>
      </c>
      <c r="AC241" s="7">
        <f>'Database MK'!DA242-'Database MK'!DB242</f>
        <v>54</v>
      </c>
      <c r="AD241" s="7">
        <f>'Database MK'!DA242-'Database MK'!DF242</f>
        <v>45</v>
      </c>
      <c r="AE241" s="7">
        <f>'Database MK'!DK242-'Database MK'!DL242</f>
        <v>13</v>
      </c>
      <c r="AF241" s="7">
        <f>'Database MK'!DK242-'Database MK'!DO242</f>
        <v>-22.291666666664241</v>
      </c>
      <c r="AG241" s="7">
        <f>'Database MK'!DU242-'Database MK'!DW242</f>
        <v>-4</v>
      </c>
      <c r="AH241" s="7">
        <f>IF('Database MK'!EB242="","Belum",'Database MK'!DU242-'Database MK'!EB242)</f>
        <v>-220</v>
      </c>
      <c r="AI241" s="7" t="str">
        <f>IF('Database MK'!EN242="","Belum",'Database MK'!EL242-'Database MK'!EN242)</f>
        <v>Belum</v>
      </c>
      <c r="AJ241" s="7">
        <f>'Database MK'!FY242-'Database MK'!FZ242</f>
        <v>-45903</v>
      </c>
      <c r="AK241" s="7">
        <f>IF('Database MK'!GC242="","Belum",'Database MK'!GB242-'Database MK'!GC242)</f>
        <v>20</v>
      </c>
      <c r="AL241" s="7">
        <f>IF('Database MK'!GF242="","Belum",'Database MK'!GE242-'Database MK'!GF242)</f>
        <v>32</v>
      </c>
      <c r="AM241" s="309">
        <f>IF('Database MK'!GJ242="","Belum",'Database MK'!GI242-'Database MK'!GJ242)</f>
        <v>11</v>
      </c>
      <c r="AN241" s="7" t="str">
        <f>IF('Database MK'!HG242="","Belum",'Database MK'!HF242-'Database MK'!HG242)</f>
        <v>Belum</v>
      </c>
      <c r="AO241" s="7" t="str">
        <f>IF('Database MK'!HP242="","Belum",'Database MK'!HN242-'Database MK'!HP242)</f>
        <v>Belum</v>
      </c>
      <c r="AP241" s="7" t="str">
        <f>IF('Database MK'!HV242="","Belum",'Database MK'!HT242-'Database MK'!HV242)</f>
        <v>Belum</v>
      </c>
    </row>
    <row r="242" spans="2:42" hidden="1" x14ac:dyDescent="0.2">
      <c r="B242" s="7">
        <f>SUBTOTAL(3,$C$4:C242)</f>
        <v>74</v>
      </c>
      <c r="C242" s="4" t="s">
        <v>629</v>
      </c>
      <c r="D242" s="4" t="s">
        <v>1875</v>
      </c>
      <c r="E242" s="4" t="s">
        <v>1876</v>
      </c>
      <c r="F242" s="300">
        <v>46113</v>
      </c>
      <c r="G242" s="4" t="s">
        <v>247</v>
      </c>
      <c r="H242" s="4" t="str">
        <f ca="1">'Database MK'!Q243</f>
        <v>Proses Konstruksi</v>
      </c>
      <c r="I242" s="24">
        <f>'Database MK'!S243</f>
        <v>1</v>
      </c>
      <c r="J242" s="24">
        <f>'Database MK'!T243</f>
        <v>0.34466664900087324</v>
      </c>
      <c r="K242" s="603">
        <f>'Database MK'!U243</f>
        <v>-0.65533335099912682</v>
      </c>
      <c r="L242" s="593">
        <f>'Database MK'!V243</f>
        <v>1177</v>
      </c>
      <c r="M242" s="593">
        <f>'Database MK'!W243</f>
        <v>548</v>
      </c>
      <c r="N242" s="593">
        <f>Table3[[#This Row],[Total Panjang Pipa Aktual]]-Table3[[#This Row],[Volume
BA MC-0]]</f>
        <v>-629</v>
      </c>
      <c r="O242" s="7" t="str">
        <f ca="1">'Database MK'!DE243</f>
        <v>Sudah, OnSchedule</v>
      </c>
      <c r="P242" s="7" t="str">
        <f ca="1">'Database MK'!DI243</f>
        <v>Sudah, OnSchedule</v>
      </c>
      <c r="Q242" s="7" t="str">
        <f ca="1">'Database MK'!DN243</f>
        <v>Sudah, OnSchedule</v>
      </c>
      <c r="R242" s="7" t="str">
        <f ca="1">'Database MK'!DR243</f>
        <v>Sudah, OnSchedule</v>
      </c>
      <c r="S242" s="7" t="str">
        <f ca="1">'Database MK'!EA243</f>
        <v>Sudah, OnSchedule</v>
      </c>
      <c r="T242" s="7" t="str">
        <f ca="1">'Database MK'!EI243</f>
        <v>Sudah, Delay</v>
      </c>
      <c r="U242" s="7" t="str">
        <f ca="1">'Database MK'!ET243</f>
        <v>Belum, Delay</v>
      </c>
      <c r="V242" s="7" t="str">
        <f ca="1">'Database MK'!GA243</f>
        <v>Sudah, Delay</v>
      </c>
      <c r="W242" s="7" t="str">
        <f ca="1">'Database MK'!GD243</f>
        <v>Sudah, OnSchedule</v>
      </c>
      <c r="X242" s="7" t="str">
        <f ca="1">'Database MK'!GG243</f>
        <v>Sudah, OnSchedule</v>
      </c>
      <c r="Y242" s="7" t="str">
        <f ca="1">'Database MK'!GK243</f>
        <v>Sudah, OnSchedule</v>
      </c>
      <c r="Z242" s="7" t="str">
        <f ca="1">'Database MK'!HH243</f>
        <v>Belum, Delay</v>
      </c>
      <c r="AA242" s="7" t="str">
        <f ca="1">'Database MK'!HQ243</f>
        <v>Belum, Delay</v>
      </c>
      <c r="AB242" s="7" t="str">
        <f ca="1">'Database MK'!HW243</f>
        <v>Belum, Delay</v>
      </c>
      <c r="AC242" s="7">
        <f>'Database MK'!DA243-'Database MK'!DB243</f>
        <v>12</v>
      </c>
      <c r="AD242" s="7">
        <f>'Database MK'!DA243-'Database MK'!DF243</f>
        <v>3</v>
      </c>
      <c r="AE242" s="7">
        <f>'Database MK'!DK243-'Database MK'!DL243</f>
        <v>41</v>
      </c>
      <c r="AF242" s="7">
        <f>'Database MK'!DK243-'Database MK'!DO243</f>
        <v>23</v>
      </c>
      <c r="AG242" s="7">
        <f>'Database MK'!DU243-'Database MK'!DW243</f>
        <v>19</v>
      </c>
      <c r="AH242" s="7">
        <f>IF('Database MK'!EB243="","Belum",'Database MK'!DU243-'Database MK'!EB243)</f>
        <v>-71</v>
      </c>
      <c r="AI242" s="7" t="str">
        <f>IF('Database MK'!EN243="","Belum",'Database MK'!EL243-'Database MK'!EN243)</f>
        <v>Belum</v>
      </c>
      <c r="AJ242" s="7">
        <f>'Database MK'!FY243-'Database MK'!FZ243</f>
        <v>-45911</v>
      </c>
      <c r="AK242" s="7">
        <f>IF('Database MK'!GC243="","Belum",'Database MK'!GB243-'Database MK'!GC243)</f>
        <v>48</v>
      </c>
      <c r="AL242" s="7">
        <f>IF('Database MK'!GF243="","Belum",'Database MK'!GE243-'Database MK'!GF243)</f>
        <v>60</v>
      </c>
      <c r="AM242" s="309">
        <f>IF('Database MK'!GJ243="","Belum",'Database MK'!GI243-'Database MK'!GJ243)</f>
        <v>40</v>
      </c>
      <c r="AN242" s="7" t="str">
        <f>IF('Database MK'!HG243="","Belum",'Database MK'!HF243-'Database MK'!HG243)</f>
        <v>Belum</v>
      </c>
      <c r="AO242" s="7" t="str">
        <f>IF('Database MK'!HP243="","Belum",'Database MK'!HN243-'Database MK'!HP243)</f>
        <v>Belum</v>
      </c>
      <c r="AP242" s="7" t="str">
        <f>IF('Database MK'!HV243="","Belum",'Database MK'!HT243-'Database MK'!HV243)</f>
        <v>Belum</v>
      </c>
    </row>
    <row r="243" spans="2:42" hidden="1" x14ac:dyDescent="0.2">
      <c r="B243" s="7">
        <f>SUBTOTAL(3,$C$4:C243)</f>
        <v>74</v>
      </c>
      <c r="C243" s="4" t="s">
        <v>629</v>
      </c>
      <c r="D243" s="4" t="s">
        <v>1884</v>
      </c>
      <c r="E243" s="4" t="s">
        <v>1885</v>
      </c>
      <c r="F243" s="300">
        <v>46113</v>
      </c>
      <c r="G243" s="4" t="s">
        <v>247</v>
      </c>
      <c r="H243" s="4" t="str">
        <f>'Database MK'!Q244</f>
        <v>MC-100</v>
      </c>
      <c r="I243" s="24">
        <f>'Database MK'!S244</f>
        <v>1</v>
      </c>
      <c r="J243" s="24">
        <f>'Database MK'!T244</f>
        <v>0.47552623821939266</v>
      </c>
      <c r="K243" s="603">
        <f>'Database MK'!U244</f>
        <v>-0.52447376178060734</v>
      </c>
      <c r="L243" s="593">
        <f>'Database MK'!V244</f>
        <v>4323.3</v>
      </c>
      <c r="M243" s="593">
        <f>'Database MK'!W244</f>
        <v>1841.4</v>
      </c>
      <c r="N243" s="593">
        <f>Table3[[#This Row],[Total Panjang Pipa Aktual]]-Table3[[#This Row],[Volume
BA MC-0]]</f>
        <v>-2481.9</v>
      </c>
      <c r="O243" s="7" t="str">
        <f ca="1">'Database MK'!DE244</f>
        <v>Sudah, Delay</v>
      </c>
      <c r="P243" s="7" t="str">
        <f ca="1">'Database MK'!DI244</f>
        <v>Sudah, Delay</v>
      </c>
      <c r="Q243" s="7" t="str">
        <f ca="1">'Database MK'!DN244</f>
        <v>Sudah, Delay</v>
      </c>
      <c r="R243" s="7" t="str">
        <f ca="1">'Database MK'!DR244</f>
        <v>Sudah, Delay</v>
      </c>
      <c r="S243" s="7" t="str">
        <f ca="1">'Database MK'!EA244</f>
        <v>Sudah, Delay</v>
      </c>
      <c r="T243" s="7" t="str">
        <f ca="1">'Database MK'!EI244</f>
        <v>Sudah, Delay</v>
      </c>
      <c r="U243" s="7" t="str">
        <f ca="1">'Database MK'!ET244</f>
        <v>Belum, Delay</v>
      </c>
      <c r="V243" s="7" t="str">
        <f ca="1">'Database MK'!GA244</f>
        <v>Sudah, Delay</v>
      </c>
      <c r="W243" s="7" t="str">
        <f ca="1">'Database MK'!GD244</f>
        <v>Sudah, Delay</v>
      </c>
      <c r="X243" s="7" t="str">
        <f ca="1">'Database MK'!GG244</f>
        <v>Sudah, Delay</v>
      </c>
      <c r="Y243" s="7" t="str">
        <f ca="1">'Database MK'!GK244</f>
        <v>Sudah, Delay</v>
      </c>
      <c r="Z243" s="7" t="str">
        <f ca="1">'Database MK'!HH244</f>
        <v>Sudah, Delay</v>
      </c>
      <c r="AA243" s="7" t="str">
        <f ca="1">'Database MK'!HQ244</f>
        <v>Belum, Delay</v>
      </c>
      <c r="AB243" s="7" t="str">
        <f ca="1">'Database MK'!HW244</f>
        <v>Belum, Delay</v>
      </c>
      <c r="AC243" s="7">
        <f>'Database MK'!DA244-'Database MK'!DB244</f>
        <v>-10</v>
      </c>
      <c r="AD243" s="7">
        <f>'Database MK'!DA244-'Database MK'!DF244</f>
        <v>-18</v>
      </c>
      <c r="AE243" s="7">
        <f>'Database MK'!DK244-'Database MK'!DL244</f>
        <v>-38</v>
      </c>
      <c r="AF243" s="7">
        <f>'Database MK'!DK244-'Database MK'!DO244</f>
        <v>-68</v>
      </c>
      <c r="AG243" s="7">
        <f>'Database MK'!DU244-'Database MK'!DW244</f>
        <v>-66</v>
      </c>
      <c r="AH243" s="7">
        <f>IF('Database MK'!EB244="","Belum",'Database MK'!DU244-'Database MK'!EB244)</f>
        <v>-162</v>
      </c>
      <c r="AI243" s="7" t="str">
        <f>IF('Database MK'!EN244="","Belum",'Database MK'!EL244-'Database MK'!EN244)</f>
        <v>Belum</v>
      </c>
      <c r="AJ243" s="7">
        <f>'Database MK'!FY244-'Database MK'!FZ244</f>
        <v>-45903</v>
      </c>
      <c r="AK243" s="7">
        <f>IF('Database MK'!GC244="","Belum",'Database MK'!GB244-'Database MK'!GC244)</f>
        <v>-43</v>
      </c>
      <c r="AL243" s="7">
        <f>IF('Database MK'!GF244="","Belum",'Database MK'!GE244-'Database MK'!GF244)</f>
        <v>-31</v>
      </c>
      <c r="AM243" s="309">
        <f>IF('Database MK'!GJ244="","Belum",'Database MK'!GI244-'Database MK'!GJ244)</f>
        <v>-47</v>
      </c>
      <c r="AN243" s="7">
        <f>IF('Database MK'!HG244="","Belum",'Database MK'!HF244-'Database MK'!HG244)</f>
        <v>-54</v>
      </c>
      <c r="AO243" s="7" t="str">
        <f>IF('Database MK'!HP244="","Belum",'Database MK'!HN244-'Database MK'!HP244)</f>
        <v>Belum</v>
      </c>
      <c r="AP243" s="7" t="str">
        <f>IF('Database MK'!HV244="","Belum",'Database MK'!HT244-'Database MK'!HV244)</f>
        <v>Belum</v>
      </c>
    </row>
    <row r="244" spans="2:42" hidden="1" x14ac:dyDescent="0.2">
      <c r="B244" s="7">
        <f>SUBTOTAL(3,$C$4:C244)</f>
        <v>74</v>
      </c>
      <c r="C244" s="4" t="s">
        <v>629</v>
      </c>
      <c r="D244" s="4" t="s">
        <v>1895</v>
      </c>
      <c r="E244" s="4" t="s">
        <v>1896</v>
      </c>
      <c r="F244" s="300">
        <v>46113</v>
      </c>
      <c r="G244" s="4" t="s">
        <v>247</v>
      </c>
      <c r="H244" s="4" t="str">
        <f ca="1">'Database MK'!Q245</f>
        <v>Proses Konstruksi</v>
      </c>
      <c r="I244" s="24">
        <f>'Database MK'!S245</f>
        <v>1</v>
      </c>
      <c r="J244" s="24">
        <f>'Database MK'!T245</f>
        <v>0.63662408471719356</v>
      </c>
      <c r="K244" s="603">
        <f>'Database MK'!U245</f>
        <v>-0.36337591528280644</v>
      </c>
      <c r="L244" s="593">
        <f>'Database MK'!V245</f>
        <v>15186</v>
      </c>
      <c r="M244" s="593">
        <f>'Database MK'!W245</f>
        <v>11269</v>
      </c>
      <c r="N244" s="593">
        <f>Table3[[#This Row],[Total Panjang Pipa Aktual]]-Table3[[#This Row],[Volume
BA MC-0]]</f>
        <v>-3917</v>
      </c>
      <c r="O244" s="7" t="str">
        <f ca="1">'Database MK'!DE245</f>
        <v>Sudah, Delay</v>
      </c>
      <c r="P244" s="7" t="str">
        <f ca="1">'Database MK'!DI245</f>
        <v>Sudah, Delay</v>
      </c>
      <c r="Q244" s="7" t="str">
        <f ca="1">'Database MK'!DN245</f>
        <v>Sudah, Delay</v>
      </c>
      <c r="R244" s="7" t="str">
        <f ca="1">'Database MK'!DR245</f>
        <v>Sudah, Delay</v>
      </c>
      <c r="S244" s="7" t="str">
        <f ca="1">'Database MK'!EA245</f>
        <v>Sudah, Delay</v>
      </c>
      <c r="T244" s="7" t="str">
        <f ca="1">'Database MK'!EI245</f>
        <v>Sudah, Delay</v>
      </c>
      <c r="U244" s="7" t="str">
        <f ca="1">'Database MK'!ET245</f>
        <v>Sudah, Delay</v>
      </c>
      <c r="V244" s="7" t="str">
        <f ca="1">'Database MK'!GA245</f>
        <v>Sudah, Delay</v>
      </c>
      <c r="W244" s="7" t="str">
        <f ca="1">'Database MK'!GD245</f>
        <v>Sudah, Delay</v>
      </c>
      <c r="X244" s="7" t="str">
        <f ca="1">'Database MK'!GG245</f>
        <v>Sudah, Delay</v>
      </c>
      <c r="Y244" s="7" t="str">
        <f ca="1">'Database MK'!GK245</f>
        <v>Sudah, Delay</v>
      </c>
      <c r="Z244" s="7" t="str">
        <f ca="1">'Database MK'!HH245</f>
        <v>Belum, Delay</v>
      </c>
      <c r="AA244" s="7" t="str">
        <f ca="1">'Database MK'!HQ245</f>
        <v>Belum, Delay</v>
      </c>
      <c r="AB244" s="7" t="str">
        <f ca="1">'Database MK'!HW245</f>
        <v>Belum, Delay</v>
      </c>
      <c r="AC244" s="7">
        <f>'Database MK'!DA245-'Database MK'!DB245</f>
        <v>-68</v>
      </c>
      <c r="AD244" s="7">
        <f>'Database MK'!DA245-'Database MK'!DF245</f>
        <v>-93</v>
      </c>
      <c r="AE244" s="7">
        <f>'Database MK'!DK245-'Database MK'!DL245</f>
        <v>-38</v>
      </c>
      <c r="AF244" s="7">
        <f>'Database MK'!DK245-'Database MK'!DO245</f>
        <v>-106</v>
      </c>
      <c r="AG244" s="7">
        <f>'Database MK'!DU245-'Database MK'!DW245</f>
        <v>-66</v>
      </c>
      <c r="AH244" s="7">
        <f>IF('Database MK'!EB245="","Belum",'Database MK'!DU245-'Database MK'!EB245)</f>
        <v>-235</v>
      </c>
      <c r="AI244" s="7">
        <f>IF('Database MK'!EN245="","Belum",'Database MK'!EL245-'Database MK'!EN245)</f>
        <v>-100</v>
      </c>
      <c r="AJ244" s="7">
        <f>'Database MK'!FY245-'Database MK'!FZ245</f>
        <v>-45903</v>
      </c>
      <c r="AK244" s="7">
        <f>IF('Database MK'!GC245="","Belum",'Database MK'!GB245-'Database MK'!GC245)</f>
        <v>-43</v>
      </c>
      <c r="AL244" s="7">
        <f>IF('Database MK'!GF245="","Belum",'Database MK'!GE245-'Database MK'!GF245)</f>
        <v>-31</v>
      </c>
      <c r="AM244" s="309">
        <f>IF('Database MK'!GJ245="","Belum",'Database MK'!GI245-'Database MK'!GJ245)</f>
        <v>-30</v>
      </c>
      <c r="AN244" s="7" t="str">
        <f>IF('Database MK'!HG245="","Belum",'Database MK'!HF245-'Database MK'!HG245)</f>
        <v>Belum</v>
      </c>
      <c r="AO244" s="7" t="str">
        <f>IF('Database MK'!HP245="","Belum",'Database MK'!HN245-'Database MK'!HP245)</f>
        <v>Belum</v>
      </c>
      <c r="AP244" s="7" t="str">
        <f>IF('Database MK'!HV245="","Belum",'Database MK'!HT245-'Database MK'!HV245)</f>
        <v>Belum</v>
      </c>
    </row>
    <row r="245" spans="2:42" hidden="1" x14ac:dyDescent="0.2">
      <c r="B245" s="7">
        <f>SUBTOTAL(3,$C$4:C245)</f>
        <v>74</v>
      </c>
      <c r="C245" s="4" t="s">
        <v>629</v>
      </c>
      <c r="D245" s="4" t="s">
        <v>1903</v>
      </c>
      <c r="E245" s="4" t="s">
        <v>1904</v>
      </c>
      <c r="F245" s="300">
        <v>46113</v>
      </c>
      <c r="G245" s="4" t="s">
        <v>247</v>
      </c>
      <c r="H245" s="4" t="str">
        <f ca="1">'Database MK'!Q246</f>
        <v>Proses Konstruksi</v>
      </c>
      <c r="I245" s="24">
        <f>'Database MK'!S246</f>
        <v>1</v>
      </c>
      <c r="J245" s="24">
        <f>'Database MK'!T246</f>
        <v>0.52547958139014028</v>
      </c>
      <c r="K245" s="603">
        <f>'Database MK'!U246</f>
        <v>-0.47452041860985972</v>
      </c>
      <c r="L245" s="593">
        <f>'Database MK'!V246</f>
        <v>23511.5</v>
      </c>
      <c r="M245" s="593">
        <f>'Database MK'!W246</f>
        <v>14204</v>
      </c>
      <c r="N245" s="593">
        <f>Table3[[#This Row],[Total Panjang Pipa Aktual]]-Table3[[#This Row],[Volume
BA MC-0]]</f>
        <v>-9307.5</v>
      </c>
      <c r="O245" s="7" t="str">
        <f ca="1">'Database MK'!DE246</f>
        <v>Sudah, Delay</v>
      </c>
      <c r="P245" s="7" t="str">
        <f ca="1">'Database MK'!DI246</f>
        <v>Sudah, Delay</v>
      </c>
      <c r="Q245" s="7" t="str">
        <f ca="1">'Database MK'!DN246</f>
        <v>Sudah, Delay</v>
      </c>
      <c r="R245" s="7" t="str">
        <f ca="1">'Database MK'!DR246</f>
        <v>Sudah, Delay</v>
      </c>
      <c r="S245" s="7" t="str">
        <f ca="1">'Database MK'!EA246</f>
        <v>Sudah, Delay</v>
      </c>
      <c r="T245" s="7" t="str">
        <f ca="1">'Database MK'!EI246</f>
        <v>Sudah, Delay</v>
      </c>
      <c r="U245" s="7" t="str">
        <f ca="1">'Database MK'!ET246</f>
        <v>Sudah, Delay</v>
      </c>
      <c r="V245" s="7" t="str">
        <f ca="1">'Database MK'!GA246</f>
        <v>Sudah, Delay</v>
      </c>
      <c r="W245" s="7" t="str">
        <f ca="1">'Database MK'!GD246</f>
        <v>Sudah, Delay</v>
      </c>
      <c r="X245" s="7" t="str">
        <f ca="1">'Database MK'!GG246</f>
        <v>Sudah, Delay</v>
      </c>
      <c r="Y245" s="7" t="str">
        <f ca="1">'Database MK'!GK246</f>
        <v>Sudah, Delay</v>
      </c>
      <c r="Z245" s="7" t="str">
        <f ca="1">'Database MK'!HH246</f>
        <v>Belum, Delay</v>
      </c>
      <c r="AA245" s="7" t="str">
        <f ca="1">'Database MK'!HQ246</f>
        <v>Belum, Delay</v>
      </c>
      <c r="AB245" s="7" t="str">
        <f ca="1">'Database MK'!HW246</f>
        <v>Belum, Delay</v>
      </c>
      <c r="AC245" s="7">
        <f>'Database MK'!DA246-'Database MK'!DB246</f>
        <v>-23</v>
      </c>
      <c r="AD245" s="7">
        <f>'Database MK'!DA246-'Database MK'!DF246</f>
        <v>-36</v>
      </c>
      <c r="AE245" s="7">
        <f>'Database MK'!DK246-'Database MK'!DL246</f>
        <v>-50</v>
      </c>
      <c r="AF245" s="7">
        <f>'Database MK'!DK246-'Database MK'!DO246</f>
        <v>-57</v>
      </c>
      <c r="AG245" s="7">
        <f>'Database MK'!DU246-'Database MK'!DW246</f>
        <v>-74</v>
      </c>
      <c r="AH245" s="7">
        <f>IF('Database MK'!EB246="","Belum",'Database MK'!DU246-'Database MK'!EB246)</f>
        <v>-270</v>
      </c>
      <c r="AI245" s="7">
        <f>IF('Database MK'!EN246="","Belum",'Database MK'!EL246-'Database MK'!EN246)</f>
        <v>-72</v>
      </c>
      <c r="AJ245" s="7">
        <f>'Database MK'!FY246-'Database MK'!FZ246</f>
        <v>-45903</v>
      </c>
      <c r="AK245" s="7">
        <f>IF('Database MK'!GC246="","Belum",'Database MK'!GB246-'Database MK'!GC246)</f>
        <v>-43</v>
      </c>
      <c r="AL245" s="7">
        <f>IF('Database MK'!GF246="","Belum",'Database MK'!GE246-'Database MK'!GF246)</f>
        <v>-31</v>
      </c>
      <c r="AM245" s="309">
        <f>IF('Database MK'!GJ246="","Belum",'Database MK'!GI246-'Database MK'!GJ246)</f>
        <v>-80</v>
      </c>
      <c r="AN245" s="7" t="str">
        <f>IF('Database MK'!HG246="","Belum",'Database MK'!HF246-'Database MK'!HG246)</f>
        <v>Belum</v>
      </c>
      <c r="AO245" s="7" t="str">
        <f>IF('Database MK'!HP246="","Belum",'Database MK'!HN246-'Database MK'!HP246)</f>
        <v>Belum</v>
      </c>
      <c r="AP245" s="7" t="str">
        <f>IF('Database MK'!HV246="","Belum",'Database MK'!HT246-'Database MK'!HV246)</f>
        <v>Belum</v>
      </c>
    </row>
    <row r="246" spans="2:42" hidden="1" x14ac:dyDescent="0.2">
      <c r="B246" s="7">
        <f>SUBTOTAL(3,$C$4:C246)</f>
        <v>74</v>
      </c>
      <c r="C246" s="4" t="s">
        <v>629</v>
      </c>
      <c r="D246" s="4" t="s">
        <v>1912</v>
      </c>
      <c r="E246" s="4" t="s">
        <v>1913</v>
      </c>
      <c r="F246" s="300">
        <v>46113</v>
      </c>
      <c r="G246" s="4" t="s">
        <v>247</v>
      </c>
      <c r="H246" s="4" t="str">
        <f ca="1">'Database MK'!Q247</f>
        <v>Proses Konstruksi</v>
      </c>
      <c r="I246" s="24">
        <f>'Database MK'!S247</f>
        <v>1</v>
      </c>
      <c r="J246" s="24">
        <f>'Database MK'!T247</f>
        <v>0.72433318776060585</v>
      </c>
      <c r="K246" s="603">
        <f>'Database MK'!U247</f>
        <v>-0.27566681223939415</v>
      </c>
      <c r="L246" s="593">
        <f>'Database MK'!V247</f>
        <v>24336.3</v>
      </c>
      <c r="M246" s="593">
        <f>'Database MK'!W247</f>
        <v>19167</v>
      </c>
      <c r="N246" s="593">
        <f>Table3[[#This Row],[Total Panjang Pipa Aktual]]-Table3[[#This Row],[Volume
BA MC-0]]</f>
        <v>-5169.2999999999993</v>
      </c>
      <c r="O246" s="7" t="str">
        <f ca="1">'Database MK'!DE247</f>
        <v>Sudah, Delay</v>
      </c>
      <c r="P246" s="7" t="str">
        <f ca="1">'Database MK'!DI247</f>
        <v>Sudah, Delay</v>
      </c>
      <c r="Q246" s="7" t="str">
        <f ca="1">'Database MK'!DN247</f>
        <v>Sudah, Delay</v>
      </c>
      <c r="R246" s="7" t="str">
        <f ca="1">'Database MK'!DR247</f>
        <v>Sudah, Delay</v>
      </c>
      <c r="S246" s="7" t="str">
        <f ca="1">'Database MK'!EA247</f>
        <v>Sudah, Delay</v>
      </c>
      <c r="T246" s="7" t="str">
        <f ca="1">'Database MK'!EI247</f>
        <v>Sudah, Delay</v>
      </c>
      <c r="U246" s="7" t="str">
        <f ca="1">'Database MK'!ET247</f>
        <v>Sudah, Delay</v>
      </c>
      <c r="V246" s="7" t="str">
        <f ca="1">'Database MK'!GA247</f>
        <v>Sudah, Delay</v>
      </c>
      <c r="W246" s="7" t="str">
        <f ca="1">'Database MK'!GD247</f>
        <v>Sudah, Delay</v>
      </c>
      <c r="X246" s="7" t="str">
        <f ca="1">'Database MK'!GG247</f>
        <v>Sudah, Delay</v>
      </c>
      <c r="Y246" s="7" t="str">
        <f ca="1">'Database MK'!GK247</f>
        <v>Sudah, Delay</v>
      </c>
      <c r="Z246" s="7" t="str">
        <f ca="1">'Database MK'!HH247</f>
        <v>Belum, Delay</v>
      </c>
      <c r="AA246" s="7" t="str">
        <f ca="1">'Database MK'!HQ247</f>
        <v>Belum, Delay</v>
      </c>
      <c r="AB246" s="7" t="str">
        <f ca="1">'Database MK'!HW247</f>
        <v>Belum, Delay</v>
      </c>
      <c r="AC246" s="7">
        <f>'Database MK'!DA247-'Database MK'!DB247</f>
        <v>-71</v>
      </c>
      <c r="AD246" s="7">
        <f>'Database MK'!DA247-'Database MK'!DF247</f>
        <v>-82</v>
      </c>
      <c r="AE246" s="7">
        <f>'Database MK'!DK247-'Database MK'!DL247</f>
        <v>-55</v>
      </c>
      <c r="AF246" s="7">
        <f>'Database MK'!DK247-'Database MK'!DO247</f>
        <v>-59</v>
      </c>
      <c r="AG246" s="7">
        <f>'Database MK'!DU247-'Database MK'!DW247</f>
        <v>-85</v>
      </c>
      <c r="AH246" s="7">
        <f>IF('Database MK'!EB247="","Belum",'Database MK'!DU247-'Database MK'!EB247)</f>
        <v>-276</v>
      </c>
      <c r="AI246" s="7">
        <f>IF('Database MK'!EN247="","Belum",'Database MK'!EL247-'Database MK'!EN247)</f>
        <v>-101</v>
      </c>
      <c r="AJ246" s="7">
        <f>'Database MK'!FY247-'Database MK'!FZ247</f>
        <v>-45903</v>
      </c>
      <c r="AK246" s="7">
        <f>IF('Database MK'!GC247="","Belum",'Database MK'!GB247-'Database MK'!GC247)</f>
        <v>-43</v>
      </c>
      <c r="AL246" s="7">
        <f>IF('Database MK'!GF247="","Belum",'Database MK'!GE247-'Database MK'!GF247)</f>
        <v>-31</v>
      </c>
      <c r="AM246" s="309">
        <f>IF('Database MK'!GJ247="","Belum",'Database MK'!GI247-'Database MK'!GJ247)</f>
        <v>-58</v>
      </c>
      <c r="AN246" s="7" t="str">
        <f>IF('Database MK'!HG247="","Belum",'Database MK'!HF247-'Database MK'!HG247)</f>
        <v>Belum</v>
      </c>
      <c r="AO246" s="7" t="str">
        <f>IF('Database MK'!HP247="","Belum",'Database MK'!HN247-'Database MK'!HP247)</f>
        <v>Belum</v>
      </c>
      <c r="AP246" s="7" t="str">
        <f>IF('Database MK'!HV247="","Belum",'Database MK'!HT247-'Database MK'!HV247)</f>
        <v>Belum</v>
      </c>
    </row>
    <row r="247" spans="2:42" hidden="1" x14ac:dyDescent="0.2">
      <c r="B247" s="7">
        <f>SUBTOTAL(3,$C$4:C247)</f>
        <v>74</v>
      </c>
      <c r="C247" s="4" t="s">
        <v>629</v>
      </c>
      <c r="D247" s="4" t="s">
        <v>1921</v>
      </c>
      <c r="E247" s="4" t="s">
        <v>1922</v>
      </c>
      <c r="F247" s="300">
        <v>46113</v>
      </c>
      <c r="G247" s="4" t="s">
        <v>247</v>
      </c>
      <c r="H247" s="4" t="str">
        <f ca="1">'Database MK'!Q248</f>
        <v>Proses Konstruksi</v>
      </c>
      <c r="I247" s="24">
        <f>'Database MK'!S248</f>
        <v>1</v>
      </c>
      <c r="J247" s="24">
        <f>'Database MK'!T248</f>
        <v>0.70405316543050367</v>
      </c>
      <c r="K247" s="603">
        <f>'Database MK'!U248</f>
        <v>-0.29594683456949633</v>
      </c>
      <c r="L247" s="593">
        <f>'Database MK'!V248</f>
        <v>22700.06</v>
      </c>
      <c r="M247" s="593">
        <f>'Database MK'!W248</f>
        <v>19069</v>
      </c>
      <c r="N247" s="593">
        <f>Table3[[#This Row],[Total Panjang Pipa Aktual]]-Table3[[#This Row],[Volume
BA MC-0]]</f>
        <v>-3631.0600000000013</v>
      </c>
      <c r="O247" s="7" t="str">
        <f ca="1">'Database MK'!DE248</f>
        <v>Sudah, Delay</v>
      </c>
      <c r="P247" s="7" t="str">
        <f ca="1">'Database MK'!DI248</f>
        <v>Sudah, Delay</v>
      </c>
      <c r="Q247" s="7" t="str">
        <f ca="1">'Database MK'!DN248</f>
        <v>Sudah, Delay</v>
      </c>
      <c r="R247" s="7" t="str">
        <f ca="1">'Database MK'!DR248</f>
        <v>Sudah, Delay</v>
      </c>
      <c r="S247" s="7" t="str">
        <f ca="1">'Database MK'!EA248</f>
        <v>Sudah, Delay</v>
      </c>
      <c r="T247" s="7" t="str">
        <f ca="1">'Database MK'!EI248</f>
        <v>Sudah, Delay</v>
      </c>
      <c r="U247" s="7" t="str">
        <f ca="1">'Database MK'!ET248</f>
        <v>Sudah, Delay</v>
      </c>
      <c r="V247" s="7" t="str">
        <f ca="1">'Database MK'!GA248</f>
        <v>Sudah, Delay</v>
      </c>
      <c r="W247" s="7" t="str">
        <f ca="1">'Database MK'!GD248</f>
        <v>Sudah, Delay</v>
      </c>
      <c r="X247" s="7" t="str">
        <f ca="1">'Database MK'!GG248</f>
        <v>Sudah, Delay</v>
      </c>
      <c r="Y247" s="7" t="str">
        <f ca="1">'Database MK'!GK248</f>
        <v>Sudah, Delay</v>
      </c>
      <c r="Z247" s="7" t="str">
        <f ca="1">'Database MK'!HH248</f>
        <v>Belum, Delay</v>
      </c>
      <c r="AA247" s="7" t="str">
        <f ca="1">'Database MK'!HQ248</f>
        <v>Belum, Delay</v>
      </c>
      <c r="AB247" s="7" t="str">
        <f ca="1">'Database MK'!HW248</f>
        <v>Belum, Delay</v>
      </c>
      <c r="AC247" s="7">
        <f>'Database MK'!DA248-'Database MK'!DB248</f>
        <v>-53</v>
      </c>
      <c r="AD247" s="7">
        <f>'Database MK'!DA248-'Database MK'!DF248</f>
        <v>-60</v>
      </c>
      <c r="AE247" s="7">
        <f>'Database MK'!DK248-'Database MK'!DL248</f>
        <v>-52</v>
      </c>
      <c r="AF247" s="7">
        <f>'Database MK'!DK248-'Database MK'!DO248</f>
        <v>-85</v>
      </c>
      <c r="AG247" s="7">
        <f>'Database MK'!DU248-'Database MK'!DW248</f>
        <v>-71</v>
      </c>
      <c r="AH247" s="7">
        <f>IF('Database MK'!EB248="","Belum",'Database MK'!DU248-'Database MK'!EB248)</f>
        <v>-241</v>
      </c>
      <c r="AI247" s="7">
        <f>IF('Database MK'!EN248="","Belum",'Database MK'!EL248-'Database MK'!EN248)</f>
        <v>-76</v>
      </c>
      <c r="AJ247" s="7">
        <f>'Database MK'!FY248-'Database MK'!FZ248</f>
        <v>-45903</v>
      </c>
      <c r="AK247" s="7">
        <f>IF('Database MK'!GC248="","Belum",'Database MK'!GB248-'Database MK'!GC248)</f>
        <v>-43</v>
      </c>
      <c r="AL247" s="7">
        <f>IF('Database MK'!GF248="","Belum",'Database MK'!GE248-'Database MK'!GF248)</f>
        <v>-31</v>
      </c>
      <c r="AM247" s="309">
        <f>IF('Database MK'!GJ248="","Belum",'Database MK'!GI248-'Database MK'!GJ248)</f>
        <v>-65</v>
      </c>
      <c r="AN247" s="7" t="str">
        <f>IF('Database MK'!HG248="","Belum",'Database MK'!HF248-'Database MK'!HG248)</f>
        <v>Belum</v>
      </c>
      <c r="AO247" s="7" t="str">
        <f>IF('Database MK'!HP248="","Belum",'Database MK'!HN248-'Database MK'!HP248)</f>
        <v>Belum</v>
      </c>
      <c r="AP247" s="7" t="str">
        <f>IF('Database MK'!HV248="","Belum",'Database MK'!HT248-'Database MK'!HV248)</f>
        <v>Belum</v>
      </c>
    </row>
    <row r="248" spans="2:42" hidden="1" x14ac:dyDescent="0.2">
      <c r="B248" s="7">
        <f>SUBTOTAL(3,$C$4:C248)</f>
        <v>74</v>
      </c>
      <c r="C248" s="4" t="s">
        <v>629</v>
      </c>
      <c r="D248" s="4" t="s">
        <v>1930</v>
      </c>
      <c r="E248" s="4" t="s">
        <v>1931</v>
      </c>
      <c r="F248" s="300">
        <v>46113</v>
      </c>
      <c r="G248" s="4" t="s">
        <v>247</v>
      </c>
      <c r="H248" s="4" t="str">
        <f ca="1">'Database MK'!Q249</f>
        <v>Proses Konstruksi</v>
      </c>
      <c r="I248" s="24">
        <f>'Database MK'!S249</f>
        <v>1</v>
      </c>
      <c r="J248" s="24">
        <f>'Database MK'!T249</f>
        <v>0.41699246878259938</v>
      </c>
      <c r="K248" s="603">
        <f>'Database MK'!U249</f>
        <v>-0.58300753121740057</v>
      </c>
      <c r="L248" s="593">
        <f>'Database MK'!V249</f>
        <v>10300</v>
      </c>
      <c r="M248" s="593">
        <f>'Database MK'!W249</f>
        <v>6819</v>
      </c>
      <c r="N248" s="593">
        <f>Table3[[#This Row],[Total Panjang Pipa Aktual]]-Table3[[#This Row],[Volume
BA MC-0]]</f>
        <v>-3481</v>
      </c>
      <c r="O248" s="7" t="str">
        <f ca="1">'Database MK'!DE249</f>
        <v>Sudah, Delay</v>
      </c>
      <c r="P248" s="7" t="str">
        <f ca="1">'Database MK'!DI249</f>
        <v>Sudah, Delay</v>
      </c>
      <c r="Q248" s="7" t="str">
        <f ca="1">'Database MK'!DN249</f>
        <v>Sudah, Delay</v>
      </c>
      <c r="R248" s="7" t="str">
        <f ca="1">'Database MK'!DR249</f>
        <v>Sudah, Delay</v>
      </c>
      <c r="S248" s="7" t="str">
        <f ca="1">'Database MK'!EA249</f>
        <v>Sudah, Delay</v>
      </c>
      <c r="T248" s="7" t="str">
        <f ca="1">'Database MK'!EI249</f>
        <v>Sudah, Delay</v>
      </c>
      <c r="U248" s="7" t="str">
        <f ca="1">'Database MK'!ET249</f>
        <v>Sudah, Delay</v>
      </c>
      <c r="V248" s="7" t="str">
        <f ca="1">'Database MK'!GA249</f>
        <v>Sudah, Delay</v>
      </c>
      <c r="W248" s="7" t="str">
        <f ca="1">'Database MK'!GD249</f>
        <v>Sudah, Delay</v>
      </c>
      <c r="X248" s="7" t="str">
        <f ca="1">'Database MK'!GG249</f>
        <v>Sudah, Delay</v>
      </c>
      <c r="Y248" s="7" t="str">
        <f ca="1">'Database MK'!GK249</f>
        <v>Sudah, Delay</v>
      </c>
      <c r="Z248" s="7" t="str">
        <f ca="1">'Database MK'!HH249</f>
        <v>Belum, Delay</v>
      </c>
      <c r="AA248" s="7" t="str">
        <f ca="1">'Database MK'!HQ249</f>
        <v>Belum, Delay</v>
      </c>
      <c r="AB248" s="7" t="str">
        <f ca="1">'Database MK'!HW249</f>
        <v>Belum, Delay</v>
      </c>
      <c r="AC248" s="7">
        <f>'Database MK'!DA249-'Database MK'!DB249</f>
        <v>-71</v>
      </c>
      <c r="AD248" s="7">
        <f>'Database MK'!DA249-'Database MK'!DF249</f>
        <v>-82</v>
      </c>
      <c r="AE248" s="7">
        <f>'Database MK'!DK249-'Database MK'!DL249</f>
        <v>-50</v>
      </c>
      <c r="AF248" s="7">
        <f>'Database MK'!DK249-'Database MK'!DO249</f>
        <v>-51</v>
      </c>
      <c r="AG248" s="7">
        <f>'Database MK'!DU249-'Database MK'!DW249</f>
        <v>-73</v>
      </c>
      <c r="AH248" s="7">
        <f>IF('Database MK'!EB249="","Belum",'Database MK'!DU249-'Database MK'!EB249)</f>
        <v>-270</v>
      </c>
      <c r="AI248" s="7">
        <f>IF('Database MK'!EN249="","Belum",'Database MK'!EL249-'Database MK'!EN249)</f>
        <v>-72</v>
      </c>
      <c r="AJ248" s="7">
        <f>'Database MK'!FY249-'Database MK'!FZ249</f>
        <v>-45903</v>
      </c>
      <c r="AK248" s="7">
        <f>IF('Database MK'!GC249="","Belum",'Database MK'!GB249-'Database MK'!GC249)</f>
        <v>-43</v>
      </c>
      <c r="AL248" s="7">
        <f>IF('Database MK'!GF249="","Belum",'Database MK'!GE249-'Database MK'!GF249)</f>
        <v>-31</v>
      </c>
      <c r="AM248" s="309">
        <f>IF('Database MK'!GJ249="","Belum",'Database MK'!GI249-'Database MK'!GJ249)</f>
        <v>-73</v>
      </c>
      <c r="AN248" s="7" t="str">
        <f>IF('Database MK'!HG249="","Belum",'Database MK'!HF249-'Database MK'!HG249)</f>
        <v>Belum</v>
      </c>
      <c r="AO248" s="7" t="str">
        <f>IF('Database MK'!HP249="","Belum",'Database MK'!HN249-'Database MK'!HP249)</f>
        <v>Belum</v>
      </c>
      <c r="AP248" s="7" t="str">
        <f>IF('Database MK'!HV249="","Belum",'Database MK'!HT249-'Database MK'!HV249)</f>
        <v>Belum</v>
      </c>
    </row>
    <row r="249" spans="2:42" hidden="1" x14ac:dyDescent="0.2">
      <c r="B249" s="7">
        <f>SUBTOTAL(3,$C$4:C249)</f>
        <v>74</v>
      </c>
      <c r="C249" s="4" t="s">
        <v>629</v>
      </c>
      <c r="D249" s="4" t="s">
        <v>1939</v>
      </c>
      <c r="E249" s="4" t="s">
        <v>1940</v>
      </c>
      <c r="F249" s="300">
        <v>46113</v>
      </c>
      <c r="G249" s="4" t="s">
        <v>247</v>
      </c>
      <c r="H249" s="4" t="str">
        <f ca="1">'Database MK'!Q250</f>
        <v>Proses Konstruksi</v>
      </c>
      <c r="I249" s="24">
        <f>'Database MK'!S250</f>
        <v>1</v>
      </c>
      <c r="J249" s="24">
        <f>'Database MK'!T250</f>
        <v>0.66511025778987187</v>
      </c>
      <c r="K249" s="603">
        <f>'Database MK'!U250</f>
        <v>-0.33488974221012813</v>
      </c>
      <c r="L249" s="593">
        <f>'Database MK'!V250</f>
        <v>18935.2</v>
      </c>
      <c r="M249" s="593">
        <f>'Database MK'!W250</f>
        <v>16945</v>
      </c>
      <c r="N249" s="593">
        <f>Table3[[#This Row],[Total Panjang Pipa Aktual]]-Table3[[#This Row],[Volume
BA MC-0]]</f>
        <v>-1990.2000000000007</v>
      </c>
      <c r="O249" s="7" t="str">
        <f ca="1">'Database MK'!DE250</f>
        <v>Sudah, Delay</v>
      </c>
      <c r="P249" s="7" t="str">
        <f ca="1">'Database MK'!DI250</f>
        <v>Sudah, Delay</v>
      </c>
      <c r="Q249" s="7" t="str">
        <f ca="1">'Database MK'!DN250</f>
        <v>Sudah, Delay</v>
      </c>
      <c r="R249" s="7" t="str">
        <f ca="1">'Database MK'!DR250</f>
        <v>Sudah, Delay</v>
      </c>
      <c r="S249" s="7" t="str">
        <f ca="1">'Database MK'!EA250</f>
        <v>Sudah, Delay</v>
      </c>
      <c r="T249" s="7" t="str">
        <f ca="1">'Database MK'!EI250</f>
        <v>Sudah, Delay</v>
      </c>
      <c r="U249" s="7" t="str">
        <f ca="1">'Database MK'!ET250</f>
        <v>Sudah, Delay</v>
      </c>
      <c r="V249" s="7" t="str">
        <f ca="1">'Database MK'!GA250</f>
        <v>Sudah, Delay</v>
      </c>
      <c r="W249" s="7" t="str">
        <f ca="1">'Database MK'!GD250</f>
        <v>Sudah, Delay</v>
      </c>
      <c r="X249" s="7" t="str">
        <f ca="1">'Database MK'!GG250</f>
        <v>Sudah, Delay</v>
      </c>
      <c r="Y249" s="7" t="str">
        <f ca="1">'Database MK'!GK250</f>
        <v>Sudah, Delay</v>
      </c>
      <c r="Z249" s="7" t="str">
        <f ca="1">'Database MK'!HH250</f>
        <v>Belum, Delay</v>
      </c>
      <c r="AA249" s="7" t="str">
        <f ca="1">'Database MK'!HQ250</f>
        <v>Belum, Delay</v>
      </c>
      <c r="AB249" s="7" t="str">
        <f ca="1">'Database MK'!HW250</f>
        <v>Belum, Delay</v>
      </c>
      <c r="AC249" s="7">
        <f>'Database MK'!DA250-'Database MK'!DB250</f>
        <v>-23</v>
      </c>
      <c r="AD249" s="7">
        <f>'Database MK'!DA250-'Database MK'!DF250</f>
        <v>-36</v>
      </c>
      <c r="AE249" s="7">
        <f>'Database MK'!DK250-'Database MK'!DL250</f>
        <v>-37</v>
      </c>
      <c r="AF249" s="7">
        <f>'Database MK'!DK250-'Database MK'!DO250</f>
        <v>-57</v>
      </c>
      <c r="AG249" s="7">
        <f>'Database MK'!DU250-'Database MK'!DW250</f>
        <v>-66</v>
      </c>
      <c r="AH249" s="7">
        <f>IF('Database MK'!EB250="","Belum",'Database MK'!DU250-'Database MK'!EB250)</f>
        <v>-283</v>
      </c>
      <c r="AI249" s="7">
        <f>IF('Database MK'!EN250="","Belum",'Database MK'!EL250-'Database MK'!EN250)</f>
        <v>-102</v>
      </c>
      <c r="AJ249" s="7">
        <f>'Database MK'!FY250-'Database MK'!FZ250</f>
        <v>-45903</v>
      </c>
      <c r="AK249" s="7">
        <f>IF('Database MK'!GC250="","Belum",'Database MK'!GB250-'Database MK'!GC250)</f>
        <v>-43</v>
      </c>
      <c r="AL249" s="7">
        <f>IF('Database MK'!GF250="","Belum",'Database MK'!GE250-'Database MK'!GF250)</f>
        <v>-31</v>
      </c>
      <c r="AM249" s="309">
        <f>IF('Database MK'!GJ250="","Belum",'Database MK'!GI250-'Database MK'!GJ250)</f>
        <v>-85</v>
      </c>
      <c r="AN249" s="7" t="str">
        <f>IF('Database MK'!HG250="","Belum",'Database MK'!HF250-'Database MK'!HG250)</f>
        <v>Belum</v>
      </c>
      <c r="AO249" s="7" t="str">
        <f>IF('Database MK'!HP250="","Belum",'Database MK'!HN250-'Database MK'!HP250)</f>
        <v>Belum</v>
      </c>
      <c r="AP249" s="7" t="str">
        <f>IF('Database MK'!HV250="","Belum",'Database MK'!HT250-'Database MK'!HV250)</f>
        <v>Belum</v>
      </c>
    </row>
    <row r="250" spans="2:42" hidden="1" x14ac:dyDescent="0.2">
      <c r="B250" s="7">
        <f>SUBTOTAL(3,$C$4:C250)</f>
        <v>74</v>
      </c>
      <c r="C250" s="4" t="s">
        <v>629</v>
      </c>
      <c r="D250" s="4" t="s">
        <v>1947</v>
      </c>
      <c r="E250" s="4" t="s">
        <v>1948</v>
      </c>
      <c r="F250" s="300">
        <v>46113</v>
      </c>
      <c r="G250" s="4" t="s">
        <v>247</v>
      </c>
      <c r="H250" s="4" t="str">
        <f ca="1">'Database MK'!Q251</f>
        <v>Proses Konstruksi</v>
      </c>
      <c r="I250" s="24">
        <f>'Database MK'!S251</f>
        <v>1</v>
      </c>
      <c r="J250" s="24">
        <f>'Database MK'!T251</f>
        <v>0.45620846679265092</v>
      </c>
      <c r="K250" s="603">
        <f>'Database MK'!U251</f>
        <v>-0.54379153320734908</v>
      </c>
      <c r="L250" s="593">
        <f>'Database MK'!V251</f>
        <v>8957.9</v>
      </c>
      <c r="M250" s="593">
        <f>'Database MK'!W251</f>
        <v>5835</v>
      </c>
      <c r="N250" s="593">
        <f>Table3[[#This Row],[Total Panjang Pipa Aktual]]-Table3[[#This Row],[Volume
BA MC-0]]</f>
        <v>-3122.8999999999996</v>
      </c>
      <c r="O250" s="7" t="str">
        <f ca="1">'Database MK'!DE251</f>
        <v>Sudah, Delay</v>
      </c>
      <c r="P250" s="7" t="str">
        <f ca="1">'Database MK'!DI251</f>
        <v>Sudah, Delay</v>
      </c>
      <c r="Q250" s="7" t="str">
        <f ca="1">'Database MK'!DN251</f>
        <v>Sudah, Delay</v>
      </c>
      <c r="R250" s="7" t="str">
        <f ca="1">'Database MK'!DR251</f>
        <v>Sudah, Delay</v>
      </c>
      <c r="S250" s="7" t="str">
        <f ca="1">'Database MK'!EA251</f>
        <v>Sudah, Delay</v>
      </c>
      <c r="T250" s="7" t="str">
        <f ca="1">'Database MK'!EI251</f>
        <v>Sudah, Delay</v>
      </c>
      <c r="U250" s="7" t="str">
        <f ca="1">'Database MK'!ET251</f>
        <v>Sudah, Delay</v>
      </c>
      <c r="V250" s="7" t="str">
        <f ca="1">'Database MK'!GA251</f>
        <v>Sudah, Delay</v>
      </c>
      <c r="W250" s="7" t="str">
        <f ca="1">'Database MK'!GD251</f>
        <v>Sudah, Delay</v>
      </c>
      <c r="X250" s="7" t="str">
        <f ca="1">'Database MK'!GG251</f>
        <v>Sudah, Delay</v>
      </c>
      <c r="Y250" s="7" t="str">
        <f ca="1">'Database MK'!GK251</f>
        <v>Sudah, Delay</v>
      </c>
      <c r="Z250" s="7" t="str">
        <f ca="1">'Database MK'!HH251</f>
        <v>Belum, Delay</v>
      </c>
      <c r="AA250" s="7" t="str">
        <f ca="1">'Database MK'!HQ251</f>
        <v>Belum, Delay</v>
      </c>
      <c r="AB250" s="7" t="str">
        <f ca="1">'Database MK'!HW251</f>
        <v>Belum, Delay</v>
      </c>
      <c r="AC250" s="7">
        <f>'Database MK'!DA251-'Database MK'!DB251</f>
        <v>-18</v>
      </c>
      <c r="AD250" s="7">
        <f>'Database MK'!DA251-'Database MK'!DF251</f>
        <v>-29</v>
      </c>
      <c r="AE250" s="7">
        <f>'Database MK'!DK251-'Database MK'!DL251</f>
        <v>-50</v>
      </c>
      <c r="AF250" s="7">
        <f>'Database MK'!DK251-'Database MK'!DO251</f>
        <v>-64</v>
      </c>
      <c r="AG250" s="7">
        <f>'Database MK'!DU251-'Database MK'!DW251</f>
        <v>-73</v>
      </c>
      <c r="AH250" s="7">
        <f>IF('Database MK'!EB251="","Belum",'Database MK'!DU251-'Database MK'!EB251)</f>
        <v>-283</v>
      </c>
      <c r="AI250" s="7">
        <f>IF('Database MK'!EN251="","Belum",'Database MK'!EL251-'Database MK'!EN251)</f>
        <v>-100</v>
      </c>
      <c r="AJ250" s="7">
        <f>'Database MK'!FY251-'Database MK'!FZ251</f>
        <v>-45903</v>
      </c>
      <c r="AK250" s="7">
        <f>IF('Database MK'!GC251="","Belum",'Database MK'!GB251-'Database MK'!GC251)</f>
        <v>-43</v>
      </c>
      <c r="AL250" s="7">
        <f>IF('Database MK'!GF251="","Belum",'Database MK'!GE251-'Database MK'!GF251)</f>
        <v>-31</v>
      </c>
      <c r="AM250" s="309">
        <f>IF('Database MK'!GJ251="","Belum",'Database MK'!GI251-'Database MK'!GJ251)</f>
        <v>-86</v>
      </c>
      <c r="AN250" s="7" t="str">
        <f>IF('Database MK'!HG251="","Belum",'Database MK'!HF251-'Database MK'!HG251)</f>
        <v>Belum</v>
      </c>
      <c r="AO250" s="7" t="str">
        <f>IF('Database MK'!HP251="","Belum",'Database MK'!HN251-'Database MK'!HP251)</f>
        <v>Belum</v>
      </c>
      <c r="AP250" s="7" t="str">
        <f>IF('Database MK'!HV251="","Belum",'Database MK'!HT251-'Database MK'!HV251)</f>
        <v>Belum</v>
      </c>
    </row>
    <row r="251" spans="2:42" hidden="1" x14ac:dyDescent="0.2">
      <c r="B251" s="7">
        <f>SUBTOTAL(3,$C$4:C251)</f>
        <v>74</v>
      </c>
      <c r="C251" s="4" t="s">
        <v>629</v>
      </c>
      <c r="D251" s="4" t="s">
        <v>1956</v>
      </c>
      <c r="E251" s="4" t="s">
        <v>1957</v>
      </c>
      <c r="F251" s="300">
        <v>46113</v>
      </c>
      <c r="G251" s="4" t="s">
        <v>247</v>
      </c>
      <c r="H251" s="4" t="str">
        <f ca="1">'Database MK'!Q252</f>
        <v>Proses Konstruksi</v>
      </c>
      <c r="I251" s="24">
        <f>'Database MK'!S252</f>
        <v>1</v>
      </c>
      <c r="J251" s="24">
        <f>'Database MK'!T252</f>
        <v>0.59757721901616456</v>
      </c>
      <c r="K251" s="603">
        <f>'Database MK'!U252</f>
        <v>-0.40242278098383544</v>
      </c>
      <c r="L251" s="593">
        <f>'Database MK'!V252</f>
        <v>14464.3</v>
      </c>
      <c r="M251" s="593">
        <f>'Database MK'!W252</f>
        <v>10600</v>
      </c>
      <c r="N251" s="593">
        <f>Table3[[#This Row],[Total Panjang Pipa Aktual]]-Table3[[#This Row],[Volume
BA MC-0]]</f>
        <v>-3864.2999999999993</v>
      </c>
      <c r="O251" s="7" t="str">
        <f ca="1">'Database MK'!DE252</f>
        <v>Sudah, Delay</v>
      </c>
      <c r="P251" s="7" t="str">
        <f ca="1">'Database MK'!DI252</f>
        <v>Sudah, Delay</v>
      </c>
      <c r="Q251" s="7" t="str">
        <f ca="1">'Database MK'!DN252</f>
        <v>Sudah, Delay</v>
      </c>
      <c r="R251" s="7" t="str">
        <f ca="1">'Database MK'!DR252</f>
        <v>Sudah, Delay</v>
      </c>
      <c r="S251" s="7" t="str">
        <f ca="1">'Database MK'!EA252</f>
        <v>Sudah, Delay</v>
      </c>
      <c r="T251" s="7" t="str">
        <f ca="1">'Database MK'!EI252</f>
        <v>Sudah, Delay</v>
      </c>
      <c r="U251" s="7" t="str">
        <f ca="1">'Database MK'!ET252</f>
        <v>Sudah, Delay</v>
      </c>
      <c r="V251" s="7" t="str">
        <f ca="1">'Database MK'!GA252</f>
        <v>Sudah, Delay</v>
      </c>
      <c r="W251" s="7" t="str">
        <f ca="1">'Database MK'!GD252</f>
        <v>Sudah, Delay</v>
      </c>
      <c r="X251" s="7" t="str">
        <f ca="1">'Database MK'!GG252</f>
        <v>Sudah, Delay</v>
      </c>
      <c r="Y251" s="7" t="str">
        <f ca="1">'Database MK'!GK252</f>
        <v>Sudah, Delay</v>
      </c>
      <c r="Z251" s="7" t="str">
        <f ca="1">'Database MK'!HH252</f>
        <v>Belum, Delay</v>
      </c>
      <c r="AA251" s="7" t="str">
        <f ca="1">'Database MK'!HQ252</f>
        <v>Belum, Delay</v>
      </c>
      <c r="AB251" s="7" t="str">
        <f ca="1">'Database MK'!HW252</f>
        <v>Belum, Delay</v>
      </c>
      <c r="AC251" s="7">
        <f>'Database MK'!DA252-'Database MK'!DB252</f>
        <v>-71</v>
      </c>
      <c r="AD251" s="7">
        <f>'Database MK'!DA252-'Database MK'!DF252</f>
        <v>-82</v>
      </c>
      <c r="AE251" s="7">
        <f>'Database MK'!DK252-'Database MK'!DL252</f>
        <v>-37</v>
      </c>
      <c r="AF251" s="7">
        <f>'Database MK'!DK252-'Database MK'!DO252</f>
        <v>-51</v>
      </c>
      <c r="AG251" s="7">
        <f>'Database MK'!DU252-'Database MK'!DW252</f>
        <v>-107</v>
      </c>
      <c r="AH251" s="7">
        <f>IF('Database MK'!EB252="","Belum",'Database MK'!DU252-'Database MK'!EB252)</f>
        <v>-283</v>
      </c>
      <c r="AI251" s="7">
        <f>IF('Database MK'!EN252="","Belum",'Database MK'!EL252-'Database MK'!EN252)</f>
        <v>-102</v>
      </c>
      <c r="AJ251" s="7">
        <f>'Database MK'!FY252-'Database MK'!FZ252</f>
        <v>-45903</v>
      </c>
      <c r="AK251" s="7">
        <f>IF('Database MK'!GC252="","Belum",'Database MK'!GB252-'Database MK'!GC252)</f>
        <v>-43</v>
      </c>
      <c r="AL251" s="7">
        <f>IF('Database MK'!GF252="","Belum",'Database MK'!GE252-'Database MK'!GF252)</f>
        <v>-31</v>
      </c>
      <c r="AM251" s="309">
        <f>IF('Database MK'!GJ252="","Belum",'Database MK'!GI252-'Database MK'!GJ252)</f>
        <v>-94</v>
      </c>
      <c r="AN251" s="7" t="str">
        <f>IF('Database MK'!HG252="","Belum",'Database MK'!HF252-'Database MK'!HG252)</f>
        <v>Belum</v>
      </c>
      <c r="AO251" s="7" t="str">
        <f>IF('Database MK'!HP252="","Belum",'Database MK'!HN252-'Database MK'!HP252)</f>
        <v>Belum</v>
      </c>
      <c r="AP251" s="7" t="str">
        <f>IF('Database MK'!HV252="","Belum",'Database MK'!HT252-'Database MK'!HV252)</f>
        <v>Belum</v>
      </c>
    </row>
    <row r="252" spans="2:42" hidden="1" x14ac:dyDescent="0.2">
      <c r="B252" s="7">
        <f>SUBTOTAL(3,$C$4:C252)</f>
        <v>74</v>
      </c>
      <c r="C252" s="4" t="s">
        <v>629</v>
      </c>
      <c r="D252" s="4" t="s">
        <v>1964</v>
      </c>
      <c r="E252" s="4" t="s">
        <v>1965</v>
      </c>
      <c r="F252" s="300">
        <v>46113</v>
      </c>
      <c r="G252" s="4" t="s">
        <v>247</v>
      </c>
      <c r="H252" s="4" t="str">
        <f ca="1">'Database MK'!Q253</f>
        <v>Proses Konstruksi</v>
      </c>
      <c r="I252" s="24">
        <f>'Database MK'!S253</f>
        <v>1</v>
      </c>
      <c r="J252" s="24">
        <f>'Database MK'!T253</f>
        <v>0.35417403931521141</v>
      </c>
      <c r="K252" s="603">
        <f>'Database MK'!U253</f>
        <v>-0.64582596068478859</v>
      </c>
      <c r="L252" s="593">
        <f>'Database MK'!V253</f>
        <v>8749</v>
      </c>
      <c r="M252" s="593">
        <f>'Database MK'!W253</f>
        <v>4653</v>
      </c>
      <c r="N252" s="593">
        <f>Table3[[#This Row],[Total Panjang Pipa Aktual]]-Table3[[#This Row],[Volume
BA MC-0]]</f>
        <v>-4096</v>
      </c>
      <c r="O252" s="7" t="str">
        <f ca="1">'Database MK'!DE253</f>
        <v>Sudah, Delay</v>
      </c>
      <c r="P252" s="7" t="str">
        <f ca="1">'Database MK'!DI253</f>
        <v>Sudah, OnSchedule</v>
      </c>
      <c r="Q252" s="7" t="str">
        <f ca="1">'Database MK'!DN253</f>
        <v>Sudah, Delay</v>
      </c>
      <c r="R252" s="7" t="str">
        <f ca="1">'Database MK'!DR253</f>
        <v>Sudah, Delay</v>
      </c>
      <c r="S252" s="7" t="str">
        <f ca="1">'Database MK'!EA253</f>
        <v>Sudah, Delay</v>
      </c>
      <c r="T252" s="7" t="str">
        <f ca="1">'Database MK'!EI253</f>
        <v>Sudah, Delay</v>
      </c>
      <c r="U252" s="7" t="str">
        <f ca="1">'Database MK'!ET253</f>
        <v>Sudah, Delay</v>
      </c>
      <c r="V252" s="7" t="str">
        <f ca="1">'Database MK'!GA253</f>
        <v>Sudah, Delay</v>
      </c>
      <c r="W252" s="7" t="str">
        <f ca="1">'Database MK'!GD253</f>
        <v>Sudah, Delay</v>
      </c>
      <c r="X252" s="7" t="str">
        <f ca="1">'Database MK'!GG253</f>
        <v>Sudah, Delay</v>
      </c>
      <c r="Y252" s="7" t="str">
        <f ca="1">'Database MK'!GK253</f>
        <v>Sudah, Delay</v>
      </c>
      <c r="Z252" s="7" t="str">
        <f ca="1">'Database MK'!HH253</f>
        <v>Belum, Delay</v>
      </c>
      <c r="AA252" s="7" t="str">
        <f ca="1">'Database MK'!HQ253</f>
        <v>Belum, Delay</v>
      </c>
      <c r="AB252" s="7" t="str">
        <f ca="1">'Database MK'!HW253</f>
        <v>Belum, Delay</v>
      </c>
      <c r="AC252" s="7">
        <f>'Database MK'!DA253-'Database MK'!DB253</f>
        <v>-89</v>
      </c>
      <c r="AD252" s="7">
        <f>'Database MK'!DA253-'Database MK'!DF253</f>
        <v>104</v>
      </c>
      <c r="AE252" s="7">
        <f>'Database MK'!DK253-'Database MK'!DL253</f>
        <v>-73</v>
      </c>
      <c r="AF252" s="7">
        <f>'Database MK'!DK253-'Database MK'!DO253</f>
        <v>-88</v>
      </c>
      <c r="AG252" s="7">
        <f>'Database MK'!DU253-'Database MK'!DW253</f>
        <v>-90</v>
      </c>
      <c r="AH252" s="7">
        <f>IF('Database MK'!EB253="","Belum",'Database MK'!DU253-'Database MK'!EB253)</f>
        <v>-281</v>
      </c>
      <c r="AI252" s="7">
        <f>IF('Database MK'!EN253="","Belum",'Database MK'!EL253-'Database MK'!EN253)</f>
        <v>-102</v>
      </c>
      <c r="AJ252" s="7">
        <f>'Database MK'!FY253-'Database MK'!FZ253</f>
        <v>-45903</v>
      </c>
      <c r="AK252" s="7">
        <f>IF('Database MK'!GC253="","Belum",'Database MK'!GB253-'Database MK'!GC253)</f>
        <v>-43</v>
      </c>
      <c r="AL252" s="7">
        <f>IF('Database MK'!GF253="","Belum",'Database MK'!GE253-'Database MK'!GF253)</f>
        <v>-31</v>
      </c>
      <c r="AM252" s="309">
        <f>IF('Database MK'!GJ253="","Belum",'Database MK'!GI253-'Database MK'!GJ253)</f>
        <v>-50</v>
      </c>
      <c r="AN252" s="7" t="str">
        <f>IF('Database MK'!HG253="","Belum",'Database MK'!HF253-'Database MK'!HG253)</f>
        <v>Belum</v>
      </c>
      <c r="AO252" s="7" t="str">
        <f>IF('Database MK'!HP253="","Belum",'Database MK'!HN253-'Database MK'!HP253)</f>
        <v>Belum</v>
      </c>
      <c r="AP252" s="7" t="str">
        <f>IF('Database MK'!HV253="","Belum",'Database MK'!HT253-'Database MK'!HV253)</f>
        <v>Belum</v>
      </c>
    </row>
    <row r="253" spans="2:42" hidden="1" x14ac:dyDescent="0.2">
      <c r="B253" s="7">
        <f>SUBTOTAL(3,$C$4:C253)</f>
        <v>74</v>
      </c>
      <c r="C253" s="4" t="s">
        <v>629</v>
      </c>
      <c r="D253" s="4" t="s">
        <v>1972</v>
      </c>
      <c r="E253" s="4" t="s">
        <v>1973</v>
      </c>
      <c r="F253" s="300">
        <v>46113</v>
      </c>
      <c r="G253" s="4" t="s">
        <v>681</v>
      </c>
      <c r="H253" s="4" t="str">
        <f ca="1">'Database MK'!Q254</f>
        <v>DPPP</v>
      </c>
      <c r="I253" s="24">
        <f>'Database MK'!S254</f>
        <v>1</v>
      </c>
      <c r="J253" s="24">
        <f>'Database MK'!T254</f>
        <v>1</v>
      </c>
      <c r="K253" s="603">
        <f>'Database MK'!U254</f>
        <v>0</v>
      </c>
      <c r="L253" s="593">
        <f>'Database MK'!V254</f>
        <v>640</v>
      </c>
      <c r="M253" s="593">
        <f>'Database MK'!W254</f>
        <v>634.5</v>
      </c>
      <c r="N253" s="593">
        <f>Table3[[#This Row],[Total Panjang Pipa Aktual]]-Table3[[#This Row],[Volume
BA MC-0]]</f>
        <v>-5.5</v>
      </c>
      <c r="O253" s="7" t="str">
        <f ca="1">'Database MK'!DE254</f>
        <v>Sudah, OnSchedule</v>
      </c>
      <c r="P253" s="7" t="str">
        <f ca="1">'Database MK'!DI254</f>
        <v>Sudah, OnSchedule</v>
      </c>
      <c r="Q253" s="7" t="str">
        <f ca="1">'Database MK'!DN254</f>
        <v>Sudah, OnSchedule</v>
      </c>
      <c r="R253" s="7" t="str">
        <f ca="1">'Database MK'!DR254</f>
        <v>Sudah, OnSchedule</v>
      </c>
      <c r="S253" s="7" t="str">
        <f ca="1">'Database MK'!EA254</f>
        <v>Sudah, OnSchedule</v>
      </c>
      <c r="T253" s="7" t="str">
        <f ca="1">'Database MK'!EI254</f>
        <v>Sudah, Delay</v>
      </c>
      <c r="U253" s="7" t="str">
        <f ca="1">'Database MK'!ET254</f>
        <v>Sudah, Delay</v>
      </c>
      <c r="V253" s="7" t="str">
        <f ca="1">'Database MK'!GA254</f>
        <v>Sudah, Delay</v>
      </c>
      <c r="W253" s="7" t="str">
        <f ca="1">'Database MK'!GD254</f>
        <v>Sudah, OnSchedule</v>
      </c>
      <c r="X253" s="7" t="str">
        <f ca="1">'Database MK'!GG254</f>
        <v>Sudah, OnSchedule</v>
      </c>
      <c r="Y253" s="7" t="str">
        <f ca="1">'Database MK'!GK254</f>
        <v>Sudah, OnSchedule</v>
      </c>
      <c r="Z253" s="7" t="str">
        <f ca="1">'Database MK'!HH254</f>
        <v>Sudah, OnSchedule</v>
      </c>
      <c r="AA253" s="7" t="str">
        <f ca="1">'Database MK'!HQ254</f>
        <v>Sudah, OnSchedule</v>
      </c>
      <c r="AB253" s="7" t="str">
        <f ca="1">'Database MK'!HW254</f>
        <v>Sudah, OnSchedule</v>
      </c>
      <c r="AC253" s="7">
        <f>'Database MK'!DA254-'Database MK'!DB254</f>
        <v>26</v>
      </c>
      <c r="AD253" s="7">
        <f>'Database MK'!DA254-'Database MK'!DF254</f>
        <v>13</v>
      </c>
      <c r="AE253" s="7">
        <f>'Database MK'!DK254-'Database MK'!DL254</f>
        <v>73</v>
      </c>
      <c r="AF253" s="7">
        <f>'Database MK'!DK254-'Database MK'!DO254</f>
        <v>68</v>
      </c>
      <c r="AG253" s="7">
        <f>'Database MK'!DU254-'Database MK'!DW254</f>
        <v>52</v>
      </c>
      <c r="AH253" s="7">
        <f>IF('Database MK'!EB254="","Belum",'Database MK'!DU254-'Database MK'!EB254)</f>
        <v>-32</v>
      </c>
      <c r="AI253" s="7">
        <f>IF('Database MK'!EN254="","Belum",'Database MK'!EL254-'Database MK'!EN254)</f>
        <v>-65</v>
      </c>
      <c r="AJ253" s="7">
        <f>'Database MK'!FY254-'Database MK'!FZ254</f>
        <v>-45911</v>
      </c>
      <c r="AK253" s="7">
        <f>IF('Database MK'!GC254="","Belum",'Database MK'!GB254-'Database MK'!GC254)</f>
        <v>76</v>
      </c>
      <c r="AL253" s="7">
        <f>IF('Database MK'!GF254="","Belum",'Database MK'!GE254-'Database MK'!GF254)</f>
        <v>88</v>
      </c>
      <c r="AM253" s="309">
        <f>IF('Database MK'!GJ254="","Belum",'Database MK'!GI254-'Database MK'!GJ254)</f>
        <v>97</v>
      </c>
      <c r="AN253" s="7">
        <f>IF('Database MK'!HG254="","Belum",'Database MK'!HF254-'Database MK'!HG254)</f>
        <v>103</v>
      </c>
      <c r="AO253" s="7">
        <f>IF('Database MK'!HP254="","Belum",'Database MK'!HN254-'Database MK'!HP254)</f>
        <v>112</v>
      </c>
      <c r="AP253" s="7">
        <f>IF('Database MK'!HV254="","Belum",'Database MK'!HT254-'Database MK'!HV254)</f>
        <v>17</v>
      </c>
    </row>
    <row r="254" spans="2:42" hidden="1" x14ac:dyDescent="0.2">
      <c r="B254" s="7">
        <f>SUBTOTAL(3,$C$4:C254)</f>
        <v>74</v>
      </c>
      <c r="C254" s="4" t="s">
        <v>629</v>
      </c>
      <c r="D254" s="4" t="s">
        <v>1983</v>
      </c>
      <c r="E254" s="4" t="s">
        <v>1984</v>
      </c>
      <c r="F254" s="300">
        <v>46113</v>
      </c>
      <c r="G254" s="4" t="s">
        <v>681</v>
      </c>
      <c r="H254" s="4" t="str">
        <f ca="1">'Database MK'!Q255</f>
        <v>DPPP</v>
      </c>
      <c r="I254" s="24">
        <f>'Database MK'!S255</f>
        <v>1</v>
      </c>
      <c r="J254" s="24">
        <f>'Database MK'!T255</f>
        <v>1</v>
      </c>
      <c r="K254" s="603">
        <f>'Database MK'!U255</f>
        <v>0</v>
      </c>
      <c r="L254" s="593">
        <f>'Database MK'!V255</f>
        <v>533</v>
      </c>
      <c r="M254" s="593">
        <f>'Database MK'!W255</f>
        <v>546</v>
      </c>
      <c r="N254" s="593">
        <f>Table3[[#This Row],[Total Panjang Pipa Aktual]]-Table3[[#This Row],[Volume
BA MC-0]]</f>
        <v>13</v>
      </c>
      <c r="O254" s="7" t="str">
        <f ca="1">'Database MK'!DE255</f>
        <v>Sudah, OnSchedule</v>
      </c>
      <c r="P254" s="7" t="str">
        <f ca="1">'Database MK'!DI255</f>
        <v>Sudah, OnSchedule</v>
      </c>
      <c r="Q254" s="7" t="str">
        <f ca="1">'Database MK'!DN255</f>
        <v>Sudah, OnSchedule</v>
      </c>
      <c r="R254" s="7" t="str">
        <f ca="1">'Database MK'!DR255</f>
        <v>Sudah, Delay</v>
      </c>
      <c r="S254" s="7" t="str">
        <f ca="1">'Database MK'!EA255</f>
        <v>Sudah, Delay</v>
      </c>
      <c r="T254" s="7" t="str">
        <f ca="1">'Database MK'!EI255</f>
        <v>Sudah, Delay</v>
      </c>
      <c r="U254" s="7" t="str">
        <f ca="1">'Database MK'!ET255</f>
        <v>Sudah, Delay</v>
      </c>
      <c r="V254" s="7" t="str">
        <f ca="1">'Database MK'!GA255</f>
        <v>Sudah, Delay</v>
      </c>
      <c r="W254" s="7" t="str">
        <f ca="1">'Database MK'!GD255</f>
        <v>Sudah, OnSchedule</v>
      </c>
      <c r="X254" s="7" t="str">
        <f ca="1">'Database MK'!GG255</f>
        <v>Sudah, OnSchedule</v>
      </c>
      <c r="Y254" s="7" t="str">
        <f ca="1">'Database MK'!GK255</f>
        <v>Sudah, OnSchedule</v>
      </c>
      <c r="Z254" s="7" t="str">
        <f ca="1">'Database MK'!HH255</f>
        <v>Sudah, Delay</v>
      </c>
      <c r="AA254" s="7" t="str">
        <f ca="1">'Database MK'!HQ255</f>
        <v>Sudah, Delay</v>
      </c>
      <c r="AB254" s="7" t="str">
        <f ca="1">'Database MK'!HW255</f>
        <v>Sudah, Delay</v>
      </c>
      <c r="AC254" s="7">
        <f>'Database MK'!DA255-'Database MK'!DB255</f>
        <v>18</v>
      </c>
      <c r="AD254" s="7">
        <f>'Database MK'!DA255-'Database MK'!DF255</f>
        <v>4</v>
      </c>
      <c r="AE254" s="7">
        <f>'Database MK'!DK255-'Database MK'!DL255</f>
        <v>17</v>
      </c>
      <c r="AF254" s="7">
        <f>'Database MK'!DK255-'Database MK'!DO255</f>
        <v>-8</v>
      </c>
      <c r="AG254" s="7">
        <f>'Database MK'!DU255-'Database MK'!DW255</f>
        <v>-11</v>
      </c>
      <c r="AH254" s="7">
        <f>IF('Database MK'!EB255="","Belum",'Database MK'!DU255-'Database MK'!EB255)</f>
        <v>-162</v>
      </c>
      <c r="AI254" s="7">
        <f>IF('Database MK'!EN255="","Belum",'Database MK'!EL255-'Database MK'!EN255)</f>
        <v>-251</v>
      </c>
      <c r="AJ254" s="7">
        <f>'Database MK'!FY255-'Database MK'!FZ255</f>
        <v>-45884</v>
      </c>
      <c r="AK254" s="7">
        <f>IF('Database MK'!GC255="","Belum",'Database MK'!GB255-'Database MK'!GC255)</f>
        <v>209</v>
      </c>
      <c r="AL254" s="7">
        <f>IF('Database MK'!GF255="","Belum",'Database MK'!GE255-'Database MK'!GF255)</f>
        <v>216</v>
      </c>
      <c r="AM254" s="309">
        <f>IF('Database MK'!GJ255="","Belum",'Database MK'!GI255-'Database MK'!GJ255)</f>
        <v>16</v>
      </c>
      <c r="AN254" s="7">
        <f>IF('Database MK'!HG255="","Belum",'Database MK'!HF255-'Database MK'!HG255)</f>
        <v>-24</v>
      </c>
      <c r="AO254" s="7">
        <f>IF('Database MK'!HP255="","Belum",'Database MK'!HN255-'Database MK'!HP255)</f>
        <v>-26</v>
      </c>
      <c r="AP254" s="7">
        <f>IF('Database MK'!HV255="","Belum",'Database MK'!HT255-'Database MK'!HV255)</f>
        <v>-102</v>
      </c>
    </row>
    <row r="255" spans="2:42" hidden="1" x14ac:dyDescent="0.2">
      <c r="B255" s="7">
        <f>SUBTOTAL(3,$C$4:C255)</f>
        <v>74</v>
      </c>
      <c r="C255" s="4" t="s">
        <v>629</v>
      </c>
      <c r="D255" s="4" t="s">
        <v>1992</v>
      </c>
      <c r="E255" s="4" t="s">
        <v>1993</v>
      </c>
      <c r="F255" s="300">
        <v>46113</v>
      </c>
      <c r="G255" s="4" t="s">
        <v>681</v>
      </c>
      <c r="H255" s="4" t="str">
        <f ca="1">'Database MK'!Q256</f>
        <v>DPPP</v>
      </c>
      <c r="I255" s="24">
        <f>'Database MK'!S256</f>
        <v>1</v>
      </c>
      <c r="J255" s="24">
        <f>'Database MK'!T256</f>
        <v>1</v>
      </c>
      <c r="K255" s="603">
        <f>'Database MK'!U256</f>
        <v>0</v>
      </c>
      <c r="L255" s="593">
        <f>'Database MK'!V256</f>
        <v>1084</v>
      </c>
      <c r="M255" s="593">
        <f>'Database MK'!W256</f>
        <v>978.9</v>
      </c>
      <c r="N255" s="593">
        <f>Table3[[#This Row],[Total Panjang Pipa Aktual]]-Table3[[#This Row],[Volume
BA MC-0]]</f>
        <v>-105.10000000000002</v>
      </c>
      <c r="O255" s="7" t="str">
        <f ca="1">'Database MK'!DE256</f>
        <v>Sudah, Delay</v>
      </c>
      <c r="P255" s="7" t="str">
        <f ca="1">'Database MK'!DI256</f>
        <v>Sudah, Delay</v>
      </c>
      <c r="Q255" s="7" t="str">
        <f ca="1">'Database MK'!DN256</f>
        <v>Sudah, OnSchedule</v>
      </c>
      <c r="R255" s="7" t="str">
        <f ca="1">'Database MK'!DR256</f>
        <v>Sudah, Delay</v>
      </c>
      <c r="S255" s="7" t="str">
        <f ca="1">'Database MK'!EA256</f>
        <v>Sudah, Delay</v>
      </c>
      <c r="T255" s="7" t="str">
        <f ca="1">'Database MK'!EI256</f>
        <v>Sudah, Delay</v>
      </c>
      <c r="U255" s="7" t="str">
        <f ca="1">'Database MK'!ET256</f>
        <v>Sudah, Delay</v>
      </c>
      <c r="V255" s="7" t="str">
        <f ca="1">'Database MK'!GA256</f>
        <v>Sudah, Delay</v>
      </c>
      <c r="W255" s="7" t="str">
        <f ca="1">'Database MK'!GD256</f>
        <v>Sudah, OnSchedule</v>
      </c>
      <c r="X255" s="7" t="str">
        <f ca="1">'Database MK'!GG256</f>
        <v>Sudah, OnSchedule</v>
      </c>
      <c r="Y255" s="7" t="str">
        <f ca="1">'Database MK'!GK256</f>
        <v>Sudah, OnSchedule</v>
      </c>
      <c r="Z255" s="7" t="str">
        <f ca="1">'Database MK'!HH256</f>
        <v>Sudah, Delay</v>
      </c>
      <c r="AA255" s="7" t="str">
        <f ca="1">'Database MK'!HQ256</f>
        <v>Sudah, Delay</v>
      </c>
      <c r="AB255" s="7" t="str">
        <f ca="1">'Database MK'!HW256</f>
        <v>Sudah, Delay</v>
      </c>
      <c r="AC255" s="7">
        <f>'Database MK'!DA256-'Database MK'!DB256</f>
        <v>-121</v>
      </c>
      <c r="AD255" s="7">
        <f>'Database MK'!DA256-'Database MK'!DF256</f>
        <v>-138</v>
      </c>
      <c r="AE255" s="7">
        <f>'Database MK'!DK256-'Database MK'!DL256</f>
        <v>6</v>
      </c>
      <c r="AF255" s="7">
        <f>'Database MK'!DK256-'Database MK'!DO256</f>
        <v>-8</v>
      </c>
      <c r="AG255" s="7">
        <f>'Database MK'!DU256-'Database MK'!DW256</f>
        <v>-23</v>
      </c>
      <c r="AH255" s="7">
        <f>IF('Database MK'!EB256="","Belum",'Database MK'!DU256-'Database MK'!EB256)</f>
        <v>-162</v>
      </c>
      <c r="AI255" s="7">
        <f>IF('Database MK'!EN256="","Belum",'Database MK'!EL256-'Database MK'!EN256)</f>
        <v>-193</v>
      </c>
      <c r="AJ255" s="7">
        <f>'Database MK'!FY256-'Database MK'!FZ256</f>
        <v>-45884</v>
      </c>
      <c r="AK255" s="7">
        <f>IF('Database MK'!GC256="","Belum",'Database MK'!GB256-'Database MK'!GC256)</f>
        <v>209</v>
      </c>
      <c r="AL255" s="7">
        <f>IF('Database MK'!GF256="","Belum",'Database MK'!GE256-'Database MK'!GF256)</f>
        <v>216</v>
      </c>
      <c r="AM255" s="309">
        <f>IF('Database MK'!GJ256="","Belum",'Database MK'!GI256-'Database MK'!GJ256)</f>
        <v>16</v>
      </c>
      <c r="AN255" s="7">
        <f>IF('Database MK'!HG256="","Belum",'Database MK'!HF256-'Database MK'!HG256)</f>
        <v>-50</v>
      </c>
      <c r="AO255" s="7">
        <f>IF('Database MK'!HP256="","Belum",'Database MK'!HN256-'Database MK'!HP256)</f>
        <v>-119</v>
      </c>
      <c r="AP255" s="7">
        <f>IF('Database MK'!HV256="","Belum",'Database MK'!HT256-'Database MK'!HV256)</f>
        <v>-124</v>
      </c>
    </row>
    <row r="256" spans="2:42" hidden="1" x14ac:dyDescent="0.2">
      <c r="B256" s="7">
        <f>SUBTOTAL(3,$C$4:C256)</f>
        <v>74</v>
      </c>
      <c r="C256" s="4" t="s">
        <v>629</v>
      </c>
      <c r="D256" s="4" t="s">
        <v>2001</v>
      </c>
      <c r="E256" s="4" t="s">
        <v>2002</v>
      </c>
      <c r="F256" s="300">
        <v>46113</v>
      </c>
      <c r="G256" s="4" t="s">
        <v>681</v>
      </c>
      <c r="H256" s="4" t="str">
        <f ca="1">'Database MK'!Q257</f>
        <v>DPPP</v>
      </c>
      <c r="I256" s="24">
        <f>'Database MK'!S257</f>
        <v>1</v>
      </c>
      <c r="J256" s="24">
        <f>'Database MK'!T257</f>
        <v>1</v>
      </c>
      <c r="K256" s="603">
        <f>'Database MK'!U257</f>
        <v>0</v>
      </c>
      <c r="L256" s="593">
        <f>'Database MK'!V257</f>
        <v>575</v>
      </c>
      <c r="M256" s="593">
        <f>'Database MK'!W257</f>
        <v>484.8</v>
      </c>
      <c r="N256" s="593">
        <f>Table3[[#This Row],[Total Panjang Pipa Aktual]]-Table3[[#This Row],[Volume
BA MC-0]]</f>
        <v>-90.199999999999989</v>
      </c>
      <c r="O256" s="7" t="str">
        <f ca="1">'Database MK'!DE257</f>
        <v>Sudah, OnSchedule</v>
      </c>
      <c r="P256" s="7" t="str">
        <f ca="1">'Database MK'!DI257</f>
        <v>Sudah, OnSchedule</v>
      </c>
      <c r="Q256" s="7" t="str">
        <f ca="1">'Database MK'!DN257</f>
        <v>Sudah, OnSchedule</v>
      </c>
      <c r="R256" s="7" t="str">
        <f ca="1">'Database MK'!DR257</f>
        <v>Sudah, Delay</v>
      </c>
      <c r="S256" s="7" t="str">
        <f ca="1">'Database MK'!EA257</f>
        <v>Sudah, Delay</v>
      </c>
      <c r="T256" s="7" t="str">
        <f ca="1">'Database MK'!EI257</f>
        <v>Sudah, Delay</v>
      </c>
      <c r="U256" s="7" t="str">
        <f ca="1">'Database MK'!ET257</f>
        <v>Sudah, Delay</v>
      </c>
      <c r="V256" s="7" t="str">
        <f ca="1">'Database MK'!GA257</f>
        <v>Sudah, Delay</v>
      </c>
      <c r="W256" s="7" t="str">
        <f ca="1">'Database MK'!GD257</f>
        <v>Sudah, OnSchedule</v>
      </c>
      <c r="X256" s="7" t="str">
        <f ca="1">'Database MK'!GG257</f>
        <v>Sudah, OnSchedule</v>
      </c>
      <c r="Y256" s="7" t="str">
        <f ca="1">'Database MK'!GK257</f>
        <v>Sudah, OnSchedule</v>
      </c>
      <c r="Z256" s="7" t="str">
        <f ca="1">'Database MK'!HH257</f>
        <v>Sudah, Delay</v>
      </c>
      <c r="AA256" s="7" t="str">
        <f ca="1">'Database MK'!HQ257</f>
        <v>Sudah, Delay</v>
      </c>
      <c r="AB256" s="7" t="str">
        <f ca="1">'Database MK'!HW257</f>
        <v>Sudah, Delay</v>
      </c>
      <c r="AC256" s="7">
        <f>'Database MK'!DA257-'Database MK'!DB257</f>
        <v>18</v>
      </c>
      <c r="AD256" s="7">
        <f>'Database MK'!DA257-'Database MK'!DF257</f>
        <v>3</v>
      </c>
      <c r="AE256" s="7">
        <f>'Database MK'!DK257-'Database MK'!DL257</f>
        <v>6</v>
      </c>
      <c r="AF256" s="7">
        <f>'Database MK'!DK257-'Database MK'!DO257</f>
        <v>-8</v>
      </c>
      <c r="AG256" s="7">
        <f>'Database MK'!DU257-'Database MK'!DW257</f>
        <v>-18</v>
      </c>
      <c r="AH256" s="7">
        <f>IF('Database MK'!EB257="","Belum",'Database MK'!DU257-'Database MK'!EB257)</f>
        <v>-194</v>
      </c>
      <c r="AI256" s="7">
        <f>IF('Database MK'!EN257="","Belum",'Database MK'!EL257-'Database MK'!EN257)</f>
        <v>-221</v>
      </c>
      <c r="AJ256" s="7">
        <f>'Database MK'!FY257-'Database MK'!FZ257</f>
        <v>-45884</v>
      </c>
      <c r="AK256" s="7">
        <f>IF('Database MK'!GC257="","Belum",'Database MK'!GB257-'Database MK'!GC257)</f>
        <v>209</v>
      </c>
      <c r="AL256" s="7">
        <f>IF('Database MK'!GF257="","Belum",'Database MK'!GE257-'Database MK'!GF257)</f>
        <v>216</v>
      </c>
      <c r="AM256" s="309">
        <f>IF('Database MK'!GJ257="","Belum",'Database MK'!GI257-'Database MK'!GJ257)</f>
        <v>18</v>
      </c>
      <c r="AN256" s="7">
        <f>IF('Database MK'!HG257="","Belum",'Database MK'!HF257-'Database MK'!HG257)</f>
        <v>-36</v>
      </c>
      <c r="AO256" s="7">
        <f>IF('Database MK'!HP257="","Belum",'Database MK'!HN257-'Database MK'!HP257)</f>
        <v>-46</v>
      </c>
      <c r="AP256" s="7">
        <f>IF('Database MK'!HV257="","Belum",'Database MK'!HT257-'Database MK'!HV257)</f>
        <v>-102</v>
      </c>
    </row>
    <row r="257" spans="2:42" hidden="1" x14ac:dyDescent="0.2">
      <c r="B257" s="7">
        <f>SUBTOTAL(3,$C$4:C257)</f>
        <v>74</v>
      </c>
      <c r="C257" s="4" t="s">
        <v>629</v>
      </c>
      <c r="D257" s="4" t="s">
        <v>2010</v>
      </c>
      <c r="E257" s="4" t="s">
        <v>2011</v>
      </c>
      <c r="F257" s="300">
        <v>46113</v>
      </c>
      <c r="G257" s="4" t="s">
        <v>681</v>
      </c>
      <c r="H257" s="4" t="str">
        <f ca="1">'Database MK'!Q258</f>
        <v>Proses Konstruksi</v>
      </c>
      <c r="I257" s="24">
        <f>'Database MK'!S258</f>
        <v>1</v>
      </c>
      <c r="J257" s="24">
        <f>'Database MK'!T258</f>
        <v>0.61657319094327101</v>
      </c>
      <c r="K257" s="603">
        <f>'Database MK'!U258</f>
        <v>-0.38342680905672899</v>
      </c>
      <c r="L257" s="593">
        <f>'Database MK'!V258</f>
        <v>14682</v>
      </c>
      <c r="M257" s="593">
        <f>'Database MK'!W258</f>
        <v>9898</v>
      </c>
      <c r="N257" s="593">
        <f>Table3[[#This Row],[Total Panjang Pipa Aktual]]-Table3[[#This Row],[Volume
BA MC-0]]</f>
        <v>-4784</v>
      </c>
      <c r="O257" s="7" t="str">
        <f ca="1">'Database MK'!DE258</f>
        <v>Sudah, OnSchedule</v>
      </c>
      <c r="P257" s="7" t="str">
        <f ca="1">'Database MK'!DI258</f>
        <v>Sudah, OnSchedule</v>
      </c>
      <c r="Q257" s="7" t="str">
        <f ca="1">'Database MK'!DN258</f>
        <v>Sudah, OnSchedule</v>
      </c>
      <c r="R257" s="7" t="str">
        <f ca="1">'Database MK'!DR258</f>
        <v>Sudah, Delay</v>
      </c>
      <c r="S257" s="7" t="str">
        <f ca="1">'Database MK'!EA258</f>
        <v>Sudah, Delay</v>
      </c>
      <c r="T257" s="7" t="str">
        <f ca="1">'Database MK'!EI258</f>
        <v>Sudah, Delay</v>
      </c>
      <c r="U257" s="7" t="str">
        <f ca="1">'Database MK'!ET258</f>
        <v>Sudah, Delay</v>
      </c>
      <c r="V257" s="7" t="str">
        <f ca="1">'Database MK'!GA258</f>
        <v>Sudah, Delay</v>
      </c>
      <c r="W257" s="7" t="str">
        <f ca="1">'Database MK'!GD258</f>
        <v>Sudah, OnSchedule</v>
      </c>
      <c r="X257" s="7" t="str">
        <f ca="1">'Database MK'!GG258</f>
        <v>Sudah, OnSchedule</v>
      </c>
      <c r="Y257" s="7" t="str">
        <f ca="1">'Database MK'!GK258</f>
        <v>Sudah, OnSchedule</v>
      </c>
      <c r="Z257" s="7" t="str">
        <f ca="1">'Database MK'!HH258</f>
        <v>Belum, Delay</v>
      </c>
      <c r="AA257" s="7" t="str">
        <f ca="1">'Database MK'!HQ258</f>
        <v>Belum, Delay</v>
      </c>
      <c r="AB257" s="7" t="str">
        <f ca="1">'Database MK'!HW258</f>
        <v>Belum, Delay</v>
      </c>
      <c r="AC257" s="7">
        <f>'Database MK'!DA258-'Database MK'!DB258</f>
        <v>18</v>
      </c>
      <c r="AD257" s="7">
        <f>'Database MK'!DA258-'Database MK'!DF258</f>
        <v>4</v>
      </c>
      <c r="AE257" s="7">
        <f>'Database MK'!DK258-'Database MK'!DL258</f>
        <v>12</v>
      </c>
      <c r="AF257" s="7">
        <f>'Database MK'!DK258-'Database MK'!DO258</f>
        <v>-8</v>
      </c>
      <c r="AG257" s="7">
        <f>'Database MK'!DU258-'Database MK'!DW258</f>
        <v>-15</v>
      </c>
      <c r="AH257" s="7">
        <f>IF('Database MK'!EB258="","Belum",'Database MK'!DU258-'Database MK'!EB258)</f>
        <v>-283</v>
      </c>
      <c r="AI257" s="7">
        <f>IF('Database MK'!EN258="","Belum",'Database MK'!EL258-'Database MK'!EN258)</f>
        <v>-150</v>
      </c>
      <c r="AJ257" s="7">
        <f>'Database MK'!FY258-'Database MK'!FZ258</f>
        <v>-45903</v>
      </c>
      <c r="AK257" s="7">
        <f>IF('Database MK'!GC258="","Belum",'Database MK'!GB258-'Database MK'!GC258)</f>
        <v>209</v>
      </c>
      <c r="AL257" s="7">
        <f>IF('Database MK'!GF258="","Belum",'Database MK'!GE258-'Database MK'!GF258)</f>
        <v>216</v>
      </c>
      <c r="AM257" s="309">
        <f>IF('Database MK'!GJ258="","Belum",'Database MK'!GI258-'Database MK'!GJ258)</f>
        <v>9</v>
      </c>
      <c r="AN257" s="7" t="str">
        <f>IF('Database MK'!HG258="","Belum",'Database MK'!HF258-'Database MK'!HG258)</f>
        <v>Belum</v>
      </c>
      <c r="AO257" s="7" t="str">
        <f>IF('Database MK'!HP258="","Belum",'Database MK'!HN258-'Database MK'!HP258)</f>
        <v>Belum</v>
      </c>
      <c r="AP257" s="7" t="str">
        <f>IF('Database MK'!HV258="","Belum",'Database MK'!HT258-'Database MK'!HV258)</f>
        <v>Belum</v>
      </c>
    </row>
    <row r="258" spans="2:42" hidden="1" x14ac:dyDescent="0.2">
      <c r="B258" s="7">
        <f>SUBTOTAL(3,$C$4:C258)</f>
        <v>74</v>
      </c>
      <c r="C258" s="4" t="s">
        <v>629</v>
      </c>
      <c r="D258" s="4" t="s">
        <v>2018</v>
      </c>
      <c r="E258" s="4" t="s">
        <v>2019</v>
      </c>
      <c r="F258" s="300">
        <v>46113</v>
      </c>
      <c r="G258" s="4" t="s">
        <v>681</v>
      </c>
      <c r="H258" s="4" t="str">
        <f ca="1">'Database MK'!Q259</f>
        <v>DPPP</v>
      </c>
      <c r="I258" s="24">
        <f>'Database MK'!S259</f>
        <v>1</v>
      </c>
      <c r="J258" s="24">
        <f>'Database MK'!T259</f>
        <v>1</v>
      </c>
      <c r="K258" s="603">
        <f>'Database MK'!U259</f>
        <v>0</v>
      </c>
      <c r="L258" s="593">
        <f>'Database MK'!V259</f>
        <v>851</v>
      </c>
      <c r="M258" s="593">
        <f>'Database MK'!W259</f>
        <v>823</v>
      </c>
      <c r="N258" s="593">
        <f>Table3[[#This Row],[Total Panjang Pipa Aktual]]-Table3[[#This Row],[Volume
BA MC-0]]</f>
        <v>-28</v>
      </c>
      <c r="O258" s="7" t="str">
        <f ca="1">'Database MK'!DE259</f>
        <v>Sudah, OnSchedule</v>
      </c>
      <c r="P258" s="7" t="str">
        <f ca="1">'Database MK'!DI259</f>
        <v>Sudah, OnSchedule</v>
      </c>
      <c r="Q258" s="7" t="str">
        <f ca="1">'Database MK'!DN259</f>
        <v>Sudah, OnSchedule</v>
      </c>
      <c r="R258" s="7" t="str">
        <f ca="1">'Database MK'!DR259</f>
        <v>Sudah, OnSchedule</v>
      </c>
      <c r="S258" s="7" t="str">
        <f ca="1">'Database MK'!EA259</f>
        <v>Sudah, OnSchedule</v>
      </c>
      <c r="T258" s="7" t="str">
        <f ca="1">'Database MK'!EI259</f>
        <v>Sudah, Delay</v>
      </c>
      <c r="U258" s="7" t="str">
        <f ca="1">'Database MK'!ET259</f>
        <v>Sudah, Delay</v>
      </c>
      <c r="V258" s="7" t="str">
        <f ca="1">'Database MK'!GA259</f>
        <v>Sudah, Delay</v>
      </c>
      <c r="W258" s="7" t="str">
        <f ca="1">'Database MK'!GD259</f>
        <v>Sudah, OnSchedule</v>
      </c>
      <c r="X258" s="7" t="str">
        <f ca="1">'Database MK'!GG259</f>
        <v>Sudah, OnSchedule</v>
      </c>
      <c r="Y258" s="7" t="str">
        <f ca="1">'Database MK'!GK259</f>
        <v>Sudah, OnSchedule</v>
      </c>
      <c r="Z258" s="7" t="str">
        <f ca="1">'Database MK'!HH259</f>
        <v>Sudah, OnSchedule</v>
      </c>
      <c r="AA258" s="7" t="str">
        <f ca="1">'Database MK'!HQ259</f>
        <v>Sudah, Delay</v>
      </c>
      <c r="AB258" s="7" t="str">
        <f ca="1">'Database MK'!HW259</f>
        <v>Sudah, Delay</v>
      </c>
      <c r="AC258" s="7">
        <f>'Database MK'!DA259-'Database MK'!DB259</f>
        <v>12</v>
      </c>
      <c r="AD258" s="7">
        <f>'Database MK'!DA259-'Database MK'!DF259</f>
        <v>4</v>
      </c>
      <c r="AE258" s="7">
        <f>'Database MK'!DK259-'Database MK'!DL259</f>
        <v>39</v>
      </c>
      <c r="AF258" s="7">
        <f>'Database MK'!DK259-'Database MK'!DO259</f>
        <v>34</v>
      </c>
      <c r="AG258" s="7">
        <f>'Database MK'!DU259-'Database MK'!DW259</f>
        <v>11</v>
      </c>
      <c r="AH258" s="7">
        <f>IF('Database MK'!EB259="","Belum",'Database MK'!DU259-'Database MK'!EB259)</f>
        <v>-226</v>
      </c>
      <c r="AI258" s="7">
        <f>IF('Database MK'!EN259="","Belum",'Database MK'!EL259-'Database MK'!EN259)</f>
        <v>-165</v>
      </c>
      <c r="AJ258" s="7">
        <f>'Database MK'!FY259-'Database MK'!FZ259</f>
        <v>-45911</v>
      </c>
      <c r="AK258" s="7">
        <f>IF('Database MK'!GC259="","Belum",'Database MK'!GB259-'Database MK'!GC259)</f>
        <v>48</v>
      </c>
      <c r="AL258" s="7">
        <f>IF('Database MK'!GF259="","Belum",'Database MK'!GE259-'Database MK'!GF259)</f>
        <v>60</v>
      </c>
      <c r="AM258" s="309">
        <f>IF('Database MK'!GJ259="","Belum",'Database MK'!GI259-'Database MK'!GJ259)</f>
        <v>69</v>
      </c>
      <c r="AN258" s="7">
        <f>IF('Database MK'!HG259="","Belum",'Database MK'!HF259-'Database MK'!HG259)</f>
        <v>53</v>
      </c>
      <c r="AO258" s="7">
        <f>IF('Database MK'!HP259="","Belum",'Database MK'!HN259-'Database MK'!HP259)</f>
        <v>-68</v>
      </c>
      <c r="AP258" s="7">
        <f>IF('Database MK'!HV259="","Belum",'Database MK'!HT259-'Database MK'!HV259)</f>
        <v>-62</v>
      </c>
    </row>
    <row r="259" spans="2:42" hidden="1" x14ac:dyDescent="0.2">
      <c r="B259" s="7">
        <f>SUBTOTAL(3,$C$4:C259)</f>
        <v>74</v>
      </c>
      <c r="C259" s="4" t="s">
        <v>629</v>
      </c>
      <c r="D259" s="4" t="s">
        <v>2025</v>
      </c>
      <c r="E259" s="4" t="s">
        <v>2026</v>
      </c>
      <c r="F259" s="300">
        <v>46113</v>
      </c>
      <c r="G259" s="4" t="s">
        <v>681</v>
      </c>
      <c r="H259" s="4" t="str">
        <f ca="1">'Database MK'!Q260</f>
        <v>DPPP</v>
      </c>
      <c r="I259" s="24">
        <f>'Database MK'!S260</f>
        <v>1</v>
      </c>
      <c r="J259" s="24">
        <f>'Database MK'!T260</f>
        <v>1</v>
      </c>
      <c r="K259" s="603">
        <f>'Database MK'!U260</f>
        <v>0</v>
      </c>
      <c r="L259" s="593">
        <f>'Database MK'!V260</f>
        <v>115</v>
      </c>
      <c r="M259" s="593">
        <f>'Database MK'!W260</f>
        <v>102</v>
      </c>
      <c r="N259" s="593">
        <f>Table3[[#This Row],[Total Panjang Pipa Aktual]]-Table3[[#This Row],[Volume
BA MC-0]]</f>
        <v>-13</v>
      </c>
      <c r="O259" s="7" t="str">
        <f ca="1">'Database MK'!DE260</f>
        <v>Sudah, OnSchedule</v>
      </c>
      <c r="P259" s="7" t="str">
        <f ca="1">'Database MK'!DI260</f>
        <v>Sudah, OnSchedule</v>
      </c>
      <c r="Q259" s="7" t="str">
        <f ca="1">'Database MK'!DN260</f>
        <v>Sudah, OnSchedule</v>
      </c>
      <c r="R259" s="7" t="str">
        <f ca="1">'Database MK'!DR260</f>
        <v>Sudah, OnSchedule</v>
      </c>
      <c r="S259" s="7" t="str">
        <f ca="1">'Database MK'!EA260</f>
        <v>Sudah, OnSchedule</v>
      </c>
      <c r="T259" s="7" t="str">
        <f ca="1">'Database MK'!EI260</f>
        <v>Sudah, Delay</v>
      </c>
      <c r="U259" s="7" t="str">
        <f ca="1">'Database MK'!ET260</f>
        <v>Sudah, Delay</v>
      </c>
      <c r="V259" s="7" t="str">
        <f ca="1">'Database MK'!GA260</f>
        <v>Sudah, Delay</v>
      </c>
      <c r="W259" s="7" t="str">
        <f ca="1">'Database MK'!GD260</f>
        <v>Sudah, OnSchedule</v>
      </c>
      <c r="X259" s="7" t="str">
        <f ca="1">'Database MK'!GG260</f>
        <v>Sudah, OnSchedule</v>
      </c>
      <c r="Y259" s="7" t="str">
        <f ca="1">'Database MK'!GK260</f>
        <v>Sudah, OnSchedule</v>
      </c>
      <c r="Z259" s="7" t="str">
        <f ca="1">'Database MK'!HH260</f>
        <v>Sudah, Delay</v>
      </c>
      <c r="AA259" s="7" t="str">
        <f ca="1">'Database MK'!HQ260</f>
        <v>Sudah, Delay</v>
      </c>
      <c r="AB259" s="7" t="str">
        <f ca="1">'Database MK'!HW260</f>
        <v>Sudah, Delay</v>
      </c>
      <c r="AC259" s="7">
        <f>'Database MK'!DA260-'Database MK'!DB260</f>
        <v>13</v>
      </c>
      <c r="AD259" s="7">
        <f>'Database MK'!DA260-'Database MK'!DF260</f>
        <v>195</v>
      </c>
      <c r="AE259" s="7">
        <f>'Database MK'!DK260-'Database MK'!DL260</f>
        <v>27</v>
      </c>
      <c r="AF259" s="7">
        <f>'Database MK'!DK260-'Database MK'!DO260</f>
        <v>23</v>
      </c>
      <c r="AG259" s="7">
        <f>'Database MK'!DU260-'Database MK'!DW260</f>
        <v>1</v>
      </c>
      <c r="AH259" s="7">
        <f>IF('Database MK'!EB260="","Belum",'Database MK'!DU260-'Database MK'!EB260)</f>
        <v>-73</v>
      </c>
      <c r="AI259" s="7">
        <f>IF('Database MK'!EN260="","Belum",'Database MK'!EL260-'Database MK'!EN260)</f>
        <v>-100</v>
      </c>
      <c r="AJ259" s="7">
        <f>'Database MK'!FY260-'Database MK'!FZ260</f>
        <v>-45946</v>
      </c>
      <c r="AK259" s="7">
        <f>IF('Database MK'!GC260="","Belum",'Database MK'!GB260-'Database MK'!GC260)</f>
        <v>48</v>
      </c>
      <c r="AL259" s="7">
        <f>IF('Database MK'!GF260="","Belum",'Database MK'!GE260-'Database MK'!GF260)</f>
        <v>60</v>
      </c>
      <c r="AM259" s="309">
        <f>IF('Database MK'!GJ260="","Belum",'Database MK'!GI260-'Database MK'!GJ260)</f>
        <v>69</v>
      </c>
      <c r="AN259" s="7">
        <f>IF('Database MK'!HG260="","Belum",'Database MK'!HF260-'Database MK'!HG260)</f>
        <v>-38</v>
      </c>
      <c r="AO259" s="7">
        <f>IF('Database MK'!HP260="","Belum",'Database MK'!HN260-'Database MK'!HP260)</f>
        <v>-56</v>
      </c>
      <c r="AP259" s="7">
        <f>IF('Database MK'!HV260="","Belum",'Database MK'!HT260-'Database MK'!HV260)</f>
        <v>-61</v>
      </c>
    </row>
    <row r="260" spans="2:42" hidden="1" x14ac:dyDescent="0.2">
      <c r="B260" s="7">
        <f>SUBTOTAL(3,$C$4:C260)</f>
        <v>74</v>
      </c>
      <c r="C260" s="4" t="s">
        <v>244</v>
      </c>
      <c r="D260" s="4" t="s">
        <v>2034</v>
      </c>
      <c r="E260" s="4" t="s">
        <v>2035</v>
      </c>
      <c r="F260" s="300">
        <v>46113</v>
      </c>
      <c r="G260" s="4" t="s">
        <v>681</v>
      </c>
      <c r="H260" s="4" t="str">
        <f ca="1">'Database MK'!Q261</f>
        <v>DPPP</v>
      </c>
      <c r="I260" s="24">
        <f>'Database MK'!S261</f>
        <v>1</v>
      </c>
      <c r="J260" s="24">
        <f>'Database MK'!T261</f>
        <v>1</v>
      </c>
      <c r="K260" s="603">
        <f>'Database MK'!U261</f>
        <v>0</v>
      </c>
      <c r="L260" s="593">
        <f>'Database MK'!V261</f>
        <v>43.8</v>
      </c>
      <c r="M260" s="593">
        <f>'Database MK'!W261</f>
        <v>33.799999999999997</v>
      </c>
      <c r="N260" s="593">
        <f>Table3[[#This Row],[Total Panjang Pipa Aktual]]-Table3[[#This Row],[Volume
BA MC-0]]</f>
        <v>-10</v>
      </c>
      <c r="O260" s="7" t="str">
        <f ca="1">'Database MK'!DE261</f>
        <v>Sudah, OnSchedule</v>
      </c>
      <c r="P260" s="7" t="str">
        <f ca="1">'Database MK'!DI261</f>
        <v>Sudah, OnSchedule</v>
      </c>
      <c r="Q260" s="7" t="str">
        <f ca="1">'Database MK'!DN261</f>
        <v>Sudah, OnSchedule</v>
      </c>
      <c r="R260" s="7" t="str">
        <f ca="1">'Database MK'!DR261</f>
        <v>Sudah, OnSchedule</v>
      </c>
      <c r="S260" s="7" t="str">
        <f ca="1">'Database MK'!EA261</f>
        <v>Sudah, OnSchedule</v>
      </c>
      <c r="T260" s="7" t="str">
        <f ca="1">'Database MK'!EI261</f>
        <v>Sudah, Delay</v>
      </c>
      <c r="U260" s="7" t="str">
        <f ca="1">'Database MK'!ET261</f>
        <v>Sudah, Delay</v>
      </c>
      <c r="V260" s="7" t="str">
        <f ca="1">'Database MK'!GA261</f>
        <v>Belum, Delay</v>
      </c>
      <c r="W260" s="7" t="str">
        <f ca="1">'Database MK'!GD261</f>
        <v>Sudah, OnSchedule</v>
      </c>
      <c r="X260" s="7" t="str">
        <f ca="1">'Database MK'!GG261</f>
        <v>Sudah, OnSchedule</v>
      </c>
      <c r="Y260" s="7" t="str">
        <f ca="1">'Database MK'!GK261</f>
        <v>Sudah, OnSchedule</v>
      </c>
      <c r="Z260" s="7" t="str">
        <f ca="1">'Database MK'!HH261</f>
        <v>Sudah, Delay</v>
      </c>
      <c r="AA260" s="7" t="str">
        <f ca="1">'Database MK'!HQ261</f>
        <v>Sudah, Delay</v>
      </c>
      <c r="AB260" s="7" t="str">
        <f ca="1">'Database MK'!HW261</f>
        <v>Sudah, Delay</v>
      </c>
      <c r="AC260" s="7">
        <f>'Database MK'!DA261-'Database MK'!DB261</f>
        <v>34</v>
      </c>
      <c r="AD260" s="7">
        <f>'Database MK'!DA261-'Database MK'!DF261</f>
        <v>26</v>
      </c>
      <c r="AE260" s="7">
        <f>'Database MK'!DK261-'Database MK'!DL261</f>
        <v>81</v>
      </c>
      <c r="AF260" s="7">
        <f>'Database MK'!DK261-'Database MK'!DO261</f>
        <v>48</v>
      </c>
      <c r="AG260" s="7">
        <f>'Database MK'!DU261-'Database MK'!DW261</f>
        <v>59</v>
      </c>
      <c r="AH260" s="7">
        <f>IF('Database MK'!EB261="","Belum",'Database MK'!DU261-'Database MK'!EB261)</f>
        <v>-51</v>
      </c>
      <c r="AI260" s="7">
        <f>IF('Database MK'!EN261="","Belum",'Database MK'!EL261-'Database MK'!EN261)</f>
        <v>-24</v>
      </c>
      <c r="AJ260" s="7">
        <f>'Database MK'!FY261-'Database MK'!FZ261</f>
        <v>0</v>
      </c>
      <c r="AK260" s="7">
        <f>IF('Database MK'!GC261="","Belum",'Database MK'!GB261-'Database MK'!GC261)</f>
        <v>49</v>
      </c>
      <c r="AL260" s="7">
        <f>IF('Database MK'!GF261="","Belum",'Database MK'!GE261-'Database MK'!GF261)</f>
        <v>56</v>
      </c>
      <c r="AM260" s="309">
        <f>IF('Database MK'!GJ261="","Belum",'Database MK'!GI261-'Database MK'!GJ261)</f>
        <v>26</v>
      </c>
      <c r="AN260" s="7">
        <f>IF('Database MK'!HG261="","Belum",'Database MK'!HF261-'Database MK'!HG261)</f>
        <v>-107</v>
      </c>
      <c r="AO260" s="7">
        <f>IF('Database MK'!HP261="","Belum",'Database MK'!HN261-'Database MK'!HP261)</f>
        <v>-104</v>
      </c>
      <c r="AP260" s="7">
        <f>IF('Database MK'!HV261="","Belum",'Database MK'!HT261-'Database MK'!HV261)</f>
        <v>-98</v>
      </c>
    </row>
    <row r="261" spans="2:42" hidden="1" x14ac:dyDescent="0.2">
      <c r="B261" s="7">
        <f>SUBTOTAL(3,$C$4:C261)</f>
        <v>74</v>
      </c>
      <c r="C261" s="4" t="s">
        <v>244</v>
      </c>
      <c r="D261" s="4" t="s">
        <v>2045</v>
      </c>
      <c r="E261" s="4" t="s">
        <v>2046</v>
      </c>
      <c r="F261" s="300">
        <v>46113</v>
      </c>
      <c r="G261" s="4" t="s">
        <v>247</v>
      </c>
      <c r="H261" s="4" t="str">
        <f ca="1">'Database MK'!Q262</f>
        <v>Proses Konstruksi</v>
      </c>
      <c r="I261" s="24">
        <f>'Database MK'!S262</f>
        <v>1</v>
      </c>
      <c r="J261" s="24">
        <f>'Database MK'!T262</f>
        <v>0.64769113818696156</v>
      </c>
      <c r="K261" s="603">
        <f>'Database MK'!U262</f>
        <v>-0.35230886181303844</v>
      </c>
      <c r="L261" s="593">
        <f>'Database MK'!V262</f>
        <v>3780</v>
      </c>
      <c r="M261" s="593">
        <f>'Database MK'!W262</f>
        <v>3812</v>
      </c>
      <c r="N261" s="593">
        <f>Table3[[#This Row],[Total Panjang Pipa Aktual]]-Table3[[#This Row],[Volume
BA MC-0]]</f>
        <v>32</v>
      </c>
      <c r="O261" s="7" t="str">
        <f ca="1">'Database MK'!DE262</f>
        <v>Sudah, OnSchedule</v>
      </c>
      <c r="P261" s="7" t="str">
        <f ca="1">'Database MK'!DI262</f>
        <v>Sudah, OnSchedule</v>
      </c>
      <c r="Q261" s="7" t="str">
        <f ca="1">'Database MK'!DN262</f>
        <v>Sudah, OnSchedule</v>
      </c>
      <c r="R261" s="7" t="str">
        <f ca="1">'Database MK'!DR262</f>
        <v>Sudah, Delay</v>
      </c>
      <c r="S261" s="7" t="str">
        <f ca="1">'Database MK'!EA262</f>
        <v>Sudah, OnSchedule</v>
      </c>
      <c r="T261" s="7" t="str">
        <f ca="1">'Database MK'!EI262</f>
        <v>Sudah, Delay</v>
      </c>
      <c r="U261" s="7" t="str">
        <f ca="1">'Database MK'!ET262</f>
        <v>Sudah, Delay</v>
      </c>
      <c r="V261" s="7" t="str">
        <f ca="1">'Database MK'!GA262</f>
        <v>Belum, Delay</v>
      </c>
      <c r="W261" s="7" t="str">
        <f ca="1">'Database MK'!GD262</f>
        <v>Sudah, Delay</v>
      </c>
      <c r="X261" s="7" t="str">
        <f ca="1">'Database MK'!GG262</f>
        <v>Sudah, Delay</v>
      </c>
      <c r="Y261" s="7" t="str">
        <f ca="1">'Database MK'!GK262</f>
        <v>Sudah, Delay</v>
      </c>
      <c r="Z261" s="7" t="str">
        <f ca="1">'Database MK'!HH262</f>
        <v>Belum, Delay</v>
      </c>
      <c r="AA261" s="7" t="str">
        <f ca="1">'Database MK'!HQ262</f>
        <v>Belum, Delay</v>
      </c>
      <c r="AB261" s="7" t="str">
        <f ca="1">'Database MK'!HW262</f>
        <v>Belum, Delay</v>
      </c>
      <c r="AC261" s="7">
        <f>'Database MK'!DA262-'Database MK'!DB262</f>
        <v>52</v>
      </c>
      <c r="AD261" s="7">
        <f>'Database MK'!DA262-'Database MK'!DF262</f>
        <v>40</v>
      </c>
      <c r="AE261" s="7">
        <f>'Database MK'!DK262-'Database MK'!DL262</f>
        <v>45</v>
      </c>
      <c r="AF261" s="7">
        <f>'Database MK'!DK262-'Database MK'!DO262</f>
        <v>-68</v>
      </c>
      <c r="AG261" s="7">
        <f>'Database MK'!DU262-'Database MK'!DW262</f>
        <v>45</v>
      </c>
      <c r="AH261" s="7">
        <f>IF('Database MK'!EB262="","Belum",'Database MK'!DU262-'Database MK'!EB262)</f>
        <v>-307</v>
      </c>
      <c r="AI261" s="7">
        <f>IF('Database MK'!EN262="","Belum",'Database MK'!EL262-'Database MK'!EN262)</f>
        <v>-187</v>
      </c>
      <c r="AJ261" s="7">
        <f>'Database MK'!FY262-'Database MK'!FZ262</f>
        <v>0</v>
      </c>
      <c r="AK261" s="7">
        <f>IF('Database MK'!GC262="","Belum",'Database MK'!GB262-'Database MK'!GC262)</f>
        <v>-35</v>
      </c>
      <c r="AL261" s="7">
        <f>IF('Database MK'!GF262="","Belum",'Database MK'!GE262-'Database MK'!GF262)</f>
        <v>-28</v>
      </c>
      <c r="AM261" s="309">
        <f>IF('Database MK'!GJ262="","Belum",'Database MK'!GI262-'Database MK'!GJ262)</f>
        <v>-24</v>
      </c>
      <c r="AN261" s="7" t="str">
        <f>IF('Database MK'!HG262="","Belum",'Database MK'!HF262-'Database MK'!HG262)</f>
        <v>Belum</v>
      </c>
      <c r="AO261" s="7" t="str">
        <f>IF('Database MK'!HP262="","Belum",'Database MK'!HN262-'Database MK'!HP262)</f>
        <v>Belum</v>
      </c>
      <c r="AP261" s="7" t="str">
        <f>IF('Database MK'!HV262="","Belum",'Database MK'!HT262-'Database MK'!HV262)</f>
        <v>Belum</v>
      </c>
    </row>
    <row r="262" spans="2:42" hidden="1" x14ac:dyDescent="0.2">
      <c r="B262" s="7">
        <f>SUBTOTAL(3,$C$4:C262)</f>
        <v>74</v>
      </c>
      <c r="C262" s="4" t="s">
        <v>244</v>
      </c>
      <c r="D262" s="4" t="s">
        <v>2055</v>
      </c>
      <c r="E262" s="4" t="s">
        <v>2056</v>
      </c>
      <c r="F262" s="300">
        <v>46113</v>
      </c>
      <c r="G262" s="4" t="s">
        <v>247</v>
      </c>
      <c r="H262" s="4" t="str">
        <f ca="1">'Database MK'!Q263</f>
        <v>Proses Konstruksi</v>
      </c>
      <c r="I262" s="24">
        <f>'Database MK'!S263</f>
        <v>1</v>
      </c>
      <c r="J262" s="24">
        <f>'Database MK'!T263</f>
        <v>0.27681160346985301</v>
      </c>
      <c r="K262" s="603">
        <f>'Database MK'!U263</f>
        <v>-0.72318839653014699</v>
      </c>
      <c r="L262" s="593">
        <f>'Database MK'!V263</f>
        <v>1162</v>
      </c>
      <c r="M262" s="593">
        <f>'Database MK'!W263</f>
        <v>300</v>
      </c>
      <c r="N262" s="593">
        <f>Table3[[#This Row],[Total Panjang Pipa Aktual]]-Table3[[#This Row],[Volume
BA MC-0]]</f>
        <v>-862</v>
      </c>
      <c r="O262" s="7" t="str">
        <f ca="1">'Database MK'!DE263</f>
        <v>Sudah, OnSchedule</v>
      </c>
      <c r="P262" s="7" t="str">
        <f ca="1">'Database MK'!DI263</f>
        <v>Sudah, OnSchedule</v>
      </c>
      <c r="Q262" s="7" t="str">
        <f ca="1">'Database MK'!DN263</f>
        <v>Sudah, OnSchedule</v>
      </c>
      <c r="R262" s="7" t="str">
        <f ca="1">'Database MK'!DR263</f>
        <v>Sudah, Delay</v>
      </c>
      <c r="S262" s="7" t="str">
        <f ca="1">'Database MK'!EA263</f>
        <v>Sudah, OnSchedule</v>
      </c>
      <c r="T262" s="7" t="str">
        <f ca="1">'Database MK'!EI263</f>
        <v>Sudah, Delay</v>
      </c>
      <c r="U262" s="7" t="str">
        <f ca="1">'Database MK'!ET263</f>
        <v>Sudah, Delay</v>
      </c>
      <c r="V262" s="7" t="str">
        <f ca="1">'Database MK'!GA263</f>
        <v>Belum, Delay</v>
      </c>
      <c r="W262" s="7" t="str">
        <f ca="1">'Database MK'!GD263</f>
        <v>Sudah, Delay</v>
      </c>
      <c r="X262" s="7" t="str">
        <f ca="1">'Database MK'!GG263</f>
        <v>Sudah, Delay</v>
      </c>
      <c r="Y262" s="7" t="str">
        <f ca="1">'Database MK'!GK263</f>
        <v>Sudah, Delay</v>
      </c>
      <c r="Z262" s="7" t="str">
        <f ca="1">'Database MK'!HH263</f>
        <v>Belum, Delay</v>
      </c>
      <c r="AA262" s="7" t="str">
        <f ca="1">'Database MK'!HQ263</f>
        <v>Belum, Delay</v>
      </c>
      <c r="AB262" s="7" t="str">
        <f ca="1">'Database MK'!HW263</f>
        <v>Belum, Delay</v>
      </c>
      <c r="AC262" s="7">
        <f>'Database MK'!DA263-'Database MK'!DB263</f>
        <v>52</v>
      </c>
      <c r="AD262" s="7">
        <f>'Database MK'!DA263-'Database MK'!DF263</f>
        <v>40</v>
      </c>
      <c r="AE262" s="7">
        <f>'Database MK'!DK263-'Database MK'!DL263</f>
        <v>44</v>
      </c>
      <c r="AF262" s="7">
        <f>'Database MK'!DK263-'Database MK'!DO263</f>
        <v>-29</v>
      </c>
      <c r="AG262" s="7">
        <f>'Database MK'!DU263-'Database MK'!DW263</f>
        <v>44</v>
      </c>
      <c r="AH262" s="7">
        <f>IF('Database MK'!EB263="","Belum",'Database MK'!DU263-'Database MK'!EB263)</f>
        <v>-282</v>
      </c>
      <c r="AI262" s="7">
        <f>IF('Database MK'!EN263="","Belum",'Database MK'!EL263-'Database MK'!EN263)</f>
        <v>-191</v>
      </c>
      <c r="AJ262" s="7">
        <f>'Database MK'!FY263-'Database MK'!FZ263</f>
        <v>0</v>
      </c>
      <c r="AK262" s="7">
        <f>IF('Database MK'!GC263="","Belum",'Database MK'!GB263-'Database MK'!GC263)</f>
        <v>-35</v>
      </c>
      <c r="AL262" s="7">
        <f>IF('Database MK'!GF263="","Belum",'Database MK'!GE263-'Database MK'!GF263)</f>
        <v>-28</v>
      </c>
      <c r="AM262" s="309">
        <f>IF('Database MK'!GJ263="","Belum",'Database MK'!GI263-'Database MK'!GJ263)</f>
        <v>-26</v>
      </c>
      <c r="AN262" s="7" t="str">
        <f>IF('Database MK'!HG263="","Belum",'Database MK'!HF263-'Database MK'!HG263)</f>
        <v>Belum</v>
      </c>
      <c r="AO262" s="7" t="str">
        <f>IF('Database MK'!HP263="","Belum",'Database MK'!HN263-'Database MK'!HP263)</f>
        <v>Belum</v>
      </c>
      <c r="AP262" s="7" t="str">
        <f>IF('Database MK'!HV263="","Belum",'Database MK'!HT263-'Database MK'!HV263)</f>
        <v>Belum</v>
      </c>
    </row>
    <row r="263" spans="2:42" hidden="1" x14ac:dyDescent="0.2">
      <c r="B263" s="7">
        <f>SUBTOTAL(3,$C$4:C263)</f>
        <v>74</v>
      </c>
      <c r="C263" s="4" t="s">
        <v>244</v>
      </c>
      <c r="D263" s="4" t="s">
        <v>2063</v>
      </c>
      <c r="E263" s="4" t="s">
        <v>2064</v>
      </c>
      <c r="F263" s="300">
        <v>46113</v>
      </c>
      <c r="G263" s="4" t="s">
        <v>247</v>
      </c>
      <c r="H263" s="4" t="str">
        <f ca="1">'Database MK'!Q264</f>
        <v>MC-0</v>
      </c>
      <c r="I263" s="24">
        <f>'Database MK'!S264</f>
        <v>1</v>
      </c>
      <c r="J263" s="24">
        <f>'Database MK'!T264</f>
        <v>0.2549812032629471</v>
      </c>
      <c r="K263" s="603">
        <f>'Database MK'!U264</f>
        <v>-0.74501879673705296</v>
      </c>
      <c r="L263" s="593">
        <f>'Database MK'!V264</f>
        <v>0</v>
      </c>
      <c r="M263" s="593">
        <f>'Database MK'!W264</f>
        <v>0</v>
      </c>
      <c r="N263" s="593">
        <f>Table3[[#This Row],[Total Panjang Pipa Aktual]]-Table3[[#This Row],[Volume
BA MC-0]]</f>
        <v>0</v>
      </c>
      <c r="O263" s="7" t="str">
        <f ca="1">'Database MK'!DE264</f>
        <v>Sudah, OnSchedule</v>
      </c>
      <c r="P263" s="7" t="str">
        <f ca="1">'Database MK'!DI264</f>
        <v>Sudah, OnSchedule</v>
      </c>
      <c r="Q263" s="7" t="str">
        <f ca="1">'Database MK'!DN264</f>
        <v>Sudah, OnSchedule</v>
      </c>
      <c r="R263" s="7" t="str">
        <f ca="1">'Database MK'!DR264</f>
        <v>Sudah, OnSchedule</v>
      </c>
      <c r="S263" s="7" t="str">
        <f ca="1">'Database MK'!EA264</f>
        <v>Sudah, OnSchedule</v>
      </c>
      <c r="T263" s="7" t="str">
        <f ca="1">'Database MK'!EI264</f>
        <v>Sudah, Delay</v>
      </c>
      <c r="U263" s="7" t="str">
        <f ca="1">'Database MK'!ET264</f>
        <v>Sudah, Delay</v>
      </c>
      <c r="V263" s="7" t="str">
        <f ca="1">'Database MK'!GA264</f>
        <v>Sudah, Delay</v>
      </c>
      <c r="W263" s="7" t="str">
        <f ca="1">'Database MK'!GD264</f>
        <v>Sudah, OnSchedule</v>
      </c>
      <c r="X263" s="7" t="str">
        <f ca="1">'Database MK'!GG264</f>
        <v>Sudah, OnSchedule</v>
      </c>
      <c r="Y263" s="7" t="str">
        <f ca="1">'Database MK'!GK264</f>
        <v>Sudah, Delay</v>
      </c>
      <c r="Z263" s="7" t="str">
        <f ca="1">'Database MK'!HH264</f>
        <v>Belum, Delay</v>
      </c>
      <c r="AA263" s="7" t="str">
        <f ca="1">'Database MK'!HQ264</f>
        <v>Belum, Delay</v>
      </c>
      <c r="AB263" s="7" t="str">
        <f ca="1">'Database MK'!HW264</f>
        <v>Belum, Delay</v>
      </c>
      <c r="AC263" s="7">
        <f>'Database MK'!DA264-'Database MK'!DB264</f>
        <v>68</v>
      </c>
      <c r="AD263" s="7">
        <f>'Database MK'!DA264-'Database MK'!DF264</f>
        <v>62</v>
      </c>
      <c r="AE263" s="7">
        <f>'Database MK'!DK264-'Database MK'!DL264</f>
        <v>86</v>
      </c>
      <c r="AF263" s="7">
        <f>'Database MK'!DK264-'Database MK'!DO264</f>
        <v>44</v>
      </c>
      <c r="AG263" s="7">
        <f>'Database MK'!DU264-'Database MK'!DW264</f>
        <v>87</v>
      </c>
      <c r="AH263" s="7">
        <f>IF('Database MK'!EB264="","Belum",'Database MK'!DU264-'Database MK'!EB264)</f>
        <v>-197</v>
      </c>
      <c r="AI263" s="7">
        <f>IF('Database MK'!EN264="","Belum",'Database MK'!EL264-'Database MK'!EN264)</f>
        <v>-129</v>
      </c>
      <c r="AJ263" s="7">
        <f>'Database MK'!FY264-'Database MK'!FZ264</f>
        <v>-46051</v>
      </c>
      <c r="AK263" s="7">
        <f>IF('Database MK'!GC264="","Belum",'Database MK'!GB264-'Database MK'!GC264)</f>
        <v>56</v>
      </c>
      <c r="AL263" s="7">
        <f>IF('Database MK'!GF264="","Belum",'Database MK'!GE264-'Database MK'!GF264)</f>
        <v>63</v>
      </c>
      <c r="AM263" s="309">
        <f>IF('Database MK'!GJ264="","Belum",'Database MK'!GI264-'Database MK'!GJ264)</f>
        <v>-110</v>
      </c>
      <c r="AN263" s="7" t="str">
        <f>IF('Database MK'!HG264="","Belum",'Database MK'!HF264-'Database MK'!HG264)</f>
        <v>Belum</v>
      </c>
      <c r="AO263" s="7" t="str">
        <f>IF('Database MK'!HP264="","Belum",'Database MK'!HN264-'Database MK'!HP264)</f>
        <v>Belum</v>
      </c>
      <c r="AP263" s="7" t="str">
        <f>IF('Database MK'!HV264="","Belum",'Database MK'!HT264-'Database MK'!HV264)</f>
        <v>Belum</v>
      </c>
    </row>
    <row r="264" spans="2:42" hidden="1" x14ac:dyDescent="0.2">
      <c r="B264" s="7">
        <f>SUBTOTAL(3,$C$4:C264)</f>
        <v>74</v>
      </c>
      <c r="C264" s="4" t="s">
        <v>244</v>
      </c>
      <c r="D264" s="4" t="s">
        <v>2070</v>
      </c>
      <c r="E264" s="4" t="s">
        <v>2071</v>
      </c>
      <c r="F264" s="300">
        <v>46113</v>
      </c>
      <c r="G264" s="4" t="s">
        <v>247</v>
      </c>
      <c r="H264" s="4" t="str">
        <f ca="1">'Database MK'!Q265</f>
        <v>MC-0</v>
      </c>
      <c r="I264" s="24">
        <f>'Database MK'!S265</f>
        <v>1</v>
      </c>
      <c r="J264" s="24">
        <f>'Database MK'!T265</f>
        <v>0.29021126472437475</v>
      </c>
      <c r="K264" s="603">
        <f>'Database MK'!U265</f>
        <v>-0.70978873527562525</v>
      </c>
      <c r="L264" s="593">
        <f>'Database MK'!V265</f>
        <v>0</v>
      </c>
      <c r="M264" s="593">
        <f>'Database MK'!W265</f>
        <v>0</v>
      </c>
      <c r="N264" s="593">
        <f>Table3[[#This Row],[Total Panjang Pipa Aktual]]-Table3[[#This Row],[Volume
BA MC-0]]</f>
        <v>0</v>
      </c>
      <c r="O264" s="7" t="str">
        <f ca="1">'Database MK'!DE265</f>
        <v>Sudah, OnSchedule</v>
      </c>
      <c r="P264" s="7" t="str">
        <f ca="1">'Database MK'!DI265</f>
        <v>Sudah, OnSchedule</v>
      </c>
      <c r="Q264" s="7" t="str">
        <f ca="1">'Database MK'!DN265</f>
        <v>Sudah, OnSchedule</v>
      </c>
      <c r="R264" s="7" t="str">
        <f ca="1">'Database MK'!DR265</f>
        <v>Sudah, OnSchedule</v>
      </c>
      <c r="S264" s="7" t="str">
        <f ca="1">'Database MK'!EA265</f>
        <v>Sudah, OnSchedule</v>
      </c>
      <c r="T264" s="7" t="str">
        <f ca="1">'Database MK'!EI265</f>
        <v>Sudah, Delay</v>
      </c>
      <c r="U264" s="7" t="str">
        <f ca="1">'Database MK'!ET265</f>
        <v>Sudah, Delay</v>
      </c>
      <c r="V264" s="7" t="str">
        <f ca="1">'Database MK'!GA265</f>
        <v>Sudah, Delay</v>
      </c>
      <c r="W264" s="7" t="str">
        <f ca="1">'Database MK'!GD265</f>
        <v>Sudah, OnSchedule</v>
      </c>
      <c r="X264" s="7" t="str">
        <f ca="1">'Database MK'!GG265</f>
        <v>Sudah, OnSchedule</v>
      </c>
      <c r="Y264" s="7" t="str">
        <f ca="1">'Database MK'!GK265</f>
        <v>Sudah, Delay</v>
      </c>
      <c r="Z264" s="7" t="str">
        <f ca="1">'Database MK'!HH265</f>
        <v>Belum, Delay</v>
      </c>
      <c r="AA264" s="7" t="str">
        <f ca="1">'Database MK'!HQ265</f>
        <v>Belum, Delay</v>
      </c>
      <c r="AB264" s="7" t="str">
        <f ca="1">'Database MK'!HW265</f>
        <v>Belum, Delay</v>
      </c>
      <c r="AC264" s="7">
        <f>'Database MK'!DA265-'Database MK'!DB265</f>
        <v>47</v>
      </c>
      <c r="AD264" s="7">
        <f>'Database MK'!DA265-'Database MK'!DF265</f>
        <v>40</v>
      </c>
      <c r="AE264" s="7">
        <f>'Database MK'!DK265-'Database MK'!DL265</f>
        <v>82</v>
      </c>
      <c r="AF264" s="7">
        <f>'Database MK'!DK265-'Database MK'!DO265</f>
        <v>32</v>
      </c>
      <c r="AG264" s="7">
        <f>'Database MK'!DU265-'Database MK'!DW265</f>
        <v>83</v>
      </c>
      <c r="AH264" s="7">
        <f>IF('Database MK'!EB265="","Belum",'Database MK'!DU265-'Database MK'!EB265)</f>
        <v>-186</v>
      </c>
      <c r="AI264" s="7">
        <f>IF('Database MK'!EN265="","Belum",'Database MK'!EL265-'Database MK'!EN265)</f>
        <v>-105</v>
      </c>
      <c r="AJ264" s="7">
        <f>'Database MK'!FY265-'Database MK'!FZ265</f>
        <v>-46051</v>
      </c>
      <c r="AK264" s="7">
        <f>IF('Database MK'!GC265="","Belum",'Database MK'!GB265-'Database MK'!GC265)</f>
        <v>56</v>
      </c>
      <c r="AL264" s="7">
        <f>IF('Database MK'!GF265="","Belum",'Database MK'!GE265-'Database MK'!GF265)</f>
        <v>63</v>
      </c>
      <c r="AM264" s="309">
        <f>IF('Database MK'!GJ265="","Belum",'Database MK'!GI265-'Database MK'!GJ265)</f>
        <v>-110</v>
      </c>
      <c r="AN264" s="7" t="str">
        <f>IF('Database MK'!HG265="","Belum",'Database MK'!HF265-'Database MK'!HG265)</f>
        <v>Belum</v>
      </c>
      <c r="AO264" s="7" t="str">
        <f>IF('Database MK'!HP265="","Belum",'Database MK'!HN265-'Database MK'!HP265)</f>
        <v>Belum</v>
      </c>
      <c r="AP264" s="7" t="str">
        <f>IF('Database MK'!HV265="","Belum",'Database MK'!HT265-'Database MK'!HV265)</f>
        <v>Belum</v>
      </c>
    </row>
    <row r="265" spans="2:42" hidden="1" x14ac:dyDescent="0.2">
      <c r="B265" s="7">
        <f>SUBTOTAL(3,$C$4:C265)</f>
        <v>74</v>
      </c>
      <c r="C265" s="4" t="s">
        <v>244</v>
      </c>
      <c r="D265" s="4" t="s">
        <v>2077</v>
      </c>
      <c r="E265" s="4" t="s">
        <v>2078</v>
      </c>
      <c r="F265" s="300">
        <v>46113</v>
      </c>
      <c r="G265" s="4" t="s">
        <v>247</v>
      </c>
      <c r="H265" s="4" t="str">
        <f ca="1">'Database MK'!Q266</f>
        <v>Proses Konstruksi</v>
      </c>
      <c r="I265" s="24">
        <f>'Database MK'!S266</f>
        <v>1</v>
      </c>
      <c r="J265" s="24">
        <f>'Database MK'!T266</f>
        <v>0.63955209571248317</v>
      </c>
      <c r="K265" s="603">
        <f>'Database MK'!U266</f>
        <v>-0.36044790428751683</v>
      </c>
      <c r="L265" s="593">
        <f>'Database MK'!V266</f>
        <v>6146</v>
      </c>
      <c r="M265" s="593">
        <f>'Database MK'!W266</f>
        <v>5983</v>
      </c>
      <c r="N265" s="593">
        <f>Table3[[#This Row],[Total Panjang Pipa Aktual]]-Table3[[#This Row],[Volume
BA MC-0]]</f>
        <v>-163</v>
      </c>
      <c r="O265" s="7" t="str">
        <f ca="1">'Database MK'!DE266</f>
        <v>Sudah, OnSchedule</v>
      </c>
      <c r="P265" s="7" t="str">
        <f ca="1">'Database MK'!DI266</f>
        <v>Sudah, OnSchedule</v>
      </c>
      <c r="Q265" s="7" t="str">
        <f ca="1">'Database MK'!DN266</f>
        <v>Sudah, OnSchedule</v>
      </c>
      <c r="R265" s="7" t="str">
        <f ca="1">'Database MK'!DR266</f>
        <v>Sudah, Delay</v>
      </c>
      <c r="S265" s="7" t="str">
        <f ca="1">'Database MK'!EA266</f>
        <v>Sudah, OnSchedule</v>
      </c>
      <c r="T265" s="7" t="str">
        <f ca="1">'Database MK'!EI266</f>
        <v>Belum, Delay</v>
      </c>
      <c r="U265" s="7" t="str">
        <f ca="1">'Database MK'!ET266</f>
        <v>Belum, Delay</v>
      </c>
      <c r="V265" s="7" t="str">
        <f ca="1">'Database MK'!GA266</f>
        <v>Belum, Delay</v>
      </c>
      <c r="W265" s="7" t="str">
        <f ca="1">'Database MK'!GD266</f>
        <v>Sudah, Delay</v>
      </c>
      <c r="X265" s="7" t="str">
        <f ca="1">'Database MK'!GG266</f>
        <v>Sudah, Delay</v>
      </c>
      <c r="Y265" s="7" t="str">
        <f ca="1">'Database MK'!GK266</f>
        <v>Sudah, Delay</v>
      </c>
      <c r="Z265" s="7" t="str">
        <f ca="1">'Database MK'!HH266</f>
        <v>Belum, Delay</v>
      </c>
      <c r="AA265" s="7" t="str">
        <f ca="1">'Database MK'!HQ266</f>
        <v>Belum, Delay</v>
      </c>
      <c r="AB265" s="7" t="str">
        <f ca="1">'Database MK'!HW266</f>
        <v>Belum, Delay</v>
      </c>
      <c r="AC265" s="7">
        <f>'Database MK'!DA266-'Database MK'!DB266</f>
        <v>20</v>
      </c>
      <c r="AD265" s="7">
        <f>'Database MK'!DA266-'Database MK'!DF266</f>
        <v>13</v>
      </c>
      <c r="AE265" s="7">
        <f>'Database MK'!DK266-'Database MK'!DL266</f>
        <v>23</v>
      </c>
      <c r="AF265" s="7">
        <f>'Database MK'!DK266-'Database MK'!DO266</f>
        <v>-60</v>
      </c>
      <c r="AG265" s="7">
        <f>'Database MK'!DU266-'Database MK'!DW266</f>
        <v>24</v>
      </c>
      <c r="AH265" s="7" t="str">
        <f>IF('Database MK'!EB266="","Belum",'Database MK'!DU266-'Database MK'!EB266)</f>
        <v>Belum</v>
      </c>
      <c r="AI265" s="7" t="str">
        <f>IF('Database MK'!EN266="","Belum",'Database MK'!EL266-'Database MK'!EN266)</f>
        <v>Belum</v>
      </c>
      <c r="AJ265" s="7">
        <f>'Database MK'!FY266-'Database MK'!FZ266</f>
        <v>0</v>
      </c>
      <c r="AK265" s="7">
        <f>IF('Database MK'!GC266="","Belum",'Database MK'!GB266-'Database MK'!GC266)</f>
        <v>-63</v>
      </c>
      <c r="AL265" s="7">
        <f>IF('Database MK'!GF266="","Belum",'Database MK'!GE266-'Database MK'!GF266)</f>
        <v>-56</v>
      </c>
      <c r="AM265" s="309">
        <f>IF('Database MK'!GJ266="","Belum",'Database MK'!GI266-'Database MK'!GJ266)</f>
        <v>-52</v>
      </c>
      <c r="AN265" s="7" t="str">
        <f>IF('Database MK'!HG266="","Belum",'Database MK'!HF266-'Database MK'!HG266)</f>
        <v>Belum</v>
      </c>
      <c r="AO265" s="7" t="str">
        <f>IF('Database MK'!HP266="","Belum",'Database MK'!HN266-'Database MK'!HP266)</f>
        <v>Belum</v>
      </c>
      <c r="AP265" s="7" t="str">
        <f>IF('Database MK'!HV266="","Belum",'Database MK'!HT266-'Database MK'!HV266)</f>
        <v>Belum</v>
      </c>
    </row>
    <row r="266" spans="2:42" hidden="1" x14ac:dyDescent="0.2">
      <c r="B266" s="7">
        <f>SUBTOTAL(3,$C$4:C266)</f>
        <v>74</v>
      </c>
      <c r="C266" s="4" t="s">
        <v>244</v>
      </c>
      <c r="D266" s="4" t="s">
        <v>2088</v>
      </c>
      <c r="E266" s="4" t="s">
        <v>2089</v>
      </c>
      <c r="F266" s="300">
        <v>46113</v>
      </c>
      <c r="G266" s="4" t="s">
        <v>247</v>
      </c>
      <c r="H266" s="4" t="str">
        <f ca="1">'Database MK'!Q267</f>
        <v>Proses Konstruksi</v>
      </c>
      <c r="I266" s="24">
        <f>'Database MK'!S267</f>
        <v>1</v>
      </c>
      <c r="J266" s="24">
        <f>'Database MK'!T267</f>
        <v>0.78707537987142095</v>
      </c>
      <c r="K266" s="603">
        <f>'Database MK'!U267</f>
        <v>-0.21292462012857905</v>
      </c>
      <c r="L266" s="593">
        <f>'Database MK'!V267</f>
        <v>11420</v>
      </c>
      <c r="M266" s="593">
        <f>'Database MK'!W267</f>
        <v>10078</v>
      </c>
      <c r="N266" s="593">
        <f>Table3[[#This Row],[Total Panjang Pipa Aktual]]-Table3[[#This Row],[Volume
BA MC-0]]</f>
        <v>-1342</v>
      </c>
      <c r="O266" s="7" t="str">
        <f ca="1">'Database MK'!DE267</f>
        <v>Sudah, OnSchedule</v>
      </c>
      <c r="P266" s="7" t="str">
        <f ca="1">'Database MK'!DI267</f>
        <v>Sudah, OnSchedule</v>
      </c>
      <c r="Q266" s="7" t="str">
        <f ca="1">'Database MK'!DN267</f>
        <v>Sudah, OnSchedule</v>
      </c>
      <c r="R266" s="7" t="str">
        <f ca="1">'Database MK'!DR267</f>
        <v>Sudah, OnSchedule</v>
      </c>
      <c r="S266" s="7" t="str">
        <f ca="1">'Database MK'!EA267</f>
        <v>Sudah, OnSchedule</v>
      </c>
      <c r="T266" s="7" t="str">
        <f ca="1">'Database MK'!EI267</f>
        <v>Belum, Delay</v>
      </c>
      <c r="U266" s="7" t="str">
        <f ca="1">'Database MK'!ET267</f>
        <v>Belum, Delay</v>
      </c>
      <c r="V266" s="7" t="str">
        <f ca="1">'Database MK'!GA267</f>
        <v>Belum, Delay</v>
      </c>
      <c r="W266" s="7" t="str">
        <f ca="1">'Database MK'!GD267</f>
        <v>Sudah, Delay</v>
      </c>
      <c r="X266" s="7" t="str">
        <f ca="1">'Database MK'!GG267</f>
        <v>Sudah, Delay</v>
      </c>
      <c r="Y266" s="7" t="str">
        <f ca="1">'Database MK'!GK267</f>
        <v>Sudah, Delay</v>
      </c>
      <c r="Z266" s="7" t="str">
        <f ca="1">'Database MK'!HH267</f>
        <v>Belum, Delay</v>
      </c>
      <c r="AA266" s="7" t="str">
        <f ca="1">'Database MK'!HQ267</f>
        <v>Belum, Delay</v>
      </c>
      <c r="AB266" s="7" t="str">
        <f ca="1">'Database MK'!HW267</f>
        <v>Belum, Delay</v>
      </c>
      <c r="AC266" s="7">
        <f>'Database MK'!DA267-'Database MK'!DB267</f>
        <v>20</v>
      </c>
      <c r="AD266" s="7">
        <f>'Database MK'!DA267-'Database MK'!DF267</f>
        <v>12</v>
      </c>
      <c r="AE266" s="7">
        <f>'Database MK'!DK267-'Database MK'!DL267</f>
        <v>24</v>
      </c>
      <c r="AF266" s="7">
        <f>'Database MK'!DK267-'Database MK'!DO267</f>
        <v>9</v>
      </c>
      <c r="AG266" s="7">
        <f>'Database MK'!DU267-'Database MK'!DW267</f>
        <v>24</v>
      </c>
      <c r="AH266" s="7" t="str">
        <f>IF('Database MK'!EB267="","Belum",'Database MK'!DU267-'Database MK'!EB267)</f>
        <v>Belum</v>
      </c>
      <c r="AI266" s="7" t="str">
        <f>IF('Database MK'!EN267="","Belum",'Database MK'!EL267-'Database MK'!EN267)</f>
        <v>Belum</v>
      </c>
      <c r="AJ266" s="7">
        <f>'Database MK'!FY267-'Database MK'!FZ267</f>
        <v>0</v>
      </c>
      <c r="AK266" s="7">
        <f>IF('Database MK'!GC267="","Belum",'Database MK'!GB267-'Database MK'!GC267)</f>
        <v>-63</v>
      </c>
      <c r="AL266" s="7">
        <f>IF('Database MK'!GF267="","Belum",'Database MK'!GE267-'Database MK'!GF267)</f>
        <v>-56</v>
      </c>
      <c r="AM266" s="309">
        <f>IF('Database MK'!GJ267="","Belum",'Database MK'!GI267-'Database MK'!GJ267)</f>
        <v>-54</v>
      </c>
      <c r="AN266" s="7" t="str">
        <f>IF('Database MK'!HG267="","Belum",'Database MK'!HF267-'Database MK'!HG267)</f>
        <v>Belum</v>
      </c>
      <c r="AO266" s="7" t="str">
        <f>IF('Database MK'!HP267="","Belum",'Database MK'!HN267-'Database MK'!HP267)</f>
        <v>Belum</v>
      </c>
      <c r="AP266" s="7" t="str">
        <f>IF('Database MK'!HV267="","Belum",'Database MK'!HT267-'Database MK'!HV267)</f>
        <v>Belum</v>
      </c>
    </row>
    <row r="267" spans="2:42" hidden="1" x14ac:dyDescent="0.2">
      <c r="B267" s="7">
        <f>SUBTOTAL(3,$C$4:C267)</f>
        <v>74</v>
      </c>
      <c r="C267" s="4" t="s">
        <v>244</v>
      </c>
      <c r="D267" s="4" t="s">
        <v>2097</v>
      </c>
      <c r="E267" s="4" t="s">
        <v>2098</v>
      </c>
      <c r="F267" s="300">
        <v>46113</v>
      </c>
      <c r="G267" s="4" t="s">
        <v>247</v>
      </c>
      <c r="H267" s="4" t="str">
        <f ca="1">'Database MK'!Q268</f>
        <v>Proses Konstruksi</v>
      </c>
      <c r="I267" s="24">
        <f>'Database MK'!S268</f>
        <v>1</v>
      </c>
      <c r="J267" s="24">
        <f>'Database MK'!T268</f>
        <v>0.56278247562665251</v>
      </c>
      <c r="K267" s="603">
        <f>'Database MK'!U268</f>
        <v>-0.43721752437334749</v>
      </c>
      <c r="L267" s="593">
        <f>'Database MK'!V268</f>
        <v>6338</v>
      </c>
      <c r="M267" s="593">
        <f>'Database MK'!W268</f>
        <v>6376.2</v>
      </c>
      <c r="N267" s="593">
        <f>Table3[[#This Row],[Total Panjang Pipa Aktual]]-Table3[[#This Row],[Volume
BA MC-0]]</f>
        <v>38.199999999999818</v>
      </c>
      <c r="O267" s="7" t="str">
        <f ca="1">'Database MK'!DE268</f>
        <v>Sudah, OnSchedule</v>
      </c>
      <c r="P267" s="7" t="str">
        <f ca="1">'Database MK'!DI268</f>
        <v>Sudah, OnSchedule</v>
      </c>
      <c r="Q267" s="7" t="str">
        <f ca="1">'Database MK'!DN268</f>
        <v>Sudah, OnSchedule</v>
      </c>
      <c r="R267" s="7" t="str">
        <f ca="1">'Database MK'!DR268</f>
        <v>Sudah, Delay</v>
      </c>
      <c r="S267" s="7" t="str">
        <f ca="1">'Database MK'!EA268</f>
        <v>Sudah, OnSchedule</v>
      </c>
      <c r="T267" s="7" t="str">
        <f ca="1">'Database MK'!EI268</f>
        <v>Belum, Delay</v>
      </c>
      <c r="U267" s="7" t="str">
        <f ca="1">'Database MK'!ET268</f>
        <v>Belum, Delay</v>
      </c>
      <c r="V267" s="7" t="str">
        <f ca="1">'Database MK'!GA268</f>
        <v>Belum, Delay</v>
      </c>
      <c r="W267" s="7" t="str">
        <f ca="1">'Database MK'!GD268</f>
        <v>Sudah, Delay</v>
      </c>
      <c r="X267" s="7" t="str">
        <f ca="1">'Database MK'!GG268</f>
        <v>Sudah, Delay</v>
      </c>
      <c r="Y267" s="7" t="str">
        <f ca="1">'Database MK'!GK268</f>
        <v>Sudah, Delay</v>
      </c>
      <c r="Z267" s="7" t="str">
        <f ca="1">'Database MK'!HH268</f>
        <v>Belum, Delay</v>
      </c>
      <c r="AA267" s="7" t="str">
        <f ca="1">'Database MK'!HQ268</f>
        <v>Belum, Delay</v>
      </c>
      <c r="AB267" s="7" t="str">
        <f ca="1">'Database MK'!HW268</f>
        <v>Belum, Delay</v>
      </c>
      <c r="AC267" s="7">
        <f>'Database MK'!DA268-'Database MK'!DB268</f>
        <v>20</v>
      </c>
      <c r="AD267" s="7">
        <f>'Database MK'!DA268-'Database MK'!DF268</f>
        <v>13</v>
      </c>
      <c r="AE267" s="7">
        <f>'Database MK'!DK268-'Database MK'!DL268</f>
        <v>23</v>
      </c>
      <c r="AF267" s="7">
        <f>'Database MK'!DK268-'Database MK'!DO268</f>
        <v>-50</v>
      </c>
      <c r="AG267" s="7">
        <f>'Database MK'!DU268-'Database MK'!DW268</f>
        <v>23</v>
      </c>
      <c r="AH267" s="7" t="str">
        <f>IF('Database MK'!EB268="","Belum",'Database MK'!DU268-'Database MK'!EB268)</f>
        <v>Belum</v>
      </c>
      <c r="AI267" s="7" t="str">
        <f>IF('Database MK'!EN268="","Belum",'Database MK'!EL268-'Database MK'!EN268)</f>
        <v>Belum</v>
      </c>
      <c r="AJ267" s="7">
        <f>'Database MK'!FY268-'Database MK'!FZ268</f>
        <v>0</v>
      </c>
      <c r="AK267" s="7">
        <f>IF('Database MK'!GC268="","Belum",'Database MK'!GB268-'Database MK'!GC268)</f>
        <v>-63</v>
      </c>
      <c r="AL267" s="7">
        <f>IF('Database MK'!GF268="","Belum",'Database MK'!GE268-'Database MK'!GF268)</f>
        <v>-56</v>
      </c>
      <c r="AM267" s="309">
        <f>IF('Database MK'!GJ268="","Belum",'Database MK'!GI268-'Database MK'!GJ268)</f>
        <v>-52</v>
      </c>
      <c r="AN267" s="7" t="str">
        <f>IF('Database MK'!HG268="","Belum",'Database MK'!HF268-'Database MK'!HG268)</f>
        <v>Belum</v>
      </c>
      <c r="AO267" s="7" t="str">
        <f>IF('Database MK'!HP268="","Belum",'Database MK'!HN268-'Database MK'!HP268)</f>
        <v>Belum</v>
      </c>
      <c r="AP267" s="7" t="str">
        <f>IF('Database MK'!HV268="","Belum",'Database MK'!HT268-'Database MK'!HV268)</f>
        <v>Belum</v>
      </c>
    </row>
    <row r="268" spans="2:42" hidden="1" x14ac:dyDescent="0.2">
      <c r="B268" s="7">
        <f>SUBTOTAL(3,$C$4:C268)</f>
        <v>74</v>
      </c>
      <c r="C268" s="4" t="s">
        <v>244</v>
      </c>
      <c r="D268" s="4" t="s">
        <v>2106</v>
      </c>
      <c r="E268" s="4" t="s">
        <v>2107</v>
      </c>
      <c r="F268" s="300">
        <v>46113</v>
      </c>
      <c r="G268" s="4" t="s">
        <v>247</v>
      </c>
      <c r="H268" s="4" t="str">
        <f ca="1">'Database MK'!Q269</f>
        <v>Proses Konstruksi</v>
      </c>
      <c r="I268" s="24">
        <f>'Database MK'!S269</f>
        <v>1</v>
      </c>
      <c r="J268" s="24">
        <f>'Database MK'!T269</f>
        <v>0.71943939371638344</v>
      </c>
      <c r="K268" s="603">
        <f>'Database MK'!U269</f>
        <v>-0.28056060628361656</v>
      </c>
      <c r="L268" s="593">
        <f>'Database MK'!V269</f>
        <v>14274</v>
      </c>
      <c r="M268" s="593">
        <f>'Database MK'!W269</f>
        <v>12067</v>
      </c>
      <c r="N268" s="593">
        <f>Table3[[#This Row],[Total Panjang Pipa Aktual]]-Table3[[#This Row],[Volume
BA MC-0]]</f>
        <v>-2207</v>
      </c>
      <c r="O268" s="7" t="str">
        <f ca="1">'Database MK'!DE269</f>
        <v>Sudah, OnSchedule</v>
      </c>
      <c r="P268" s="7" t="str">
        <f ca="1">'Database MK'!DI269</f>
        <v>Sudah, OnSchedule</v>
      </c>
      <c r="Q268" s="7" t="str">
        <f ca="1">'Database MK'!DN269</f>
        <v>Sudah, OnSchedule</v>
      </c>
      <c r="R268" s="7" t="str">
        <f ca="1">'Database MK'!DR269</f>
        <v>Sudah, Delay</v>
      </c>
      <c r="S268" s="7" t="str">
        <f ca="1">'Database MK'!EA269</f>
        <v>Sudah, OnSchedule</v>
      </c>
      <c r="T268" s="7" t="str">
        <f ca="1">'Database MK'!EI269</f>
        <v>Belum, Delay</v>
      </c>
      <c r="U268" s="7" t="str">
        <f ca="1">'Database MK'!ET269</f>
        <v>Belum, Delay</v>
      </c>
      <c r="V268" s="7" t="str">
        <f ca="1">'Database MK'!GA269</f>
        <v>Belum, Delay</v>
      </c>
      <c r="W268" s="7" t="str">
        <f ca="1">'Database MK'!GD269</f>
        <v>Sudah, Delay</v>
      </c>
      <c r="X268" s="7" t="str">
        <f ca="1">'Database MK'!GG269</f>
        <v>Sudah, Delay</v>
      </c>
      <c r="Y268" s="7" t="str">
        <f ca="1">'Database MK'!GK269</f>
        <v>Sudah, Delay</v>
      </c>
      <c r="Z268" s="7" t="str">
        <f ca="1">'Database MK'!HH269</f>
        <v>Belum, Delay</v>
      </c>
      <c r="AA268" s="7" t="str">
        <f ca="1">'Database MK'!HQ269</f>
        <v>Belum, Delay</v>
      </c>
      <c r="AB268" s="7" t="str">
        <f ca="1">'Database MK'!HW269</f>
        <v>Belum, Delay</v>
      </c>
      <c r="AC268" s="7">
        <f>'Database MK'!DA269-'Database MK'!DB269</f>
        <v>19</v>
      </c>
      <c r="AD268" s="7">
        <f>'Database MK'!DA269-'Database MK'!DF269</f>
        <v>12</v>
      </c>
      <c r="AE268" s="7">
        <f>'Database MK'!DK269-'Database MK'!DL269</f>
        <v>24</v>
      </c>
      <c r="AF268" s="7">
        <f>'Database MK'!DK269-'Database MK'!DO269</f>
        <v>-52</v>
      </c>
      <c r="AG268" s="7">
        <f>'Database MK'!DU269-'Database MK'!DW269</f>
        <v>23</v>
      </c>
      <c r="AH268" s="7" t="str">
        <f>IF('Database MK'!EB269="","Belum",'Database MK'!DU269-'Database MK'!EB269)</f>
        <v>Belum</v>
      </c>
      <c r="AI268" s="7" t="str">
        <f>IF('Database MK'!EN269="","Belum",'Database MK'!EL269-'Database MK'!EN269)</f>
        <v>Belum</v>
      </c>
      <c r="AJ268" s="7">
        <f>'Database MK'!FY269-'Database MK'!FZ269</f>
        <v>0</v>
      </c>
      <c r="AK268" s="7">
        <f>IF('Database MK'!GC269="","Belum",'Database MK'!GB269-'Database MK'!GC269)</f>
        <v>-63</v>
      </c>
      <c r="AL268" s="7">
        <f>IF('Database MK'!GF269="","Belum",'Database MK'!GE269-'Database MK'!GF269)</f>
        <v>-56</v>
      </c>
      <c r="AM268" s="309">
        <f>IF('Database MK'!GJ269="","Belum",'Database MK'!GI269-'Database MK'!GJ269)</f>
        <v>-52</v>
      </c>
      <c r="AN268" s="7" t="str">
        <f>IF('Database MK'!HG269="","Belum",'Database MK'!HF269-'Database MK'!HG269)</f>
        <v>Belum</v>
      </c>
      <c r="AO268" s="7" t="str">
        <f>IF('Database MK'!HP269="","Belum",'Database MK'!HN269-'Database MK'!HP269)</f>
        <v>Belum</v>
      </c>
      <c r="AP268" s="7" t="str">
        <f>IF('Database MK'!HV269="","Belum",'Database MK'!HT269-'Database MK'!HV269)</f>
        <v>Belum</v>
      </c>
    </row>
    <row r="269" spans="2:42" hidden="1" x14ac:dyDescent="0.2">
      <c r="B269" s="7">
        <f>SUBTOTAL(3,$C$4:C269)</f>
        <v>74</v>
      </c>
      <c r="C269" s="4" t="s">
        <v>244</v>
      </c>
      <c r="D269" s="4" t="s">
        <v>2115</v>
      </c>
      <c r="E269" s="4" t="s">
        <v>2116</v>
      </c>
      <c r="F269" s="300">
        <v>46113</v>
      </c>
      <c r="G269" s="4" t="s">
        <v>247</v>
      </c>
      <c r="H269" s="4" t="str">
        <f ca="1">'Database MK'!Q270</f>
        <v>Proses Konstruksi</v>
      </c>
      <c r="I269" s="24">
        <f>'Database MK'!S270</f>
        <v>1</v>
      </c>
      <c r="J269" s="24">
        <f>'Database MK'!T270</f>
        <v>0.62443639834009845</v>
      </c>
      <c r="K269" s="603">
        <f>'Database MK'!U270</f>
        <v>-0.37556360165990155</v>
      </c>
      <c r="L269" s="593">
        <f>'Database MK'!V270</f>
        <v>4643</v>
      </c>
      <c r="M269" s="593">
        <f>'Database MK'!W270</f>
        <v>3672</v>
      </c>
      <c r="N269" s="593">
        <f>Table3[[#This Row],[Total Panjang Pipa Aktual]]-Table3[[#This Row],[Volume
BA MC-0]]</f>
        <v>-971</v>
      </c>
      <c r="O269" s="7" t="str">
        <f ca="1">'Database MK'!DE270</f>
        <v>Sudah, OnSchedule</v>
      </c>
      <c r="P269" s="7" t="str">
        <f ca="1">'Database MK'!DI270</f>
        <v>Sudah, OnSchedule</v>
      </c>
      <c r="Q269" s="7" t="str">
        <f ca="1">'Database MK'!DN270</f>
        <v>Sudah, OnSchedule</v>
      </c>
      <c r="R269" s="7" t="str">
        <f ca="1">'Database MK'!DR270</f>
        <v>Sudah, Delay</v>
      </c>
      <c r="S269" s="7" t="str">
        <f ca="1">'Database MK'!EA270</f>
        <v>Sudah, OnSchedule</v>
      </c>
      <c r="T269" s="7" t="str">
        <f ca="1">'Database MK'!EI270</f>
        <v>Sudah, Delay</v>
      </c>
      <c r="U269" s="7" t="str">
        <f ca="1">'Database MK'!ET270</f>
        <v>Belum, Delay</v>
      </c>
      <c r="V269" s="7" t="str">
        <f ca="1">'Database MK'!GA270</f>
        <v>Belum, Delay</v>
      </c>
      <c r="W269" s="7" t="str">
        <f ca="1">'Database MK'!GD270</f>
        <v>Sudah, Delay</v>
      </c>
      <c r="X269" s="7" t="str">
        <f ca="1">'Database MK'!GG270</f>
        <v>Sudah, Delay</v>
      </c>
      <c r="Y269" s="7" t="str">
        <f ca="1">'Database MK'!GK270</f>
        <v>Sudah, Delay</v>
      </c>
      <c r="Z269" s="7" t="str">
        <f ca="1">'Database MK'!HH270</f>
        <v>Belum, Delay</v>
      </c>
      <c r="AA269" s="7" t="str">
        <f ca="1">'Database MK'!HQ270</f>
        <v>Belum, Delay</v>
      </c>
      <c r="AB269" s="7" t="str">
        <f ca="1">'Database MK'!HW270</f>
        <v>Belum, Delay</v>
      </c>
      <c r="AC269" s="7">
        <f>'Database MK'!DA270-'Database MK'!DB270</f>
        <v>19</v>
      </c>
      <c r="AD269" s="7">
        <f>'Database MK'!DA270-'Database MK'!DF270</f>
        <v>12</v>
      </c>
      <c r="AE269" s="7">
        <f>'Database MK'!DK270-'Database MK'!DL270</f>
        <v>23</v>
      </c>
      <c r="AF269" s="7">
        <f>'Database MK'!DK270-'Database MK'!DO270</f>
        <v>-50</v>
      </c>
      <c r="AG269" s="7">
        <f>'Database MK'!DU270-'Database MK'!DW270</f>
        <v>23</v>
      </c>
      <c r="AH269" s="7">
        <f>IF('Database MK'!EB270="","Belum",'Database MK'!DU270-'Database MK'!EB270)</f>
        <v>-211</v>
      </c>
      <c r="AI269" s="7" t="str">
        <f>IF('Database MK'!EN270="","Belum",'Database MK'!EL270-'Database MK'!EN270)</f>
        <v>Belum</v>
      </c>
      <c r="AJ269" s="7">
        <f>'Database MK'!FY270-'Database MK'!FZ270</f>
        <v>0</v>
      </c>
      <c r="AK269" s="7">
        <f>IF('Database MK'!GC270="","Belum",'Database MK'!GB270-'Database MK'!GC270)</f>
        <v>-63</v>
      </c>
      <c r="AL269" s="7">
        <f>IF('Database MK'!GF270="","Belum",'Database MK'!GE270-'Database MK'!GF270)</f>
        <v>-56</v>
      </c>
      <c r="AM269" s="309">
        <f>IF('Database MK'!GJ270="","Belum",'Database MK'!GI270-'Database MK'!GJ270)</f>
        <v>-81</v>
      </c>
      <c r="AN269" s="7" t="str">
        <f>IF('Database MK'!HG270="","Belum",'Database MK'!HF270-'Database MK'!HG270)</f>
        <v>Belum</v>
      </c>
      <c r="AO269" s="7" t="str">
        <f>IF('Database MK'!HP270="","Belum",'Database MK'!HN270-'Database MK'!HP270)</f>
        <v>Belum</v>
      </c>
      <c r="AP269" s="7" t="str">
        <f>IF('Database MK'!HV270="","Belum",'Database MK'!HT270-'Database MK'!HV270)</f>
        <v>Belum</v>
      </c>
    </row>
    <row r="270" spans="2:42" s="77" customFormat="1" hidden="1" x14ac:dyDescent="0.2">
      <c r="B270" s="307">
        <f>SUBTOTAL(3,$C$4:C270)</f>
        <v>74</v>
      </c>
      <c r="C270" s="77" t="s">
        <v>244</v>
      </c>
      <c r="D270" s="77" t="s">
        <v>2124</v>
      </c>
      <c r="E270" s="77" t="s">
        <v>2125</v>
      </c>
      <c r="F270" s="302">
        <v>46113</v>
      </c>
      <c r="G270" s="77" t="s">
        <v>681</v>
      </c>
      <c r="H270" s="77" t="str">
        <f>'Database MK'!Q271</f>
        <v>BATAL / CANCEL</v>
      </c>
      <c r="I270" s="604">
        <f>'Database MK'!S271</f>
        <v>1</v>
      </c>
      <c r="J270" s="604">
        <f>'Database MK'!T271</f>
        <v>0</v>
      </c>
      <c r="K270" s="605">
        <f>'Database MK'!U271</f>
        <v>-1</v>
      </c>
      <c r="L270" s="594">
        <f>'Database MK'!V271</f>
        <v>0</v>
      </c>
      <c r="M270" s="594">
        <f>'Database MK'!W271</f>
        <v>0</v>
      </c>
      <c r="N270" s="594">
        <f>Table3[[#This Row],[Total Panjang Pipa Aktual]]-Table3[[#This Row],[Volume
BA MC-0]]</f>
        <v>0</v>
      </c>
      <c r="O270" s="307" t="str">
        <f ca="1">'Database MK'!DE271</f>
        <v>Sudah, Delay</v>
      </c>
      <c r="P270" s="307">
        <f>'Database MK'!DI271</f>
        <v>0</v>
      </c>
      <c r="Q270" s="307">
        <f>'Database MK'!DN271</f>
        <v>0</v>
      </c>
      <c r="R270" s="307">
        <f>'Database MK'!DR271</f>
        <v>0</v>
      </c>
      <c r="S270" s="307">
        <f>'Database MK'!EA271</f>
        <v>0</v>
      </c>
      <c r="T270" s="307" t="str">
        <f ca="1">'Database MK'!EI271</f>
        <v>Belum, Delay</v>
      </c>
      <c r="U270" s="307" t="str">
        <f ca="1">'Database MK'!ET271</f>
        <v>Belum, Delay</v>
      </c>
      <c r="V270" s="307" t="str">
        <f ca="1">'Database MK'!GA271</f>
        <v>Belum, Delay</v>
      </c>
      <c r="W270" s="307" t="str">
        <f ca="1">'Database MK'!GD271</f>
        <v>Sudah, Delay</v>
      </c>
      <c r="X270" s="307" t="str">
        <f ca="1">'Database MK'!GG271</f>
        <v>Sudah, Delay</v>
      </c>
      <c r="Y270" s="307" t="str">
        <f ca="1">'Database MK'!GK271</f>
        <v>Sudah, Delay</v>
      </c>
      <c r="Z270" s="307" t="str">
        <f ca="1">'Database MK'!HH271</f>
        <v>Belum, Delay</v>
      </c>
      <c r="AA270" s="307" t="str">
        <f ca="1">'Database MK'!HQ271</f>
        <v>Belum, Delay</v>
      </c>
      <c r="AB270" s="307" t="str">
        <f ca="1">'Database MK'!HW271</f>
        <v>Belum, Delay</v>
      </c>
      <c r="AC270" s="307"/>
      <c r="AD270" s="307"/>
      <c r="AE270" s="307"/>
      <c r="AF270" s="307"/>
      <c r="AG270" s="307"/>
      <c r="AH270" s="307"/>
      <c r="AI270" s="307"/>
      <c r="AJ270" s="307">
        <f>'Database MK'!FY271-'Database MK'!FZ271</f>
        <v>0</v>
      </c>
      <c r="AK270" s="307"/>
      <c r="AL270" s="307"/>
      <c r="AM270" s="310"/>
      <c r="AN270" s="307"/>
      <c r="AO270" s="307"/>
      <c r="AP270" s="307"/>
    </row>
    <row r="271" spans="2:42" hidden="1" x14ac:dyDescent="0.2">
      <c r="B271" s="7">
        <f>SUBTOTAL(3,$C$4:C271)</f>
        <v>74</v>
      </c>
      <c r="C271" s="4" t="s">
        <v>244</v>
      </c>
      <c r="D271" s="4" t="s">
        <v>2132</v>
      </c>
      <c r="E271" s="4" t="s">
        <v>2133</v>
      </c>
      <c r="F271" s="300">
        <v>46113</v>
      </c>
      <c r="G271" s="4" t="s">
        <v>681</v>
      </c>
      <c r="H271" s="4" t="str">
        <f ca="1">'Database MK'!Q272</f>
        <v>DPPP</v>
      </c>
      <c r="I271" s="24">
        <f>'Database MK'!S272</f>
        <v>1</v>
      </c>
      <c r="J271" s="24">
        <f>'Database MK'!T272</f>
        <v>1</v>
      </c>
      <c r="K271" s="603">
        <f>'Database MK'!U272</f>
        <v>0</v>
      </c>
      <c r="L271" s="593">
        <f>'Database MK'!V272</f>
        <v>54</v>
      </c>
      <c r="M271" s="593">
        <f>'Database MK'!W272</f>
        <v>53.8</v>
      </c>
      <c r="N271" s="593">
        <f>Table3[[#This Row],[Total Panjang Pipa Aktual]]-Table3[[#This Row],[Volume
BA MC-0]]</f>
        <v>-0.20000000000000284</v>
      </c>
      <c r="O271" s="7" t="str">
        <f ca="1">'Database MK'!DE272</f>
        <v>Sudah, OnSchedule</v>
      </c>
      <c r="P271" s="7" t="str">
        <f ca="1">'Database MK'!DI272</f>
        <v>Sudah, OnSchedule</v>
      </c>
      <c r="Q271" s="7" t="str">
        <f ca="1">'Database MK'!DN272</f>
        <v>Sudah, OnSchedule</v>
      </c>
      <c r="R271" s="7" t="str">
        <f ca="1">'Database MK'!DR272</f>
        <v>Sudah, OnSchedule</v>
      </c>
      <c r="S271" s="7" t="str">
        <f ca="1">'Database MK'!EA272</f>
        <v>Sudah, OnSchedule</v>
      </c>
      <c r="T271" s="7" t="str">
        <f ca="1">'Database MK'!EI272</f>
        <v>Sudah, Delay</v>
      </c>
      <c r="U271" s="7" t="str">
        <f ca="1">'Database MK'!ET272</f>
        <v>Sudah, Delay</v>
      </c>
      <c r="V271" s="7" t="str">
        <f ca="1">'Database MK'!GA272</f>
        <v>Belum, Delay</v>
      </c>
      <c r="W271" s="7" t="str">
        <f ca="1">'Database MK'!GD272</f>
        <v>Sudah, Delay</v>
      </c>
      <c r="X271" s="7" t="str">
        <f ca="1">'Database MK'!GG272</f>
        <v>Sudah, Delay</v>
      </c>
      <c r="Y271" s="7" t="str">
        <f ca="1">'Database MK'!GK272</f>
        <v>Sudah, Delay</v>
      </c>
      <c r="Z271" s="7" t="str">
        <f ca="1">'Database MK'!HH272</f>
        <v>Sudah, Delay</v>
      </c>
      <c r="AA271" s="7" t="str">
        <f ca="1">'Database MK'!HQ272</f>
        <v>Sudah, Delay</v>
      </c>
      <c r="AB271" s="7" t="str">
        <f ca="1">'Database MK'!HW272</f>
        <v>Sudah, Delay</v>
      </c>
      <c r="AC271" s="7">
        <f>'Database MK'!DA272-'Database MK'!DB272</f>
        <v>48</v>
      </c>
      <c r="AD271" s="7">
        <f>'Database MK'!DA272-'Database MK'!DF272</f>
        <v>31</v>
      </c>
      <c r="AE271" s="7">
        <f>'Database MK'!DK272-'Database MK'!DL272</f>
        <v>75</v>
      </c>
      <c r="AF271" s="7">
        <f>'Database MK'!DK272-'Database MK'!DO272</f>
        <v>55</v>
      </c>
      <c r="AG271" s="7">
        <f>'Database MK'!DU272-'Database MK'!DW272</f>
        <v>48</v>
      </c>
      <c r="AH271" s="7">
        <f>IF('Database MK'!EB272="","Belum",'Database MK'!DU272-'Database MK'!EB272)</f>
        <v>-121</v>
      </c>
      <c r="AI271" s="7">
        <f>IF('Database MK'!EN272="","Belum",'Database MK'!EL272-'Database MK'!EN272)</f>
        <v>-65</v>
      </c>
      <c r="AJ271" s="7">
        <f>'Database MK'!FY272-'Database MK'!FZ272</f>
        <v>0</v>
      </c>
      <c r="AK271" s="7">
        <f>IF('Database MK'!GC272="","Belum",'Database MK'!GB272-'Database MK'!GC272)</f>
        <v>-59</v>
      </c>
      <c r="AL271" s="7">
        <f>IF('Database MK'!GF272="","Belum",'Database MK'!GE272-'Database MK'!GF272)</f>
        <v>-52</v>
      </c>
      <c r="AM271" s="309">
        <f>IF('Database MK'!GJ272="","Belum",'Database MK'!GI272-'Database MK'!GJ272)</f>
        <v>-52</v>
      </c>
      <c r="AN271" s="7">
        <f>IF('Database MK'!HG272="","Belum",'Database MK'!HF272-'Database MK'!HG272)</f>
        <v>-152</v>
      </c>
      <c r="AO271" s="7">
        <f>IF('Database MK'!HP272="","Belum",'Database MK'!HN272-'Database MK'!HP272)</f>
        <v>-166</v>
      </c>
      <c r="AP271" s="7">
        <f>IF('Database MK'!HV272="","Belum",'Database MK'!HT272-'Database MK'!HV272)</f>
        <v>-160</v>
      </c>
    </row>
    <row r="272" spans="2:42" hidden="1" x14ac:dyDescent="0.2">
      <c r="B272" s="7">
        <f>SUBTOTAL(3,$C$4:C272)</f>
        <v>74</v>
      </c>
      <c r="C272" s="4" t="s">
        <v>244</v>
      </c>
      <c r="D272" s="4" t="s">
        <v>2141</v>
      </c>
      <c r="E272" s="4" t="s">
        <v>2142</v>
      </c>
      <c r="F272" s="300">
        <v>46113</v>
      </c>
      <c r="G272" s="4" t="s">
        <v>681</v>
      </c>
      <c r="H272" s="4" t="str">
        <f ca="1">'Database MK'!Q273</f>
        <v>DPPP</v>
      </c>
      <c r="I272" s="24">
        <f>'Database MK'!S273</f>
        <v>1</v>
      </c>
      <c r="J272" s="24">
        <f>'Database MK'!T273</f>
        <v>1</v>
      </c>
      <c r="K272" s="603">
        <f>'Database MK'!U273</f>
        <v>0</v>
      </c>
      <c r="L272" s="593">
        <f>'Database MK'!V273</f>
        <v>11510.2</v>
      </c>
      <c r="M272" s="593">
        <f>'Database MK'!W273</f>
        <v>11159</v>
      </c>
      <c r="N272" s="593">
        <f>Table3[[#This Row],[Total Panjang Pipa Aktual]]-Table3[[#This Row],[Volume
BA MC-0]]</f>
        <v>-351.20000000000073</v>
      </c>
      <c r="O272" s="7" t="str">
        <f ca="1">'Database MK'!DE273</f>
        <v>Sudah, OnSchedule</v>
      </c>
      <c r="P272" s="7" t="str">
        <f ca="1">'Database MK'!DI273</f>
        <v>Sudah, OnSchedule</v>
      </c>
      <c r="Q272" s="7" t="str">
        <f ca="1">'Database MK'!DN273</f>
        <v>Sudah, OnSchedule</v>
      </c>
      <c r="R272" s="7" t="str">
        <f ca="1">'Database MK'!DR273</f>
        <v>Sudah, OnSchedule</v>
      </c>
      <c r="S272" s="7" t="str">
        <f ca="1">'Database MK'!EA273</f>
        <v>Sudah, OnSchedule</v>
      </c>
      <c r="T272" s="7" t="str">
        <f ca="1">'Database MK'!EI273</f>
        <v>Sudah, Delay</v>
      </c>
      <c r="U272" s="7" t="str">
        <f ca="1">'Database MK'!ET273</f>
        <v>Sudah, Delay</v>
      </c>
      <c r="V272" s="7" t="str">
        <f ca="1">'Database MK'!GA273</f>
        <v>Belum, Delay</v>
      </c>
      <c r="W272" s="7" t="str">
        <f ca="1">'Database MK'!GD273</f>
        <v>Sudah, OnSchedule</v>
      </c>
      <c r="X272" s="7" t="str">
        <f ca="1">'Database MK'!GG273</f>
        <v>Sudah, OnSchedule</v>
      </c>
      <c r="Y272" s="7" t="str">
        <f ca="1">'Database MK'!GK273</f>
        <v>Sudah, OnSchedule</v>
      </c>
      <c r="Z272" s="7" t="str">
        <f ca="1">'Database MK'!HH273</f>
        <v>Sudah, OnSchedule</v>
      </c>
      <c r="AA272" s="7" t="str">
        <f ca="1">'Database MK'!HQ273</f>
        <v>Sudah, Delay</v>
      </c>
      <c r="AB272" s="7" t="str">
        <f ca="1">'Database MK'!HW273</f>
        <v>Sudah, Delay</v>
      </c>
      <c r="AC272" s="7">
        <f>'Database MK'!DA273-'Database MK'!DB273</f>
        <v>20</v>
      </c>
      <c r="AD272" s="7">
        <f>'Database MK'!DA273-'Database MK'!DF273</f>
        <v>3</v>
      </c>
      <c r="AE272" s="7">
        <f>'Database MK'!DK273-'Database MK'!DL273</f>
        <v>15</v>
      </c>
      <c r="AF272" s="7">
        <f>'Database MK'!DK273-'Database MK'!DO273</f>
        <v>6</v>
      </c>
      <c r="AG272" s="7">
        <f>'Database MK'!DU273-'Database MK'!DW273</f>
        <v>15</v>
      </c>
      <c r="AH272" s="7">
        <f>IF('Database MK'!EB273="","Belum",'Database MK'!DU273-'Database MK'!EB273)</f>
        <v>-195</v>
      </c>
      <c r="AI272" s="7">
        <f>IF('Database MK'!EN273="","Belum",'Database MK'!EL273-'Database MK'!EN273)</f>
        <v>-186</v>
      </c>
      <c r="AJ272" s="7">
        <f>'Database MK'!FY273-'Database MK'!FZ273</f>
        <v>0</v>
      </c>
      <c r="AK272" s="7">
        <f>IF('Database MK'!GC273="","Belum",'Database MK'!GB273-'Database MK'!GC273)</f>
        <v>46</v>
      </c>
      <c r="AL272" s="7">
        <f>IF('Database MK'!GF273="","Belum",'Database MK'!GE273-'Database MK'!GF273)</f>
        <v>53</v>
      </c>
      <c r="AM272" s="309">
        <f>IF('Database MK'!GJ273="","Belum",'Database MK'!GI273-'Database MK'!GJ273)</f>
        <v>62</v>
      </c>
      <c r="AN272" s="7">
        <f>IF('Database MK'!HG273="","Belum",'Database MK'!HF273-'Database MK'!HG273)</f>
        <v>110</v>
      </c>
      <c r="AO272" s="7">
        <f>IF('Database MK'!HP273="","Belum",'Database MK'!HN273-'Database MK'!HP273)</f>
        <v>-75</v>
      </c>
      <c r="AP272" s="7">
        <f>IF('Database MK'!HV273="","Belum",'Database MK'!HT273-'Database MK'!HV273)</f>
        <v>-61</v>
      </c>
    </row>
    <row r="273" spans="2:42" s="77" customFormat="1" hidden="1" x14ac:dyDescent="0.2">
      <c r="B273" s="307">
        <f>SUBTOTAL(3,$C$4:C273)</f>
        <v>74</v>
      </c>
      <c r="C273" s="77" t="s">
        <v>244</v>
      </c>
      <c r="D273" s="77" t="s">
        <v>2151</v>
      </c>
      <c r="E273" s="77" t="s">
        <v>2152</v>
      </c>
      <c r="F273" s="302">
        <v>46113</v>
      </c>
      <c r="G273" s="77" t="s">
        <v>681</v>
      </c>
      <c r="H273" s="77" t="str">
        <f>'Database MK'!Q274</f>
        <v>BATAL / CANCEL</v>
      </c>
      <c r="I273" s="604">
        <f>'Database MK'!S274</f>
        <v>1</v>
      </c>
      <c r="J273" s="604">
        <f>'Database MK'!T274</f>
        <v>0</v>
      </c>
      <c r="K273" s="605">
        <f>'Database MK'!U274</f>
        <v>-1</v>
      </c>
      <c r="L273" s="594">
        <f>'Database MK'!V274</f>
        <v>128.30000000000001</v>
      </c>
      <c r="M273" s="594">
        <f>'Database MK'!W274</f>
        <v>0</v>
      </c>
      <c r="N273" s="594">
        <f>Table3[[#This Row],[Total Panjang Pipa Aktual]]-Table3[[#This Row],[Volume
BA MC-0]]</f>
        <v>-128.30000000000001</v>
      </c>
      <c r="O273" s="307" t="str">
        <f ca="1">'Database MK'!DE274</f>
        <v>Sudah, OnSchedule</v>
      </c>
      <c r="P273" s="307">
        <f>'Database MK'!DI274</f>
        <v>0</v>
      </c>
      <c r="Q273" s="307">
        <f>'Database MK'!DN274</f>
        <v>0</v>
      </c>
      <c r="R273" s="307">
        <f>'Database MK'!DR274</f>
        <v>0</v>
      </c>
      <c r="S273" s="307">
        <f>'Database MK'!EA274</f>
        <v>0</v>
      </c>
      <c r="T273" s="307" t="str">
        <f ca="1">'Database MK'!EI274</f>
        <v>Belum, Delay</v>
      </c>
      <c r="U273" s="307" t="str">
        <f ca="1">'Database MK'!ET274</f>
        <v>Belum, Delay</v>
      </c>
      <c r="V273" s="307" t="str">
        <f ca="1">'Database MK'!GA274</f>
        <v>Belum, Delay</v>
      </c>
      <c r="W273" s="307" t="str">
        <f ca="1">'Database MK'!GD274</f>
        <v>Sudah, Delay</v>
      </c>
      <c r="X273" s="307" t="str">
        <f ca="1">'Database MK'!GG274</f>
        <v>Sudah, Delay</v>
      </c>
      <c r="Y273" s="307" t="str">
        <f ca="1">'Database MK'!GK274</f>
        <v>Sudah, Delay</v>
      </c>
      <c r="Z273" s="307" t="str">
        <f ca="1">'Database MK'!HH274</f>
        <v>Belum, Delay</v>
      </c>
      <c r="AA273" s="307" t="str">
        <f ca="1">'Database MK'!HQ274</f>
        <v>Belum, Delay</v>
      </c>
      <c r="AB273" s="307" t="str">
        <f ca="1">'Database MK'!HW274</f>
        <v>Belum, Delay</v>
      </c>
      <c r="AC273" s="307"/>
      <c r="AD273" s="307"/>
      <c r="AE273" s="307"/>
      <c r="AF273" s="307"/>
      <c r="AG273" s="307"/>
      <c r="AH273" s="307"/>
      <c r="AI273" s="307"/>
      <c r="AJ273" s="307">
        <f>'Database MK'!FY274-'Database MK'!FZ274</f>
        <v>0</v>
      </c>
      <c r="AK273" s="307"/>
      <c r="AL273" s="307"/>
      <c r="AM273" s="310"/>
      <c r="AN273" s="307"/>
      <c r="AO273" s="307"/>
      <c r="AP273" s="307"/>
    </row>
    <row r="274" spans="2:42" hidden="1" x14ac:dyDescent="0.2">
      <c r="B274" s="7">
        <f>SUBTOTAL(3,$C$4:C274)</f>
        <v>74</v>
      </c>
      <c r="C274" s="4" t="s">
        <v>244</v>
      </c>
      <c r="D274" s="4" t="s">
        <v>2159</v>
      </c>
      <c r="E274" s="4" t="s">
        <v>2160</v>
      </c>
      <c r="F274" s="300">
        <v>46113</v>
      </c>
      <c r="G274" s="4" t="s">
        <v>681</v>
      </c>
      <c r="H274" s="4" t="str">
        <f ca="1">'Database MK'!Q275</f>
        <v>DPPP</v>
      </c>
      <c r="I274" s="24">
        <f>'Database MK'!S275</f>
        <v>1</v>
      </c>
      <c r="J274" s="24">
        <f>'Database MK'!T275</f>
        <v>1</v>
      </c>
      <c r="K274" s="603">
        <f>'Database MK'!U275</f>
        <v>0</v>
      </c>
      <c r="L274" s="593">
        <f>'Database MK'!V275</f>
        <v>184.4</v>
      </c>
      <c r="M274" s="593">
        <f>'Database MK'!W275</f>
        <v>94.7</v>
      </c>
      <c r="N274" s="593">
        <f>Table3[[#This Row],[Total Panjang Pipa Aktual]]-Table3[[#This Row],[Volume
BA MC-0]]</f>
        <v>-89.7</v>
      </c>
      <c r="O274" s="7" t="str">
        <f ca="1">'Database MK'!DE275</f>
        <v>Sudah, OnSchedule</v>
      </c>
      <c r="P274" s="7" t="str">
        <f ca="1">'Database MK'!DI275</f>
        <v>Sudah, OnSchedule</v>
      </c>
      <c r="Q274" s="7" t="str">
        <f ca="1">'Database MK'!DN275</f>
        <v>Sudah, OnSchedule</v>
      </c>
      <c r="R274" s="7" t="str">
        <f ca="1">'Database MK'!DR275</f>
        <v>Sudah, OnSchedule</v>
      </c>
      <c r="S274" s="7" t="str">
        <f ca="1">'Database MK'!EA275</f>
        <v>Sudah, OnSchedule</v>
      </c>
      <c r="T274" s="7" t="str">
        <f ca="1">'Database MK'!EI275</f>
        <v>Sudah, Delay</v>
      </c>
      <c r="U274" s="7" t="str">
        <f ca="1">'Database MK'!ET275</f>
        <v>Sudah, Delay</v>
      </c>
      <c r="V274" s="7" t="str">
        <f ca="1">'Database MK'!GA275</f>
        <v>Belum, Delay</v>
      </c>
      <c r="W274" s="7" t="str">
        <f ca="1">'Database MK'!GD275</f>
        <v>Sudah, Delay</v>
      </c>
      <c r="X274" s="7" t="str">
        <f ca="1">'Database MK'!GG275</f>
        <v>Sudah, Delay</v>
      </c>
      <c r="Y274" s="7" t="str">
        <f ca="1">'Database MK'!GK275</f>
        <v>Sudah, Delay</v>
      </c>
      <c r="Z274" s="7" t="str">
        <f ca="1">'Database MK'!HH275</f>
        <v>Sudah, Delay</v>
      </c>
      <c r="AA274" s="7" t="str">
        <f ca="1">'Database MK'!HQ275</f>
        <v>Sudah, Delay</v>
      </c>
      <c r="AB274" s="7" t="str">
        <f ca="1">'Database MK'!HW275</f>
        <v>Sudah, Delay</v>
      </c>
      <c r="AC274" s="7">
        <f>'Database MK'!DA275-'Database MK'!DB275</f>
        <v>48</v>
      </c>
      <c r="AD274" s="7">
        <f>'Database MK'!DA275-'Database MK'!DF275</f>
        <v>32</v>
      </c>
      <c r="AE274" s="7">
        <f>'Database MK'!DK275-'Database MK'!DL275</f>
        <v>71</v>
      </c>
      <c r="AF274" s="7">
        <f>'Database MK'!DK275-'Database MK'!DO275</f>
        <v>55</v>
      </c>
      <c r="AG274" s="7">
        <f>'Database MK'!DU275-'Database MK'!DW275</f>
        <v>44</v>
      </c>
      <c r="AH274" s="7">
        <f>IF('Database MK'!EB275="","Belum",'Database MK'!DU275-'Database MK'!EB275)</f>
        <v>-167</v>
      </c>
      <c r="AI274" s="7">
        <f>IF('Database MK'!EN275="","Belum",'Database MK'!EL275-'Database MK'!EN275)</f>
        <v>-211</v>
      </c>
      <c r="AJ274" s="7">
        <f>'Database MK'!FY275-'Database MK'!FZ275</f>
        <v>0</v>
      </c>
      <c r="AK274" s="7">
        <f>IF('Database MK'!GC275="","Belum",'Database MK'!GB275-'Database MK'!GC275)</f>
        <v>-59</v>
      </c>
      <c r="AL274" s="7">
        <f>IF('Database MK'!GF275="","Belum",'Database MK'!GE275-'Database MK'!GF275)</f>
        <v>-52</v>
      </c>
      <c r="AM274" s="309">
        <f>IF('Database MK'!GJ275="","Belum",'Database MK'!GI275-'Database MK'!GJ275)</f>
        <v>-52</v>
      </c>
      <c r="AN274" s="7">
        <f>IF('Database MK'!HG275="","Belum",'Database MK'!HF275-'Database MK'!HG275)</f>
        <v>-123</v>
      </c>
      <c r="AO274" s="7">
        <f>IF('Database MK'!HP275="","Belum",'Database MK'!HN275-'Database MK'!HP275)</f>
        <v>-151</v>
      </c>
      <c r="AP274" s="7">
        <f>IF('Database MK'!HV275="","Belum",'Database MK'!HT275-'Database MK'!HV275)</f>
        <v>-145</v>
      </c>
    </row>
    <row r="275" spans="2:42" hidden="1" x14ac:dyDescent="0.2">
      <c r="B275" s="7">
        <f>SUBTOTAL(3,$C$4:C275)</f>
        <v>74</v>
      </c>
      <c r="C275" s="4" t="s">
        <v>244</v>
      </c>
      <c r="D275" s="4" t="s">
        <v>2168</v>
      </c>
      <c r="E275" s="4" t="s">
        <v>2169</v>
      </c>
      <c r="F275" s="300">
        <v>46113</v>
      </c>
      <c r="G275" s="4" t="s">
        <v>681</v>
      </c>
      <c r="H275" s="4" t="str">
        <f ca="1">'Database MK'!Q276</f>
        <v>Proses Konstruksi</v>
      </c>
      <c r="I275" s="24">
        <f>'Database MK'!S276</f>
        <v>1</v>
      </c>
      <c r="J275" s="24">
        <f>'Database MK'!T276</f>
        <v>0.48661565000229057</v>
      </c>
      <c r="K275" s="603">
        <f>'Database MK'!U276</f>
        <v>-0.51338434999770943</v>
      </c>
      <c r="L275" s="593">
        <f>'Database MK'!V276</f>
        <v>268.2</v>
      </c>
      <c r="M275" s="593">
        <f>'Database MK'!W276</f>
        <v>251</v>
      </c>
      <c r="N275" s="593">
        <f>Table3[[#This Row],[Total Panjang Pipa Aktual]]-Table3[[#This Row],[Volume
BA MC-0]]</f>
        <v>-17.199999999999989</v>
      </c>
      <c r="O275" s="7" t="str">
        <f ca="1">'Database MK'!DE276</f>
        <v>Sudah, OnSchedule</v>
      </c>
      <c r="P275" s="7" t="str">
        <f ca="1">'Database MK'!DI276</f>
        <v>Sudah, OnSchedule</v>
      </c>
      <c r="Q275" s="7" t="str">
        <f ca="1">'Database MK'!DN276</f>
        <v>Sudah, OnSchedule</v>
      </c>
      <c r="R275" s="7" t="str">
        <f ca="1">'Database MK'!DR276</f>
        <v>Sudah, OnSchedule</v>
      </c>
      <c r="S275" s="7" t="str">
        <f ca="1">'Database MK'!EA276</f>
        <v>Sudah, OnSchedule</v>
      </c>
      <c r="T275" s="7" t="str">
        <f ca="1">'Database MK'!EI276</f>
        <v>Belum, Delay</v>
      </c>
      <c r="U275" s="7" t="str">
        <f ca="1">'Database MK'!ET276</f>
        <v>Belum, Delay</v>
      </c>
      <c r="V275" s="7" t="str">
        <f ca="1">'Database MK'!GA276</f>
        <v>Belum, Delay</v>
      </c>
      <c r="W275" s="7" t="str">
        <f ca="1">'Database MK'!GD276</f>
        <v>Sudah, Delay</v>
      </c>
      <c r="X275" s="7" t="str">
        <f ca="1">'Database MK'!GG276</f>
        <v>Sudah, Delay</v>
      </c>
      <c r="Y275" s="7" t="str">
        <f ca="1">'Database MK'!GK276</f>
        <v>Sudah, Delay</v>
      </c>
      <c r="Z275" s="7" t="str">
        <f ca="1">'Database MK'!HH276</f>
        <v>Belum, Delay</v>
      </c>
      <c r="AA275" s="7" t="str">
        <f ca="1">'Database MK'!HQ276</f>
        <v>Belum, Delay</v>
      </c>
      <c r="AB275" s="7" t="str">
        <f ca="1">'Database MK'!HW276</f>
        <v>Belum, Delay</v>
      </c>
      <c r="AC275" s="7">
        <f>'Database MK'!DA276-'Database MK'!DB276</f>
        <v>48</v>
      </c>
      <c r="AD275" s="7">
        <f>'Database MK'!DA276-'Database MK'!DF276</f>
        <v>47</v>
      </c>
      <c r="AE275" s="7">
        <f>'Database MK'!DK276-'Database MK'!DL276</f>
        <v>61</v>
      </c>
      <c r="AF275" s="7">
        <f>'Database MK'!DK276-'Database MK'!DO276</f>
        <v>12</v>
      </c>
      <c r="AG275" s="7">
        <f>'Database MK'!DU276-'Database MK'!DW276</f>
        <v>33</v>
      </c>
      <c r="AH275" s="7" t="str">
        <f>IF('Database MK'!EB276="","Belum",'Database MK'!DU276-'Database MK'!EB276)</f>
        <v>Belum</v>
      </c>
      <c r="AI275" s="7" t="str">
        <f>IF('Database MK'!EN276="","Belum",'Database MK'!EL276-'Database MK'!EN276)</f>
        <v>Belum</v>
      </c>
      <c r="AJ275" s="7">
        <f>'Database MK'!FY276-'Database MK'!FZ276</f>
        <v>0</v>
      </c>
      <c r="AK275" s="7">
        <f>IF('Database MK'!GC276="","Belum",'Database MK'!GB276-'Database MK'!GC276)</f>
        <v>-59</v>
      </c>
      <c r="AL275" s="7">
        <f>IF('Database MK'!GF276="","Belum",'Database MK'!GE276-'Database MK'!GF276)</f>
        <v>-52</v>
      </c>
      <c r="AM275" s="309">
        <f>IF('Database MK'!GJ276="","Belum",'Database MK'!GI276-'Database MK'!GJ276)</f>
        <v>-52</v>
      </c>
      <c r="AN275" s="7" t="str">
        <f>IF('Database MK'!HG276="","Belum",'Database MK'!HF276-'Database MK'!HG276)</f>
        <v>Belum</v>
      </c>
      <c r="AO275" s="7" t="str">
        <f>IF('Database MK'!HP276="","Belum",'Database MK'!HN276-'Database MK'!HP276)</f>
        <v>Belum</v>
      </c>
      <c r="AP275" s="7" t="str">
        <f>IF('Database MK'!HV276="","Belum",'Database MK'!HT276-'Database MK'!HV276)</f>
        <v>Belum</v>
      </c>
    </row>
    <row r="276" spans="2:42" hidden="1" x14ac:dyDescent="0.2">
      <c r="B276" s="7">
        <f>SUBTOTAL(3,$C$4:C276)</f>
        <v>74</v>
      </c>
      <c r="C276" s="4" t="s">
        <v>244</v>
      </c>
      <c r="D276" s="4" t="s">
        <v>2176</v>
      </c>
      <c r="E276" s="4" t="s">
        <v>2177</v>
      </c>
      <c r="F276" s="300">
        <v>46113</v>
      </c>
      <c r="G276" s="4" t="s">
        <v>681</v>
      </c>
      <c r="H276" s="4" t="str">
        <f ca="1">'Database MK'!Q277</f>
        <v>Proses Konstruksi</v>
      </c>
      <c r="I276" s="24">
        <f>'Database MK'!S277</f>
        <v>1</v>
      </c>
      <c r="J276" s="24">
        <f>'Database MK'!T277</f>
        <v>0.44299125948442286</v>
      </c>
      <c r="K276" s="603">
        <f>'Database MK'!U277</f>
        <v>-0.55700874051557714</v>
      </c>
      <c r="L276" s="593">
        <f>'Database MK'!V277</f>
        <v>687.5</v>
      </c>
      <c r="M276" s="593">
        <f>'Database MK'!W277</f>
        <v>719</v>
      </c>
      <c r="N276" s="593">
        <f>Table3[[#This Row],[Total Panjang Pipa Aktual]]-Table3[[#This Row],[Volume
BA MC-0]]</f>
        <v>31.5</v>
      </c>
      <c r="O276" s="7" t="str">
        <f ca="1">'Database MK'!DE277</f>
        <v>Sudah, OnSchedule</v>
      </c>
      <c r="P276" s="7" t="str">
        <f ca="1">'Database MK'!DI277</f>
        <v>Sudah, OnSchedule</v>
      </c>
      <c r="Q276" s="7" t="str">
        <f ca="1">'Database MK'!DN277</f>
        <v>Sudah, OnSchedule</v>
      </c>
      <c r="R276" s="7" t="str">
        <f ca="1">'Database MK'!DR277</f>
        <v>Sudah, Delay</v>
      </c>
      <c r="S276" s="7" t="str">
        <f ca="1">'Database MK'!EA277</f>
        <v>Sudah, OnSchedule</v>
      </c>
      <c r="T276" s="7" t="str">
        <f ca="1">'Database MK'!EI277</f>
        <v>Belum, Delay</v>
      </c>
      <c r="U276" s="7" t="str">
        <f ca="1">'Database MK'!ET277</f>
        <v>Belum, Delay</v>
      </c>
      <c r="V276" s="7" t="str">
        <f ca="1">'Database MK'!GA277</f>
        <v>Belum, Delay</v>
      </c>
      <c r="W276" s="7" t="str">
        <f ca="1">'Database MK'!GD277</f>
        <v>Sudah, OnSchedule</v>
      </c>
      <c r="X276" s="7" t="str">
        <f ca="1">'Database MK'!GG277</f>
        <v>Sudah, OnSchedule</v>
      </c>
      <c r="Y276" s="7" t="str">
        <f ca="1">'Database MK'!GK277</f>
        <v>Sudah, OnSchedule</v>
      </c>
      <c r="Z276" s="7" t="str">
        <f ca="1">'Database MK'!HH277</f>
        <v>Belum, Delay</v>
      </c>
      <c r="AA276" s="7" t="str">
        <f ca="1">'Database MK'!HQ277</f>
        <v>Belum, Delay</v>
      </c>
      <c r="AB276" s="7" t="str">
        <f ca="1">'Database MK'!HW277</f>
        <v>Belum, Delay</v>
      </c>
      <c r="AC276" s="7">
        <f>'Database MK'!DA277-'Database MK'!DB277</f>
        <v>110</v>
      </c>
      <c r="AD276" s="7">
        <f>'Database MK'!DA277-'Database MK'!DF277</f>
        <v>90</v>
      </c>
      <c r="AE276" s="7">
        <f>'Database MK'!DK277-'Database MK'!DL277</f>
        <v>120</v>
      </c>
      <c r="AF276" s="7">
        <f>'Database MK'!DK277-'Database MK'!DO277</f>
        <v>-33</v>
      </c>
      <c r="AG276" s="7">
        <f>'Database MK'!DU277-'Database MK'!DW277</f>
        <v>99</v>
      </c>
      <c r="AH276" s="7" t="str">
        <f>IF('Database MK'!EB277="","Belum",'Database MK'!DU277-'Database MK'!EB277)</f>
        <v>Belum</v>
      </c>
      <c r="AI276" s="7" t="str">
        <f>IF('Database MK'!EN277="","Belum",'Database MK'!EL277-'Database MK'!EN277)</f>
        <v>Belum</v>
      </c>
      <c r="AJ276" s="7">
        <f>'Database MK'!FY277-'Database MK'!FZ277</f>
        <v>0</v>
      </c>
      <c r="AK276" s="7">
        <f>IF('Database MK'!GC277="","Belum",'Database MK'!GB277-'Database MK'!GC277)</f>
        <v>36</v>
      </c>
      <c r="AL276" s="7">
        <f>IF('Database MK'!GF277="","Belum",'Database MK'!GE277-'Database MK'!GF277)</f>
        <v>43</v>
      </c>
      <c r="AM276" s="309">
        <f>IF('Database MK'!GJ277="","Belum",'Database MK'!GI277-'Database MK'!GJ277)</f>
        <v>25</v>
      </c>
      <c r="AN276" s="7" t="str">
        <f>IF('Database MK'!HG277="","Belum",'Database MK'!HF277-'Database MK'!HG277)</f>
        <v>Belum</v>
      </c>
      <c r="AO276" s="7" t="str">
        <f>IF('Database MK'!HP277="","Belum",'Database MK'!HN277-'Database MK'!HP277)</f>
        <v>Belum</v>
      </c>
      <c r="AP276" s="7" t="str">
        <f>IF('Database MK'!HV277="","Belum",'Database MK'!HT277-'Database MK'!HV277)</f>
        <v>Belum</v>
      </c>
    </row>
    <row r="277" spans="2:42" s="77" customFormat="1" hidden="1" x14ac:dyDescent="0.2">
      <c r="B277" s="307">
        <f>SUBTOTAL(3,$C$4:C277)</f>
        <v>74</v>
      </c>
      <c r="C277" s="77" t="s">
        <v>244</v>
      </c>
      <c r="D277" s="77" t="s">
        <v>2184</v>
      </c>
      <c r="E277" s="77" t="s">
        <v>2185</v>
      </c>
      <c r="F277" s="302">
        <v>46113</v>
      </c>
      <c r="G277" s="77" t="s">
        <v>681</v>
      </c>
      <c r="H277" s="77" t="str">
        <f>'Database MK'!Q278</f>
        <v>BATAL / CANCEL</v>
      </c>
      <c r="I277" s="604">
        <f>'Database MK'!S278</f>
        <v>1</v>
      </c>
      <c r="J277" s="604">
        <f>'Database MK'!T278</f>
        <v>0</v>
      </c>
      <c r="K277" s="605">
        <f>'Database MK'!U278</f>
        <v>-1</v>
      </c>
      <c r="L277" s="594">
        <f>'Database MK'!V278</f>
        <v>0</v>
      </c>
      <c r="M277" s="594">
        <f>'Database MK'!W278</f>
        <v>0</v>
      </c>
      <c r="N277" s="594">
        <f>Table3[[#This Row],[Total Panjang Pipa Aktual]]-Table3[[#This Row],[Volume
BA MC-0]]</f>
        <v>0</v>
      </c>
      <c r="O277" s="307" t="str">
        <f ca="1">'Database MK'!DE278</f>
        <v>Sudah, OnSchedule</v>
      </c>
      <c r="P277" s="307">
        <f>'Database MK'!DI278</f>
        <v>0</v>
      </c>
      <c r="Q277" s="307">
        <f>'Database MK'!DN278</f>
        <v>0</v>
      </c>
      <c r="R277" s="307">
        <f>'Database MK'!DR278</f>
        <v>0</v>
      </c>
      <c r="S277" s="307">
        <f>'Database MK'!EA278</f>
        <v>0</v>
      </c>
      <c r="T277" s="307" t="str">
        <f ca="1">'Database MK'!EI278</f>
        <v>Belum, Delay</v>
      </c>
      <c r="U277" s="307" t="str">
        <f ca="1">'Database MK'!ET278</f>
        <v>Belum, Delay</v>
      </c>
      <c r="V277" s="307" t="str">
        <f ca="1">'Database MK'!GA278</f>
        <v>Belum, Delay</v>
      </c>
      <c r="W277" s="307" t="str">
        <f ca="1">'Database MK'!GD278</f>
        <v>Sudah, Delay</v>
      </c>
      <c r="X277" s="307" t="str">
        <f ca="1">'Database MK'!GG278</f>
        <v>Sudah, Delay</v>
      </c>
      <c r="Y277" s="307" t="str">
        <f ca="1">'Database MK'!GK278</f>
        <v>Sudah, Delay</v>
      </c>
      <c r="Z277" s="307" t="str">
        <f ca="1">'Database MK'!HH278</f>
        <v>Belum, Delay</v>
      </c>
      <c r="AA277" s="307" t="str">
        <f ca="1">'Database MK'!HQ278</f>
        <v>Belum, Delay</v>
      </c>
      <c r="AB277" s="307" t="str">
        <f ca="1">'Database MK'!HW278</f>
        <v>Belum, Delay</v>
      </c>
      <c r="AC277" s="307"/>
      <c r="AD277" s="307"/>
      <c r="AE277" s="307"/>
      <c r="AF277" s="307"/>
      <c r="AG277" s="307"/>
      <c r="AH277" s="307"/>
      <c r="AI277" s="307"/>
      <c r="AJ277" s="307">
        <f>'Database MK'!FY278-'Database MK'!FZ278</f>
        <v>0</v>
      </c>
      <c r="AK277" s="307"/>
      <c r="AL277" s="307"/>
      <c r="AM277" s="310"/>
      <c r="AN277" s="307"/>
      <c r="AO277" s="307"/>
      <c r="AP277" s="307"/>
    </row>
    <row r="278" spans="2:42" hidden="1" x14ac:dyDescent="0.2">
      <c r="B278" s="7">
        <f>SUBTOTAL(3,$C$4:C278)</f>
        <v>74</v>
      </c>
      <c r="C278" s="4" t="s">
        <v>244</v>
      </c>
      <c r="D278" s="4" t="s">
        <v>2192</v>
      </c>
      <c r="E278" s="4" t="s">
        <v>2193</v>
      </c>
      <c r="F278" s="300">
        <v>46113</v>
      </c>
      <c r="G278" s="4" t="s">
        <v>681</v>
      </c>
      <c r="H278" s="4" t="str">
        <f ca="1">'Database MK'!Q279</f>
        <v>Tes Com</v>
      </c>
      <c r="I278" s="24">
        <f>'Database MK'!S279</f>
        <v>1</v>
      </c>
      <c r="J278" s="24">
        <f>'Database MK'!T279</f>
        <v>0.72493115634893013</v>
      </c>
      <c r="K278" s="603">
        <f>'Database MK'!U279</f>
        <v>-0.27506884365106987</v>
      </c>
      <c r="L278" s="593">
        <f>'Database MK'!V279</f>
        <v>245.3</v>
      </c>
      <c r="M278" s="593">
        <f>'Database MK'!W279</f>
        <v>207</v>
      </c>
      <c r="N278" s="593">
        <f>Table3[[#This Row],[Total Panjang Pipa Aktual]]-Table3[[#This Row],[Volume
BA MC-0]]</f>
        <v>-38.300000000000011</v>
      </c>
      <c r="O278" s="7" t="str">
        <f ca="1">'Database MK'!DE279</f>
        <v>Sudah, OnSchedule</v>
      </c>
      <c r="P278" s="7" t="str">
        <f ca="1">'Database MK'!DI279</f>
        <v>Sudah, OnSchedule</v>
      </c>
      <c r="Q278" s="7" t="str">
        <f ca="1">'Database MK'!DN279</f>
        <v>Sudah, OnSchedule</v>
      </c>
      <c r="R278" s="7" t="str">
        <f ca="1">'Database MK'!DR279</f>
        <v>Sudah, OnSchedule</v>
      </c>
      <c r="S278" s="7" t="str">
        <f ca="1">'Database MK'!EA279</f>
        <v>Sudah, OnSchedule</v>
      </c>
      <c r="T278" s="7" t="str">
        <f ca="1">'Database MK'!EI279</f>
        <v>Sudah, Delay</v>
      </c>
      <c r="U278" s="7" t="str">
        <f ca="1">'Database MK'!ET279</f>
        <v>Belum, Delay</v>
      </c>
      <c r="V278" s="7" t="str">
        <f ca="1">'Database MK'!GA279</f>
        <v>Belum, Delay</v>
      </c>
      <c r="W278" s="7" t="str">
        <f ca="1">'Database MK'!GD279</f>
        <v>Sudah, Delay</v>
      </c>
      <c r="X278" s="7" t="str">
        <f ca="1">'Database MK'!GG279</f>
        <v>Sudah, Delay</v>
      </c>
      <c r="Y278" s="7" t="str">
        <f ca="1">'Database MK'!GK279</f>
        <v>Sudah, Delay</v>
      </c>
      <c r="Z278" s="7" t="str">
        <f ca="1">'Database MK'!HH279</f>
        <v>Sudah, Delay</v>
      </c>
      <c r="AA278" s="7" t="str">
        <f ca="1">'Database MK'!HQ279</f>
        <v>Belum, Delay</v>
      </c>
      <c r="AB278" s="7" t="str">
        <f ca="1">'Database MK'!HW279</f>
        <v>Belum, Delay</v>
      </c>
      <c r="AC278" s="7">
        <f>'Database MK'!DA279-'Database MK'!DB279</f>
        <v>83</v>
      </c>
      <c r="AD278" s="7">
        <f>'Database MK'!DA279-'Database MK'!DF279</f>
        <v>66</v>
      </c>
      <c r="AE278" s="7">
        <f>'Database MK'!DK279-'Database MK'!DL279</f>
        <v>103</v>
      </c>
      <c r="AF278" s="7">
        <f>'Database MK'!DK279-'Database MK'!DO279</f>
        <v>52</v>
      </c>
      <c r="AG278" s="7">
        <f>'Database MK'!DU279-'Database MK'!DW279</f>
        <v>82</v>
      </c>
      <c r="AH278" s="7">
        <f>IF('Database MK'!EB279="","Belum",'Database MK'!DU279-'Database MK'!EB279)</f>
        <v>-99</v>
      </c>
      <c r="AI278" s="7" t="str">
        <f>IF('Database MK'!EN279="","Belum",'Database MK'!EL279-'Database MK'!EN279)</f>
        <v>Belum</v>
      </c>
      <c r="AJ278" s="7">
        <f>'Database MK'!FY279-'Database MK'!FZ279</f>
        <v>0</v>
      </c>
      <c r="AK278" s="7">
        <f>IF('Database MK'!GC279="","Belum",'Database MK'!GB279-'Database MK'!GC279)</f>
        <v>-31</v>
      </c>
      <c r="AL278" s="7">
        <f>IF('Database MK'!GF279="","Belum",'Database MK'!GE279-'Database MK'!GF279)</f>
        <v>-24</v>
      </c>
      <c r="AM278" s="309">
        <f>IF('Database MK'!GJ279="","Belum",'Database MK'!GI279-'Database MK'!GJ279)</f>
        <v>-26</v>
      </c>
      <c r="AN278" s="7">
        <f>IF('Database MK'!HG279="","Belum",'Database MK'!HF279-'Database MK'!HG279)</f>
        <v>-185</v>
      </c>
      <c r="AO278" s="7" t="str">
        <f>IF('Database MK'!HP279="","Belum",'Database MK'!HN279-'Database MK'!HP279)</f>
        <v>Belum</v>
      </c>
      <c r="AP278" s="7" t="str">
        <f>IF('Database MK'!HV279="","Belum",'Database MK'!HT279-'Database MK'!HV279)</f>
        <v>Belum</v>
      </c>
    </row>
    <row r="279" spans="2:42" hidden="1" x14ac:dyDescent="0.2">
      <c r="B279" s="7">
        <f>SUBTOTAL(3,$C$4:C279)</f>
        <v>74</v>
      </c>
      <c r="C279" s="4" t="s">
        <v>244</v>
      </c>
      <c r="D279" s="4" t="s">
        <v>2201</v>
      </c>
      <c r="E279" s="4" t="s">
        <v>2202</v>
      </c>
      <c r="F279" s="300">
        <v>46113</v>
      </c>
      <c r="G279" s="4" t="s">
        <v>681</v>
      </c>
      <c r="H279" s="4" t="str">
        <f ca="1">'Database MK'!Q280</f>
        <v>Tes Com</v>
      </c>
      <c r="I279" s="24">
        <f>'Database MK'!S280</f>
        <v>1</v>
      </c>
      <c r="J279" s="24">
        <f>'Database MK'!T280</f>
        <v>0.78616415985481292</v>
      </c>
      <c r="K279" s="603">
        <f>'Database MK'!U280</f>
        <v>-0.21383584014518708</v>
      </c>
      <c r="L279" s="593">
        <f>'Database MK'!V280</f>
        <v>495</v>
      </c>
      <c r="M279" s="593">
        <f>'Database MK'!W280</f>
        <v>480</v>
      </c>
      <c r="N279" s="593">
        <f>Table3[[#This Row],[Total Panjang Pipa Aktual]]-Table3[[#This Row],[Volume
BA MC-0]]</f>
        <v>-15</v>
      </c>
      <c r="O279" s="7" t="str">
        <f ca="1">'Database MK'!DE280</f>
        <v>Sudah, OnSchedule</v>
      </c>
      <c r="P279" s="7" t="str">
        <f ca="1">'Database MK'!DI280</f>
        <v>Sudah, OnSchedule</v>
      </c>
      <c r="Q279" s="7" t="str">
        <f ca="1">'Database MK'!DN280</f>
        <v>Sudah, OnSchedule</v>
      </c>
      <c r="R279" s="7" t="str">
        <f ca="1">'Database MK'!DR280</f>
        <v>Sudah, OnSchedule</v>
      </c>
      <c r="S279" s="7" t="str">
        <f ca="1">'Database MK'!EA280</f>
        <v>Sudah, OnSchedule</v>
      </c>
      <c r="T279" s="7" t="str">
        <f ca="1">'Database MK'!EI280</f>
        <v>Belum, Delay</v>
      </c>
      <c r="U279" s="7" t="str">
        <f ca="1">'Database MK'!ET280</f>
        <v>Belum, Delay</v>
      </c>
      <c r="V279" s="7" t="str">
        <f ca="1">'Database MK'!GA280</f>
        <v>Belum, Delay</v>
      </c>
      <c r="W279" s="7" t="str">
        <f ca="1">'Database MK'!GD280</f>
        <v>Sudah, OnSchedule</v>
      </c>
      <c r="X279" s="7" t="str">
        <f ca="1">'Database MK'!GG280</f>
        <v>Sudah, OnSchedule</v>
      </c>
      <c r="Y279" s="7" t="str">
        <f ca="1">'Database MK'!GK280</f>
        <v>Sudah, OnSchedule</v>
      </c>
      <c r="Z279" s="7" t="str">
        <f ca="1">'Database MK'!HH280</f>
        <v>Sudah, Delay</v>
      </c>
      <c r="AA279" s="7" t="str">
        <f ca="1">'Database MK'!HQ280</f>
        <v>Belum, Delay</v>
      </c>
      <c r="AB279" s="7" t="str">
        <f ca="1">'Database MK'!HW280</f>
        <v>Belum, Delay</v>
      </c>
      <c r="AC279" s="7">
        <f>'Database MK'!DA280-'Database MK'!DB280</f>
        <v>83</v>
      </c>
      <c r="AD279" s="7">
        <f>'Database MK'!DA280-'Database MK'!DF280</f>
        <v>62</v>
      </c>
      <c r="AE279" s="7">
        <f>'Database MK'!DK280-'Database MK'!DL280</f>
        <v>96</v>
      </c>
      <c r="AF279" s="7">
        <f>'Database MK'!DK280-'Database MK'!DO280</f>
        <v>52</v>
      </c>
      <c r="AG279" s="7">
        <f>'Database MK'!DU280-'Database MK'!DW280</f>
        <v>75</v>
      </c>
      <c r="AH279" s="7" t="str">
        <f>IF('Database MK'!EB280="","Belum",'Database MK'!DU280-'Database MK'!EB280)</f>
        <v>Belum</v>
      </c>
      <c r="AI279" s="7" t="str">
        <f>IF('Database MK'!EN280="","Belum",'Database MK'!EL280-'Database MK'!EN280)</f>
        <v>Belum</v>
      </c>
      <c r="AJ279" s="7">
        <f>'Database MK'!FY280-'Database MK'!FZ280</f>
        <v>0</v>
      </c>
      <c r="AK279" s="7">
        <f>IF('Database MK'!GC280="","Belum",'Database MK'!GB280-'Database MK'!GC280)</f>
        <v>34</v>
      </c>
      <c r="AL279" s="7">
        <f>IF('Database MK'!GF280="","Belum",'Database MK'!GE280-'Database MK'!GF280)</f>
        <v>41</v>
      </c>
      <c r="AM279" s="309">
        <f>IF('Database MK'!GJ280="","Belum",'Database MK'!GI280-'Database MK'!GJ280)</f>
        <v>40</v>
      </c>
      <c r="AN279" s="7">
        <f>IF('Database MK'!HG280="","Belum",'Database MK'!HF280-'Database MK'!HG280)</f>
        <v>-164</v>
      </c>
      <c r="AO279" s="7" t="str">
        <f>IF('Database MK'!HP280="","Belum",'Database MK'!HN280-'Database MK'!HP280)</f>
        <v>Belum</v>
      </c>
      <c r="AP279" s="7" t="str">
        <f>IF('Database MK'!HV280="","Belum",'Database MK'!HT280-'Database MK'!HV280)</f>
        <v>Belum</v>
      </c>
    </row>
    <row r="280" spans="2:42" hidden="1" x14ac:dyDescent="0.2">
      <c r="B280" s="7">
        <f>SUBTOTAL(3,$C$4:C280)</f>
        <v>74</v>
      </c>
      <c r="C280" s="4" t="s">
        <v>244</v>
      </c>
      <c r="D280" s="4" t="s">
        <v>2209</v>
      </c>
      <c r="E280" s="4" t="s">
        <v>2210</v>
      </c>
      <c r="F280" s="300">
        <v>46113</v>
      </c>
      <c r="G280" s="4" t="s">
        <v>681</v>
      </c>
      <c r="H280" s="4" t="str">
        <f ca="1">'Database MK'!Q281</f>
        <v>DPPP</v>
      </c>
      <c r="I280" s="24">
        <f>'Database MK'!S281</f>
        <v>1</v>
      </c>
      <c r="J280" s="24">
        <f>'Database MK'!T281</f>
        <v>1</v>
      </c>
      <c r="K280" s="603">
        <f>'Database MK'!U281</f>
        <v>0</v>
      </c>
      <c r="L280" s="593">
        <f>'Database MK'!V281</f>
        <v>435</v>
      </c>
      <c r="M280" s="593">
        <f>'Database MK'!W281</f>
        <v>427</v>
      </c>
      <c r="N280" s="593">
        <f>Table3[[#This Row],[Total Panjang Pipa Aktual]]-Table3[[#This Row],[Volume
BA MC-0]]</f>
        <v>-8</v>
      </c>
      <c r="O280" s="7" t="str">
        <f ca="1">'Database MK'!DE281</f>
        <v>Sudah, OnSchedule</v>
      </c>
      <c r="P280" s="7" t="str">
        <f ca="1">'Database MK'!DI281</f>
        <v>Sudah, OnSchedule</v>
      </c>
      <c r="Q280" s="7" t="str">
        <f ca="1">'Database MK'!DN281</f>
        <v>Sudah, OnSchedule</v>
      </c>
      <c r="R280" s="7" t="str">
        <f ca="1">'Database MK'!DR281</f>
        <v>Sudah, OnSchedule</v>
      </c>
      <c r="S280" s="7" t="str">
        <f ca="1">'Database MK'!EA281</f>
        <v>Sudah, OnSchedule</v>
      </c>
      <c r="T280" s="7" t="str">
        <f ca="1">'Database MK'!EI281</f>
        <v>Sudah, Delay</v>
      </c>
      <c r="U280" s="7" t="str">
        <f ca="1">'Database MK'!ET281</f>
        <v>Sudah, Delay</v>
      </c>
      <c r="V280" s="7" t="str">
        <f ca="1">'Database MK'!GA281</f>
        <v>Belum, Delay</v>
      </c>
      <c r="W280" s="7" t="str">
        <f ca="1">'Database MK'!GD281</f>
        <v>Sudah, OnSchedule</v>
      </c>
      <c r="X280" s="7" t="str">
        <f ca="1">'Database MK'!GG281</f>
        <v>Sudah, OnSchedule</v>
      </c>
      <c r="Y280" s="7" t="str">
        <f ca="1">'Database MK'!GK281</f>
        <v>Sudah, OnSchedule</v>
      </c>
      <c r="Z280" s="7" t="str">
        <f ca="1">'Database MK'!HH281</f>
        <v>Sudah, Delay</v>
      </c>
      <c r="AA280" s="7" t="str">
        <f ca="1">'Database MK'!HQ281</f>
        <v>Sudah, Delay</v>
      </c>
      <c r="AB280" s="7" t="str">
        <f ca="1">'Database MK'!HW281</f>
        <v>Sudah, Delay</v>
      </c>
      <c r="AC280" s="7">
        <f>'Database MK'!DA281-'Database MK'!DB281</f>
        <v>83</v>
      </c>
      <c r="AD280" s="7">
        <f>'Database MK'!DA281-'Database MK'!DF281</f>
        <v>66</v>
      </c>
      <c r="AE280" s="7">
        <f>'Database MK'!DK281-'Database MK'!DL281</f>
        <v>103</v>
      </c>
      <c r="AF280" s="7">
        <f>'Database MK'!DK281-'Database MK'!DO281</f>
        <v>48</v>
      </c>
      <c r="AG280" s="7">
        <f>'Database MK'!DU281-'Database MK'!DW281</f>
        <v>82</v>
      </c>
      <c r="AH280" s="7">
        <f>IF('Database MK'!EB281="","Belum",'Database MK'!DU281-'Database MK'!EB281)</f>
        <v>-99</v>
      </c>
      <c r="AI280" s="7">
        <f>IF('Database MK'!EN281="","Belum",'Database MK'!EL281-'Database MK'!EN281)</f>
        <v>-96</v>
      </c>
      <c r="AJ280" s="7">
        <f>'Database MK'!FY281-'Database MK'!FZ281</f>
        <v>0</v>
      </c>
      <c r="AK280" s="7">
        <f>IF('Database MK'!GC281="","Belum",'Database MK'!GB281-'Database MK'!GC281)</f>
        <v>8</v>
      </c>
      <c r="AL280" s="7">
        <f>IF('Database MK'!GF281="","Belum",'Database MK'!GE281-'Database MK'!GF281)</f>
        <v>15</v>
      </c>
      <c r="AM280" s="309">
        <f>IF('Database MK'!GJ281="","Belum",'Database MK'!GI281-'Database MK'!GJ281)</f>
        <v>46</v>
      </c>
      <c r="AN280" s="7">
        <f>IF('Database MK'!HG281="","Belum",'Database MK'!HF281-'Database MK'!HG281)</f>
        <v>-37</v>
      </c>
      <c r="AO280" s="7">
        <f>IF('Database MK'!HP281="","Belum",'Database MK'!HN281-'Database MK'!HP281)</f>
        <v>-88</v>
      </c>
      <c r="AP280" s="7">
        <f>IF('Database MK'!HV281="","Belum",'Database MK'!HT281-'Database MK'!HV281)</f>
        <v>-82</v>
      </c>
    </row>
    <row r="281" spans="2:42" s="77" customFormat="1" hidden="1" x14ac:dyDescent="0.2">
      <c r="B281" s="307">
        <f>SUBTOTAL(3,$C$4:C281)</f>
        <v>74</v>
      </c>
      <c r="C281" s="77" t="s">
        <v>244</v>
      </c>
      <c r="D281" s="77" t="s">
        <v>2218</v>
      </c>
      <c r="E281" s="77" t="s">
        <v>2219</v>
      </c>
      <c r="F281" s="302">
        <v>46113</v>
      </c>
      <c r="G281" s="77" t="s">
        <v>681</v>
      </c>
      <c r="H281" s="77" t="str">
        <f>'Database MK'!Q282</f>
        <v>BATAL / CANCEL</v>
      </c>
      <c r="I281" s="604">
        <f>'Database MK'!S282</f>
        <v>1</v>
      </c>
      <c r="J281" s="604">
        <f>'Database MK'!T282</f>
        <v>0</v>
      </c>
      <c r="K281" s="605">
        <f>'Database MK'!U282</f>
        <v>-1</v>
      </c>
      <c r="L281" s="594">
        <f>'Database MK'!V282</f>
        <v>66.400000000000006</v>
      </c>
      <c r="M281" s="594">
        <f>'Database MK'!W282</f>
        <v>0</v>
      </c>
      <c r="N281" s="594">
        <f>Table3[[#This Row],[Total Panjang Pipa Aktual]]-Table3[[#This Row],[Volume
BA MC-0]]</f>
        <v>-66.400000000000006</v>
      </c>
      <c r="O281" s="307" t="str">
        <f ca="1">'Database MK'!DE282</f>
        <v>Sudah, OnSchedule</v>
      </c>
      <c r="P281" s="307">
        <f>'Database MK'!DI282</f>
        <v>0</v>
      </c>
      <c r="Q281" s="307">
        <f>'Database MK'!DN282</f>
        <v>0</v>
      </c>
      <c r="R281" s="307">
        <f>'Database MK'!DR282</f>
        <v>0</v>
      </c>
      <c r="S281" s="307">
        <f>'Database MK'!EA282</f>
        <v>0</v>
      </c>
      <c r="T281" s="307" t="str">
        <f ca="1">'Database MK'!EI282</f>
        <v>Belum, Delay</v>
      </c>
      <c r="U281" s="307" t="str">
        <f ca="1">'Database MK'!ET282</f>
        <v>Belum, Delay</v>
      </c>
      <c r="V281" s="307" t="str">
        <f ca="1">'Database MK'!GA282</f>
        <v>Belum, Delay</v>
      </c>
      <c r="W281" s="307" t="str">
        <f ca="1">'Database MK'!GD282</f>
        <v>Sudah, Delay</v>
      </c>
      <c r="X281" s="307" t="str">
        <f ca="1">'Database MK'!GG282</f>
        <v>Sudah, Delay</v>
      </c>
      <c r="Y281" s="307" t="str">
        <f ca="1">'Database MK'!GK282</f>
        <v>Sudah, Delay</v>
      </c>
      <c r="Z281" s="307" t="str">
        <f ca="1">'Database MK'!HH282</f>
        <v>Belum, Delay</v>
      </c>
      <c r="AA281" s="307" t="str">
        <f ca="1">'Database MK'!HQ282</f>
        <v>Belum, Delay</v>
      </c>
      <c r="AB281" s="307" t="str">
        <f ca="1">'Database MK'!HW282</f>
        <v>Belum, Delay</v>
      </c>
      <c r="AC281" s="307"/>
      <c r="AD281" s="307"/>
      <c r="AE281" s="307"/>
      <c r="AF281" s="307"/>
      <c r="AG281" s="307"/>
      <c r="AH281" s="307"/>
      <c r="AI281" s="307"/>
      <c r="AJ281" s="307">
        <f>'Database MK'!FY282-'Database MK'!FZ282</f>
        <v>0</v>
      </c>
      <c r="AK281" s="307"/>
      <c r="AL281" s="307"/>
      <c r="AM281" s="310"/>
      <c r="AN281" s="307"/>
      <c r="AO281" s="307"/>
      <c r="AP281" s="307"/>
    </row>
    <row r="282" spans="2:42" hidden="1" x14ac:dyDescent="0.2">
      <c r="B282" s="7">
        <f>SUBTOTAL(3,$C$4:C282)</f>
        <v>74</v>
      </c>
      <c r="C282" s="4" t="s">
        <v>244</v>
      </c>
      <c r="D282" s="4" t="s">
        <v>2226</v>
      </c>
      <c r="E282" s="4" t="s">
        <v>2227</v>
      </c>
      <c r="F282" s="300">
        <v>46113</v>
      </c>
      <c r="G282" s="4" t="s">
        <v>681</v>
      </c>
      <c r="H282" s="4" t="str">
        <f ca="1">'Database MK'!Q283</f>
        <v>MC-0</v>
      </c>
      <c r="I282" s="24">
        <f>'Database MK'!S283</f>
        <v>1</v>
      </c>
      <c r="J282" s="24">
        <f>'Database MK'!T283</f>
        <v>8.0431488699534023E-2</v>
      </c>
      <c r="K282" s="603">
        <f>'Database MK'!U283</f>
        <v>-0.91956851130046602</v>
      </c>
      <c r="L282" s="593">
        <f>'Database MK'!V283</f>
        <v>217</v>
      </c>
      <c r="M282" s="593">
        <f>'Database MK'!W283</f>
        <v>0</v>
      </c>
      <c r="N282" s="593">
        <f>Table3[[#This Row],[Total Panjang Pipa Aktual]]-Table3[[#This Row],[Volume
BA MC-0]]</f>
        <v>-217</v>
      </c>
      <c r="O282" s="7" t="str">
        <f ca="1">'Database MK'!DE283</f>
        <v>Sudah, OnSchedule</v>
      </c>
      <c r="P282" s="7" t="str">
        <f ca="1">'Database MK'!DI283</f>
        <v>Sudah, OnSchedule</v>
      </c>
      <c r="Q282" s="7" t="str">
        <f ca="1">'Database MK'!DN283</f>
        <v>Sudah, OnSchedule</v>
      </c>
      <c r="R282" s="7" t="str">
        <f ca="1">'Database MK'!DR283</f>
        <v>Sudah, OnSchedule</v>
      </c>
      <c r="S282" s="7" t="str">
        <f ca="1">'Database MK'!EA283</f>
        <v>Sudah, OnSchedule</v>
      </c>
      <c r="T282" s="7" t="str">
        <f ca="1">'Database MK'!EI283</f>
        <v>Belum, Delay</v>
      </c>
      <c r="U282" s="7" t="str">
        <f ca="1">'Database MK'!ET283</f>
        <v>Belum, Delay</v>
      </c>
      <c r="V282" s="7" t="str">
        <f ca="1">'Database MK'!GA283</f>
        <v>Belum, Delay</v>
      </c>
      <c r="W282" s="7" t="str">
        <f ca="1">'Database MK'!GD283</f>
        <v>Sudah, Delay</v>
      </c>
      <c r="X282" s="7" t="str">
        <f ca="1">'Database MK'!GG283</f>
        <v>Sudah, OnSchedule</v>
      </c>
      <c r="Y282" s="7" t="str">
        <f ca="1">'Database MK'!GK283</f>
        <v>Sudah, OnSchedule</v>
      </c>
      <c r="Z282" s="7" t="str">
        <f ca="1">'Database MK'!HH283</f>
        <v>Belum, Delay</v>
      </c>
      <c r="AA282" s="7" t="str">
        <f ca="1">'Database MK'!HQ283</f>
        <v>Belum, Delay</v>
      </c>
      <c r="AB282" s="7" t="str">
        <f ca="1">'Database MK'!HW283</f>
        <v>Belum, Delay</v>
      </c>
      <c r="AC282" s="7">
        <f>'Database MK'!DA283-'Database MK'!DB283</f>
        <v>110</v>
      </c>
      <c r="AD282" s="7">
        <f>'Database MK'!DA283-'Database MK'!DF283</f>
        <v>94</v>
      </c>
      <c r="AE282" s="7">
        <f>'Database MK'!DK283-'Database MK'!DL283</f>
        <v>131</v>
      </c>
      <c r="AF282" s="7">
        <f>'Database MK'!DK283-'Database MK'!DO283</f>
        <v>80</v>
      </c>
      <c r="AG282" s="7">
        <f>'Database MK'!DU283-'Database MK'!DW283</f>
        <v>110</v>
      </c>
      <c r="AH282" s="7" t="str">
        <f>IF('Database MK'!EB283="","Belum",'Database MK'!DU283-'Database MK'!EB283)</f>
        <v>Belum</v>
      </c>
      <c r="AI282" s="7" t="str">
        <f>IF('Database MK'!EN283="","Belum",'Database MK'!EL283-'Database MK'!EN283)</f>
        <v>Belum</v>
      </c>
      <c r="AJ282" s="7">
        <f>'Database MK'!FY283-'Database MK'!FZ283</f>
        <v>0</v>
      </c>
      <c r="AK282" s="7">
        <f>IF('Database MK'!GC283="","Belum",'Database MK'!GB283-'Database MK'!GC283)</f>
        <v>-3</v>
      </c>
      <c r="AL282" s="7">
        <f>IF('Database MK'!GF283="","Belum",'Database MK'!GE283-'Database MK'!GF283)</f>
        <v>4</v>
      </c>
      <c r="AM282" s="309">
        <f>IF('Database MK'!GJ283="","Belum",'Database MK'!GI283-'Database MK'!GJ283)</f>
        <v>2</v>
      </c>
      <c r="AN282" s="7" t="str">
        <f>IF('Database MK'!HG283="","Belum",'Database MK'!HF283-'Database MK'!HG283)</f>
        <v>Belum</v>
      </c>
      <c r="AO282" s="7" t="str">
        <f>IF('Database MK'!HP283="","Belum",'Database MK'!HN283-'Database MK'!HP283)</f>
        <v>Belum</v>
      </c>
      <c r="AP282" s="7" t="str">
        <f>IF('Database MK'!HV283="","Belum",'Database MK'!HT283-'Database MK'!HV283)</f>
        <v>Belum</v>
      </c>
    </row>
    <row r="283" spans="2:42" hidden="1" x14ac:dyDescent="0.2">
      <c r="B283" s="7">
        <f>SUBTOTAL(3,$C$4:C283)</f>
        <v>74</v>
      </c>
      <c r="C283" s="4" t="s">
        <v>244</v>
      </c>
      <c r="D283" s="4" t="s">
        <v>2234</v>
      </c>
      <c r="E283" s="4" t="s">
        <v>2235</v>
      </c>
      <c r="F283" s="300">
        <v>46113</v>
      </c>
      <c r="G283" s="4" t="s">
        <v>681</v>
      </c>
      <c r="H283" s="4" t="str">
        <f ca="1">'Database MK'!Q284</f>
        <v>Tes Com</v>
      </c>
      <c r="I283" s="24">
        <f>'Database MK'!S284</f>
        <v>1</v>
      </c>
      <c r="J283" s="24">
        <f>'Database MK'!T284</f>
        <v>0.80698473600977161</v>
      </c>
      <c r="K283" s="603">
        <f>'Database MK'!U284</f>
        <v>-0.19301526399022839</v>
      </c>
      <c r="L283" s="593">
        <f>'Database MK'!V284</f>
        <v>55</v>
      </c>
      <c r="M283" s="593">
        <f>'Database MK'!W284</f>
        <v>71</v>
      </c>
      <c r="N283" s="593">
        <f>Table3[[#This Row],[Total Panjang Pipa Aktual]]-Table3[[#This Row],[Volume
BA MC-0]]</f>
        <v>16</v>
      </c>
      <c r="O283" s="7" t="str">
        <f ca="1">'Database MK'!DE284</f>
        <v>Sudah, OnSchedule</v>
      </c>
      <c r="P283" s="7" t="str">
        <f ca="1">'Database MK'!DI284</f>
        <v>Sudah, OnSchedule</v>
      </c>
      <c r="Q283" s="7" t="str">
        <f ca="1">'Database MK'!DN284</f>
        <v>Sudah, OnSchedule</v>
      </c>
      <c r="R283" s="7" t="str">
        <f ca="1">'Database MK'!DR284</f>
        <v>Sudah, OnSchedule</v>
      </c>
      <c r="S283" s="7" t="str">
        <f ca="1">'Database MK'!EA284</f>
        <v>Sudah, OnSchedule</v>
      </c>
      <c r="T283" s="7" t="str">
        <f ca="1">'Database MK'!EI284</f>
        <v>Belum, Delay</v>
      </c>
      <c r="U283" s="7" t="str">
        <f ca="1">'Database MK'!ET284</f>
        <v>Belum, Delay</v>
      </c>
      <c r="V283" s="7" t="str">
        <f ca="1">'Database MK'!GA284</f>
        <v>Belum, Delay</v>
      </c>
      <c r="W283" s="7" t="str">
        <f ca="1">'Database MK'!GD284</f>
        <v>Sudah, Delay</v>
      </c>
      <c r="X283" s="7" t="str">
        <f ca="1">'Database MK'!GG284</f>
        <v>Sudah, OnSchedule</v>
      </c>
      <c r="Y283" s="7" t="str">
        <f ca="1">'Database MK'!GK284</f>
        <v>Sudah, OnSchedule</v>
      </c>
      <c r="Z283" s="7" t="str">
        <f ca="1">'Database MK'!HH284</f>
        <v>Sudah, Delay</v>
      </c>
      <c r="AA283" s="7" t="str">
        <f ca="1">'Database MK'!HQ284</f>
        <v>Belum, Delay</v>
      </c>
      <c r="AB283" s="7" t="str">
        <f ca="1">'Database MK'!HW284</f>
        <v>Belum, Delay</v>
      </c>
      <c r="AC283" s="7">
        <f>'Database MK'!DA284-'Database MK'!DB284</f>
        <v>110</v>
      </c>
      <c r="AD283" s="7">
        <f>'Database MK'!DA284-'Database MK'!DF284</f>
        <v>90</v>
      </c>
      <c r="AE283" s="7">
        <f>'Database MK'!DK284-'Database MK'!DL284</f>
        <v>124</v>
      </c>
      <c r="AF283" s="7">
        <f>'Database MK'!DK284-'Database MK'!DO284</f>
        <v>80</v>
      </c>
      <c r="AG283" s="7">
        <f>'Database MK'!DU284-'Database MK'!DW284</f>
        <v>103</v>
      </c>
      <c r="AH283" s="7" t="str">
        <f>IF('Database MK'!EB284="","Belum",'Database MK'!DU284-'Database MK'!EB284)</f>
        <v>Belum</v>
      </c>
      <c r="AI283" s="7" t="str">
        <f>IF('Database MK'!EN284="","Belum",'Database MK'!EL284-'Database MK'!EN284)</f>
        <v>Belum</v>
      </c>
      <c r="AJ283" s="7">
        <f>'Database MK'!FY284-'Database MK'!FZ284</f>
        <v>0</v>
      </c>
      <c r="AK283" s="7">
        <f>IF('Database MK'!GC284="","Belum",'Database MK'!GB284-'Database MK'!GC284)</f>
        <v>-1</v>
      </c>
      <c r="AL283" s="7">
        <f>IF('Database MK'!GF284="","Belum",'Database MK'!GE284-'Database MK'!GF284)</f>
        <v>6</v>
      </c>
      <c r="AM283" s="309">
        <f>IF('Database MK'!GJ284="","Belum",'Database MK'!GI284-'Database MK'!GJ284)</f>
        <v>12</v>
      </c>
      <c r="AN283" s="7">
        <f>IF('Database MK'!HG284="","Belum",'Database MK'!HF284-'Database MK'!HG284)</f>
        <v>-124</v>
      </c>
      <c r="AO283" s="7" t="str">
        <f>IF('Database MK'!HP284="","Belum",'Database MK'!HN284-'Database MK'!HP284)</f>
        <v>Belum</v>
      </c>
      <c r="AP283" s="7" t="str">
        <f>IF('Database MK'!HV284="","Belum",'Database MK'!HT284-'Database MK'!HV284)</f>
        <v>Belum</v>
      </c>
    </row>
    <row r="284" spans="2:42" hidden="1" x14ac:dyDescent="0.2">
      <c r="B284" s="7">
        <f>SUBTOTAL(3,$C$4:C284)</f>
        <v>74</v>
      </c>
      <c r="C284" s="4" t="s">
        <v>244</v>
      </c>
      <c r="D284" s="4" t="s">
        <v>2242</v>
      </c>
      <c r="E284" s="4" t="s">
        <v>2243</v>
      </c>
      <c r="F284" s="300">
        <v>46113</v>
      </c>
      <c r="G284" s="4" t="s">
        <v>681</v>
      </c>
      <c r="H284" s="4" t="str">
        <f ca="1">'Database MK'!Q285</f>
        <v>DPPP</v>
      </c>
      <c r="I284" s="24">
        <f>'Database MK'!S285</f>
        <v>1</v>
      </c>
      <c r="J284" s="24">
        <f>'Database MK'!T285</f>
        <v>1</v>
      </c>
      <c r="K284" s="603">
        <f>'Database MK'!U285</f>
        <v>0</v>
      </c>
      <c r="L284" s="593">
        <f>'Database MK'!V285</f>
        <v>98.4</v>
      </c>
      <c r="M284" s="593">
        <f>'Database MK'!W285</f>
        <v>90</v>
      </c>
      <c r="N284" s="593">
        <f>Table3[[#This Row],[Total Panjang Pipa Aktual]]-Table3[[#This Row],[Volume
BA MC-0]]</f>
        <v>-8.4000000000000057</v>
      </c>
      <c r="O284" s="7" t="str">
        <f ca="1">'Database MK'!DE285</f>
        <v>Sudah, OnSchedule</v>
      </c>
      <c r="P284" s="7" t="str">
        <f ca="1">'Database MK'!DI285</f>
        <v>Sudah, OnSchedule</v>
      </c>
      <c r="Q284" s="7" t="str">
        <f ca="1">'Database MK'!DN285</f>
        <v>Sudah, OnSchedule</v>
      </c>
      <c r="R284" s="7" t="str">
        <f ca="1">'Database MK'!DR285</f>
        <v>Sudah, OnSchedule</v>
      </c>
      <c r="S284" s="7" t="str">
        <f ca="1">'Database MK'!EA285</f>
        <v>Sudah, OnSchedule</v>
      </c>
      <c r="T284" s="7" t="str">
        <f ca="1">'Database MK'!EI285</f>
        <v>Sudah, Delay</v>
      </c>
      <c r="U284" s="7" t="str">
        <f ca="1">'Database MK'!ET285</f>
        <v>Sudah, Delay</v>
      </c>
      <c r="V284" s="7" t="str">
        <f ca="1">'Database MK'!GA285</f>
        <v>Belum, Delay</v>
      </c>
      <c r="W284" s="7" t="str">
        <f ca="1">'Database MK'!GD285</f>
        <v>Sudah, Delay</v>
      </c>
      <c r="X284" s="7" t="str">
        <f ca="1">'Database MK'!GG285</f>
        <v>Sudah, OnSchedule</v>
      </c>
      <c r="Y284" s="7" t="str">
        <f ca="1">'Database MK'!GK285</f>
        <v>Sudah, OnSchedule</v>
      </c>
      <c r="Z284" s="7" t="str">
        <f ca="1">'Database MK'!HH285</f>
        <v>Sudah, Delay</v>
      </c>
      <c r="AA284" s="7" t="str">
        <f ca="1">'Database MK'!HQ285</f>
        <v>Sudah, Delay</v>
      </c>
      <c r="AB284" s="7" t="str">
        <f ca="1">'Database MK'!HW285</f>
        <v>Sudah, Delay</v>
      </c>
      <c r="AC284" s="7">
        <f>'Database MK'!DA285-'Database MK'!DB285</f>
        <v>110</v>
      </c>
      <c r="AD284" s="7">
        <f>'Database MK'!DA285-'Database MK'!DF285</f>
        <v>94</v>
      </c>
      <c r="AE284" s="7">
        <f>'Database MK'!DK285-'Database MK'!DL285</f>
        <v>120</v>
      </c>
      <c r="AF284" s="7">
        <f>'Database MK'!DK285-'Database MK'!DO285</f>
        <v>80</v>
      </c>
      <c r="AG284" s="7">
        <f>'Database MK'!DU285-'Database MK'!DW285</f>
        <v>99</v>
      </c>
      <c r="AH284" s="7">
        <f>IF('Database MK'!EB285="","Belum",'Database MK'!DU285-'Database MK'!EB285)</f>
        <v>-104</v>
      </c>
      <c r="AI284" s="7">
        <f>IF('Database MK'!EN285="","Belum",'Database MK'!EL285-'Database MK'!EN285)</f>
        <v>-107</v>
      </c>
      <c r="AJ284" s="7">
        <f>'Database MK'!FY285-'Database MK'!FZ285</f>
        <v>0</v>
      </c>
      <c r="AK284" s="7">
        <f>IF('Database MK'!GC285="","Belum",'Database MK'!GB285-'Database MK'!GC285)</f>
        <v>-1</v>
      </c>
      <c r="AL284" s="7">
        <f>IF('Database MK'!GF285="","Belum",'Database MK'!GE285-'Database MK'!GF285)</f>
        <v>6</v>
      </c>
      <c r="AM284" s="309">
        <f>IF('Database MK'!GJ285="","Belum",'Database MK'!GI285-'Database MK'!GJ285)</f>
        <v>12</v>
      </c>
      <c r="AN284" s="7">
        <f>IF('Database MK'!HG285="","Belum",'Database MK'!HF285-'Database MK'!HG285)</f>
        <v>-1</v>
      </c>
      <c r="AO284" s="7">
        <f>IF('Database MK'!HP285="","Belum",'Database MK'!HN285-'Database MK'!HP285)</f>
        <v>-47</v>
      </c>
      <c r="AP284" s="7">
        <f>IF('Database MK'!HV285="","Belum",'Database MK'!HT285-'Database MK'!HV285)</f>
        <v>-47</v>
      </c>
    </row>
    <row r="285" spans="2:42" hidden="1" x14ac:dyDescent="0.2">
      <c r="B285" s="7">
        <f>SUBTOTAL(3,$C$4:C285)</f>
        <v>74</v>
      </c>
      <c r="C285" s="4" t="s">
        <v>244</v>
      </c>
      <c r="D285" s="4" t="s">
        <v>2251</v>
      </c>
      <c r="E285" s="4" t="s">
        <v>2252</v>
      </c>
      <c r="F285" s="300">
        <v>46113</v>
      </c>
      <c r="G285" s="4" t="s">
        <v>681</v>
      </c>
      <c r="H285" s="4" t="str">
        <f ca="1">'Database MK'!Q286</f>
        <v>DPPP</v>
      </c>
      <c r="I285" s="24">
        <f>'Database MK'!S286</f>
        <v>1</v>
      </c>
      <c r="J285" s="24">
        <f>'Database MK'!T286</f>
        <v>1</v>
      </c>
      <c r="K285" s="603">
        <f>'Database MK'!U286</f>
        <v>0</v>
      </c>
      <c r="L285" s="593">
        <f>'Database MK'!V286</f>
        <v>70</v>
      </c>
      <c r="M285" s="593">
        <f>'Database MK'!W286</f>
        <v>114</v>
      </c>
      <c r="N285" s="593">
        <f>Table3[[#This Row],[Total Panjang Pipa Aktual]]-Table3[[#This Row],[Volume
BA MC-0]]</f>
        <v>44</v>
      </c>
      <c r="O285" s="7" t="str">
        <f ca="1">'Database MK'!DE286</f>
        <v>Sudah, OnSchedule</v>
      </c>
      <c r="P285" s="7" t="str">
        <f ca="1">'Database MK'!DI286</f>
        <v>Sudah, OnSchedule</v>
      </c>
      <c r="Q285" s="7" t="str">
        <f ca="1">'Database MK'!DN286</f>
        <v>Sudah, OnSchedule</v>
      </c>
      <c r="R285" s="7" t="str">
        <f ca="1">'Database MK'!DR286</f>
        <v>Sudah, OnSchedule</v>
      </c>
      <c r="S285" s="7" t="str">
        <f ca="1">'Database MK'!EA286</f>
        <v>Sudah, OnSchedule</v>
      </c>
      <c r="T285" s="7" t="str">
        <f ca="1">'Database MK'!EI286</f>
        <v>Sudah, Delay</v>
      </c>
      <c r="U285" s="7" t="str">
        <f ca="1">'Database MK'!ET286</f>
        <v>Sudah, Delay</v>
      </c>
      <c r="V285" s="7" t="str">
        <f ca="1">'Database MK'!GA286</f>
        <v>Belum, Delay</v>
      </c>
      <c r="W285" s="7" t="str">
        <f ca="1">'Database MK'!GD286</f>
        <v>Sudah, OnSchedule</v>
      </c>
      <c r="X285" s="7" t="str">
        <f ca="1">'Database MK'!GG286</f>
        <v>Sudah, OnSchedule</v>
      </c>
      <c r="Y285" s="7" t="str">
        <f ca="1">'Database MK'!GK286</f>
        <v>Sudah, OnSchedule</v>
      </c>
      <c r="Z285" s="7" t="str">
        <f ca="1">'Database MK'!HH286</f>
        <v>Sudah, Delay</v>
      </c>
      <c r="AA285" s="7" t="str">
        <f ca="1">'Database MK'!HQ286</f>
        <v>Sudah, Delay</v>
      </c>
      <c r="AB285" s="7" t="str">
        <f ca="1">'Database MK'!HW286</f>
        <v>Sudah, Delay</v>
      </c>
      <c r="AC285" s="7">
        <f>'Database MK'!DA286-'Database MK'!DB286</f>
        <v>110</v>
      </c>
      <c r="AD285" s="7">
        <f>'Database MK'!DA286-'Database MK'!DF286</f>
        <v>94</v>
      </c>
      <c r="AE285" s="7">
        <f>'Database MK'!DK286-'Database MK'!DL286</f>
        <v>120</v>
      </c>
      <c r="AF285" s="7">
        <f>'Database MK'!DK286-'Database MK'!DO286</f>
        <v>80</v>
      </c>
      <c r="AG285" s="7">
        <f>'Database MK'!DU286-'Database MK'!DW286</f>
        <v>45</v>
      </c>
      <c r="AH285" s="7">
        <f>IF('Database MK'!EB286="","Belum",'Database MK'!DU286-'Database MK'!EB286)</f>
        <v>-104</v>
      </c>
      <c r="AI285" s="7">
        <f>IF('Database MK'!EN286="","Belum",'Database MK'!EL286-'Database MK'!EN286)</f>
        <v>-107</v>
      </c>
      <c r="AJ285" s="7">
        <f>'Database MK'!FY286-'Database MK'!FZ286</f>
        <v>0</v>
      </c>
      <c r="AK285" s="7">
        <f>IF('Database MK'!GC286="","Belum",'Database MK'!GB286-'Database MK'!GC286)</f>
        <v>36</v>
      </c>
      <c r="AL285" s="7">
        <f>IF('Database MK'!GF286="","Belum",'Database MK'!GE286-'Database MK'!GF286)</f>
        <v>43</v>
      </c>
      <c r="AM285" s="309">
        <f>IF('Database MK'!GJ286="","Belum",'Database MK'!GI286-'Database MK'!GJ286)</f>
        <v>27</v>
      </c>
      <c r="AN285" s="7">
        <f>IF('Database MK'!HG286="","Belum",'Database MK'!HF286-'Database MK'!HG286)</f>
        <v>-36</v>
      </c>
      <c r="AO285" s="7">
        <f>IF('Database MK'!HP286="","Belum",'Database MK'!HN286-'Database MK'!HP286)</f>
        <v>-96</v>
      </c>
      <c r="AP285" s="7">
        <f>IF('Database MK'!HV286="","Belum",'Database MK'!HT286-'Database MK'!HV286)</f>
        <v>-90</v>
      </c>
    </row>
    <row r="286" spans="2:42" hidden="1" x14ac:dyDescent="0.2">
      <c r="B286" s="7">
        <f>SUBTOTAL(3,$C$4:C286)</f>
        <v>74</v>
      </c>
      <c r="C286" s="4" t="s">
        <v>244</v>
      </c>
      <c r="D286" s="4" t="s">
        <v>2260</v>
      </c>
      <c r="E286" s="4" t="s">
        <v>2261</v>
      </c>
      <c r="F286" s="300">
        <v>46113</v>
      </c>
      <c r="G286" s="4" t="s">
        <v>681</v>
      </c>
      <c r="H286" s="4" t="str">
        <f ca="1">'Database MK'!Q287</f>
        <v>Tes Com</v>
      </c>
      <c r="I286" s="24">
        <f>'Database MK'!S287</f>
        <v>1</v>
      </c>
      <c r="J286" s="24">
        <f>'Database MK'!T287</f>
        <v>0.37312954611392407</v>
      </c>
      <c r="K286" s="603">
        <f>'Database MK'!U287</f>
        <v>-0.62687045388607587</v>
      </c>
      <c r="L286" s="593">
        <f>'Database MK'!V287</f>
        <v>61.3</v>
      </c>
      <c r="M286" s="593">
        <f>'Database MK'!W287</f>
        <v>35</v>
      </c>
      <c r="N286" s="593">
        <f>Table3[[#This Row],[Total Panjang Pipa Aktual]]-Table3[[#This Row],[Volume
BA MC-0]]</f>
        <v>-26.299999999999997</v>
      </c>
      <c r="O286" s="7" t="str">
        <f ca="1">'Database MK'!DE287</f>
        <v>Sudah, OnSchedule</v>
      </c>
      <c r="P286" s="7" t="str">
        <f ca="1">'Database MK'!DI287</f>
        <v>Sudah, OnSchedule</v>
      </c>
      <c r="Q286" s="7" t="str">
        <f ca="1">'Database MK'!DN287</f>
        <v>Sudah, OnSchedule</v>
      </c>
      <c r="R286" s="7" t="str">
        <f ca="1">'Database MK'!DR287</f>
        <v>Sudah, OnSchedule</v>
      </c>
      <c r="S286" s="7" t="str">
        <f ca="1">'Database MK'!EA287</f>
        <v>Sudah, OnSchedule</v>
      </c>
      <c r="T286" s="7" t="str">
        <f ca="1">'Database MK'!EI287</f>
        <v>Belum, Delay</v>
      </c>
      <c r="U286" s="7" t="str">
        <f ca="1">'Database MK'!ET287</f>
        <v>Belum, Delay</v>
      </c>
      <c r="V286" s="7" t="str">
        <f ca="1">'Database MK'!GA287</f>
        <v>Belum, Delay</v>
      </c>
      <c r="W286" s="7" t="str">
        <f ca="1">'Database MK'!GD287</f>
        <v>Sudah, Delay</v>
      </c>
      <c r="X286" s="7" t="str">
        <f ca="1">'Database MK'!GG287</f>
        <v>Sudah, OnSchedule</v>
      </c>
      <c r="Y286" s="7" t="str">
        <f ca="1">'Database MK'!GK287</f>
        <v>Sudah, OnSchedule</v>
      </c>
      <c r="Z286" s="7" t="str">
        <f ca="1">'Database MK'!HH287</f>
        <v>Sudah, Delay</v>
      </c>
      <c r="AA286" s="7" t="str">
        <f ca="1">'Database MK'!HQ287</f>
        <v>Belum, Delay</v>
      </c>
      <c r="AB286" s="7" t="str">
        <f ca="1">'Database MK'!HW287</f>
        <v>Belum, Delay</v>
      </c>
      <c r="AC286" s="7">
        <f>'Database MK'!DA287-'Database MK'!DB287</f>
        <v>110</v>
      </c>
      <c r="AD286" s="7">
        <f>'Database MK'!DA287-'Database MK'!DF287</f>
        <v>94</v>
      </c>
      <c r="AE286" s="7">
        <f>'Database MK'!DK287-'Database MK'!DL287</f>
        <v>132</v>
      </c>
      <c r="AF286" s="7">
        <f>'Database MK'!DK287-'Database MK'!DO287</f>
        <v>80</v>
      </c>
      <c r="AG286" s="7">
        <f>'Database MK'!DU287-'Database MK'!DW287</f>
        <v>111</v>
      </c>
      <c r="AH286" s="7" t="str">
        <f>IF('Database MK'!EB287="","Belum",'Database MK'!DU287-'Database MK'!EB287)</f>
        <v>Belum</v>
      </c>
      <c r="AI286" s="7" t="str">
        <f>IF('Database MK'!EN287="","Belum",'Database MK'!EL287-'Database MK'!EN287)</f>
        <v>Belum</v>
      </c>
      <c r="AJ286" s="7">
        <f>'Database MK'!FY287-'Database MK'!FZ287</f>
        <v>0</v>
      </c>
      <c r="AK286" s="7">
        <f>IF('Database MK'!GC287="","Belum",'Database MK'!GB287-'Database MK'!GC287)</f>
        <v>-1</v>
      </c>
      <c r="AL286" s="7">
        <f>IF('Database MK'!GF287="","Belum",'Database MK'!GE287-'Database MK'!GF287)</f>
        <v>6</v>
      </c>
      <c r="AM286" s="309">
        <f>IF('Database MK'!GJ287="","Belum",'Database MK'!GI287-'Database MK'!GJ287)</f>
        <v>13</v>
      </c>
      <c r="AN286" s="7">
        <f>IF('Database MK'!HG287="","Belum",'Database MK'!HF287-'Database MK'!HG287)</f>
        <v>-150</v>
      </c>
      <c r="AO286" s="7" t="str">
        <f>IF('Database MK'!HP287="","Belum",'Database MK'!HN287-'Database MK'!HP287)</f>
        <v>Belum</v>
      </c>
      <c r="AP286" s="7" t="str">
        <f>IF('Database MK'!HV287="","Belum",'Database MK'!HT287-'Database MK'!HV287)</f>
        <v>Belum</v>
      </c>
    </row>
    <row r="287" spans="2:42" hidden="1" x14ac:dyDescent="0.2">
      <c r="B287" s="7">
        <f>SUBTOTAL(3,$C$4:C287)</f>
        <v>74</v>
      </c>
      <c r="C287" s="4" t="s">
        <v>244</v>
      </c>
      <c r="D287" s="4" t="s">
        <v>2266</v>
      </c>
      <c r="E287" s="4" t="s">
        <v>2267</v>
      </c>
      <c r="F287" s="300">
        <v>46113</v>
      </c>
      <c r="G287" s="4" t="s">
        <v>681</v>
      </c>
      <c r="H287" s="4" t="str">
        <f ca="1">'Database MK'!Q288</f>
        <v>DPPP</v>
      </c>
      <c r="I287" s="24">
        <f>'Database MK'!S288</f>
        <v>1</v>
      </c>
      <c r="J287" s="24">
        <f>'Database MK'!T288</f>
        <v>1</v>
      </c>
      <c r="K287" s="603">
        <f>'Database MK'!U288</f>
        <v>0</v>
      </c>
      <c r="L287" s="593">
        <f>'Database MK'!V288</f>
        <v>525</v>
      </c>
      <c r="M287" s="593">
        <f>'Database MK'!W288</f>
        <v>489</v>
      </c>
      <c r="N287" s="593">
        <f>Table3[[#This Row],[Total Panjang Pipa Aktual]]-Table3[[#This Row],[Volume
BA MC-0]]</f>
        <v>-36</v>
      </c>
      <c r="O287" s="7" t="str">
        <f ca="1">'Database MK'!DE288</f>
        <v>Sudah, OnSchedule</v>
      </c>
      <c r="P287" s="7" t="str">
        <f ca="1">'Database MK'!DI288</f>
        <v>Sudah, OnSchedule</v>
      </c>
      <c r="Q287" s="7" t="str">
        <f ca="1">'Database MK'!DN288</f>
        <v>Sudah, OnSchedule</v>
      </c>
      <c r="R287" s="7" t="str">
        <f ca="1">'Database MK'!DR288</f>
        <v>Sudah, OnSchedule</v>
      </c>
      <c r="S287" s="7" t="str">
        <f ca="1">'Database MK'!EA288</f>
        <v>Sudah, OnSchedule</v>
      </c>
      <c r="T287" s="7" t="str">
        <f ca="1">'Database MK'!EI288</f>
        <v>Sudah, Delay</v>
      </c>
      <c r="U287" s="7" t="str">
        <f ca="1">'Database MK'!ET288</f>
        <v>Sudah, Delay</v>
      </c>
      <c r="V287" s="7" t="str">
        <f ca="1">'Database MK'!GA288</f>
        <v>Belum, Delay</v>
      </c>
      <c r="W287" s="7" t="str">
        <f ca="1">'Database MK'!GD288</f>
        <v>Sudah, OnSchedule</v>
      </c>
      <c r="X287" s="7" t="str">
        <f ca="1">'Database MK'!GG288</f>
        <v>Sudah, OnSchedule</v>
      </c>
      <c r="Y287" s="7" t="str">
        <f ca="1">'Database MK'!GK288</f>
        <v>Sudah, OnSchedule</v>
      </c>
      <c r="Z287" s="7" t="str">
        <f ca="1">'Database MK'!HH288</f>
        <v>Sudah, Delay</v>
      </c>
      <c r="AA287" s="7" t="str">
        <f ca="1">'Database MK'!HQ288</f>
        <v>Sudah, Delay</v>
      </c>
      <c r="AB287" s="7" t="str">
        <f ca="1">'Database MK'!HW288</f>
        <v>Sudah, Delay</v>
      </c>
      <c r="AC287" s="7">
        <f>'Database MK'!DA288-'Database MK'!DB288</f>
        <v>45</v>
      </c>
      <c r="AD287" s="7">
        <f>'Database MK'!DA288-'Database MK'!DF288</f>
        <v>40</v>
      </c>
      <c r="AE287" s="7">
        <f>'Database MK'!DK288-'Database MK'!DL288</f>
        <v>86</v>
      </c>
      <c r="AF287" s="7">
        <f>'Database MK'!DK288-'Database MK'!DO288</f>
        <v>48</v>
      </c>
      <c r="AG287" s="7">
        <f>'Database MK'!DU288-'Database MK'!DW288</f>
        <v>65</v>
      </c>
      <c r="AH287" s="7">
        <f>IF('Database MK'!EB288="","Belum",'Database MK'!DU288-'Database MK'!EB288)</f>
        <v>-215</v>
      </c>
      <c r="AI287" s="7">
        <f>IF('Database MK'!EN288="","Belum",'Database MK'!EL288-'Database MK'!EN288)</f>
        <v>-192</v>
      </c>
      <c r="AJ287" s="7">
        <f>'Database MK'!FY288-'Database MK'!FZ288</f>
        <v>0</v>
      </c>
      <c r="AK287" s="7">
        <f>IF('Database MK'!GC288="","Belum",'Database MK'!GB288-'Database MK'!GC288)</f>
        <v>34</v>
      </c>
      <c r="AL287" s="7">
        <f>IF('Database MK'!GF288="","Belum",'Database MK'!GE288-'Database MK'!GF288)</f>
        <v>41</v>
      </c>
      <c r="AM287" s="309">
        <f>IF('Database MK'!GJ288="","Belum",'Database MK'!GI288-'Database MK'!GJ288)</f>
        <v>46</v>
      </c>
      <c r="AN287" s="7">
        <f>IF('Database MK'!HG288="","Belum",'Database MK'!HF288-'Database MK'!HG288)</f>
        <v>-98</v>
      </c>
      <c r="AO287" s="7">
        <f>IF('Database MK'!HP288="","Belum",'Database MK'!HN288-'Database MK'!HP288)</f>
        <v>-102</v>
      </c>
      <c r="AP287" s="7">
        <f>IF('Database MK'!HV288="","Belum",'Database MK'!HT288-'Database MK'!HV288)</f>
        <v>-97</v>
      </c>
    </row>
    <row r="288" spans="2:42" hidden="1" x14ac:dyDescent="0.2">
      <c r="B288" s="7">
        <f>SUBTOTAL(3,$C$4:C288)</f>
        <v>74</v>
      </c>
      <c r="C288" s="4" t="s">
        <v>244</v>
      </c>
      <c r="D288" s="4" t="s">
        <v>2277</v>
      </c>
      <c r="E288" s="4" t="s">
        <v>2278</v>
      </c>
      <c r="F288" s="300">
        <v>46113</v>
      </c>
      <c r="G288" s="4" t="s">
        <v>681</v>
      </c>
      <c r="H288" s="4" t="str">
        <f ca="1">'Database MK'!Q289</f>
        <v>Proses Konstruksi</v>
      </c>
      <c r="I288" s="24">
        <f>'Database MK'!S289</f>
        <v>1</v>
      </c>
      <c r="J288" s="24">
        <f>'Database MK'!T289</f>
        <v>0.44441597712839143</v>
      </c>
      <c r="K288" s="603">
        <f>'Database MK'!U289</f>
        <v>-0.55558402287160857</v>
      </c>
      <c r="L288" s="593">
        <f>'Database MK'!V289</f>
        <v>888.5</v>
      </c>
      <c r="M288" s="593">
        <f>'Database MK'!W289</f>
        <v>574.20000000000005</v>
      </c>
      <c r="N288" s="593">
        <f>Table3[[#This Row],[Total Panjang Pipa Aktual]]-Table3[[#This Row],[Volume
BA MC-0]]</f>
        <v>-314.29999999999995</v>
      </c>
      <c r="O288" s="7" t="str">
        <f ca="1">'Database MK'!DE289</f>
        <v>Sudah, OnSchedule</v>
      </c>
      <c r="P288" s="7" t="str">
        <f ca="1">'Database MK'!DI289</f>
        <v>Sudah, OnSchedule</v>
      </c>
      <c r="Q288" s="7" t="str">
        <f ca="1">'Database MK'!DN289</f>
        <v>Sudah, OnSchedule</v>
      </c>
      <c r="R288" s="7" t="str">
        <f ca="1">'Database MK'!DR289</f>
        <v>Sudah, OnSchedule</v>
      </c>
      <c r="S288" s="7" t="str">
        <f ca="1">'Database MK'!EA289</f>
        <v>Sudah, OnSchedule</v>
      </c>
      <c r="T288" s="7" t="str">
        <f ca="1">'Database MK'!EI289</f>
        <v>Belum, Delay</v>
      </c>
      <c r="U288" s="7" t="str">
        <f ca="1">'Database MK'!ET289</f>
        <v>Belum, Delay</v>
      </c>
      <c r="V288" s="7" t="str">
        <f ca="1">'Database MK'!GA289</f>
        <v>Belum, Delay</v>
      </c>
      <c r="W288" s="7" t="str">
        <f ca="1">'Database MK'!GD289</f>
        <v>Sudah, OnSchedule</v>
      </c>
      <c r="X288" s="7" t="str">
        <f ca="1">'Database MK'!GG289</f>
        <v>Sudah, OnSchedule</v>
      </c>
      <c r="Y288" s="7" t="str">
        <f ca="1">'Database MK'!GK289</f>
        <v>Sudah, OnSchedule</v>
      </c>
      <c r="Z288" s="7" t="str">
        <f ca="1">'Database MK'!HH289</f>
        <v>Belum, Delay</v>
      </c>
      <c r="AA288" s="7" t="str">
        <f ca="1">'Database MK'!HQ289</f>
        <v>Belum, Delay</v>
      </c>
      <c r="AB288" s="7" t="str">
        <f ca="1">'Database MK'!HW289</f>
        <v>Belum, Delay</v>
      </c>
      <c r="AC288" s="7">
        <f>'Database MK'!DA289-'Database MK'!DB289</f>
        <v>45</v>
      </c>
      <c r="AD288" s="7">
        <f>'Database MK'!DA289-'Database MK'!DF289</f>
        <v>40</v>
      </c>
      <c r="AE288" s="7">
        <f>'Database MK'!DK289-'Database MK'!DL289</f>
        <v>81</v>
      </c>
      <c r="AF288" s="7">
        <f>'Database MK'!DK289-'Database MK'!DO289</f>
        <v>11</v>
      </c>
      <c r="AG288" s="7">
        <f>'Database MK'!DU289-'Database MK'!DW289</f>
        <v>60</v>
      </c>
      <c r="AH288" s="7" t="str">
        <f>IF('Database MK'!EB289="","Belum",'Database MK'!DU289-'Database MK'!EB289)</f>
        <v>Belum</v>
      </c>
      <c r="AI288" s="7" t="str">
        <f>IF('Database MK'!EN289="","Belum",'Database MK'!EL289-'Database MK'!EN289)</f>
        <v>Belum</v>
      </c>
      <c r="AJ288" s="7">
        <f>'Database MK'!FY289-'Database MK'!FZ289</f>
        <v>0</v>
      </c>
      <c r="AK288" s="7">
        <f>IF('Database MK'!GC289="","Belum",'Database MK'!GB289-'Database MK'!GC289)</f>
        <v>34</v>
      </c>
      <c r="AL288" s="7">
        <f>IF('Database MK'!GF289="","Belum",'Database MK'!GE289-'Database MK'!GF289)</f>
        <v>41</v>
      </c>
      <c r="AM288" s="309">
        <f>IF('Database MK'!GJ289="","Belum",'Database MK'!GI289-'Database MK'!GJ289)</f>
        <v>41</v>
      </c>
      <c r="AN288" s="7" t="str">
        <f>IF('Database MK'!HG289="","Belum",'Database MK'!HF289-'Database MK'!HG289)</f>
        <v>Belum</v>
      </c>
      <c r="AO288" s="7" t="str">
        <f>IF('Database MK'!HP289="","Belum",'Database MK'!HN289-'Database MK'!HP289)</f>
        <v>Belum</v>
      </c>
      <c r="AP288" s="7" t="str">
        <f>IF('Database MK'!HV289="","Belum",'Database MK'!HT289-'Database MK'!HV289)</f>
        <v>Belum</v>
      </c>
    </row>
    <row r="289" spans="2:42" hidden="1" x14ac:dyDescent="0.2">
      <c r="B289" s="7">
        <f>SUBTOTAL(3,$C$4:C289)</f>
        <v>74</v>
      </c>
      <c r="C289" s="4" t="s">
        <v>244</v>
      </c>
      <c r="D289" s="4" t="s">
        <v>2285</v>
      </c>
      <c r="E289" s="4" t="s">
        <v>2286</v>
      </c>
      <c r="F289" s="300">
        <v>46113</v>
      </c>
      <c r="G289" s="4" t="s">
        <v>681</v>
      </c>
      <c r="H289" s="4" t="str">
        <f ca="1">'Database MK'!Q290</f>
        <v>Proses Konstruksi</v>
      </c>
      <c r="I289" s="24">
        <f>'Database MK'!S290</f>
        <v>1</v>
      </c>
      <c r="J289" s="24">
        <f>'Database MK'!T290</f>
        <v>0.28635401107274511</v>
      </c>
      <c r="K289" s="603">
        <f>'Database MK'!U290</f>
        <v>-0.71364598892725484</v>
      </c>
      <c r="L289" s="593">
        <f>'Database MK'!V290</f>
        <v>390</v>
      </c>
      <c r="M289" s="593">
        <f>'Database MK'!W290</f>
        <v>282</v>
      </c>
      <c r="N289" s="593">
        <f>Table3[[#This Row],[Total Panjang Pipa Aktual]]-Table3[[#This Row],[Volume
BA MC-0]]</f>
        <v>-108</v>
      </c>
      <c r="O289" s="7" t="str">
        <f ca="1">'Database MK'!DE290</f>
        <v>Sudah, OnSchedule</v>
      </c>
      <c r="P289" s="7" t="str">
        <f ca="1">'Database MK'!DI290</f>
        <v>Sudah, OnSchedule</v>
      </c>
      <c r="Q289" s="7" t="str">
        <f ca="1">'Database MK'!DN290</f>
        <v>Sudah, OnSchedule</v>
      </c>
      <c r="R289" s="7" t="str">
        <f ca="1">'Database MK'!DR290</f>
        <v>Sudah, OnSchedule</v>
      </c>
      <c r="S289" s="7" t="str">
        <f ca="1">'Database MK'!EA290</f>
        <v>Sudah, OnSchedule</v>
      </c>
      <c r="T289" s="7" t="str">
        <f ca="1">'Database MK'!EI290</f>
        <v>Belum, Delay</v>
      </c>
      <c r="U289" s="7" t="str">
        <f ca="1">'Database MK'!ET290</f>
        <v>Belum, Delay</v>
      </c>
      <c r="V289" s="7" t="str">
        <f ca="1">'Database MK'!GA290</f>
        <v>Belum, Delay</v>
      </c>
      <c r="W289" s="7" t="str">
        <f ca="1">'Database MK'!GD290</f>
        <v>Sudah, OnSchedule</v>
      </c>
      <c r="X289" s="7" t="str">
        <f ca="1">'Database MK'!GG290</f>
        <v>Sudah, OnSchedule</v>
      </c>
      <c r="Y289" s="7" t="str">
        <f ca="1">'Database MK'!GK290</f>
        <v>Sudah, OnSchedule</v>
      </c>
      <c r="Z289" s="7" t="str">
        <f ca="1">'Database MK'!HH290</f>
        <v>Belum, Delay</v>
      </c>
      <c r="AA289" s="7" t="str">
        <f ca="1">'Database MK'!HQ290</f>
        <v>Belum, Delay</v>
      </c>
      <c r="AB289" s="7" t="str">
        <f ca="1">'Database MK'!HW290</f>
        <v>Belum, Delay</v>
      </c>
      <c r="AC289" s="7">
        <f>'Database MK'!DA290-'Database MK'!DB290</f>
        <v>45</v>
      </c>
      <c r="AD289" s="7">
        <f>'Database MK'!DA290-'Database MK'!DF290</f>
        <v>40</v>
      </c>
      <c r="AE289" s="7">
        <f>'Database MK'!DK290-'Database MK'!DL290</f>
        <v>81</v>
      </c>
      <c r="AF289" s="7">
        <f>'Database MK'!DK290-'Database MK'!DO290</f>
        <v>11</v>
      </c>
      <c r="AG289" s="7">
        <f>'Database MK'!DU290-'Database MK'!DW290</f>
        <v>61</v>
      </c>
      <c r="AH289" s="7" t="str">
        <f>IF('Database MK'!EB290="","Belum",'Database MK'!DU290-'Database MK'!EB290)</f>
        <v>Belum</v>
      </c>
      <c r="AI289" s="7" t="str">
        <f>IF('Database MK'!EN290="","Belum",'Database MK'!EL290-'Database MK'!EN290)</f>
        <v>Belum</v>
      </c>
      <c r="AJ289" s="7">
        <f>'Database MK'!FY290-'Database MK'!FZ290</f>
        <v>0</v>
      </c>
      <c r="AK289" s="7">
        <f>IF('Database MK'!GC290="","Belum",'Database MK'!GB290-'Database MK'!GC290)</f>
        <v>34</v>
      </c>
      <c r="AL289" s="7">
        <f>IF('Database MK'!GF290="","Belum",'Database MK'!GE290-'Database MK'!GF290)</f>
        <v>41</v>
      </c>
      <c r="AM289" s="309">
        <f>IF('Database MK'!GJ290="","Belum",'Database MK'!GI290-'Database MK'!GJ290)</f>
        <v>41</v>
      </c>
      <c r="AN289" s="7" t="str">
        <f>IF('Database MK'!HG290="","Belum",'Database MK'!HF290-'Database MK'!HG290)</f>
        <v>Belum</v>
      </c>
      <c r="AO289" s="7" t="str">
        <f>IF('Database MK'!HP290="","Belum",'Database MK'!HN290-'Database MK'!HP290)</f>
        <v>Belum</v>
      </c>
      <c r="AP289" s="7" t="str">
        <f>IF('Database MK'!HV290="","Belum",'Database MK'!HT290-'Database MK'!HV290)</f>
        <v>Belum</v>
      </c>
    </row>
    <row r="290" spans="2:42" s="77" customFormat="1" hidden="1" x14ac:dyDescent="0.2">
      <c r="B290" s="307">
        <f>SUBTOTAL(3,$C$4:C290)</f>
        <v>74</v>
      </c>
      <c r="C290" s="77" t="s">
        <v>244</v>
      </c>
      <c r="D290" s="77" t="s">
        <v>2292</v>
      </c>
      <c r="E290" s="77" t="s">
        <v>2293</v>
      </c>
      <c r="F290" s="302">
        <v>46113</v>
      </c>
      <c r="G290" s="77" t="s">
        <v>681</v>
      </c>
      <c r="H290" s="77" t="str">
        <f>'Database MK'!Q291</f>
        <v>BATAL / CANCEL</v>
      </c>
      <c r="I290" s="604">
        <f>'Database MK'!S291</f>
        <v>1</v>
      </c>
      <c r="J290" s="604">
        <f>'Database MK'!T291</f>
        <v>0</v>
      </c>
      <c r="K290" s="605">
        <f>'Database MK'!U291</f>
        <v>-1</v>
      </c>
      <c r="L290" s="594">
        <f>'Database MK'!V291</f>
        <v>0</v>
      </c>
      <c r="M290" s="594">
        <f>'Database MK'!W291</f>
        <v>0</v>
      </c>
      <c r="N290" s="594">
        <f>Table3[[#This Row],[Total Panjang Pipa Aktual]]-Table3[[#This Row],[Volume
BA MC-0]]</f>
        <v>0</v>
      </c>
      <c r="O290" s="307" t="str">
        <f ca="1">'Database MK'!DE291</f>
        <v>Sudah, OnSchedule</v>
      </c>
      <c r="P290" s="307">
        <f>'Database MK'!DI291</f>
        <v>0</v>
      </c>
      <c r="Q290" s="307">
        <f>'Database MK'!DN291</f>
        <v>0</v>
      </c>
      <c r="R290" s="307">
        <f>'Database MK'!DR291</f>
        <v>0</v>
      </c>
      <c r="S290" s="307">
        <f>'Database MK'!EA291</f>
        <v>0</v>
      </c>
      <c r="T290" s="307" t="str">
        <f ca="1">'Database MK'!EI291</f>
        <v>Belum, Delay</v>
      </c>
      <c r="U290" s="307" t="str">
        <f ca="1">'Database MK'!ET291</f>
        <v>Belum, Delay</v>
      </c>
      <c r="V290" s="307" t="str">
        <f ca="1">'Database MK'!GA291</f>
        <v>Belum, Delay</v>
      </c>
      <c r="W290" s="307" t="str">
        <f ca="1">'Database MK'!GD291</f>
        <v>Sudah, OnSchedule</v>
      </c>
      <c r="X290" s="307" t="str">
        <f ca="1">'Database MK'!GG291</f>
        <v>Sudah, OnSchedule</v>
      </c>
      <c r="Y290" s="307" t="str">
        <f ca="1">'Database MK'!GK291</f>
        <v>Sudah, OnSchedule</v>
      </c>
      <c r="Z290" s="307" t="str">
        <f ca="1">'Database MK'!HH291</f>
        <v>Belum, Delay</v>
      </c>
      <c r="AA290" s="307" t="str">
        <f ca="1">'Database MK'!HQ291</f>
        <v>Belum, Delay</v>
      </c>
      <c r="AB290" s="307" t="str">
        <f ca="1">'Database MK'!HW291</f>
        <v>Belum, Delay</v>
      </c>
      <c r="AC290" s="307"/>
      <c r="AD290" s="307"/>
      <c r="AE290" s="307"/>
      <c r="AF290" s="307"/>
      <c r="AG290" s="307"/>
      <c r="AH290" s="307"/>
      <c r="AI290" s="307"/>
      <c r="AJ290" s="307">
        <f>'Database MK'!FY291-'Database MK'!FZ291</f>
        <v>0</v>
      </c>
      <c r="AK290" s="307"/>
      <c r="AL290" s="307"/>
      <c r="AM290" s="310"/>
      <c r="AN290" s="307"/>
      <c r="AO290" s="307"/>
      <c r="AP290" s="307"/>
    </row>
    <row r="291" spans="2:42" ht="32" hidden="1" x14ac:dyDescent="0.2">
      <c r="B291" s="7">
        <f>SUBTOTAL(3,$C$4:C291)</f>
        <v>74</v>
      </c>
      <c r="C291" s="4" t="s">
        <v>244</v>
      </c>
      <c r="D291" s="4" t="s">
        <v>2300</v>
      </c>
      <c r="E291" s="6" t="s">
        <v>2301</v>
      </c>
      <c r="F291" s="300">
        <v>46113</v>
      </c>
      <c r="G291" s="4" t="s">
        <v>681</v>
      </c>
      <c r="H291" s="4" t="str">
        <f ca="1">'Database MK'!Q292</f>
        <v>Tes Com</v>
      </c>
      <c r="I291" s="24">
        <f>'Database MK'!S292</f>
        <v>1</v>
      </c>
      <c r="J291" s="24">
        <f>'Database MK'!T292</f>
        <v>6.8644169337324076E-2</v>
      </c>
      <c r="K291" s="603">
        <f>'Database MK'!U292</f>
        <v>-0.93135583066267591</v>
      </c>
      <c r="L291" s="593">
        <f>'Database MK'!V292</f>
        <v>4051</v>
      </c>
      <c r="M291" s="593">
        <f>'Database MK'!W292</f>
        <v>3705.66</v>
      </c>
      <c r="N291" s="593">
        <f>Table3[[#This Row],[Total Panjang Pipa Aktual]]-Table3[[#This Row],[Volume
BA MC-0]]</f>
        <v>-345.34000000000015</v>
      </c>
      <c r="O291" s="7" t="str">
        <f ca="1">'Database MK'!DE292</f>
        <v>Sudah, OnSchedule</v>
      </c>
      <c r="P291" s="7" t="str">
        <f ca="1">'Database MK'!DI292</f>
        <v>Sudah, OnSchedule</v>
      </c>
      <c r="Q291" s="7" t="str">
        <f ca="1">'Database MK'!DN292</f>
        <v>Sudah, OnSchedule</v>
      </c>
      <c r="R291" s="7" t="str">
        <f ca="1">'Database MK'!DR292</f>
        <v>Sudah, Delay</v>
      </c>
      <c r="S291" s="7" t="str">
        <f ca="1">'Database MK'!EA292</f>
        <v>Sudah, OnSchedule</v>
      </c>
      <c r="T291" s="7" t="str">
        <f ca="1">'Database MK'!EI292</f>
        <v>Sudah, Delay</v>
      </c>
      <c r="U291" s="7" t="str">
        <f ca="1">'Database MK'!ET292</f>
        <v>Belum, Delay</v>
      </c>
      <c r="V291" s="7" t="str">
        <f ca="1">'Database MK'!GA292</f>
        <v>Belum, Delay</v>
      </c>
      <c r="W291" s="7" t="str">
        <f ca="1">'Database MK'!GD292</f>
        <v>Sudah, OnSchedule</v>
      </c>
      <c r="X291" s="7" t="str">
        <f ca="1">'Database MK'!GG292</f>
        <v>Sudah, OnSchedule</v>
      </c>
      <c r="Y291" s="7" t="str">
        <f ca="1">'Database MK'!GK292</f>
        <v>Sudah, OnSchedule</v>
      </c>
      <c r="Z291" s="7" t="str">
        <f ca="1">'Database MK'!HH292</f>
        <v>Sudah, Delay</v>
      </c>
      <c r="AA291" s="7" t="str">
        <f ca="1">'Database MK'!HQ292</f>
        <v>Belum, Delay</v>
      </c>
      <c r="AB291" s="7" t="str">
        <f ca="1">'Database MK'!HW292</f>
        <v>Belum, Delay</v>
      </c>
      <c r="AC291" s="7">
        <f>'Database MK'!DA292-'Database MK'!DB292</f>
        <v>45</v>
      </c>
      <c r="AD291" s="7">
        <f>'Database MK'!DA292-'Database MK'!DF292</f>
        <v>34</v>
      </c>
      <c r="AE291" s="7">
        <f>'Database MK'!DK292-'Database MK'!DL292</f>
        <v>32</v>
      </c>
      <c r="AF291" s="7">
        <f>'Database MK'!DK292-'Database MK'!DO292</f>
        <v>-22</v>
      </c>
      <c r="AG291" s="7">
        <f>'Database MK'!DU292-'Database MK'!DW292</f>
        <v>11</v>
      </c>
      <c r="AH291" s="7">
        <f>IF('Database MK'!EB292="","Belum",'Database MK'!DU292-'Database MK'!EB292)</f>
        <v>-99</v>
      </c>
      <c r="AI291" s="7" t="str">
        <f>IF('Database MK'!EN292="","Belum",'Database MK'!EL292-'Database MK'!EN292)</f>
        <v>Belum</v>
      </c>
      <c r="AJ291" s="7">
        <f>'Database MK'!FY292-'Database MK'!FZ292</f>
        <v>0</v>
      </c>
      <c r="AK291" s="7">
        <f>IF('Database MK'!GC292="","Belum",'Database MK'!GB292-'Database MK'!GC292)</f>
        <v>8</v>
      </c>
      <c r="AL291" s="7">
        <f>IF('Database MK'!GF292="","Belum",'Database MK'!GE292-'Database MK'!GF292)</f>
        <v>15</v>
      </c>
      <c r="AM291" s="309">
        <f>IF('Database MK'!GJ292="","Belum",'Database MK'!GI292-'Database MK'!GJ292)</f>
        <v>9</v>
      </c>
      <c r="AN291" s="7">
        <f>IF('Database MK'!HG292="","Belum",'Database MK'!HF292-'Database MK'!HG292)</f>
        <v>-82</v>
      </c>
      <c r="AO291" s="7" t="str">
        <f>IF('Database MK'!HP292="","Belum",'Database MK'!HN292-'Database MK'!HP292)</f>
        <v>Belum</v>
      </c>
      <c r="AP291" s="7" t="str">
        <f>IF('Database MK'!HV292="","Belum",'Database MK'!HT292-'Database MK'!HV292)</f>
        <v>Belum</v>
      </c>
    </row>
    <row r="292" spans="2:42" hidden="1" x14ac:dyDescent="0.2">
      <c r="B292" s="7">
        <f>SUBTOTAL(3,$C$4:C292)</f>
        <v>74</v>
      </c>
      <c r="C292" s="4" t="s">
        <v>244</v>
      </c>
      <c r="D292" s="4" t="s">
        <v>2311</v>
      </c>
      <c r="E292" s="4" t="s">
        <v>2312</v>
      </c>
      <c r="F292" s="300">
        <v>46113</v>
      </c>
      <c r="G292" s="4" t="s">
        <v>681</v>
      </c>
      <c r="H292" s="4" t="str">
        <f ca="1">'Database MK'!Q293</f>
        <v>DPPP</v>
      </c>
      <c r="I292" s="24">
        <f>'Database MK'!S293</f>
        <v>1</v>
      </c>
      <c r="J292" s="24">
        <f>'Database MK'!T293</f>
        <v>1</v>
      </c>
      <c r="K292" s="603">
        <f>'Database MK'!U293</f>
        <v>0</v>
      </c>
      <c r="L292" s="593">
        <f>'Database MK'!V293</f>
        <v>314</v>
      </c>
      <c r="M292" s="593">
        <f>'Database MK'!W293</f>
        <v>314</v>
      </c>
      <c r="N292" s="593">
        <f>Table3[[#This Row],[Total Panjang Pipa Aktual]]-Table3[[#This Row],[Volume
BA MC-0]]</f>
        <v>0</v>
      </c>
      <c r="O292" s="7" t="str">
        <f ca="1">'Database MK'!DE293</f>
        <v>Sudah, OnSchedule</v>
      </c>
      <c r="P292" s="7" t="str">
        <f ca="1">'Database MK'!DI293</f>
        <v>Sudah, OnSchedule</v>
      </c>
      <c r="Q292" s="7" t="str">
        <f ca="1">'Database MK'!DN293</f>
        <v>Sudah, OnSchedule</v>
      </c>
      <c r="R292" s="7" t="str">
        <f ca="1">'Database MK'!DR293</f>
        <v>Sudah, OnSchedule</v>
      </c>
      <c r="S292" s="7" t="str">
        <f ca="1">'Database MK'!EA293</f>
        <v>Sudah, OnSchedule</v>
      </c>
      <c r="T292" s="7" t="str">
        <f ca="1">'Database MK'!EI293</f>
        <v>Sudah, Delay</v>
      </c>
      <c r="U292" s="7" t="str">
        <f ca="1">'Database MK'!ET293</f>
        <v>Sudah, Delay</v>
      </c>
      <c r="V292" s="7" t="str">
        <f ca="1">'Database MK'!GA293</f>
        <v>Belum, Delay</v>
      </c>
      <c r="W292" s="7" t="str">
        <f ca="1">'Database MK'!GD293</f>
        <v>Sudah, OnSchedule</v>
      </c>
      <c r="X292" s="7" t="str">
        <f ca="1">'Database MK'!GG293</f>
        <v>Sudah, OnSchedule</v>
      </c>
      <c r="Y292" s="7" t="str">
        <f ca="1">'Database MK'!GK293</f>
        <v>Sudah, OnSchedule</v>
      </c>
      <c r="Z292" s="7" t="str">
        <f ca="1">'Database MK'!HH293</f>
        <v>Sudah, Delay</v>
      </c>
      <c r="AA292" s="7" t="str">
        <f ca="1">'Database MK'!HQ293</f>
        <v>Sudah, Delay</v>
      </c>
      <c r="AB292" s="7" t="str">
        <f ca="1">'Database MK'!HW293</f>
        <v>Sudah, Delay</v>
      </c>
      <c r="AC292" s="7">
        <f>'Database MK'!DA293-'Database MK'!DB293</f>
        <v>45</v>
      </c>
      <c r="AD292" s="7">
        <f>'Database MK'!DA293-'Database MK'!DF293</f>
        <v>34</v>
      </c>
      <c r="AE292" s="7">
        <f>'Database MK'!DK293-'Database MK'!DL293</f>
        <v>86</v>
      </c>
      <c r="AF292" s="7">
        <f>'Database MK'!DK293-'Database MK'!DO293</f>
        <v>48</v>
      </c>
      <c r="AG292" s="7">
        <f>'Database MK'!DU293-'Database MK'!DW293</f>
        <v>65</v>
      </c>
      <c r="AH292" s="7">
        <f>IF('Database MK'!EB293="","Belum",'Database MK'!DU293-'Database MK'!EB293)</f>
        <v>-99</v>
      </c>
      <c r="AI292" s="7">
        <f>IF('Database MK'!EN293="","Belum",'Database MK'!EL293-'Database MK'!EN293)</f>
        <v>-200</v>
      </c>
      <c r="AJ292" s="7">
        <f>'Database MK'!FY293-'Database MK'!FZ293</f>
        <v>0</v>
      </c>
      <c r="AK292" s="7">
        <f>IF('Database MK'!GC293="","Belum",'Database MK'!GB293-'Database MK'!GC293)</f>
        <v>8</v>
      </c>
      <c r="AL292" s="7">
        <f>IF('Database MK'!GF293="","Belum",'Database MK'!GE293-'Database MK'!GF293)</f>
        <v>15</v>
      </c>
      <c r="AM292" s="309">
        <f>IF('Database MK'!GJ293="","Belum",'Database MK'!GI293-'Database MK'!GJ293)</f>
        <v>41</v>
      </c>
      <c r="AN292" s="7">
        <f>IF('Database MK'!HG293="","Belum",'Database MK'!HF293-'Database MK'!HG293)</f>
        <v>-67</v>
      </c>
      <c r="AO292" s="7">
        <f>IF('Database MK'!HP293="","Belum",'Database MK'!HN293-'Database MK'!HP293)</f>
        <v>-96</v>
      </c>
      <c r="AP292" s="7">
        <f>IF('Database MK'!HV293="","Belum",'Database MK'!HT293-'Database MK'!HV293)</f>
        <v>-91</v>
      </c>
    </row>
    <row r="293" spans="2:42" s="77" customFormat="1" hidden="1" x14ac:dyDescent="0.2">
      <c r="B293" s="307">
        <f>SUBTOTAL(3,$C$4:C293)</f>
        <v>74</v>
      </c>
      <c r="C293" s="77" t="s">
        <v>244</v>
      </c>
      <c r="D293" s="77" t="s">
        <v>2320</v>
      </c>
      <c r="E293" s="77" t="s">
        <v>2321</v>
      </c>
      <c r="F293" s="302">
        <v>46113</v>
      </c>
      <c r="G293" s="77" t="s">
        <v>681</v>
      </c>
      <c r="H293" s="77" t="str">
        <f>'Database MK'!Q294</f>
        <v>BATAL / CANCEL</v>
      </c>
      <c r="I293" s="604">
        <f>'Database MK'!S294</f>
        <v>1</v>
      </c>
      <c r="J293" s="604">
        <f>'Database MK'!T294</f>
        <v>0</v>
      </c>
      <c r="K293" s="605">
        <f>'Database MK'!U294</f>
        <v>-1</v>
      </c>
      <c r="L293" s="594">
        <f>'Database MK'!V294</f>
        <v>60</v>
      </c>
      <c r="M293" s="594">
        <f>'Database MK'!W294</f>
        <v>0</v>
      </c>
      <c r="N293" s="594">
        <f>Table3[[#This Row],[Total Panjang Pipa Aktual]]-Table3[[#This Row],[Volume
BA MC-0]]</f>
        <v>-60</v>
      </c>
      <c r="O293" s="307" t="str">
        <f ca="1">'Database MK'!DE294</f>
        <v>Sudah, OnSchedule</v>
      </c>
      <c r="P293" s="307">
        <f>'Database MK'!DI294</f>
        <v>0</v>
      </c>
      <c r="Q293" s="307">
        <f>'Database MK'!DN294</f>
        <v>0</v>
      </c>
      <c r="R293" s="307">
        <f>'Database MK'!DR294</f>
        <v>0</v>
      </c>
      <c r="S293" s="307">
        <f>'Database MK'!EA294</f>
        <v>0</v>
      </c>
      <c r="T293" s="307" t="str">
        <f ca="1">'Database MK'!EI294</f>
        <v>Belum, Delay</v>
      </c>
      <c r="U293" s="307" t="str">
        <f ca="1">'Database MK'!ET294</f>
        <v>Belum, Delay</v>
      </c>
      <c r="V293" s="307" t="str">
        <f ca="1">'Database MK'!GA294</f>
        <v>Belum, Delay</v>
      </c>
      <c r="W293" s="307" t="str">
        <f ca="1">'Database MK'!GD294</f>
        <v>Sudah, Delay</v>
      </c>
      <c r="X293" s="307" t="str">
        <f ca="1">'Database MK'!GG294</f>
        <v>Sudah, OnSchedule</v>
      </c>
      <c r="Y293" s="307" t="str">
        <f ca="1">'Database MK'!GK294</f>
        <v>Sudah, OnSchedule</v>
      </c>
      <c r="Z293" s="307" t="str">
        <f ca="1">'Database MK'!HH294</f>
        <v>Belum, Delay</v>
      </c>
      <c r="AA293" s="307" t="str">
        <f ca="1">'Database MK'!HQ294</f>
        <v>Belum, Delay</v>
      </c>
      <c r="AB293" s="307" t="str">
        <f ca="1">'Database MK'!HW294</f>
        <v>Belum, Delay</v>
      </c>
      <c r="AC293" s="307"/>
      <c r="AD293" s="307"/>
      <c r="AE293" s="307"/>
      <c r="AF293" s="307"/>
      <c r="AG293" s="307"/>
      <c r="AH293" s="307"/>
      <c r="AI293" s="307"/>
      <c r="AJ293" s="307">
        <f>'Database MK'!FY294-'Database MK'!FZ294</f>
        <v>0</v>
      </c>
      <c r="AK293" s="307"/>
      <c r="AL293" s="307"/>
      <c r="AM293" s="310"/>
      <c r="AN293" s="307"/>
      <c r="AO293" s="307"/>
      <c r="AP293" s="307"/>
    </row>
    <row r="294" spans="2:42" hidden="1" x14ac:dyDescent="0.2">
      <c r="B294" s="7">
        <f>SUBTOTAL(3,$C$4:C294)</f>
        <v>74</v>
      </c>
      <c r="C294" s="4" t="s">
        <v>244</v>
      </c>
      <c r="D294" s="4" t="s">
        <v>2328</v>
      </c>
      <c r="E294" s="4" t="s">
        <v>2329</v>
      </c>
      <c r="F294" s="300">
        <v>46113</v>
      </c>
      <c r="G294" s="4" t="s">
        <v>681</v>
      </c>
      <c r="H294" s="4" t="str">
        <f ca="1">'Database MK'!Q295</f>
        <v>Proses Konstruksi</v>
      </c>
      <c r="I294" s="24">
        <f>'Database MK'!S295</f>
        <v>1</v>
      </c>
      <c r="J294" s="24">
        <f>'Database MK'!T295</f>
        <v>0.14636874996210567</v>
      </c>
      <c r="K294" s="603">
        <f>'Database MK'!U295</f>
        <v>-0.85363125003789431</v>
      </c>
      <c r="L294" s="593">
        <f>'Database MK'!V295</f>
        <v>125</v>
      </c>
      <c r="M294" s="593">
        <f>'Database MK'!W295</f>
        <v>120</v>
      </c>
      <c r="N294" s="593">
        <f>Table3[[#This Row],[Total Panjang Pipa Aktual]]-Table3[[#This Row],[Volume
BA MC-0]]</f>
        <v>-5</v>
      </c>
      <c r="O294" s="7" t="str">
        <f ca="1">'Database MK'!DE295</f>
        <v>Sudah, OnSchedule</v>
      </c>
      <c r="P294" s="7" t="str">
        <f ca="1">'Database MK'!DI295</f>
        <v>Sudah, OnSchedule</v>
      </c>
      <c r="Q294" s="7" t="str">
        <f ca="1">'Database MK'!DN295</f>
        <v>Sudah, OnSchedule</v>
      </c>
      <c r="R294" s="7" t="str">
        <f ca="1">'Database MK'!DR295</f>
        <v>Sudah, OnSchedule</v>
      </c>
      <c r="S294" s="7" t="str">
        <f ca="1">'Database MK'!EA295</f>
        <v>Sudah, Delay</v>
      </c>
      <c r="T294" s="7" t="str">
        <f ca="1">'Database MK'!EI295</f>
        <v>Belum, Delay</v>
      </c>
      <c r="U294" s="7" t="str">
        <f ca="1">'Database MK'!ET295</f>
        <v>Belum, Delay</v>
      </c>
      <c r="V294" s="7" t="str">
        <f ca="1">'Database MK'!GA295</f>
        <v>Belum, Delay</v>
      </c>
      <c r="W294" s="7" t="str">
        <f ca="1">'Database MK'!GD295</f>
        <v>Sudah, Delay</v>
      </c>
      <c r="X294" s="7" t="str">
        <f ca="1">'Database MK'!GG295</f>
        <v>Sudah, OnSchedule</v>
      </c>
      <c r="Y294" s="7" t="str">
        <f ca="1">'Database MK'!GK295</f>
        <v>Sudah, OnSchedule</v>
      </c>
      <c r="Z294" s="7" t="str">
        <f ca="1">'Database MK'!HH295</f>
        <v>Belum, Delay</v>
      </c>
      <c r="AA294" s="7" t="str">
        <f ca="1">'Database MK'!HQ295</f>
        <v>Belum, Delay</v>
      </c>
      <c r="AB294" s="7" t="str">
        <f ca="1">'Database MK'!HW295</f>
        <v>Belum, Delay</v>
      </c>
      <c r="AC294" s="7">
        <f>'Database MK'!DA295-'Database MK'!DB295</f>
        <v>34</v>
      </c>
      <c r="AD294" s="7">
        <f>'Database MK'!DA295-'Database MK'!DF295</f>
        <v>27</v>
      </c>
      <c r="AE294" s="7">
        <f>'Database MK'!DK295-'Database MK'!DL295</f>
        <v>13</v>
      </c>
      <c r="AF294" s="7">
        <f>'Database MK'!DK295-'Database MK'!DO295</f>
        <v>4</v>
      </c>
      <c r="AG294" s="7">
        <f>'Database MK'!DU295-'Database MK'!DW295</f>
        <v>-8</v>
      </c>
      <c r="AH294" s="7" t="str">
        <f>IF('Database MK'!EB295="","Belum",'Database MK'!DU295-'Database MK'!EB295)</f>
        <v>Belum</v>
      </c>
      <c r="AI294" s="7" t="str">
        <f>IF('Database MK'!EN295="","Belum",'Database MK'!EL295-'Database MK'!EN295)</f>
        <v>Belum</v>
      </c>
      <c r="AJ294" s="7">
        <f>'Database MK'!FY295-'Database MK'!FZ295</f>
        <v>0</v>
      </c>
      <c r="AK294" s="7">
        <f>IF('Database MK'!GC295="","Belum",'Database MK'!GB295-'Database MK'!GC295)</f>
        <v>-1</v>
      </c>
      <c r="AL294" s="7">
        <f>IF('Database MK'!GF295="","Belum",'Database MK'!GE295-'Database MK'!GF295)</f>
        <v>6</v>
      </c>
      <c r="AM294" s="309">
        <f>IF('Database MK'!GJ295="","Belum",'Database MK'!GI295-'Database MK'!GJ295)</f>
        <v>13</v>
      </c>
      <c r="AN294" s="7" t="str">
        <f>IF('Database MK'!HG295="","Belum",'Database MK'!HF295-'Database MK'!HG295)</f>
        <v>Belum</v>
      </c>
      <c r="AO294" s="7" t="str">
        <f>IF('Database MK'!HP295="","Belum",'Database MK'!HN295-'Database MK'!HP295)</f>
        <v>Belum</v>
      </c>
      <c r="AP294" s="7" t="str">
        <f>IF('Database MK'!HV295="","Belum",'Database MK'!HT295-'Database MK'!HV295)</f>
        <v>Belum</v>
      </c>
    </row>
    <row r="295" spans="2:42" s="77" customFormat="1" hidden="1" x14ac:dyDescent="0.2">
      <c r="B295" s="307">
        <f>SUBTOTAL(3,$C$4:C295)</f>
        <v>74</v>
      </c>
      <c r="C295" s="77" t="s">
        <v>244</v>
      </c>
      <c r="D295" s="77" t="s">
        <v>2336</v>
      </c>
      <c r="E295" s="77" t="s">
        <v>2337</v>
      </c>
      <c r="F295" s="302">
        <v>46113</v>
      </c>
      <c r="G295" s="77" t="s">
        <v>681</v>
      </c>
      <c r="H295" s="77" t="str">
        <f>'Database MK'!Q296</f>
        <v>BATAL / CANCEL</v>
      </c>
      <c r="I295" s="604">
        <f>'Database MK'!S296</f>
        <v>1</v>
      </c>
      <c r="J295" s="604">
        <f>'Database MK'!T296</f>
        <v>0</v>
      </c>
      <c r="K295" s="605">
        <f>'Database MK'!U296</f>
        <v>-1</v>
      </c>
      <c r="L295" s="594">
        <f>'Database MK'!V296</f>
        <v>0</v>
      </c>
      <c r="M295" s="594">
        <f>'Database MK'!W296</f>
        <v>0</v>
      </c>
      <c r="N295" s="594">
        <f>Table3[[#This Row],[Total Panjang Pipa Aktual]]-Table3[[#This Row],[Volume
BA MC-0]]</f>
        <v>0</v>
      </c>
      <c r="O295" s="307" t="str">
        <f ca="1">'Database MK'!DE296</f>
        <v>Belum, Delay</v>
      </c>
      <c r="P295" s="307">
        <f>'Database MK'!DI296</f>
        <v>0</v>
      </c>
      <c r="Q295" s="307">
        <f>'Database MK'!DN296</f>
        <v>0</v>
      </c>
      <c r="R295" s="307">
        <f>'Database MK'!DR296</f>
        <v>0</v>
      </c>
      <c r="S295" s="307">
        <f>'Database MK'!EA296</f>
        <v>0</v>
      </c>
      <c r="T295" s="307" t="str">
        <f ca="1">'Database MK'!EI296</f>
        <v>Belum, Delay</v>
      </c>
      <c r="U295" s="307" t="str">
        <f ca="1">'Database MK'!ET296</f>
        <v>Belum, Delay</v>
      </c>
      <c r="V295" s="307" t="str">
        <f ca="1">'Database MK'!GA296</f>
        <v>Belum, Delay</v>
      </c>
      <c r="W295" s="307" t="str">
        <f ca="1">'Database MK'!GD296</f>
        <v>Sudah, OnSchedule</v>
      </c>
      <c r="X295" s="307" t="str">
        <f ca="1">'Database MK'!GG296</f>
        <v>Sudah, OnSchedule</v>
      </c>
      <c r="Y295" s="307" t="str">
        <f ca="1">'Database MK'!GK296</f>
        <v>Belum, Delay</v>
      </c>
      <c r="Z295" s="307" t="str">
        <f ca="1">'Database MK'!HH296</f>
        <v>Belum, Delay</v>
      </c>
      <c r="AA295" s="307" t="str">
        <f ca="1">'Database MK'!HQ296</f>
        <v>Belum, Delay</v>
      </c>
      <c r="AB295" s="307" t="str">
        <f ca="1">'Database MK'!HW296</f>
        <v>Belum, Delay</v>
      </c>
      <c r="AC295" s="307"/>
      <c r="AD295" s="307"/>
      <c r="AE295" s="307"/>
      <c r="AF295" s="307"/>
      <c r="AG295" s="307"/>
      <c r="AH295" s="307"/>
      <c r="AI295" s="307"/>
      <c r="AJ295" s="307">
        <f>'Database MK'!FY296-'Database MK'!FZ296</f>
        <v>0</v>
      </c>
      <c r="AK295" s="307"/>
      <c r="AL295" s="307"/>
      <c r="AM295" s="310"/>
      <c r="AN295" s="307"/>
      <c r="AO295" s="307"/>
      <c r="AP295" s="307"/>
    </row>
    <row r="296" spans="2:42" hidden="1" x14ac:dyDescent="0.2">
      <c r="B296" s="7">
        <f>SUBTOTAL(3,$C$4:C296)</f>
        <v>74</v>
      </c>
      <c r="C296" s="4" t="s">
        <v>244</v>
      </c>
      <c r="D296" s="4" t="s">
        <v>2339</v>
      </c>
      <c r="E296" s="4" t="s">
        <v>2340</v>
      </c>
      <c r="F296" s="300">
        <v>46113</v>
      </c>
      <c r="G296" s="4" t="s">
        <v>681</v>
      </c>
      <c r="H296" s="4" t="str">
        <f ca="1">'Database MK'!Q297</f>
        <v>DPPP</v>
      </c>
      <c r="I296" s="24">
        <f>'Database MK'!S297</f>
        <v>1</v>
      </c>
      <c r="J296" s="24">
        <f>'Database MK'!T297</f>
        <v>1</v>
      </c>
      <c r="K296" s="603">
        <f>'Database MK'!U297</f>
        <v>0</v>
      </c>
      <c r="L296" s="593">
        <f>'Database MK'!V297</f>
        <v>112.4</v>
      </c>
      <c r="M296" s="593">
        <f>'Database MK'!W297</f>
        <v>101.7</v>
      </c>
      <c r="N296" s="593">
        <f>Table3[[#This Row],[Total Panjang Pipa Aktual]]-Table3[[#This Row],[Volume
BA MC-0]]</f>
        <v>-10.700000000000003</v>
      </c>
      <c r="O296" s="7" t="str">
        <f ca="1">'Database MK'!DE297</f>
        <v>Sudah, OnSchedule</v>
      </c>
      <c r="P296" s="7" t="str">
        <f ca="1">'Database MK'!DI297</f>
        <v>Sudah, OnSchedule</v>
      </c>
      <c r="Q296" s="7" t="str">
        <f ca="1">'Database MK'!DN297</f>
        <v>Sudah, OnSchedule</v>
      </c>
      <c r="R296" s="7" t="str">
        <f ca="1">'Database MK'!DR297</f>
        <v>Sudah, OnSchedule</v>
      </c>
      <c r="S296" s="7" t="str">
        <f ca="1">'Database MK'!EA297</f>
        <v>Sudah, Delay</v>
      </c>
      <c r="T296" s="7" t="str">
        <f ca="1">'Database MK'!EI297</f>
        <v>Sudah, Delay</v>
      </c>
      <c r="U296" s="7" t="str">
        <f ca="1">'Database MK'!ET297</f>
        <v>Sudah, Delay</v>
      </c>
      <c r="V296" s="7" t="str">
        <f ca="1">'Database MK'!GA297</f>
        <v>Belum, Delay</v>
      </c>
      <c r="W296" s="7" t="str">
        <f ca="1">'Database MK'!GD297</f>
        <v>Sudah, Delay</v>
      </c>
      <c r="X296" s="7" t="str">
        <f ca="1">'Database MK'!GG297</f>
        <v>Sudah, OnSchedule</v>
      </c>
      <c r="Y296" s="7" t="str">
        <f ca="1">'Database MK'!GK297</f>
        <v>Sudah, OnSchedule</v>
      </c>
      <c r="Z296" s="7" t="str">
        <f ca="1">'Database MK'!HH297</f>
        <v>Sudah, Delay</v>
      </c>
      <c r="AA296" s="7" t="str">
        <f ca="1">'Database MK'!HQ297</f>
        <v>Sudah, Delay</v>
      </c>
      <c r="AB296" s="7" t="str">
        <f ca="1">'Database MK'!HW297</f>
        <v>Sudah, Delay</v>
      </c>
      <c r="AC296" s="7">
        <f>'Database MK'!DA297-'Database MK'!DB297</f>
        <v>34</v>
      </c>
      <c r="AD296" s="7">
        <f>'Database MK'!DA297-'Database MK'!DF297</f>
        <v>30</v>
      </c>
      <c r="AE296" s="7">
        <f>'Database MK'!DK297-'Database MK'!DL297</f>
        <v>13</v>
      </c>
      <c r="AF296" s="7">
        <f>'Database MK'!DK297-'Database MK'!DO297</f>
        <v>3</v>
      </c>
      <c r="AG296" s="7">
        <f>'Database MK'!DU297-'Database MK'!DW297</f>
        <v>-8</v>
      </c>
      <c r="AH296" s="7">
        <f>IF('Database MK'!EB297="","Belum",'Database MK'!DU297-'Database MK'!EB297)</f>
        <v>-73</v>
      </c>
      <c r="AI296" s="7">
        <f>IF('Database MK'!EN297="","Belum",'Database MK'!EL297-'Database MK'!EN297)</f>
        <v>-80</v>
      </c>
      <c r="AJ296" s="7">
        <f>'Database MK'!FY297-'Database MK'!FZ297</f>
        <v>0</v>
      </c>
      <c r="AK296" s="7">
        <f>IF('Database MK'!GC297="","Belum",'Database MK'!GB297-'Database MK'!GC297)</f>
        <v>-1</v>
      </c>
      <c r="AL296" s="7">
        <f>IF('Database MK'!GF297="","Belum",'Database MK'!GE297-'Database MK'!GF297)</f>
        <v>6</v>
      </c>
      <c r="AM296" s="309">
        <f>IF('Database MK'!GJ297="","Belum",'Database MK'!GI297-'Database MK'!GJ297)</f>
        <v>11</v>
      </c>
      <c r="AN296" s="7">
        <f>IF('Database MK'!HG297="","Belum",'Database MK'!HF297-'Database MK'!HG297)</f>
        <v>-78</v>
      </c>
      <c r="AO296" s="7">
        <f>IF('Database MK'!HP297="","Belum",'Database MK'!HN297-'Database MK'!HP297)</f>
        <v>-85</v>
      </c>
      <c r="AP296" s="7">
        <f>IF('Database MK'!HV297="","Belum",'Database MK'!HT297-'Database MK'!HV297)</f>
        <v>-82</v>
      </c>
    </row>
    <row r="297" spans="2:42" hidden="1" x14ac:dyDescent="0.2">
      <c r="B297" s="7">
        <f>SUBTOTAL(3,$C$4:C297)</f>
        <v>74</v>
      </c>
      <c r="C297" s="4" t="s">
        <v>244</v>
      </c>
      <c r="D297" s="4" t="s">
        <v>2348</v>
      </c>
      <c r="E297" s="4" t="s">
        <v>2349</v>
      </c>
      <c r="F297" s="300">
        <v>46113</v>
      </c>
      <c r="G297" s="4" t="s">
        <v>681</v>
      </c>
      <c r="H297" s="4" t="str">
        <f ca="1">'Database MK'!Q298</f>
        <v>DPPP</v>
      </c>
      <c r="I297" s="24">
        <f>'Database MK'!S298</f>
        <v>1</v>
      </c>
      <c r="J297" s="24">
        <f>'Database MK'!T298</f>
        <v>1</v>
      </c>
      <c r="K297" s="603">
        <f>'Database MK'!U298</f>
        <v>0</v>
      </c>
      <c r="L297" s="593">
        <f>'Database MK'!V298</f>
        <v>50</v>
      </c>
      <c r="M297" s="593">
        <f>'Database MK'!W298</f>
        <v>50</v>
      </c>
      <c r="N297" s="593">
        <f>Table3[[#This Row],[Total Panjang Pipa Aktual]]-Table3[[#This Row],[Volume
BA MC-0]]</f>
        <v>0</v>
      </c>
      <c r="O297" s="7" t="str">
        <f ca="1">'Database MK'!DE298</f>
        <v>Sudah, OnSchedule</v>
      </c>
      <c r="P297" s="7" t="str">
        <f ca="1">'Database MK'!DI298</f>
        <v>Sudah, OnSchedule</v>
      </c>
      <c r="Q297" s="7" t="str">
        <f ca="1">'Database MK'!DN298</f>
        <v>Sudah, OnSchedule</v>
      </c>
      <c r="R297" s="7" t="str">
        <f ca="1">'Database MK'!DR298</f>
        <v>Sudah, OnSchedule</v>
      </c>
      <c r="S297" s="7" t="str">
        <f ca="1">'Database MK'!EA298</f>
        <v>Sudah, Delay</v>
      </c>
      <c r="T297" s="7" t="str">
        <f ca="1">'Database MK'!EI298</f>
        <v>Sudah, Delay</v>
      </c>
      <c r="U297" s="7" t="str">
        <f ca="1">'Database MK'!ET298</f>
        <v>Sudah, Delay</v>
      </c>
      <c r="V297" s="7" t="str">
        <f ca="1">'Database MK'!GA298</f>
        <v>Belum, Delay</v>
      </c>
      <c r="W297" s="7" t="str">
        <f ca="1">'Database MK'!GD298</f>
        <v>Sudah, OnSchedule</v>
      </c>
      <c r="X297" s="7" t="str">
        <f ca="1">'Database MK'!GG298</f>
        <v>Sudah, OnSchedule</v>
      </c>
      <c r="Y297" s="7" t="str">
        <f ca="1">'Database MK'!GK298</f>
        <v>Sudah, OnSchedule</v>
      </c>
      <c r="Z297" s="7" t="str">
        <f ca="1">'Database MK'!HH298</f>
        <v>Sudah, Delay</v>
      </c>
      <c r="AA297" s="7" t="str">
        <f ca="1">'Database MK'!HQ298</f>
        <v>Sudah, Delay</v>
      </c>
      <c r="AB297" s="7" t="str">
        <f ca="1">'Database MK'!HW298</f>
        <v>Sudah, Delay</v>
      </c>
      <c r="AC297" s="7">
        <f>'Database MK'!DA298-'Database MK'!DB298</f>
        <v>33</v>
      </c>
      <c r="AD297" s="7">
        <f>'Database MK'!DA298-'Database MK'!DF298</f>
        <v>26</v>
      </c>
      <c r="AE297" s="7">
        <f>'Database MK'!DK298-'Database MK'!DL298</f>
        <v>13</v>
      </c>
      <c r="AF297" s="7">
        <f>'Database MK'!DK298-'Database MK'!DO298</f>
        <v>6</v>
      </c>
      <c r="AG297" s="7">
        <f>'Database MK'!DU298-'Database MK'!DW298</f>
        <v>-8</v>
      </c>
      <c r="AH297" s="7">
        <f>IF('Database MK'!EB298="","Belum",'Database MK'!DU298-'Database MK'!EB298)</f>
        <v>-71</v>
      </c>
      <c r="AI297" s="7">
        <f>IF('Database MK'!EN298="","Belum",'Database MK'!EL298-'Database MK'!EN298)</f>
        <v>-67</v>
      </c>
      <c r="AJ297" s="7">
        <f>'Database MK'!FY298-'Database MK'!FZ298</f>
        <v>0</v>
      </c>
      <c r="AK297" s="7">
        <f>IF('Database MK'!GC298="","Belum",'Database MK'!GB298-'Database MK'!GC298)</f>
        <v>49</v>
      </c>
      <c r="AL297" s="7">
        <f>IF('Database MK'!GF298="","Belum",'Database MK'!GE298-'Database MK'!GF298)</f>
        <v>56</v>
      </c>
      <c r="AM297" s="309">
        <f>IF('Database MK'!GJ298="","Belum",'Database MK'!GI298-'Database MK'!GJ298)</f>
        <v>26</v>
      </c>
      <c r="AN297" s="7">
        <f>IF('Database MK'!HG298="","Belum",'Database MK'!HF298-'Database MK'!HG298)</f>
        <v>-30</v>
      </c>
      <c r="AO297" s="7">
        <f>IF('Database MK'!HP298="","Belum",'Database MK'!HN298-'Database MK'!HP298)</f>
        <v>-85</v>
      </c>
      <c r="AP297" s="7">
        <f>IF('Database MK'!HV298="","Belum",'Database MK'!HT298-'Database MK'!HV298)</f>
        <v>-81</v>
      </c>
    </row>
    <row r="298" spans="2:42" hidden="1" x14ac:dyDescent="0.2">
      <c r="B298" s="7">
        <f>SUBTOTAL(3,$C$4:C298)</f>
        <v>74</v>
      </c>
      <c r="C298" s="4" t="s">
        <v>244</v>
      </c>
      <c r="D298" s="4" t="s">
        <v>2357</v>
      </c>
      <c r="E298" s="4" t="s">
        <v>2358</v>
      </c>
      <c r="F298" s="300">
        <v>46113</v>
      </c>
      <c r="G298" s="4" t="s">
        <v>681</v>
      </c>
      <c r="H298" s="4" t="str">
        <f ca="1">'Database MK'!Q299</f>
        <v>DPPP</v>
      </c>
      <c r="I298" s="24">
        <f>'Database MK'!S299</f>
        <v>1</v>
      </c>
      <c r="J298" s="24">
        <f>'Database MK'!T299</f>
        <v>1</v>
      </c>
      <c r="K298" s="603">
        <f>'Database MK'!U299</f>
        <v>0</v>
      </c>
      <c r="L298" s="593">
        <f>'Database MK'!V299</f>
        <v>217</v>
      </c>
      <c r="M298" s="593">
        <f>'Database MK'!W299</f>
        <v>171</v>
      </c>
      <c r="N298" s="593">
        <f>Table3[[#This Row],[Total Panjang Pipa Aktual]]-Table3[[#This Row],[Volume
BA MC-0]]</f>
        <v>-46</v>
      </c>
      <c r="O298" s="7" t="str">
        <f ca="1">'Database MK'!DE299</f>
        <v>Sudah, OnSchedule</v>
      </c>
      <c r="P298" s="7" t="str">
        <f ca="1">'Database MK'!DI299</f>
        <v>Sudah, OnSchedule</v>
      </c>
      <c r="Q298" s="7" t="str">
        <f ca="1">'Database MK'!DN299</f>
        <v>Sudah, OnSchedule</v>
      </c>
      <c r="R298" s="7" t="str">
        <f ca="1">'Database MK'!DR299</f>
        <v>Sudah, OnSchedule</v>
      </c>
      <c r="S298" s="7" t="str">
        <f ca="1">'Database MK'!EA299</f>
        <v>Sudah, OnSchedule</v>
      </c>
      <c r="T298" s="7" t="str">
        <f ca="1">'Database MK'!EI299</f>
        <v>Sudah, Delay</v>
      </c>
      <c r="U298" s="7" t="str">
        <f ca="1">'Database MK'!ET299</f>
        <v>Sudah, Delay</v>
      </c>
      <c r="V298" s="7" t="str">
        <f ca="1">'Database MK'!GA299</f>
        <v>Belum, Delay</v>
      </c>
      <c r="W298" s="7" t="str">
        <f ca="1">'Database MK'!GD299</f>
        <v>Sudah, OnSchedule</v>
      </c>
      <c r="X298" s="7" t="str">
        <f ca="1">'Database MK'!GG299</f>
        <v>Sudah, OnSchedule</v>
      </c>
      <c r="Y298" s="7" t="str">
        <f ca="1">'Database MK'!GK299</f>
        <v>Sudah, OnSchedule</v>
      </c>
      <c r="Z298" s="7" t="str">
        <f ca="1">'Database MK'!HH299</f>
        <v>Sudah, Delay</v>
      </c>
      <c r="AA298" s="7" t="str">
        <f ca="1">'Database MK'!HQ299</f>
        <v>Sudah, Delay</v>
      </c>
      <c r="AB298" s="7" t="str">
        <f ca="1">'Database MK'!HW299</f>
        <v>Sudah, Delay</v>
      </c>
      <c r="AC298" s="7">
        <f>'Database MK'!DA299-'Database MK'!DB299</f>
        <v>26</v>
      </c>
      <c r="AD298" s="7">
        <f>'Database MK'!DA299-'Database MK'!DF299</f>
        <v>9</v>
      </c>
      <c r="AE298" s="7">
        <f>'Database MK'!DK299-'Database MK'!DL299</f>
        <v>46</v>
      </c>
      <c r="AF298" s="7">
        <f>'Database MK'!DK299-'Database MK'!DO299</f>
        <v>10</v>
      </c>
      <c r="AG298" s="7">
        <f>'Database MK'!DU299-'Database MK'!DW299</f>
        <v>25</v>
      </c>
      <c r="AH298" s="7">
        <f>IF('Database MK'!EB299="","Belum",'Database MK'!DU299-'Database MK'!EB299)</f>
        <v>-192</v>
      </c>
      <c r="AI298" s="7">
        <f>IF('Database MK'!EN299="","Belum",'Database MK'!EL299-'Database MK'!EN299)</f>
        <v>-164</v>
      </c>
      <c r="AJ298" s="7">
        <f>'Database MK'!FY299-'Database MK'!FZ299</f>
        <v>0</v>
      </c>
      <c r="AK298" s="7">
        <f>IF('Database MK'!GC299="","Belum",'Database MK'!GB299-'Database MK'!GC299)</f>
        <v>49</v>
      </c>
      <c r="AL298" s="7">
        <f>IF('Database MK'!GF299="","Belum",'Database MK'!GE299-'Database MK'!GF299)</f>
        <v>56</v>
      </c>
      <c r="AM298" s="309">
        <f>IF('Database MK'!GJ299="","Belum",'Database MK'!GI299-'Database MK'!GJ299)</f>
        <v>65</v>
      </c>
      <c r="AN298" s="7">
        <f>IF('Database MK'!HG299="","Belum",'Database MK'!HF299-'Database MK'!HG299)</f>
        <v>-31</v>
      </c>
      <c r="AO298" s="7">
        <f>IF('Database MK'!HP299="","Belum",'Database MK'!HN299-'Database MK'!HP299)</f>
        <v>-82</v>
      </c>
      <c r="AP298" s="7">
        <f>IF('Database MK'!HV299="","Belum",'Database MK'!HT299-'Database MK'!HV299)</f>
        <v>-81</v>
      </c>
    </row>
    <row r="299" spans="2:42" s="77" customFormat="1" hidden="1" x14ac:dyDescent="0.2">
      <c r="B299" s="307">
        <f>SUBTOTAL(3,$C$4:C299)</f>
        <v>74</v>
      </c>
      <c r="C299" s="77" t="s">
        <v>244</v>
      </c>
      <c r="D299" s="77" t="s">
        <v>2366</v>
      </c>
      <c r="E299" s="77" t="s">
        <v>2367</v>
      </c>
      <c r="F299" s="302">
        <v>46113</v>
      </c>
      <c r="G299" s="77" t="s">
        <v>681</v>
      </c>
      <c r="H299" s="77" t="str">
        <f>'Database MK'!Q300</f>
        <v>BATAL / CANCEL</v>
      </c>
      <c r="I299" s="604">
        <f>'Database MK'!S300</f>
        <v>1</v>
      </c>
      <c r="J299" s="604">
        <f>'Database MK'!T300</f>
        <v>0</v>
      </c>
      <c r="K299" s="605">
        <f>'Database MK'!U300</f>
        <v>-1</v>
      </c>
      <c r="L299" s="594">
        <f>'Database MK'!V300</f>
        <v>401.5</v>
      </c>
      <c r="M299" s="594">
        <f>'Database MK'!W300</f>
        <v>0</v>
      </c>
      <c r="N299" s="594">
        <f>Table3[[#This Row],[Total Panjang Pipa Aktual]]-Table3[[#This Row],[Volume
BA MC-0]]</f>
        <v>-401.5</v>
      </c>
      <c r="O299" s="307" t="str">
        <f ca="1">'Database MK'!DE300</f>
        <v>Sudah, OnSchedule</v>
      </c>
      <c r="P299" s="307">
        <f>'Database MK'!DI300</f>
        <v>0</v>
      </c>
      <c r="Q299" s="307">
        <f>'Database MK'!DN300</f>
        <v>0</v>
      </c>
      <c r="R299" s="307">
        <f>'Database MK'!DR300</f>
        <v>0</v>
      </c>
      <c r="S299" s="307">
        <f>'Database MK'!EA300</f>
        <v>0</v>
      </c>
      <c r="T299" s="307" t="str">
        <f ca="1">'Database MK'!EI300</f>
        <v>Belum, Delay</v>
      </c>
      <c r="U299" s="307" t="str">
        <f ca="1">'Database MK'!ET300</f>
        <v>Belum, Delay</v>
      </c>
      <c r="V299" s="307" t="str">
        <f ca="1">'Database MK'!GA300</f>
        <v>Belum, Delay</v>
      </c>
      <c r="W299" s="307" t="str">
        <f ca="1">'Database MK'!GD300</f>
        <v>Sudah, OnSchedule</v>
      </c>
      <c r="X299" s="307" t="str">
        <f ca="1">'Database MK'!GG300</f>
        <v>Sudah, OnSchedule</v>
      </c>
      <c r="Y299" s="307" t="str">
        <f ca="1">'Database MK'!GK300</f>
        <v>Sudah, OnSchedule</v>
      </c>
      <c r="Z299" s="307" t="str">
        <f ca="1">'Database MK'!HH300</f>
        <v>Belum, Delay</v>
      </c>
      <c r="AA299" s="307" t="str">
        <f ca="1">'Database MK'!HQ300</f>
        <v>Belum, Delay</v>
      </c>
      <c r="AB299" s="307" t="str">
        <f ca="1">'Database MK'!HW300</f>
        <v>Belum, Delay</v>
      </c>
      <c r="AC299" s="307"/>
      <c r="AD299" s="307"/>
      <c r="AE299" s="307"/>
      <c r="AF299" s="307"/>
      <c r="AG299" s="307"/>
      <c r="AH299" s="307"/>
      <c r="AI299" s="307"/>
      <c r="AJ299" s="307">
        <f>'Database MK'!FY300-'Database MK'!FZ300</f>
        <v>0</v>
      </c>
      <c r="AK299" s="307"/>
      <c r="AL299" s="307"/>
      <c r="AM299" s="310"/>
      <c r="AN299" s="307"/>
      <c r="AO299" s="307"/>
      <c r="AP299" s="307"/>
    </row>
    <row r="300" spans="2:42" s="77" customFormat="1" hidden="1" x14ac:dyDescent="0.2">
      <c r="B300" s="307">
        <f>SUBTOTAL(3,$C$4:C300)</f>
        <v>74</v>
      </c>
      <c r="C300" s="77" t="s">
        <v>244</v>
      </c>
      <c r="D300" s="77" t="s">
        <v>2373</v>
      </c>
      <c r="E300" s="77" t="s">
        <v>2374</v>
      </c>
      <c r="F300" s="302">
        <v>46113</v>
      </c>
      <c r="G300" s="77" t="s">
        <v>681</v>
      </c>
      <c r="H300" s="77" t="str">
        <f>'Database MK'!Q301</f>
        <v>BATAL / CANCEL</v>
      </c>
      <c r="I300" s="604">
        <f>'Database MK'!S301</f>
        <v>1</v>
      </c>
      <c r="J300" s="604">
        <f>'Database MK'!T301</f>
        <v>0</v>
      </c>
      <c r="K300" s="605">
        <f>'Database MK'!U301</f>
        <v>-1</v>
      </c>
      <c r="L300" s="594">
        <f>'Database MK'!V301</f>
        <v>115</v>
      </c>
      <c r="M300" s="594">
        <f>'Database MK'!W301</f>
        <v>0</v>
      </c>
      <c r="N300" s="594">
        <f>Table3[[#This Row],[Total Panjang Pipa Aktual]]-Table3[[#This Row],[Volume
BA MC-0]]</f>
        <v>-115</v>
      </c>
      <c r="O300" s="307" t="str">
        <f ca="1">'Database MK'!DE301</f>
        <v>Sudah, OnSchedule</v>
      </c>
      <c r="P300" s="307">
        <f>'Database MK'!DI301</f>
        <v>0</v>
      </c>
      <c r="Q300" s="307">
        <f>'Database MK'!DN301</f>
        <v>0</v>
      </c>
      <c r="R300" s="307">
        <f>'Database MK'!DR301</f>
        <v>0</v>
      </c>
      <c r="S300" s="307">
        <f>'Database MK'!EA301</f>
        <v>0</v>
      </c>
      <c r="T300" s="307" t="str">
        <f ca="1">'Database MK'!EI301</f>
        <v>Belum, Delay</v>
      </c>
      <c r="U300" s="307" t="str">
        <f ca="1">'Database MK'!ET301</f>
        <v>Belum, Delay</v>
      </c>
      <c r="V300" s="307" t="str">
        <f ca="1">'Database MK'!GA301</f>
        <v>Belum, Delay</v>
      </c>
      <c r="W300" s="307" t="str">
        <f ca="1">'Database MK'!GD301</f>
        <v>Sudah, OnSchedule</v>
      </c>
      <c r="X300" s="307" t="str">
        <f ca="1">'Database MK'!GG301</f>
        <v>Sudah, OnSchedule</v>
      </c>
      <c r="Y300" s="307" t="str">
        <f ca="1">'Database MK'!GK301</f>
        <v>Sudah, OnSchedule</v>
      </c>
      <c r="Z300" s="307" t="str">
        <f ca="1">'Database MK'!HH301</f>
        <v>Belum, Delay</v>
      </c>
      <c r="AA300" s="307" t="str">
        <f ca="1">'Database MK'!HQ301</f>
        <v>Belum, Delay</v>
      </c>
      <c r="AB300" s="307" t="str">
        <f ca="1">'Database MK'!HW301</f>
        <v>Belum, Delay</v>
      </c>
      <c r="AC300" s="307"/>
      <c r="AD300" s="307"/>
      <c r="AE300" s="307"/>
      <c r="AF300" s="307"/>
      <c r="AG300" s="307"/>
      <c r="AH300" s="307"/>
      <c r="AI300" s="307"/>
      <c r="AJ300" s="307">
        <f>'Database MK'!FY301-'Database MK'!FZ301</f>
        <v>0</v>
      </c>
      <c r="AK300" s="307"/>
      <c r="AL300" s="307"/>
      <c r="AM300" s="310"/>
      <c r="AN300" s="307"/>
      <c r="AO300" s="307"/>
      <c r="AP300" s="307"/>
    </row>
    <row r="301" spans="2:42" hidden="1" x14ac:dyDescent="0.2">
      <c r="B301" s="7">
        <f>SUBTOTAL(3,$C$4:C301)</f>
        <v>74</v>
      </c>
      <c r="C301" s="4" t="s">
        <v>244</v>
      </c>
      <c r="D301" s="4" t="s">
        <v>2380</v>
      </c>
      <c r="E301" s="4" t="s">
        <v>2381</v>
      </c>
      <c r="F301" s="300">
        <v>46113</v>
      </c>
      <c r="G301" s="4" t="s">
        <v>681</v>
      </c>
      <c r="H301" s="4" t="str">
        <f ca="1">'Database MK'!Q302</f>
        <v>DPPP</v>
      </c>
      <c r="I301" s="24">
        <f>'Database MK'!S302</f>
        <v>1</v>
      </c>
      <c r="J301" s="24">
        <f>'Database MK'!T302</f>
        <v>1</v>
      </c>
      <c r="K301" s="603">
        <f>'Database MK'!U302</f>
        <v>0</v>
      </c>
      <c r="L301" s="593">
        <f>'Database MK'!V302</f>
        <v>96.5</v>
      </c>
      <c r="M301" s="593">
        <f>'Database MK'!W302</f>
        <v>83</v>
      </c>
      <c r="N301" s="593">
        <f>Table3[[#This Row],[Total Panjang Pipa Aktual]]-Table3[[#This Row],[Volume
BA MC-0]]</f>
        <v>-13.5</v>
      </c>
      <c r="O301" s="7" t="str">
        <f ca="1">'Database MK'!DE302</f>
        <v>Sudah, Delay</v>
      </c>
      <c r="P301" s="7" t="str">
        <f ca="1">'Database MK'!DI302</f>
        <v>Sudah, Delay</v>
      </c>
      <c r="Q301" s="7" t="str">
        <f ca="1">'Database MK'!DN302</f>
        <v>Sudah, Delay</v>
      </c>
      <c r="R301" s="7" t="str">
        <f ca="1">'Database MK'!DR302</f>
        <v>Sudah, Delay</v>
      </c>
      <c r="S301" s="7" t="str">
        <f ca="1">'Database MK'!EA302</f>
        <v>Sudah, Delay</v>
      </c>
      <c r="T301" s="7" t="str">
        <f ca="1">'Database MK'!EI302</f>
        <v>Sudah, Delay</v>
      </c>
      <c r="U301" s="7" t="str">
        <f ca="1">'Database MK'!ET302</f>
        <v>Sudah, Delay</v>
      </c>
      <c r="V301" s="7" t="str">
        <f ca="1">'Database MK'!GA302</f>
        <v>Belum, Delay</v>
      </c>
      <c r="W301" s="7" t="str">
        <f ca="1">'Database MK'!GD302</f>
        <v>Sudah, Delay</v>
      </c>
      <c r="X301" s="7" t="str">
        <f ca="1">'Database MK'!GG302</f>
        <v>Sudah, Delay</v>
      </c>
      <c r="Y301" s="7" t="str">
        <f ca="1">'Database MK'!GK302</f>
        <v>Sudah, Delay</v>
      </c>
      <c r="Z301" s="7" t="str">
        <f ca="1">'Database MK'!HH302</f>
        <v>Sudah, Delay</v>
      </c>
      <c r="AA301" s="7" t="str">
        <f ca="1">'Database MK'!HQ302</f>
        <v>Sudah, Delay</v>
      </c>
      <c r="AB301" s="7" t="str">
        <f ca="1">'Database MK'!HW302</f>
        <v>Sudah, Delay</v>
      </c>
      <c r="AC301" s="7">
        <f>'Database MK'!DA302-'Database MK'!DB302</f>
        <v>-50</v>
      </c>
      <c r="AD301" s="7">
        <f>'Database MK'!DA302-'Database MK'!DF302</f>
        <v>-64</v>
      </c>
      <c r="AE301" s="7">
        <f>'Database MK'!DK302-'Database MK'!DL302</f>
        <v>-8</v>
      </c>
      <c r="AF301" s="7">
        <f>'Database MK'!DK302-'Database MK'!DO302</f>
        <v>-12</v>
      </c>
      <c r="AG301" s="7">
        <f>'Database MK'!DU302-'Database MK'!DW302</f>
        <v>-29</v>
      </c>
      <c r="AH301" s="7">
        <f>IF('Database MK'!EB302="","Belum",'Database MK'!DU302-'Database MK'!EB302)</f>
        <v>-73</v>
      </c>
      <c r="AI301" s="7">
        <f>IF('Database MK'!EN302="","Belum",'Database MK'!EL302-'Database MK'!EN302)</f>
        <v>-107</v>
      </c>
      <c r="AJ301" s="7">
        <f>'Database MK'!FY302-'Database MK'!FZ302</f>
        <v>0</v>
      </c>
      <c r="AK301" s="7">
        <f>IF('Database MK'!GC302="","Belum",'Database MK'!GB302-'Database MK'!GC302)</f>
        <v>-20</v>
      </c>
      <c r="AL301" s="7">
        <f>IF('Database MK'!GF302="","Belum",'Database MK'!GE302-'Database MK'!GF302)</f>
        <v>-13</v>
      </c>
      <c r="AM301" s="309">
        <f>IF('Database MK'!GJ302="","Belum",'Database MK'!GI302-'Database MK'!GJ302)</f>
        <v>-5</v>
      </c>
      <c r="AN301" s="7">
        <f>IF('Database MK'!HG302="","Belum",'Database MK'!HF302-'Database MK'!HG302)</f>
        <v>-36</v>
      </c>
      <c r="AO301" s="7">
        <f>IF('Database MK'!HP302="","Belum",'Database MK'!HN302-'Database MK'!HP302)</f>
        <v>-85</v>
      </c>
      <c r="AP301" s="7">
        <f>IF('Database MK'!HV302="","Belum",'Database MK'!HT302-'Database MK'!HV302)</f>
        <v>-81</v>
      </c>
    </row>
    <row r="302" spans="2:42" hidden="1" x14ac:dyDescent="0.2">
      <c r="B302" s="7">
        <f>SUBTOTAL(3,$C$4:C302)</f>
        <v>74</v>
      </c>
      <c r="C302" s="4" t="s">
        <v>244</v>
      </c>
      <c r="D302" s="4" t="s">
        <v>2388</v>
      </c>
      <c r="E302" s="4" t="s">
        <v>2389</v>
      </c>
      <c r="F302" s="300">
        <v>46113</v>
      </c>
      <c r="G302" s="4" t="s">
        <v>681</v>
      </c>
      <c r="H302" s="4" t="str">
        <f ca="1">'Database MK'!Q303</f>
        <v>DPPP</v>
      </c>
      <c r="I302" s="24">
        <f>'Database MK'!S303</f>
        <v>1</v>
      </c>
      <c r="J302" s="24">
        <f>'Database MK'!T303</f>
        <v>1</v>
      </c>
      <c r="K302" s="603">
        <f>'Database MK'!U303</f>
        <v>0</v>
      </c>
      <c r="L302" s="593">
        <f>'Database MK'!V303</f>
        <v>268.5</v>
      </c>
      <c r="M302" s="593">
        <f>'Database MK'!W303</f>
        <v>263</v>
      </c>
      <c r="N302" s="593">
        <f>Table3[[#This Row],[Total Panjang Pipa Aktual]]-Table3[[#This Row],[Volume
BA MC-0]]</f>
        <v>-5.5</v>
      </c>
      <c r="O302" s="7" t="str">
        <f ca="1">'Database MK'!DE303</f>
        <v>Sudah, OnSchedule</v>
      </c>
      <c r="P302" s="7" t="str">
        <f ca="1">'Database MK'!DI303</f>
        <v>Sudah, OnSchedule</v>
      </c>
      <c r="Q302" s="7" t="str">
        <f ca="1">'Database MK'!DN303</f>
        <v>Sudah, OnSchedule</v>
      </c>
      <c r="R302" s="7" t="str">
        <f ca="1">'Database MK'!DR303</f>
        <v>Sudah, OnSchedule</v>
      </c>
      <c r="S302" s="7" t="str">
        <f ca="1">'Database MK'!EA303</f>
        <v>Sudah, OnSchedule</v>
      </c>
      <c r="T302" s="7" t="str">
        <f ca="1">'Database MK'!EI303</f>
        <v>Sudah, Delay</v>
      </c>
      <c r="U302" s="7" t="str">
        <f ca="1">'Database MK'!ET303</f>
        <v>Sudah, Delay</v>
      </c>
      <c r="V302" s="7" t="str">
        <f ca="1">'Database MK'!GA303</f>
        <v>Belum, Delay</v>
      </c>
      <c r="W302" s="7" t="str">
        <f ca="1">'Database MK'!GD303</f>
        <v>Sudah, OnSchedule</v>
      </c>
      <c r="X302" s="7" t="str">
        <f ca="1">'Database MK'!GG303</f>
        <v>Sudah, OnSchedule</v>
      </c>
      <c r="Y302" s="7" t="str">
        <f ca="1">'Database MK'!GK303</f>
        <v>Sudah, OnSchedule</v>
      </c>
      <c r="Z302" s="7" t="str">
        <f ca="1">'Database MK'!HH303</f>
        <v>Sudah, Delay</v>
      </c>
      <c r="AA302" s="7" t="str">
        <f ca="1">'Database MK'!HQ303</f>
        <v>Sudah, Delay</v>
      </c>
      <c r="AB302" s="7" t="str">
        <f ca="1">'Database MK'!HW303</f>
        <v>Sudah, Delay</v>
      </c>
      <c r="AC302" s="7">
        <f>'Database MK'!DA303-'Database MK'!DB303</f>
        <v>28</v>
      </c>
      <c r="AD302" s="7">
        <f>'Database MK'!DA303-'Database MK'!DF303</f>
        <v>9</v>
      </c>
      <c r="AE302" s="7">
        <f>'Database MK'!DK303-'Database MK'!DL303</f>
        <v>22</v>
      </c>
      <c r="AF302" s="7">
        <f>'Database MK'!DK303-'Database MK'!DO303</f>
        <v>17</v>
      </c>
      <c r="AG302" s="7">
        <f>'Database MK'!DU303-'Database MK'!DW303</f>
        <v>1</v>
      </c>
      <c r="AH302" s="7">
        <f>IF('Database MK'!EB303="","Belum",'Database MK'!DU303-'Database MK'!EB303)</f>
        <v>-67</v>
      </c>
      <c r="AI302" s="7">
        <f>IF('Database MK'!EN303="","Belum",'Database MK'!EL303-'Database MK'!EN303)</f>
        <v>-107</v>
      </c>
      <c r="AJ302" s="7">
        <f>'Database MK'!FY303-'Database MK'!FZ303</f>
        <v>0</v>
      </c>
      <c r="AK302" s="7">
        <f>IF('Database MK'!GC303="","Belum",'Database MK'!GB303-'Database MK'!GC303)</f>
        <v>36</v>
      </c>
      <c r="AL302" s="7">
        <f>IF('Database MK'!GF303="","Belum",'Database MK'!GE303-'Database MK'!GF303)</f>
        <v>43</v>
      </c>
      <c r="AM302" s="309">
        <f>IF('Database MK'!GJ303="","Belum",'Database MK'!GI303-'Database MK'!GJ303)</f>
        <v>27</v>
      </c>
      <c r="AN302" s="7">
        <f>IF('Database MK'!HG303="","Belum",'Database MK'!HF303-'Database MK'!HG303)</f>
        <v>-30</v>
      </c>
      <c r="AO302" s="7">
        <f>IF('Database MK'!HP303="","Belum",'Database MK'!HN303-'Database MK'!HP303)</f>
        <v>-61</v>
      </c>
      <c r="AP302" s="7">
        <f>IF('Database MK'!HV303="","Belum",'Database MK'!HT303-'Database MK'!HV303)</f>
        <v>-61</v>
      </c>
    </row>
    <row r="303" spans="2:42" s="77" customFormat="1" hidden="1" x14ac:dyDescent="0.2">
      <c r="B303" s="307">
        <f>SUBTOTAL(3,$C$4:C303)</f>
        <v>74</v>
      </c>
      <c r="C303" s="77" t="s">
        <v>244</v>
      </c>
      <c r="D303" s="77" t="s">
        <v>2397</v>
      </c>
      <c r="E303" s="77" t="s">
        <v>2398</v>
      </c>
      <c r="F303" s="302">
        <v>46113</v>
      </c>
      <c r="G303" s="77" t="s">
        <v>681</v>
      </c>
      <c r="H303" s="77" t="str">
        <f>'Database MK'!Q304</f>
        <v>BATAL / CANCEL</v>
      </c>
      <c r="I303" s="604">
        <f>'Database MK'!S304</f>
        <v>1</v>
      </c>
      <c r="J303" s="604">
        <f>'Database MK'!T304</f>
        <v>0</v>
      </c>
      <c r="K303" s="605">
        <f>'Database MK'!U304</f>
        <v>-1</v>
      </c>
      <c r="L303" s="594">
        <f>'Database MK'!V304</f>
        <v>232.7</v>
      </c>
      <c r="M303" s="594">
        <f>'Database MK'!W304</f>
        <v>0</v>
      </c>
      <c r="N303" s="594">
        <f>Table3[[#This Row],[Total Panjang Pipa Aktual]]-Table3[[#This Row],[Volume
BA MC-0]]</f>
        <v>-232.7</v>
      </c>
      <c r="O303" s="307" t="str">
        <f ca="1">'Database MK'!DE304</f>
        <v>Sudah, OnSchedule</v>
      </c>
      <c r="P303" s="307">
        <f>'Database MK'!DI304</f>
        <v>0</v>
      </c>
      <c r="Q303" s="307">
        <f>'Database MK'!DN304</f>
        <v>0</v>
      </c>
      <c r="R303" s="307">
        <f>'Database MK'!DR304</f>
        <v>0</v>
      </c>
      <c r="S303" s="307">
        <f>'Database MK'!EA304</f>
        <v>0</v>
      </c>
      <c r="T303" s="307" t="str">
        <f ca="1">'Database MK'!EI304</f>
        <v>Belum, Delay</v>
      </c>
      <c r="U303" s="307" t="str">
        <f ca="1">'Database MK'!ET304</f>
        <v>Belum, Delay</v>
      </c>
      <c r="V303" s="307" t="str">
        <f ca="1">'Database MK'!GA304</f>
        <v>Belum, Delay</v>
      </c>
      <c r="W303" s="307" t="str">
        <f ca="1">'Database MK'!GD304</f>
        <v>Sudah, OnSchedule</v>
      </c>
      <c r="X303" s="307" t="str">
        <f ca="1">'Database MK'!GG304</f>
        <v>Sudah, OnSchedule</v>
      </c>
      <c r="Y303" s="307" t="str">
        <f ca="1">'Database MK'!GK304</f>
        <v>Sudah, OnSchedule</v>
      </c>
      <c r="Z303" s="307" t="str">
        <f ca="1">'Database MK'!HH304</f>
        <v>Belum, Delay</v>
      </c>
      <c r="AA303" s="307" t="str">
        <f ca="1">'Database MK'!HQ304</f>
        <v>Belum, Delay</v>
      </c>
      <c r="AB303" s="307" t="str">
        <f ca="1">'Database MK'!HW304</f>
        <v>Belum, Delay</v>
      </c>
      <c r="AC303" s="307"/>
      <c r="AD303" s="307"/>
      <c r="AE303" s="307"/>
      <c r="AF303" s="307"/>
      <c r="AG303" s="307"/>
      <c r="AH303" s="307"/>
      <c r="AI303" s="307"/>
      <c r="AJ303" s="307">
        <f>'Database MK'!FY304-'Database MK'!FZ304</f>
        <v>0</v>
      </c>
      <c r="AK303" s="307"/>
      <c r="AL303" s="307"/>
      <c r="AM303" s="310"/>
      <c r="AN303" s="307"/>
      <c r="AO303" s="307"/>
      <c r="AP303" s="307"/>
    </row>
    <row r="304" spans="2:42" hidden="1" x14ac:dyDescent="0.2">
      <c r="B304" s="7">
        <f>SUBTOTAL(3,$C$4:C304)</f>
        <v>74</v>
      </c>
      <c r="C304" s="4" t="s">
        <v>244</v>
      </c>
      <c r="D304" s="4" t="s">
        <v>2405</v>
      </c>
      <c r="E304" s="4" t="s">
        <v>2406</v>
      </c>
      <c r="F304" s="300">
        <v>46113</v>
      </c>
      <c r="G304" s="4" t="s">
        <v>681</v>
      </c>
      <c r="H304" s="4" t="str">
        <f ca="1">'Database MK'!Q305</f>
        <v>DPPP</v>
      </c>
      <c r="I304" s="24">
        <f>'Database MK'!S305</f>
        <v>1</v>
      </c>
      <c r="J304" s="24">
        <f>'Database MK'!T305</f>
        <v>1</v>
      </c>
      <c r="K304" s="603">
        <f>'Database MK'!U305</f>
        <v>0</v>
      </c>
      <c r="L304" s="593">
        <f>'Database MK'!V305</f>
        <v>238</v>
      </c>
      <c r="M304" s="593">
        <f>'Database MK'!W305</f>
        <v>230</v>
      </c>
      <c r="N304" s="593">
        <f>Table3[[#This Row],[Total Panjang Pipa Aktual]]-Table3[[#This Row],[Volume
BA MC-0]]</f>
        <v>-8</v>
      </c>
      <c r="O304" s="7" t="str">
        <f ca="1">'Database MK'!DE305</f>
        <v>Sudah, OnSchedule</v>
      </c>
      <c r="P304" s="7" t="str">
        <f ca="1">'Database MK'!DI305</f>
        <v>Sudah, Delay</v>
      </c>
      <c r="Q304" s="7" t="str">
        <f ca="1">'Database MK'!DN305</f>
        <v>Sudah, OnSchedule</v>
      </c>
      <c r="R304" s="7" t="str">
        <f ca="1">'Database MK'!DR305</f>
        <v>Sudah, OnSchedule</v>
      </c>
      <c r="S304" s="7" t="str">
        <f ca="1">'Database MK'!EA305</f>
        <v>Sudah, Delay</v>
      </c>
      <c r="T304" s="7" t="str">
        <f ca="1">'Database MK'!EI305</f>
        <v>Sudah, Delay</v>
      </c>
      <c r="U304" s="7" t="str">
        <f ca="1">'Database MK'!ET305</f>
        <v>Sudah, Delay</v>
      </c>
      <c r="V304" s="7" t="str">
        <f ca="1">'Database MK'!GA305</f>
        <v>Belum, Delay</v>
      </c>
      <c r="W304" s="7" t="str">
        <f ca="1">'Database MK'!GD305</f>
        <v>Sudah, OnSchedule</v>
      </c>
      <c r="X304" s="7" t="str">
        <f ca="1">'Database MK'!GG305</f>
        <v>Sudah, OnSchedule</v>
      </c>
      <c r="Y304" s="7" t="str">
        <f ca="1">'Database MK'!GK305</f>
        <v>Sudah, OnSchedule</v>
      </c>
      <c r="Z304" s="7" t="str">
        <f ca="1">'Database MK'!HH305</f>
        <v>Sudah, Delay</v>
      </c>
      <c r="AA304" s="7" t="str">
        <f ca="1">'Database MK'!HQ305</f>
        <v>Sudah, Delay</v>
      </c>
      <c r="AB304" s="7" t="str">
        <f ca="1">'Database MK'!HW305</f>
        <v>Sudah, Delay</v>
      </c>
      <c r="AC304" s="7">
        <f>'Database MK'!DA305-'Database MK'!DB305</f>
        <v>28</v>
      </c>
      <c r="AD304" s="7">
        <f>'Database MK'!DA305-'Database MK'!DF305</f>
        <v>-33</v>
      </c>
      <c r="AE304" s="7">
        <f>'Database MK'!DK305-'Database MK'!DL305</f>
        <v>20</v>
      </c>
      <c r="AF304" s="7">
        <f>'Database MK'!DK305-'Database MK'!DO305</f>
        <v>17</v>
      </c>
      <c r="AG304" s="7">
        <f>'Database MK'!DU305-'Database MK'!DW305</f>
        <v>-8</v>
      </c>
      <c r="AH304" s="7">
        <f>IF('Database MK'!EB305="","Belum",'Database MK'!DU305-'Database MK'!EB305)</f>
        <v>-71</v>
      </c>
      <c r="AI304" s="7">
        <f>IF('Database MK'!EN305="","Belum",'Database MK'!EL305-'Database MK'!EN305)</f>
        <v>-100</v>
      </c>
      <c r="AJ304" s="7">
        <f>'Database MK'!FY305-'Database MK'!FZ305</f>
        <v>0</v>
      </c>
      <c r="AK304" s="7">
        <f>IF('Database MK'!GC305="","Belum",'Database MK'!GB305-'Database MK'!GC305)</f>
        <v>43</v>
      </c>
      <c r="AL304" s="7">
        <f>IF('Database MK'!GF305="","Belum",'Database MK'!GE305-'Database MK'!GF305)</f>
        <v>50</v>
      </c>
      <c r="AM304" s="309">
        <f>IF('Database MK'!GJ305="","Belum",'Database MK'!GI305-'Database MK'!GJ305)</f>
        <v>34</v>
      </c>
      <c r="AN304" s="7">
        <f>IF('Database MK'!HG305="","Belum",'Database MK'!HF305-'Database MK'!HG305)</f>
        <v>-15</v>
      </c>
      <c r="AO304" s="7">
        <f>IF('Database MK'!HP305="","Belum",'Database MK'!HN305-'Database MK'!HP305)</f>
        <v>-60</v>
      </c>
      <c r="AP304" s="7">
        <f>IF('Database MK'!HV305="","Belum",'Database MK'!HT305-'Database MK'!HV305)</f>
        <v>-54</v>
      </c>
    </row>
    <row r="305" spans="2:42" hidden="1" x14ac:dyDescent="0.2">
      <c r="B305" s="7">
        <f>SUBTOTAL(3,$C$4:C305)</f>
        <v>74</v>
      </c>
      <c r="C305" s="4" t="s">
        <v>244</v>
      </c>
      <c r="D305" s="4" t="s">
        <v>2415</v>
      </c>
      <c r="E305" s="4" t="s">
        <v>2416</v>
      </c>
      <c r="F305" s="300">
        <v>46113</v>
      </c>
      <c r="G305" s="4" t="s">
        <v>681</v>
      </c>
      <c r="H305" s="4" t="str">
        <f ca="1">'Database MK'!Q306</f>
        <v>DPPP</v>
      </c>
      <c r="I305" s="24">
        <f>'Database MK'!S306</f>
        <v>1</v>
      </c>
      <c r="J305" s="24">
        <f>'Database MK'!T306</f>
        <v>1</v>
      </c>
      <c r="K305" s="603">
        <f>'Database MK'!U306</f>
        <v>0</v>
      </c>
      <c r="L305" s="593">
        <f>'Database MK'!V306</f>
        <v>120</v>
      </c>
      <c r="M305" s="593">
        <f>'Database MK'!W306</f>
        <v>94.5</v>
      </c>
      <c r="N305" s="593">
        <f>Table3[[#This Row],[Total Panjang Pipa Aktual]]-Table3[[#This Row],[Volume
BA MC-0]]</f>
        <v>-25.5</v>
      </c>
      <c r="O305" s="7" t="str">
        <f ca="1">'Database MK'!DE306</f>
        <v>Sudah, OnSchedule</v>
      </c>
      <c r="P305" s="7" t="str">
        <f ca="1">'Database MK'!DI306</f>
        <v>Sudah, OnSchedule</v>
      </c>
      <c r="Q305" s="7" t="str">
        <f ca="1">'Database MK'!DN306</f>
        <v>Sudah, OnSchedule</v>
      </c>
      <c r="R305" s="7" t="str">
        <f ca="1">'Database MK'!DR306</f>
        <v>Sudah, OnSchedule</v>
      </c>
      <c r="S305" s="7" t="str">
        <f ca="1">'Database MK'!EA306</f>
        <v>Sudah, OnSchedule</v>
      </c>
      <c r="T305" s="7" t="str">
        <f ca="1">'Database MK'!EI306</f>
        <v>Sudah, Delay</v>
      </c>
      <c r="U305" s="7" t="str">
        <f ca="1">'Database MK'!ET306</f>
        <v>Sudah, Delay</v>
      </c>
      <c r="V305" s="7" t="str">
        <f ca="1">'Database MK'!GA306</f>
        <v>Belum, Delay</v>
      </c>
      <c r="W305" s="7" t="str">
        <f ca="1">'Database MK'!GD306</f>
        <v>Sudah, OnSchedule</v>
      </c>
      <c r="X305" s="7" t="str">
        <f ca="1">'Database MK'!GG306</f>
        <v>Sudah, OnSchedule</v>
      </c>
      <c r="Y305" s="7" t="str">
        <f ca="1">'Database MK'!GK306</f>
        <v>Sudah, OnSchedule</v>
      </c>
      <c r="Z305" s="7" t="str">
        <f ca="1">'Database MK'!HH306</f>
        <v>Sudah, Delay</v>
      </c>
      <c r="AA305" s="7" t="str">
        <f ca="1">'Database MK'!HQ306</f>
        <v>Sudah, Delay</v>
      </c>
      <c r="AB305" s="7" t="str">
        <f ca="1">'Database MK'!HW306</f>
        <v>Sudah, Delay</v>
      </c>
      <c r="AC305" s="7">
        <f>'Database MK'!DA306-'Database MK'!DB306</f>
        <v>28</v>
      </c>
      <c r="AD305" s="7">
        <f>'Database MK'!DA306-'Database MK'!DF306</f>
        <v>4</v>
      </c>
      <c r="AE305" s="7">
        <f>'Database MK'!DK306-'Database MK'!DL306</f>
        <v>59</v>
      </c>
      <c r="AF305" s="7">
        <f>'Database MK'!DK306-'Database MK'!DO306</f>
        <v>10</v>
      </c>
      <c r="AG305" s="7">
        <f>'Database MK'!DU306-'Database MK'!DW306</f>
        <v>38</v>
      </c>
      <c r="AH305" s="7">
        <f>IF('Database MK'!EB306="","Belum",'Database MK'!DU306-'Database MK'!EB306)</f>
        <v>-67</v>
      </c>
      <c r="AI305" s="7">
        <f>IF('Database MK'!EN306="","Belum",'Database MK'!EL306-'Database MK'!EN306)</f>
        <v>-107</v>
      </c>
      <c r="AJ305" s="7">
        <f>'Database MK'!FY306-'Database MK'!FZ306</f>
        <v>0</v>
      </c>
      <c r="AK305" s="7">
        <f>IF('Database MK'!GC306="","Belum",'Database MK'!GB306-'Database MK'!GC306)</f>
        <v>36</v>
      </c>
      <c r="AL305" s="7">
        <f>IF('Database MK'!GF306="","Belum",'Database MK'!GE306-'Database MK'!GF306)</f>
        <v>43</v>
      </c>
      <c r="AM305" s="309">
        <f>IF('Database MK'!GJ306="","Belum",'Database MK'!GI306-'Database MK'!GJ306)</f>
        <v>27</v>
      </c>
      <c r="AN305" s="7">
        <f>IF('Database MK'!HG306="","Belum",'Database MK'!HF306-'Database MK'!HG306)</f>
        <v>-30</v>
      </c>
      <c r="AO305" s="7">
        <f>IF('Database MK'!HP306="","Belum",'Database MK'!HN306-'Database MK'!HP306)</f>
        <v>-82</v>
      </c>
      <c r="AP305" s="7">
        <f>IF('Database MK'!HV306="","Belum",'Database MK'!HT306-'Database MK'!HV306)</f>
        <v>-81</v>
      </c>
    </row>
    <row r="306" spans="2:42" s="77" customFormat="1" hidden="1" x14ac:dyDescent="0.2">
      <c r="B306" s="307">
        <f>SUBTOTAL(3,$C$4:C306)</f>
        <v>74</v>
      </c>
      <c r="C306" s="77" t="s">
        <v>244</v>
      </c>
      <c r="D306" s="77" t="s">
        <v>2424</v>
      </c>
      <c r="E306" s="77" t="s">
        <v>2425</v>
      </c>
      <c r="F306" s="302">
        <v>46113</v>
      </c>
      <c r="G306" s="77" t="s">
        <v>681</v>
      </c>
      <c r="H306" s="77" t="str">
        <f>'Database MK'!Q307</f>
        <v>BATAL / CANCEL</v>
      </c>
      <c r="I306" s="604">
        <f>'Database MK'!S307</f>
        <v>1</v>
      </c>
      <c r="J306" s="604">
        <f>'Database MK'!T307</f>
        <v>0</v>
      </c>
      <c r="K306" s="605">
        <f>'Database MK'!U307</f>
        <v>-1</v>
      </c>
      <c r="L306" s="594">
        <f>'Database MK'!V307</f>
        <v>304.39999999999998</v>
      </c>
      <c r="M306" s="594">
        <f>'Database MK'!W307</f>
        <v>0</v>
      </c>
      <c r="N306" s="594">
        <f>Table3[[#This Row],[Total Panjang Pipa Aktual]]-Table3[[#This Row],[Volume
BA MC-0]]</f>
        <v>-304.39999999999998</v>
      </c>
      <c r="O306" s="307" t="str">
        <f ca="1">'Database MK'!DE307</f>
        <v>Sudah, OnSchedule</v>
      </c>
      <c r="P306" s="307">
        <f>'Database MK'!DI307</f>
        <v>0</v>
      </c>
      <c r="Q306" s="307">
        <f>'Database MK'!DN307</f>
        <v>0</v>
      </c>
      <c r="R306" s="307">
        <f>'Database MK'!DR307</f>
        <v>0</v>
      </c>
      <c r="S306" s="307">
        <f>'Database MK'!EA307</f>
        <v>0</v>
      </c>
      <c r="T306" s="307" t="str">
        <f ca="1">'Database MK'!EI307</f>
        <v>Belum, Delay</v>
      </c>
      <c r="U306" s="307" t="str">
        <f ca="1">'Database MK'!ET307</f>
        <v>Belum, Delay</v>
      </c>
      <c r="V306" s="307" t="str">
        <f ca="1">'Database MK'!GA307</f>
        <v>Belum, Delay</v>
      </c>
      <c r="W306" s="307" t="str">
        <f ca="1">'Database MK'!GD307</f>
        <v>Sudah, OnSchedule</v>
      </c>
      <c r="X306" s="307" t="str">
        <f ca="1">'Database MK'!GG307</f>
        <v>Sudah, OnSchedule</v>
      </c>
      <c r="Y306" s="307" t="str">
        <f ca="1">'Database MK'!GK307</f>
        <v>Sudah, OnSchedule</v>
      </c>
      <c r="Z306" s="307" t="str">
        <f ca="1">'Database MK'!HH307</f>
        <v>Belum, Delay</v>
      </c>
      <c r="AA306" s="307" t="str">
        <f ca="1">'Database MK'!HQ307</f>
        <v>Belum, Delay</v>
      </c>
      <c r="AB306" s="307" t="str">
        <f ca="1">'Database MK'!HW307</f>
        <v>Belum, Delay</v>
      </c>
      <c r="AC306" s="307"/>
      <c r="AD306" s="307"/>
      <c r="AE306" s="307"/>
      <c r="AF306" s="307"/>
      <c r="AG306" s="307"/>
      <c r="AH306" s="307"/>
      <c r="AI306" s="307"/>
      <c r="AJ306" s="307">
        <f>'Database MK'!FY307-'Database MK'!FZ307</f>
        <v>0</v>
      </c>
      <c r="AK306" s="307"/>
      <c r="AL306" s="307"/>
      <c r="AM306" s="310"/>
      <c r="AN306" s="307"/>
      <c r="AO306" s="307"/>
      <c r="AP306" s="307"/>
    </row>
    <row r="307" spans="2:42" hidden="1" x14ac:dyDescent="0.2">
      <c r="B307" s="7">
        <f>SUBTOTAL(3,$C$4:C307)</f>
        <v>74</v>
      </c>
      <c r="C307" s="4" t="s">
        <v>244</v>
      </c>
      <c r="D307" s="4" t="s">
        <v>2432</v>
      </c>
      <c r="E307" s="4" t="s">
        <v>2433</v>
      </c>
      <c r="F307" s="300">
        <v>46113</v>
      </c>
      <c r="G307" s="4" t="s">
        <v>681</v>
      </c>
      <c r="H307" s="4" t="str">
        <f ca="1">'Database MK'!Q308</f>
        <v>Tes Com</v>
      </c>
      <c r="I307" s="24">
        <f>'Database MK'!S308</f>
        <v>1</v>
      </c>
      <c r="J307" s="24">
        <f>'Database MK'!T308</f>
        <v>0.80723427911278667</v>
      </c>
      <c r="K307" s="603">
        <f>'Database MK'!U308</f>
        <v>-0.19276572088721333</v>
      </c>
      <c r="L307" s="593">
        <f>'Database MK'!V308</f>
        <v>274</v>
      </c>
      <c r="M307" s="593">
        <f>'Database MK'!W308</f>
        <v>262</v>
      </c>
      <c r="N307" s="593">
        <f>Table3[[#This Row],[Total Panjang Pipa Aktual]]-Table3[[#This Row],[Volume
BA MC-0]]</f>
        <v>-12</v>
      </c>
      <c r="O307" s="7" t="str">
        <f ca="1">'Database MK'!DE308</f>
        <v>Sudah, OnSchedule</v>
      </c>
      <c r="P307" s="7" t="str">
        <f ca="1">'Database MK'!DI308</f>
        <v>Sudah, Delay</v>
      </c>
      <c r="Q307" s="7" t="str">
        <f ca="1">'Database MK'!DN308</f>
        <v>Sudah, OnSchedule</v>
      </c>
      <c r="R307" s="7" t="str">
        <f ca="1">'Database MK'!DR308</f>
        <v>Sudah, Delay</v>
      </c>
      <c r="S307" s="7" t="str">
        <f ca="1">'Database MK'!EA308</f>
        <v>Sudah, Delay</v>
      </c>
      <c r="T307" s="7" t="str">
        <f ca="1">'Database MK'!EI308</f>
        <v>Belum, Delay</v>
      </c>
      <c r="U307" s="7" t="str">
        <f ca="1">'Database MK'!ET308</f>
        <v>Belum, Delay</v>
      </c>
      <c r="V307" s="7" t="str">
        <f ca="1">'Database MK'!GA308</f>
        <v>Belum, Delay</v>
      </c>
      <c r="W307" s="7" t="str">
        <f ca="1">'Database MK'!GD308</f>
        <v>Sudah, OnSchedule</v>
      </c>
      <c r="X307" s="7" t="str">
        <f ca="1">'Database MK'!GG308</f>
        <v>Sudah, OnSchedule</v>
      </c>
      <c r="Y307" s="7" t="str">
        <f ca="1">'Database MK'!GK308</f>
        <v>Sudah, OnSchedule</v>
      </c>
      <c r="Z307" s="7" t="str">
        <f ca="1">'Database MK'!HH308</f>
        <v>Sudah, Delay</v>
      </c>
      <c r="AA307" s="7" t="str">
        <f ca="1">'Database MK'!HQ308</f>
        <v>Belum, Delay</v>
      </c>
      <c r="AB307" s="7" t="str">
        <f ca="1">'Database MK'!HW308</f>
        <v>Belum, Delay</v>
      </c>
      <c r="AC307" s="7">
        <f>'Database MK'!DA308-'Database MK'!DB308</f>
        <v>28</v>
      </c>
      <c r="AD307" s="7">
        <f>'Database MK'!DA308-'Database MK'!DF308</f>
        <v>-33</v>
      </c>
      <c r="AE307" s="7">
        <f>'Database MK'!DK308-'Database MK'!DL308</f>
        <v>20</v>
      </c>
      <c r="AF307" s="7">
        <f>'Database MK'!DK308-'Database MK'!DO308</f>
        <v>-3</v>
      </c>
      <c r="AG307" s="7">
        <f>'Database MK'!DU308-'Database MK'!DW308</f>
        <v>-8</v>
      </c>
      <c r="AH307" s="7" t="str">
        <f>IF('Database MK'!EB308="","Belum",'Database MK'!DU308-'Database MK'!EB308)</f>
        <v>Belum</v>
      </c>
      <c r="AI307" s="7" t="str">
        <f>IF('Database MK'!EN308="","Belum",'Database MK'!EL308-'Database MK'!EN308)</f>
        <v>Belum</v>
      </c>
      <c r="AJ307" s="7">
        <f>'Database MK'!FY308-'Database MK'!FZ308</f>
        <v>0</v>
      </c>
      <c r="AK307" s="7">
        <f>IF('Database MK'!GC308="","Belum",'Database MK'!GB308-'Database MK'!GC308)</f>
        <v>43</v>
      </c>
      <c r="AL307" s="7">
        <f>IF('Database MK'!GF308="","Belum",'Database MK'!GE308-'Database MK'!GF308)</f>
        <v>50</v>
      </c>
      <c r="AM307" s="309">
        <f>IF('Database MK'!GJ308="","Belum",'Database MK'!GI308-'Database MK'!GJ308)</f>
        <v>33</v>
      </c>
      <c r="AN307" s="7">
        <f>IF('Database MK'!HG308="","Belum",'Database MK'!HF308-'Database MK'!HG308)</f>
        <v>-136</v>
      </c>
      <c r="AO307" s="7" t="str">
        <f>IF('Database MK'!HP308="","Belum",'Database MK'!HN308-'Database MK'!HP308)</f>
        <v>Belum</v>
      </c>
      <c r="AP307" s="7" t="str">
        <f>IF('Database MK'!HV308="","Belum",'Database MK'!HT308-'Database MK'!HV308)</f>
        <v>Belum</v>
      </c>
    </row>
    <row r="308" spans="2:42" hidden="1" x14ac:dyDescent="0.2">
      <c r="B308" s="7">
        <f>SUBTOTAL(3,$C$4:C308)</f>
        <v>74</v>
      </c>
      <c r="C308" s="4" t="s">
        <v>244</v>
      </c>
      <c r="D308" s="4" t="s">
        <v>2440</v>
      </c>
      <c r="E308" s="4" t="s">
        <v>2441</v>
      </c>
      <c r="F308" s="300">
        <v>46113</v>
      </c>
      <c r="G308" s="4" t="s">
        <v>681</v>
      </c>
      <c r="H308" s="4" t="str">
        <f ca="1">'Database MK'!Q309</f>
        <v>DPPP</v>
      </c>
      <c r="I308" s="24">
        <f>'Database MK'!S309</f>
        <v>1</v>
      </c>
      <c r="J308" s="24">
        <f>'Database MK'!T309</f>
        <v>1</v>
      </c>
      <c r="K308" s="603">
        <f>'Database MK'!U309</f>
        <v>0</v>
      </c>
      <c r="L308" s="593">
        <f>'Database MK'!V309</f>
        <v>1668.7</v>
      </c>
      <c r="M308" s="593">
        <f>'Database MK'!W309</f>
        <v>1570</v>
      </c>
      <c r="N308" s="593">
        <f>Table3[[#This Row],[Total Panjang Pipa Aktual]]-Table3[[#This Row],[Volume
BA MC-0]]</f>
        <v>-98.700000000000045</v>
      </c>
      <c r="O308" s="7" t="str">
        <f ca="1">'Database MK'!DE309</f>
        <v>Sudah, Delay</v>
      </c>
      <c r="P308" s="7" t="str">
        <f ca="1">'Database MK'!DI309</f>
        <v>Sudah, Delay</v>
      </c>
      <c r="Q308" s="7" t="str">
        <f ca="1">'Database MK'!DN309</f>
        <v>Sudah, Delay</v>
      </c>
      <c r="R308" s="7" t="str">
        <f ca="1">'Database MK'!DR309</f>
        <v>Sudah, Delay</v>
      </c>
      <c r="S308" s="7" t="str">
        <f ca="1">'Database MK'!EA309</f>
        <v>Sudah, Delay</v>
      </c>
      <c r="T308" s="7" t="str">
        <f ca="1">'Database MK'!EI309</f>
        <v>Sudah, Delay</v>
      </c>
      <c r="U308" s="7" t="str">
        <f ca="1">'Database MK'!ET309</f>
        <v>Sudah, Delay</v>
      </c>
      <c r="V308" s="7" t="str">
        <f ca="1">'Database MK'!GA309</f>
        <v>Belum, Delay</v>
      </c>
      <c r="W308" s="7" t="str">
        <f ca="1">'Database MK'!GD309</f>
        <v>Sudah, OnSchedule</v>
      </c>
      <c r="X308" s="7" t="str">
        <f ca="1">'Database MK'!GG309</f>
        <v>Sudah, OnSchedule</v>
      </c>
      <c r="Y308" s="7" t="str">
        <f ca="1">'Database MK'!GK309</f>
        <v>Sudah, OnSchedule</v>
      </c>
      <c r="Z308" s="7" t="str">
        <f ca="1">'Database MK'!HH309</f>
        <v>Sudah, Delay</v>
      </c>
      <c r="AA308" s="7" t="str">
        <f ca="1">'Database MK'!HQ309</f>
        <v>Sudah, Delay</v>
      </c>
      <c r="AB308" s="7" t="str">
        <f ca="1">'Database MK'!HW309</f>
        <v>Sudah, Delay</v>
      </c>
      <c r="AC308" s="7">
        <f>'Database MK'!DA309-'Database MK'!DB309</f>
        <v>-50</v>
      </c>
      <c r="AD308" s="7">
        <f>'Database MK'!DA309-'Database MK'!DF309</f>
        <v>-64</v>
      </c>
      <c r="AE308" s="7">
        <f>'Database MK'!DK309-'Database MK'!DL309</f>
        <v>-2</v>
      </c>
      <c r="AF308" s="7">
        <f>'Database MK'!DK309-'Database MK'!DO309</f>
        <v>-10</v>
      </c>
      <c r="AG308" s="7">
        <f>'Database MK'!DU309-'Database MK'!DW309</f>
        <v>-30</v>
      </c>
      <c r="AH308" s="7">
        <f>IF('Database MK'!EB309="","Belum",'Database MK'!DU309-'Database MK'!EB309)</f>
        <v>-74</v>
      </c>
      <c r="AI308" s="7">
        <f>IF('Database MK'!EN309="","Belum",'Database MK'!EL309-'Database MK'!EN309)</f>
        <v>-136</v>
      </c>
      <c r="AJ308" s="7">
        <f>'Database MK'!FY309-'Database MK'!FZ309</f>
        <v>0</v>
      </c>
      <c r="AK308" s="7">
        <f>IF('Database MK'!GC309="","Belum",'Database MK'!GB309-'Database MK'!GC309)</f>
        <v>43</v>
      </c>
      <c r="AL308" s="7">
        <f>IF('Database MK'!GF309="","Belum",'Database MK'!GE309-'Database MK'!GF309)</f>
        <v>50</v>
      </c>
      <c r="AM308" s="309">
        <f>IF('Database MK'!GJ309="","Belum",'Database MK'!GI309-'Database MK'!GJ309)</f>
        <v>255</v>
      </c>
      <c r="AN308" s="7">
        <f>IF('Database MK'!HG309="","Belum",'Database MK'!HF309-'Database MK'!HG309)</f>
        <v>-11</v>
      </c>
      <c r="AO308" s="7">
        <f>IF('Database MK'!HP309="","Belum",'Database MK'!HN309-'Database MK'!HP309)</f>
        <v>-42</v>
      </c>
      <c r="AP308" s="7">
        <f>IF('Database MK'!HV309="","Belum",'Database MK'!HT309-'Database MK'!HV309)</f>
        <v>-40</v>
      </c>
    </row>
    <row r="309" spans="2:42" hidden="1" x14ac:dyDescent="0.2">
      <c r="B309" s="7">
        <f>SUBTOTAL(3,$C$4:C309)</f>
        <v>74</v>
      </c>
      <c r="C309" s="4" t="s">
        <v>244</v>
      </c>
      <c r="D309" s="4" t="s">
        <v>2448</v>
      </c>
      <c r="E309" s="4" t="s">
        <v>2449</v>
      </c>
      <c r="F309" s="300">
        <v>46113</v>
      </c>
      <c r="G309" s="4" t="s">
        <v>681</v>
      </c>
      <c r="H309" s="4" t="str">
        <f ca="1">'Database MK'!Q310</f>
        <v>DPPP</v>
      </c>
      <c r="I309" s="24">
        <f>'Database MK'!S310</f>
        <v>1</v>
      </c>
      <c r="J309" s="24">
        <f>'Database MK'!T310</f>
        <v>1</v>
      </c>
      <c r="K309" s="603">
        <f>'Database MK'!U310</f>
        <v>0</v>
      </c>
      <c r="L309" s="593">
        <f>'Database MK'!V310</f>
        <v>90</v>
      </c>
      <c r="M309" s="593">
        <f>'Database MK'!W310</f>
        <v>90</v>
      </c>
      <c r="N309" s="593">
        <f>Table3[[#This Row],[Total Panjang Pipa Aktual]]-Table3[[#This Row],[Volume
BA MC-0]]</f>
        <v>0</v>
      </c>
      <c r="O309" s="7" t="str">
        <f ca="1">'Database MK'!DE310</f>
        <v>Sudah, OnSchedule</v>
      </c>
      <c r="P309" s="7" t="str">
        <f ca="1">'Database MK'!DI310</f>
        <v>Sudah, OnSchedule</v>
      </c>
      <c r="Q309" s="7" t="str">
        <f ca="1">'Database MK'!DN310</f>
        <v>Sudah, OnSchedule</v>
      </c>
      <c r="R309" s="7" t="str">
        <f ca="1">'Database MK'!DR310</f>
        <v>Sudah, OnSchedule</v>
      </c>
      <c r="S309" s="7" t="str">
        <f ca="1">'Database MK'!EA310</f>
        <v>Sudah, Delay</v>
      </c>
      <c r="T309" s="7" t="str">
        <f ca="1">'Database MK'!EI310</f>
        <v>Sudah, Delay</v>
      </c>
      <c r="U309" s="7" t="str">
        <f ca="1">'Database MK'!ET310</f>
        <v>Sudah, Delay</v>
      </c>
      <c r="V309" s="7" t="str">
        <f ca="1">'Database MK'!GA310</f>
        <v>Belum, Delay</v>
      </c>
      <c r="W309" s="7" t="str">
        <f ca="1">'Database MK'!GD310</f>
        <v>Sudah, Delay</v>
      </c>
      <c r="X309" s="7" t="str">
        <f ca="1">'Database MK'!GG310</f>
        <v>Sudah, OnSchedule</v>
      </c>
      <c r="Y309" s="7" t="str">
        <f ca="1">'Database MK'!GK310</f>
        <v>Sudah, OnSchedule</v>
      </c>
      <c r="Z309" s="7" t="str">
        <f ca="1">'Database MK'!HH310</f>
        <v>Sudah, Delay</v>
      </c>
      <c r="AA309" s="7" t="str">
        <f ca="1">'Database MK'!HQ310</f>
        <v>Sudah, Delay</v>
      </c>
      <c r="AB309" s="7" t="str">
        <f ca="1">'Database MK'!HW310</f>
        <v>Sudah, Delay</v>
      </c>
      <c r="AC309" s="7">
        <f>'Database MK'!DA310-'Database MK'!DB310</f>
        <v>26</v>
      </c>
      <c r="AD309" s="7">
        <f>'Database MK'!DA310-'Database MK'!DF310</f>
        <v>4</v>
      </c>
      <c r="AE309" s="7">
        <f>'Database MK'!DK310-'Database MK'!DL310</f>
        <v>16</v>
      </c>
      <c r="AF309" s="7">
        <f>'Database MK'!DK310-'Database MK'!DO310</f>
        <v>6</v>
      </c>
      <c r="AG309" s="7">
        <f>'Database MK'!DU310-'Database MK'!DW310</f>
        <v>-5</v>
      </c>
      <c r="AH309" s="7">
        <f>IF('Database MK'!EB310="","Belum",'Database MK'!DU310-'Database MK'!EB310)</f>
        <v>-71</v>
      </c>
      <c r="AI309" s="7">
        <f>IF('Database MK'!EN310="","Belum",'Database MK'!EL310-'Database MK'!EN310)</f>
        <v>-77</v>
      </c>
      <c r="AJ309" s="7">
        <f>'Database MK'!FY310-'Database MK'!FZ310</f>
        <v>0</v>
      </c>
      <c r="AK309" s="7">
        <f>IF('Database MK'!GC310="","Belum",'Database MK'!GB310-'Database MK'!GC310)</f>
        <v>-1</v>
      </c>
      <c r="AL309" s="7">
        <f>IF('Database MK'!GF310="","Belum",'Database MK'!GE310-'Database MK'!GF310)</f>
        <v>6</v>
      </c>
      <c r="AM309" s="309">
        <f>IF('Database MK'!GJ310="","Belum",'Database MK'!GI310-'Database MK'!GJ310)</f>
        <v>13</v>
      </c>
      <c r="AN309" s="7">
        <f>IF('Database MK'!HG310="","Belum",'Database MK'!HF310-'Database MK'!HG310)</f>
        <v>-78</v>
      </c>
      <c r="AO309" s="7">
        <f>IF('Database MK'!HP310="","Belum",'Database MK'!HN310-'Database MK'!HP310)</f>
        <v>-88</v>
      </c>
      <c r="AP309" s="7">
        <f>IF('Database MK'!HV310="","Belum",'Database MK'!HT310-'Database MK'!HV310)</f>
        <v>-82</v>
      </c>
    </row>
    <row r="310" spans="2:42" hidden="1" x14ac:dyDescent="0.2">
      <c r="B310" s="7">
        <f>SUBTOTAL(3,$C$4:C310)</f>
        <v>74</v>
      </c>
      <c r="C310" s="4" t="s">
        <v>244</v>
      </c>
      <c r="D310" s="4" t="s">
        <v>2457</v>
      </c>
      <c r="E310" s="4" t="s">
        <v>2458</v>
      </c>
      <c r="F310" s="300">
        <v>46113</v>
      </c>
      <c r="G310" s="4" t="s">
        <v>681</v>
      </c>
      <c r="H310" s="4" t="str">
        <f ca="1">'Database MK'!Q311</f>
        <v>DPPP</v>
      </c>
      <c r="I310" s="24">
        <f>'Database MK'!S311</f>
        <v>1</v>
      </c>
      <c r="J310" s="24">
        <f>'Database MK'!T311</f>
        <v>1</v>
      </c>
      <c r="K310" s="603">
        <f>'Database MK'!U311</f>
        <v>0</v>
      </c>
      <c r="L310" s="593">
        <f>'Database MK'!V311</f>
        <v>87</v>
      </c>
      <c r="M310" s="593">
        <f>'Database MK'!W311</f>
        <v>89</v>
      </c>
      <c r="N310" s="593">
        <f>Table3[[#This Row],[Total Panjang Pipa Aktual]]-Table3[[#This Row],[Volume
BA MC-0]]</f>
        <v>2</v>
      </c>
      <c r="O310" s="7" t="str">
        <f ca="1">'Database MK'!DE311</f>
        <v>Sudah, OnSchedule</v>
      </c>
      <c r="P310" s="7" t="str">
        <f ca="1">'Database MK'!DI311</f>
        <v>Sudah, OnSchedule</v>
      </c>
      <c r="Q310" s="7" t="str">
        <f ca="1">'Database MK'!DN311</f>
        <v>Sudah, OnSchedule</v>
      </c>
      <c r="R310" s="7" t="str">
        <f ca="1">'Database MK'!DR311</f>
        <v>Sudah, OnSchedule</v>
      </c>
      <c r="S310" s="7" t="str">
        <f ca="1">'Database MK'!EA311</f>
        <v>Sudah, Delay</v>
      </c>
      <c r="T310" s="7" t="str">
        <f ca="1">'Database MK'!EI311</f>
        <v>Sudah, Delay</v>
      </c>
      <c r="U310" s="7" t="str">
        <f ca="1">'Database MK'!ET311</f>
        <v>Sudah, Delay</v>
      </c>
      <c r="V310" s="7" t="str">
        <f ca="1">'Database MK'!GA311</f>
        <v>Belum, Delay</v>
      </c>
      <c r="W310" s="7" t="str">
        <f ca="1">'Database MK'!GD311</f>
        <v>Sudah, Delay</v>
      </c>
      <c r="X310" s="7" t="str">
        <f ca="1">'Database MK'!GG311</f>
        <v>Sudah, OnSchedule</v>
      </c>
      <c r="Y310" s="7" t="str">
        <f ca="1">'Database MK'!GK311</f>
        <v>Sudah, OnSchedule</v>
      </c>
      <c r="Z310" s="7" t="str">
        <f ca="1">'Database MK'!HH311</f>
        <v>Sudah, Delay</v>
      </c>
      <c r="AA310" s="7" t="str">
        <f ca="1">'Database MK'!HQ311</f>
        <v>Sudah, Delay</v>
      </c>
      <c r="AB310" s="7" t="str">
        <f ca="1">'Database MK'!HW311</f>
        <v>Sudah, Delay</v>
      </c>
      <c r="AC310" s="7">
        <f>'Database MK'!DA311-'Database MK'!DB311</f>
        <v>26</v>
      </c>
      <c r="AD310" s="7">
        <f>'Database MK'!DA311-'Database MK'!DF311</f>
        <v>4</v>
      </c>
      <c r="AE310" s="7">
        <f>'Database MK'!DK311-'Database MK'!DL311</f>
        <v>16</v>
      </c>
      <c r="AF310" s="7">
        <f>'Database MK'!DK311-'Database MK'!DO311</f>
        <v>6</v>
      </c>
      <c r="AG310" s="7">
        <f>'Database MK'!DU311-'Database MK'!DW311</f>
        <v>-5</v>
      </c>
      <c r="AH310" s="7">
        <f>IF('Database MK'!EB311="","Belum",'Database MK'!DU311-'Database MK'!EB311)</f>
        <v>-192</v>
      </c>
      <c r="AI310" s="7">
        <f>IF('Database MK'!EN311="","Belum",'Database MK'!EL311-'Database MK'!EN311)</f>
        <v>-164</v>
      </c>
      <c r="AJ310" s="7">
        <f>'Database MK'!FY311-'Database MK'!FZ311</f>
        <v>0</v>
      </c>
      <c r="AK310" s="7">
        <f>IF('Database MK'!GC311="","Belum",'Database MK'!GB311-'Database MK'!GC311)</f>
        <v>-1</v>
      </c>
      <c r="AL310" s="7">
        <f>IF('Database MK'!GF311="","Belum",'Database MK'!GE311-'Database MK'!GF311)</f>
        <v>6</v>
      </c>
      <c r="AM310" s="309">
        <f>IF('Database MK'!GJ311="","Belum",'Database MK'!GI311-'Database MK'!GJ311)</f>
        <v>13</v>
      </c>
      <c r="AN310" s="7">
        <f>IF('Database MK'!HG311="","Belum",'Database MK'!HF311-'Database MK'!HG311)</f>
        <v>-30</v>
      </c>
      <c r="AO310" s="7">
        <f>IF('Database MK'!HP311="","Belum",'Database MK'!HN311-'Database MK'!HP311)</f>
        <v>-96</v>
      </c>
      <c r="AP310" s="7">
        <f>IF('Database MK'!HV311="","Belum",'Database MK'!HT311-'Database MK'!HV311)</f>
        <v>-91</v>
      </c>
    </row>
    <row r="311" spans="2:42" hidden="1" x14ac:dyDescent="0.2">
      <c r="B311" s="7">
        <f>SUBTOTAL(3,$C$4:C311)</f>
        <v>74</v>
      </c>
      <c r="C311" s="4" t="s">
        <v>244</v>
      </c>
      <c r="D311" s="4" t="s">
        <v>2466</v>
      </c>
      <c r="E311" s="4" t="s">
        <v>2467</v>
      </c>
      <c r="F311" s="300">
        <v>46113</v>
      </c>
      <c r="G311" s="4" t="s">
        <v>681</v>
      </c>
      <c r="H311" s="4" t="str">
        <f ca="1">'Database MK'!Q312</f>
        <v>DPPP</v>
      </c>
      <c r="I311" s="24">
        <f>'Database MK'!S312</f>
        <v>1</v>
      </c>
      <c r="J311" s="24">
        <f>'Database MK'!T312</f>
        <v>1</v>
      </c>
      <c r="K311" s="603">
        <f>'Database MK'!U312</f>
        <v>0</v>
      </c>
      <c r="L311" s="593">
        <f>'Database MK'!V312</f>
        <v>80</v>
      </c>
      <c r="M311" s="593">
        <f>'Database MK'!W312</f>
        <v>80</v>
      </c>
      <c r="N311" s="593">
        <f>Table3[[#This Row],[Total Panjang Pipa Aktual]]-Table3[[#This Row],[Volume
BA MC-0]]</f>
        <v>0</v>
      </c>
      <c r="O311" s="7" t="str">
        <f ca="1">'Database MK'!DE312</f>
        <v>Sudah, OnSchedule</v>
      </c>
      <c r="P311" s="7" t="str">
        <f ca="1">'Database MK'!DI312</f>
        <v>Sudah, OnSchedule</v>
      </c>
      <c r="Q311" s="7" t="str">
        <f ca="1">'Database MK'!DN312</f>
        <v>Sudah, OnSchedule</v>
      </c>
      <c r="R311" s="7" t="str">
        <f ca="1">'Database MK'!DR312</f>
        <v>Sudah, OnSchedule</v>
      </c>
      <c r="S311" s="7" t="str">
        <f ca="1">'Database MK'!EA312</f>
        <v>Sudah, Delay</v>
      </c>
      <c r="T311" s="7" t="str">
        <f ca="1">'Database MK'!EI312</f>
        <v>Sudah, Delay</v>
      </c>
      <c r="U311" s="7" t="str">
        <f ca="1">'Database MK'!ET312</f>
        <v>Sudah, Delay</v>
      </c>
      <c r="V311" s="7" t="str">
        <f ca="1">'Database MK'!GA312</f>
        <v>Belum, Delay</v>
      </c>
      <c r="W311" s="7" t="str">
        <f ca="1">'Database MK'!GD312</f>
        <v>Sudah, OnSchedule</v>
      </c>
      <c r="X311" s="7" t="str">
        <f ca="1">'Database MK'!GG312</f>
        <v>Sudah, OnSchedule</v>
      </c>
      <c r="Y311" s="7" t="str">
        <f ca="1">'Database MK'!GK312</f>
        <v>Sudah, OnSchedule</v>
      </c>
      <c r="Z311" s="7" t="str">
        <f ca="1">'Database MK'!HH312</f>
        <v>Sudah, Delay</v>
      </c>
      <c r="AA311" s="7" t="str">
        <f ca="1">'Database MK'!HQ312</f>
        <v>Sudah, Delay</v>
      </c>
      <c r="AB311" s="7" t="str">
        <f ca="1">'Database MK'!HW312</f>
        <v>Sudah, Delay</v>
      </c>
      <c r="AC311" s="7">
        <f>'Database MK'!DA312-'Database MK'!DB312</f>
        <v>26</v>
      </c>
      <c r="AD311" s="7">
        <f>'Database MK'!DA312-'Database MK'!DF312</f>
        <v>4</v>
      </c>
      <c r="AE311" s="7">
        <f>'Database MK'!DK312-'Database MK'!DL312</f>
        <v>16</v>
      </c>
      <c r="AF311" s="7">
        <f>'Database MK'!DK312-'Database MK'!DO312</f>
        <v>6</v>
      </c>
      <c r="AG311" s="7">
        <f>'Database MK'!DU312-'Database MK'!DW312</f>
        <v>-5</v>
      </c>
      <c r="AH311" s="7">
        <f>IF('Database MK'!EB312="","Belum",'Database MK'!DU312-'Database MK'!EB312)</f>
        <v>-192</v>
      </c>
      <c r="AI311" s="7">
        <f>IF('Database MK'!EN312="","Belum",'Database MK'!EL312-'Database MK'!EN312)</f>
        <v>-164</v>
      </c>
      <c r="AJ311" s="7">
        <f>'Database MK'!FY312-'Database MK'!FZ312</f>
        <v>0</v>
      </c>
      <c r="AK311" s="7">
        <f>IF('Database MK'!GC312="","Belum",'Database MK'!GB312-'Database MK'!GC312)</f>
        <v>49</v>
      </c>
      <c r="AL311" s="7">
        <f>IF('Database MK'!GF312="","Belum",'Database MK'!GE312-'Database MK'!GF312)</f>
        <v>56</v>
      </c>
      <c r="AM311" s="309">
        <f>IF('Database MK'!GJ312="","Belum",'Database MK'!GI312-'Database MK'!GJ312)</f>
        <v>26</v>
      </c>
      <c r="AN311" s="7">
        <f>IF('Database MK'!HG312="","Belum",'Database MK'!HF312-'Database MK'!HG312)</f>
        <v>-30</v>
      </c>
      <c r="AO311" s="7">
        <f>IF('Database MK'!HP312="","Belum",'Database MK'!HN312-'Database MK'!HP312)</f>
        <v>-47</v>
      </c>
      <c r="AP311" s="7">
        <f>IF('Database MK'!HV312="","Belum",'Database MK'!HT312-'Database MK'!HV312)</f>
        <v>-47</v>
      </c>
    </row>
    <row r="312" spans="2:42" hidden="1" x14ac:dyDescent="0.2">
      <c r="B312" s="7">
        <f>SUBTOTAL(3,$C$4:C312)</f>
        <v>74</v>
      </c>
      <c r="C312" s="4" t="s">
        <v>244</v>
      </c>
      <c r="D312" s="4" t="s">
        <v>2475</v>
      </c>
      <c r="E312" s="4" t="s">
        <v>2476</v>
      </c>
      <c r="F312" s="300">
        <v>46113</v>
      </c>
      <c r="G312" s="4" t="s">
        <v>681</v>
      </c>
      <c r="H312" s="4" t="str">
        <f ca="1">'Database MK'!Q313</f>
        <v>DPPP</v>
      </c>
      <c r="I312" s="24">
        <f>'Database MK'!S313</f>
        <v>1</v>
      </c>
      <c r="J312" s="24">
        <f>'Database MK'!T313</f>
        <v>1</v>
      </c>
      <c r="K312" s="603">
        <f>'Database MK'!U313</f>
        <v>0</v>
      </c>
      <c r="L312" s="593">
        <f>'Database MK'!V313</f>
        <v>305</v>
      </c>
      <c r="M312" s="593">
        <f>'Database MK'!W313</f>
        <v>305</v>
      </c>
      <c r="N312" s="593">
        <f>Table3[[#This Row],[Total Panjang Pipa Aktual]]-Table3[[#This Row],[Volume
BA MC-0]]</f>
        <v>0</v>
      </c>
      <c r="O312" s="7" t="str">
        <f ca="1">'Database MK'!DE313</f>
        <v>Sudah, OnSchedule</v>
      </c>
      <c r="P312" s="7" t="str">
        <f ca="1">'Database MK'!DI313</f>
        <v>Sudah, Delay</v>
      </c>
      <c r="Q312" s="7" t="str">
        <f ca="1">'Database MK'!DN313</f>
        <v>Sudah, OnSchedule</v>
      </c>
      <c r="R312" s="7" t="str">
        <f ca="1">'Database MK'!DR313</f>
        <v>Sudah, OnSchedule</v>
      </c>
      <c r="S312" s="7" t="str">
        <f ca="1">'Database MK'!EA313</f>
        <v>Sudah, OnSchedule</v>
      </c>
      <c r="T312" s="7" t="str">
        <f ca="1">'Database MK'!EI313</f>
        <v>Sudah, Delay</v>
      </c>
      <c r="U312" s="7" t="str">
        <f ca="1">'Database MK'!ET313</f>
        <v>Sudah, Delay</v>
      </c>
      <c r="V312" s="7" t="str">
        <f ca="1">'Database MK'!GA313</f>
        <v>Belum, Delay</v>
      </c>
      <c r="W312" s="7" t="str">
        <f ca="1">'Database MK'!GD313</f>
        <v>Sudah, OnSchedule</v>
      </c>
      <c r="X312" s="7" t="str">
        <f ca="1">'Database MK'!GG313</f>
        <v>Sudah, OnSchedule</v>
      </c>
      <c r="Y312" s="7" t="str">
        <f ca="1">'Database MK'!GK313</f>
        <v>Sudah, OnSchedule</v>
      </c>
      <c r="Z312" s="7" t="str">
        <f ca="1">'Database MK'!HH313</f>
        <v>Sudah, OnSchedule</v>
      </c>
      <c r="AA312" s="7" t="str">
        <f ca="1">'Database MK'!HQ313</f>
        <v>Sudah, OnSchedule</v>
      </c>
      <c r="AB312" s="7" t="str">
        <f ca="1">'Database MK'!HW313</f>
        <v>Sudah, Delay</v>
      </c>
      <c r="AC312" s="7">
        <f>'Database MK'!DA313-'Database MK'!DB313</f>
        <v>6</v>
      </c>
      <c r="AD312" s="7">
        <f>'Database MK'!DA313-'Database MK'!DF313</f>
        <v>-4</v>
      </c>
      <c r="AE312" s="7">
        <f>'Database MK'!DK313-'Database MK'!DL313</f>
        <v>57</v>
      </c>
      <c r="AF312" s="7">
        <f>'Database MK'!DK313-'Database MK'!DO313</f>
        <v>48</v>
      </c>
      <c r="AG312" s="7">
        <f>'Database MK'!DU313-'Database MK'!DW313</f>
        <v>36</v>
      </c>
      <c r="AH312" s="7">
        <f>IF('Database MK'!EB313="","Belum",'Database MK'!DU313-'Database MK'!EB313)</f>
        <v>-186</v>
      </c>
      <c r="AI312" s="7">
        <f>IF('Database MK'!EN313="","Belum",'Database MK'!EL313-'Database MK'!EN313)</f>
        <v>-176</v>
      </c>
      <c r="AJ312" s="7">
        <f>'Database MK'!FY313-'Database MK'!FZ313</f>
        <v>0</v>
      </c>
      <c r="AK312" s="7">
        <f>IF('Database MK'!GC313="","Belum",'Database MK'!GB313-'Database MK'!GC313)</f>
        <v>62</v>
      </c>
      <c r="AL312" s="7">
        <f>IF('Database MK'!GF313="","Belum",'Database MK'!GE313-'Database MK'!GF313)</f>
        <v>69</v>
      </c>
      <c r="AM312" s="309">
        <f>IF('Database MK'!GJ313="","Belum",'Database MK'!GI313-'Database MK'!GJ313)</f>
        <v>75</v>
      </c>
      <c r="AN312" s="7">
        <f>IF('Database MK'!HG313="","Belum",'Database MK'!HF313-'Database MK'!HG313)</f>
        <v>88</v>
      </c>
      <c r="AO312" s="7">
        <f>IF('Database MK'!HP313="","Belum",'Database MK'!HN313-'Database MK'!HP313)</f>
        <v>81</v>
      </c>
      <c r="AP312" s="7">
        <f>IF('Database MK'!HV313="","Belum",'Database MK'!HT313-'Database MK'!HV313)</f>
        <v>-38</v>
      </c>
    </row>
    <row r="313" spans="2:42" s="77" customFormat="1" hidden="1" x14ac:dyDescent="0.2">
      <c r="B313" s="307">
        <f>SUBTOTAL(3,$C$4:C313)</f>
        <v>74</v>
      </c>
      <c r="C313" s="77" t="s">
        <v>244</v>
      </c>
      <c r="D313" s="77" t="s">
        <v>2484</v>
      </c>
      <c r="E313" s="77" t="s">
        <v>2485</v>
      </c>
      <c r="F313" s="302">
        <v>46113</v>
      </c>
      <c r="G313" s="77" t="s">
        <v>681</v>
      </c>
      <c r="H313" s="77" t="str">
        <f>'Database MK'!Q314</f>
        <v>BATAL / CANCEL</v>
      </c>
      <c r="I313" s="604">
        <f>'Database MK'!S314</f>
        <v>1</v>
      </c>
      <c r="J313" s="604">
        <f>'Database MK'!T314</f>
        <v>0</v>
      </c>
      <c r="K313" s="605">
        <f>'Database MK'!U314</f>
        <v>-1</v>
      </c>
      <c r="L313" s="594">
        <f>'Database MK'!V314</f>
        <v>60</v>
      </c>
      <c r="M313" s="594">
        <f>'Database MK'!W314</f>
        <v>0</v>
      </c>
      <c r="N313" s="594">
        <f>Table3[[#This Row],[Total Panjang Pipa Aktual]]-Table3[[#This Row],[Volume
BA MC-0]]</f>
        <v>-60</v>
      </c>
      <c r="O313" s="307" t="str">
        <f ca="1">'Database MK'!DE314</f>
        <v>Sudah, Delay</v>
      </c>
      <c r="P313" s="307">
        <f>'Database MK'!DI314</f>
        <v>0</v>
      </c>
      <c r="Q313" s="307">
        <f>'Database MK'!DN314</f>
        <v>0</v>
      </c>
      <c r="R313" s="307">
        <f>'Database MK'!DR314</f>
        <v>0</v>
      </c>
      <c r="S313" s="307">
        <f>'Database MK'!EA314</f>
        <v>0</v>
      </c>
      <c r="T313" s="307" t="str">
        <f ca="1">'Database MK'!EI314</f>
        <v>Belum, Delay</v>
      </c>
      <c r="U313" s="307" t="str">
        <f ca="1">'Database MK'!ET314</f>
        <v>Belum, Delay</v>
      </c>
      <c r="V313" s="307" t="str">
        <f ca="1">'Database MK'!GA314</f>
        <v>Belum, Delay</v>
      </c>
      <c r="W313" s="307" t="str">
        <f ca="1">'Database MK'!GD314</f>
        <v>Sudah, OnSchedule</v>
      </c>
      <c r="X313" s="307" t="str">
        <f ca="1">'Database MK'!GG314</f>
        <v>Sudah, OnSchedule</v>
      </c>
      <c r="Y313" s="307" t="str">
        <f ca="1">'Database MK'!GK314</f>
        <v>Sudah, OnSchedule</v>
      </c>
      <c r="Z313" s="307" t="str">
        <f ca="1">'Database MK'!HH314</f>
        <v>Belum, Delay</v>
      </c>
      <c r="AA313" s="307" t="str">
        <f ca="1">'Database MK'!HQ314</f>
        <v>Belum, Delay</v>
      </c>
      <c r="AB313" s="307" t="str">
        <f ca="1">'Database MK'!HW314</f>
        <v>Belum, Delay</v>
      </c>
      <c r="AC313" s="307"/>
      <c r="AD313" s="307"/>
      <c r="AE313" s="307"/>
      <c r="AF313" s="307"/>
      <c r="AG313" s="307"/>
      <c r="AH313" s="307"/>
      <c r="AI313" s="307"/>
      <c r="AJ313" s="307">
        <f>'Database MK'!FY314-'Database MK'!FZ314</f>
        <v>0</v>
      </c>
      <c r="AK313" s="307"/>
      <c r="AL313" s="307"/>
      <c r="AM313" s="310"/>
      <c r="AN313" s="307"/>
      <c r="AO313" s="307"/>
      <c r="AP313" s="307"/>
    </row>
    <row r="314" spans="2:42" s="77" customFormat="1" hidden="1" x14ac:dyDescent="0.2">
      <c r="B314" s="307">
        <f>SUBTOTAL(3,$C$4:C314)</f>
        <v>74</v>
      </c>
      <c r="C314" s="77" t="s">
        <v>244</v>
      </c>
      <c r="D314" s="77" t="s">
        <v>2492</v>
      </c>
      <c r="E314" s="77" t="s">
        <v>2493</v>
      </c>
      <c r="F314" s="302">
        <v>46113</v>
      </c>
      <c r="G314" s="77" t="s">
        <v>681</v>
      </c>
      <c r="H314" s="77" t="str">
        <f>'Database MK'!Q315</f>
        <v>BATAL / CANCEL</v>
      </c>
      <c r="I314" s="604">
        <f>'Database MK'!S315</f>
        <v>1</v>
      </c>
      <c r="J314" s="604">
        <f>'Database MK'!T315</f>
        <v>0</v>
      </c>
      <c r="K314" s="605">
        <f>'Database MK'!U315</f>
        <v>-1</v>
      </c>
      <c r="L314" s="594">
        <f>'Database MK'!V315</f>
        <v>57.5</v>
      </c>
      <c r="M314" s="594">
        <f>'Database MK'!W315</f>
        <v>0</v>
      </c>
      <c r="N314" s="594">
        <f>Table3[[#This Row],[Total Panjang Pipa Aktual]]-Table3[[#This Row],[Volume
BA MC-0]]</f>
        <v>-57.5</v>
      </c>
      <c r="O314" s="307" t="str">
        <f ca="1">'Database MK'!DE315</f>
        <v>Sudah, OnSchedule</v>
      </c>
      <c r="P314" s="307">
        <f>'Database MK'!DI315</f>
        <v>0</v>
      </c>
      <c r="Q314" s="307">
        <f>'Database MK'!DN315</f>
        <v>0</v>
      </c>
      <c r="R314" s="307">
        <f>'Database MK'!DR315</f>
        <v>0</v>
      </c>
      <c r="S314" s="307">
        <f>'Database MK'!EA315</f>
        <v>0</v>
      </c>
      <c r="T314" s="307" t="str">
        <f ca="1">'Database MK'!EI315</f>
        <v>Belum, Delay</v>
      </c>
      <c r="U314" s="307" t="str">
        <f ca="1">'Database MK'!ET315</f>
        <v>Belum, Delay</v>
      </c>
      <c r="V314" s="307" t="str">
        <f ca="1">'Database MK'!GA315</f>
        <v>Belum, Delay</v>
      </c>
      <c r="W314" s="307" t="str">
        <f ca="1">'Database MK'!GD315</f>
        <v>Sudah, OnSchedule</v>
      </c>
      <c r="X314" s="307" t="str">
        <f ca="1">'Database MK'!GG315</f>
        <v>Sudah, OnSchedule</v>
      </c>
      <c r="Y314" s="307" t="str">
        <f ca="1">'Database MK'!GK315</f>
        <v>Sudah, OnSchedule</v>
      </c>
      <c r="Z314" s="307" t="str">
        <f ca="1">'Database MK'!HH315</f>
        <v>Belum, Delay</v>
      </c>
      <c r="AA314" s="307" t="str">
        <f ca="1">'Database MK'!HQ315</f>
        <v>Belum, Delay</v>
      </c>
      <c r="AB314" s="307" t="str">
        <f ca="1">'Database MK'!HW315</f>
        <v>Belum, Delay</v>
      </c>
      <c r="AC314" s="307"/>
      <c r="AD314" s="307"/>
      <c r="AE314" s="307"/>
      <c r="AF314" s="307"/>
      <c r="AG314" s="307"/>
      <c r="AH314" s="307"/>
      <c r="AI314" s="307"/>
      <c r="AJ314" s="307">
        <f>'Database MK'!FY315-'Database MK'!FZ315</f>
        <v>0</v>
      </c>
      <c r="AK314" s="307"/>
      <c r="AL314" s="307"/>
      <c r="AM314" s="310"/>
      <c r="AN314" s="307"/>
      <c r="AO314" s="307"/>
      <c r="AP314" s="307"/>
    </row>
    <row r="315" spans="2:42" s="77" customFormat="1" hidden="1" x14ac:dyDescent="0.2">
      <c r="B315" s="307">
        <f>SUBTOTAL(3,$C$4:C315)</f>
        <v>74</v>
      </c>
      <c r="C315" s="77" t="s">
        <v>244</v>
      </c>
      <c r="D315" s="77" t="s">
        <v>2500</v>
      </c>
      <c r="E315" s="77" t="s">
        <v>2501</v>
      </c>
      <c r="F315" s="302">
        <v>46113</v>
      </c>
      <c r="G315" s="77" t="s">
        <v>681</v>
      </c>
      <c r="H315" s="77" t="str">
        <f>'Database MK'!Q316</f>
        <v>BATAL / CANCEL</v>
      </c>
      <c r="I315" s="604">
        <f>'Database MK'!S316</f>
        <v>1</v>
      </c>
      <c r="J315" s="604">
        <f>'Database MK'!T316</f>
        <v>0</v>
      </c>
      <c r="K315" s="605">
        <f>'Database MK'!U316</f>
        <v>-1</v>
      </c>
      <c r="L315" s="594">
        <f>'Database MK'!V316</f>
        <v>35.1</v>
      </c>
      <c r="M315" s="594">
        <f>'Database MK'!W316</f>
        <v>0</v>
      </c>
      <c r="N315" s="594">
        <f>Table3[[#This Row],[Total Panjang Pipa Aktual]]-Table3[[#This Row],[Volume
BA MC-0]]</f>
        <v>-35.1</v>
      </c>
      <c r="O315" s="307" t="str">
        <f ca="1">'Database MK'!DE316</f>
        <v>Sudah, Delay</v>
      </c>
      <c r="P315" s="307">
        <f>'Database MK'!DI316</f>
        <v>0</v>
      </c>
      <c r="Q315" s="307">
        <f>'Database MK'!DN316</f>
        <v>0</v>
      </c>
      <c r="R315" s="307">
        <f>'Database MK'!DR316</f>
        <v>0</v>
      </c>
      <c r="S315" s="307">
        <f>'Database MK'!EA316</f>
        <v>0</v>
      </c>
      <c r="T315" s="307" t="str">
        <f ca="1">'Database MK'!EI316</f>
        <v>Belum, Delay</v>
      </c>
      <c r="U315" s="307" t="str">
        <f ca="1">'Database MK'!ET316</f>
        <v>Belum, Delay</v>
      </c>
      <c r="V315" s="307" t="str">
        <f ca="1">'Database MK'!GA316</f>
        <v>Belum, Delay</v>
      </c>
      <c r="W315" s="307" t="str">
        <f ca="1">'Database MK'!GD316</f>
        <v>Sudah, OnSchedule</v>
      </c>
      <c r="X315" s="307" t="str">
        <f ca="1">'Database MK'!GG316</f>
        <v>Sudah, OnSchedule</v>
      </c>
      <c r="Y315" s="307" t="str">
        <f ca="1">'Database MK'!GK316</f>
        <v>Sudah, OnSchedule</v>
      </c>
      <c r="Z315" s="307" t="str">
        <f ca="1">'Database MK'!HH316</f>
        <v>Belum, Delay</v>
      </c>
      <c r="AA315" s="307" t="str">
        <f ca="1">'Database MK'!HQ316</f>
        <v>Belum, Delay</v>
      </c>
      <c r="AB315" s="307" t="str">
        <f ca="1">'Database MK'!HW316</f>
        <v>Belum, Delay</v>
      </c>
      <c r="AC315" s="307"/>
      <c r="AD315" s="307"/>
      <c r="AE315" s="307"/>
      <c r="AF315" s="307"/>
      <c r="AG315" s="307"/>
      <c r="AH315" s="307"/>
      <c r="AI315" s="307"/>
      <c r="AJ315" s="307">
        <f>'Database MK'!FY316-'Database MK'!FZ316</f>
        <v>0</v>
      </c>
      <c r="AK315" s="307"/>
      <c r="AL315" s="307"/>
      <c r="AM315" s="310"/>
      <c r="AN315" s="307"/>
      <c r="AO315" s="307"/>
      <c r="AP315" s="307"/>
    </row>
    <row r="316" spans="2:42" hidden="1" x14ac:dyDescent="0.2">
      <c r="B316" s="7">
        <f>SUBTOTAL(3,$C$4:C316)</f>
        <v>74</v>
      </c>
      <c r="C316" s="4" t="s">
        <v>244</v>
      </c>
      <c r="D316" s="4" t="s">
        <v>2508</v>
      </c>
      <c r="E316" s="4" t="s">
        <v>2509</v>
      </c>
      <c r="F316" s="300">
        <v>46113</v>
      </c>
      <c r="G316" s="4" t="s">
        <v>681</v>
      </c>
      <c r="H316" s="4" t="str">
        <f ca="1">'Database MK'!Q317</f>
        <v>Flushing</v>
      </c>
      <c r="I316" s="24">
        <f>'Database MK'!S317</f>
        <v>1</v>
      </c>
      <c r="J316" s="24">
        <f>'Database MK'!T317</f>
        <v>0.45601809846842045</v>
      </c>
      <c r="K316" s="603">
        <f>'Database MK'!U317</f>
        <v>-0.54398190153157955</v>
      </c>
      <c r="L316" s="593">
        <f>'Database MK'!V317</f>
        <v>271.7</v>
      </c>
      <c r="M316" s="593">
        <f>'Database MK'!W317</f>
        <v>160</v>
      </c>
      <c r="N316" s="593">
        <f>Table3[[#This Row],[Total Panjang Pipa Aktual]]-Table3[[#This Row],[Volume
BA MC-0]]</f>
        <v>-111.69999999999999</v>
      </c>
      <c r="O316" s="7" t="str">
        <f ca="1">'Database MK'!DE317</f>
        <v>Sudah, OnSchedule</v>
      </c>
      <c r="P316" s="7" t="str">
        <f ca="1">'Database MK'!DI317</f>
        <v>Sudah, OnSchedule</v>
      </c>
      <c r="Q316" s="7" t="str">
        <f ca="1">'Database MK'!DN317</f>
        <v>Sudah, OnSchedule</v>
      </c>
      <c r="R316" s="7" t="str">
        <f ca="1">'Database MK'!DR317</f>
        <v>Sudah, OnSchedule</v>
      </c>
      <c r="S316" s="7" t="str">
        <f ca="1">'Database MK'!EA317</f>
        <v>Sudah, OnSchedule</v>
      </c>
      <c r="T316" s="7" t="str">
        <f ca="1">'Database MK'!EI317</f>
        <v>Belum, Delay</v>
      </c>
      <c r="U316" s="7" t="str">
        <f ca="1">'Database MK'!ET317</f>
        <v>Belum, Delay</v>
      </c>
      <c r="V316" s="7" t="str">
        <f ca="1">'Database MK'!GA317</f>
        <v>Belum, Delay</v>
      </c>
      <c r="W316" s="7" t="str">
        <f ca="1">'Database MK'!GD317</f>
        <v>Sudah, OnSchedule</v>
      </c>
      <c r="X316" s="7" t="str">
        <f ca="1">'Database MK'!GG317</f>
        <v>Sudah, OnSchedule</v>
      </c>
      <c r="Y316" s="7" t="str">
        <f ca="1">'Database MK'!GK317</f>
        <v>Sudah, OnSchedule</v>
      </c>
      <c r="Z316" s="7" t="str">
        <f ca="1">'Database MK'!HH317</f>
        <v>Belum, Delay</v>
      </c>
      <c r="AA316" s="7" t="str">
        <f ca="1">'Database MK'!HQ317</f>
        <v>Belum, Delay</v>
      </c>
      <c r="AB316" s="7" t="str">
        <f ca="1">'Database MK'!HW317</f>
        <v>Belum, Delay</v>
      </c>
      <c r="AC316" s="7">
        <f>'Database MK'!DA317-'Database MK'!DB317</f>
        <v>17</v>
      </c>
      <c r="AD316" s="7">
        <f>'Database MK'!DA317-'Database MK'!DF317</f>
        <v>10</v>
      </c>
      <c r="AE316" s="7">
        <f>'Database MK'!DK317-'Database MK'!DL317</f>
        <v>109</v>
      </c>
      <c r="AF316" s="7">
        <f>'Database MK'!DK317-'Database MK'!DO317</f>
        <v>93</v>
      </c>
      <c r="AG316" s="7">
        <f>'Database MK'!DU317-'Database MK'!DW317</f>
        <v>88</v>
      </c>
      <c r="AH316" s="7" t="str">
        <f>IF('Database MK'!EB317="","Belum",'Database MK'!DU317-'Database MK'!EB317)</f>
        <v>Belum</v>
      </c>
      <c r="AI316" s="7" t="str">
        <f>IF('Database MK'!EN317="","Belum",'Database MK'!EL317-'Database MK'!EN317)</f>
        <v>Belum</v>
      </c>
      <c r="AJ316" s="7">
        <f>'Database MK'!FY317-'Database MK'!FZ317</f>
        <v>0</v>
      </c>
      <c r="AK316" s="7">
        <f>IF('Database MK'!GC317="","Belum",'Database MK'!GB317-'Database MK'!GC317)</f>
        <v>99</v>
      </c>
      <c r="AL316" s="7">
        <f>IF('Database MK'!GF317="","Belum",'Database MK'!GE317-'Database MK'!GF317)</f>
        <v>106</v>
      </c>
      <c r="AM316" s="309">
        <f>IF('Database MK'!GJ317="","Belum",'Database MK'!GI317-'Database MK'!GJ317)</f>
        <v>103</v>
      </c>
      <c r="AN316" s="7" t="str">
        <f>IF('Database MK'!HG317="","Belum",'Database MK'!HF317-'Database MK'!HG317)</f>
        <v>Belum</v>
      </c>
      <c r="AO316" s="7" t="str">
        <f>IF('Database MK'!HP317="","Belum",'Database MK'!HN317-'Database MK'!HP317)</f>
        <v>Belum</v>
      </c>
      <c r="AP316" s="7" t="str">
        <f>IF('Database MK'!HV317="","Belum",'Database MK'!HT317-'Database MK'!HV317)</f>
        <v>Belum</v>
      </c>
    </row>
    <row r="317" spans="2:42" hidden="1" x14ac:dyDescent="0.2">
      <c r="B317" s="7">
        <f>SUBTOTAL(3,$C$4:C317)</f>
        <v>74</v>
      </c>
      <c r="C317" s="4" t="s">
        <v>244</v>
      </c>
      <c r="D317" s="4" t="s">
        <v>2518</v>
      </c>
      <c r="E317" s="4" t="s">
        <v>2519</v>
      </c>
      <c r="F317" s="300">
        <v>46113</v>
      </c>
      <c r="G317" s="4" t="s">
        <v>681</v>
      </c>
      <c r="H317" s="4" t="str">
        <f ca="1">'Database MK'!Q318</f>
        <v>DPPP</v>
      </c>
      <c r="I317" s="24">
        <f>'Database MK'!S318</f>
        <v>1</v>
      </c>
      <c r="J317" s="24">
        <f>'Database MK'!T318</f>
        <v>1</v>
      </c>
      <c r="K317" s="603">
        <f>'Database MK'!U318</f>
        <v>0</v>
      </c>
      <c r="L317" s="593">
        <f>'Database MK'!V318</f>
        <v>1701</v>
      </c>
      <c r="M317" s="593">
        <f>'Database MK'!W318</f>
        <v>1699</v>
      </c>
      <c r="N317" s="593">
        <f>Table3[[#This Row],[Total Panjang Pipa Aktual]]-Table3[[#This Row],[Volume
BA MC-0]]</f>
        <v>-2</v>
      </c>
      <c r="O317" s="7" t="str">
        <f ca="1">'Database MK'!DE318</f>
        <v>Sudah, Delay</v>
      </c>
      <c r="P317" s="7" t="str">
        <f ca="1">'Database MK'!DI318</f>
        <v>Sudah, Delay</v>
      </c>
      <c r="Q317" s="7" t="str">
        <f ca="1">'Database MK'!DN318</f>
        <v>Sudah, OnSchedule</v>
      </c>
      <c r="R317" s="7" t="str">
        <f ca="1">'Database MK'!DR318</f>
        <v>Sudah, OnSchedule</v>
      </c>
      <c r="S317" s="7" t="str">
        <f ca="1">'Database MK'!EA318</f>
        <v>Sudah, OnSchedule</v>
      </c>
      <c r="T317" s="7" t="str">
        <f ca="1">'Database MK'!EI318</f>
        <v>Sudah, Delay</v>
      </c>
      <c r="U317" s="7" t="str">
        <f ca="1">'Database MK'!ET318</f>
        <v>Sudah, Delay</v>
      </c>
      <c r="V317" s="7" t="str">
        <f ca="1">'Database MK'!GA318</f>
        <v>Belum, Delay</v>
      </c>
      <c r="W317" s="7" t="str">
        <f ca="1">'Database MK'!GD318</f>
        <v>Sudah, OnSchedule</v>
      </c>
      <c r="X317" s="7" t="str">
        <f ca="1">'Database MK'!GG318</f>
        <v>Sudah, OnSchedule</v>
      </c>
      <c r="Y317" s="7" t="str">
        <f ca="1">'Database MK'!GK318</f>
        <v>Sudah, OnSchedule</v>
      </c>
      <c r="Z317" s="7" t="str">
        <f ca="1">'Database MK'!HH318</f>
        <v>Sudah, OnSchedule</v>
      </c>
      <c r="AA317" s="7" t="str">
        <f ca="1">'Database MK'!HQ318</f>
        <v>Sudah, Delay</v>
      </c>
      <c r="AB317" s="7" t="str">
        <f ca="1">'Database MK'!HW318</f>
        <v>Sudah, Delay</v>
      </c>
      <c r="AC317" s="7">
        <f>'Database MK'!DA318-'Database MK'!DB318</f>
        <v>-6</v>
      </c>
      <c r="AD317" s="7">
        <f>'Database MK'!DA318-'Database MK'!DF318</f>
        <v>-3</v>
      </c>
      <c r="AE317" s="7">
        <f>'Database MK'!DK318-'Database MK'!DL318</f>
        <v>102</v>
      </c>
      <c r="AF317" s="7">
        <f>'Database MK'!DK318-'Database MK'!DO318</f>
        <v>82</v>
      </c>
      <c r="AG317" s="7">
        <f>'Database MK'!DU318-'Database MK'!DW318</f>
        <v>81</v>
      </c>
      <c r="AH317" s="7">
        <f>IF('Database MK'!EB318="","Belum",'Database MK'!DU318-'Database MK'!EB318)</f>
        <v>-137</v>
      </c>
      <c r="AI317" s="7">
        <f>IF('Database MK'!EN318="","Belum",'Database MK'!EL318-'Database MK'!EN318)</f>
        <v>-92</v>
      </c>
      <c r="AJ317" s="7">
        <f>'Database MK'!FY318-'Database MK'!FZ318</f>
        <v>0</v>
      </c>
      <c r="AK317" s="7">
        <f>IF('Database MK'!GC318="","Belum",'Database MK'!GB318-'Database MK'!GC318)</f>
        <v>99</v>
      </c>
      <c r="AL317" s="7">
        <f>IF('Database MK'!GF318="","Belum",'Database MK'!GE318-'Database MK'!GF318)</f>
        <v>106</v>
      </c>
      <c r="AM317" s="309">
        <f>IF('Database MK'!GJ318="","Belum",'Database MK'!GI318-'Database MK'!GJ318)</f>
        <v>103</v>
      </c>
      <c r="AN317" s="7">
        <f>IF('Database MK'!HG318="","Belum",'Database MK'!HF318-'Database MK'!HG318)</f>
        <v>53</v>
      </c>
      <c r="AO317" s="7">
        <f>IF('Database MK'!HP318="","Belum",'Database MK'!HN318-'Database MK'!HP318)</f>
        <v>-13</v>
      </c>
      <c r="AP317" s="7">
        <f>IF('Database MK'!HV318="","Belum",'Database MK'!HT318-'Database MK'!HV318)</f>
        <v>-7</v>
      </c>
    </row>
    <row r="318" spans="2:42" s="77" customFormat="1" hidden="1" x14ac:dyDescent="0.2">
      <c r="B318" s="307">
        <f>SUBTOTAL(3,$C$4:C318)</f>
        <v>74</v>
      </c>
      <c r="C318" s="77" t="s">
        <v>673</v>
      </c>
      <c r="D318" s="77" t="s">
        <v>2528</v>
      </c>
      <c r="E318" s="77" t="s">
        <v>2529</v>
      </c>
      <c r="F318" s="302">
        <v>46113</v>
      </c>
      <c r="G318" s="77" t="s">
        <v>681</v>
      </c>
      <c r="H318" s="77" t="str">
        <f>'Database MK'!Q319</f>
        <v>BATAL / CANCEL</v>
      </c>
      <c r="I318" s="604">
        <f>'Database MK'!S319</f>
        <v>1</v>
      </c>
      <c r="J318" s="604">
        <f>'Database MK'!T319</f>
        <v>0</v>
      </c>
      <c r="K318" s="605">
        <f>'Database MK'!U319</f>
        <v>-1</v>
      </c>
      <c r="L318" s="594">
        <f>'Database MK'!V319</f>
        <v>75</v>
      </c>
      <c r="M318" s="594">
        <f>'Database MK'!W319</f>
        <v>0</v>
      </c>
      <c r="N318" s="594">
        <f>Table3[[#This Row],[Total Panjang Pipa Aktual]]-Table3[[#This Row],[Volume
BA MC-0]]</f>
        <v>-75</v>
      </c>
      <c r="O318" s="307" t="str">
        <f ca="1">'Database MK'!DE319</f>
        <v>Sudah, OnSchedule</v>
      </c>
      <c r="P318" s="307">
        <f>'Database MK'!DI319</f>
        <v>0</v>
      </c>
      <c r="Q318" s="307">
        <f>'Database MK'!DN319</f>
        <v>0</v>
      </c>
      <c r="R318" s="307">
        <f>'Database MK'!DR319</f>
        <v>0</v>
      </c>
      <c r="S318" s="307">
        <f>'Database MK'!EA319</f>
        <v>0</v>
      </c>
      <c r="T318" s="307" t="str">
        <f ca="1">'Database MK'!EI319</f>
        <v>Belum, Delay</v>
      </c>
      <c r="U318" s="307" t="str">
        <f ca="1">'Database MK'!ET319</f>
        <v>Belum, Delay</v>
      </c>
      <c r="V318" s="307" t="str">
        <f ca="1">'Database MK'!GA319</f>
        <v>Belum, Delay</v>
      </c>
      <c r="W318" s="307" t="str">
        <f ca="1">'Database MK'!GD319</f>
        <v>Sudah, Delay</v>
      </c>
      <c r="X318" s="307" t="str">
        <f ca="1">'Database MK'!GG319</f>
        <v>Sudah, Delay</v>
      </c>
      <c r="Y318" s="307" t="str">
        <f ca="1">'Database MK'!GK319</f>
        <v>Sudah, Delay</v>
      </c>
      <c r="Z318" s="307" t="str">
        <f ca="1">'Database MK'!HH319</f>
        <v>Belum, Delay</v>
      </c>
      <c r="AA318" s="307" t="str">
        <f ca="1">'Database MK'!HQ319</f>
        <v>Belum, Delay</v>
      </c>
      <c r="AB318" s="307" t="str">
        <f ca="1">'Database MK'!HW319</f>
        <v>Belum, Delay</v>
      </c>
      <c r="AC318" s="307"/>
      <c r="AD318" s="307"/>
      <c r="AE318" s="307"/>
      <c r="AF318" s="307"/>
      <c r="AG318" s="307"/>
      <c r="AH318" s="307"/>
      <c r="AI318" s="307"/>
      <c r="AJ318" s="307">
        <f>'Database MK'!FY319-'Database MK'!FZ319</f>
        <v>0</v>
      </c>
      <c r="AK318" s="307"/>
      <c r="AL318" s="307"/>
      <c r="AM318" s="310"/>
      <c r="AN318" s="307"/>
      <c r="AO318" s="307"/>
      <c r="AP318" s="307"/>
    </row>
    <row r="319" spans="2:42" s="77" customFormat="1" hidden="1" x14ac:dyDescent="0.2">
      <c r="B319" s="307">
        <f>SUBTOTAL(3,$C$4:C319)</f>
        <v>74</v>
      </c>
      <c r="C319" s="77" t="s">
        <v>673</v>
      </c>
      <c r="D319" s="77" t="s">
        <v>2536</v>
      </c>
      <c r="E319" s="77" t="s">
        <v>2537</v>
      </c>
      <c r="F319" s="302">
        <v>46113</v>
      </c>
      <c r="G319" s="77" t="s">
        <v>681</v>
      </c>
      <c r="H319" s="77" t="str">
        <f>'Database MK'!Q320</f>
        <v>BATAL / CANCEL</v>
      </c>
      <c r="I319" s="604">
        <f>'Database MK'!S320</f>
        <v>1</v>
      </c>
      <c r="J319" s="604">
        <f>'Database MK'!T320</f>
        <v>0</v>
      </c>
      <c r="K319" s="605">
        <f>'Database MK'!U320</f>
        <v>-1</v>
      </c>
      <c r="L319" s="594">
        <f>'Database MK'!V320</f>
        <v>81</v>
      </c>
      <c r="M319" s="594">
        <f>'Database MK'!W320</f>
        <v>0</v>
      </c>
      <c r="N319" s="594">
        <f>Table3[[#This Row],[Total Panjang Pipa Aktual]]-Table3[[#This Row],[Volume
BA MC-0]]</f>
        <v>-81</v>
      </c>
      <c r="O319" s="307" t="str">
        <f ca="1">'Database MK'!DE320</f>
        <v>Sudah, OnSchedule</v>
      </c>
      <c r="P319" s="307" t="str">
        <f ca="1">'Database MK'!DI320</f>
        <v>Sudah, OnSchedule</v>
      </c>
      <c r="Q319" s="307" t="str">
        <f ca="1">'Database MK'!DN320</f>
        <v>Sudah, OnSchedule</v>
      </c>
      <c r="R319" s="307" t="str">
        <f ca="1">'Database MK'!DR320</f>
        <v>Sudah, Delay</v>
      </c>
      <c r="S319" s="307" t="str">
        <f ca="1">'Database MK'!EA320</f>
        <v>Sudah, OnSchedule</v>
      </c>
      <c r="T319" s="307" t="str">
        <f ca="1">'Database MK'!EI320</f>
        <v>Belum, Delay</v>
      </c>
      <c r="U319" s="307" t="str">
        <f ca="1">'Database MK'!ET320</f>
        <v>Belum, Delay</v>
      </c>
      <c r="V319" s="307" t="str">
        <f ca="1">'Database MK'!GA320</f>
        <v>Belum, Delay</v>
      </c>
      <c r="W319" s="307" t="str">
        <f ca="1">'Database MK'!GD320</f>
        <v>Sudah, Delay</v>
      </c>
      <c r="X319" s="307" t="str">
        <f ca="1">'Database MK'!GG320</f>
        <v>Sudah, Delay</v>
      </c>
      <c r="Y319" s="307" t="str">
        <f ca="1">'Database MK'!GK320</f>
        <v>Sudah, Delay</v>
      </c>
      <c r="Z319" s="307" t="str">
        <f ca="1">'Database MK'!HH320</f>
        <v>Belum, Delay</v>
      </c>
      <c r="AA319" s="307" t="str">
        <f ca="1">'Database MK'!HQ320</f>
        <v>Belum, Delay</v>
      </c>
      <c r="AB319" s="307" t="str">
        <f ca="1">'Database MK'!HW320</f>
        <v>Belum, Delay</v>
      </c>
      <c r="AC319" s="307"/>
      <c r="AD319" s="307"/>
      <c r="AE319" s="307"/>
      <c r="AF319" s="307"/>
      <c r="AG319" s="307"/>
      <c r="AH319" s="307"/>
      <c r="AI319" s="307"/>
      <c r="AJ319" s="307">
        <f>'Database MK'!FY320-'Database MK'!FZ320</f>
        <v>0</v>
      </c>
      <c r="AK319" s="307"/>
      <c r="AL319" s="307"/>
      <c r="AM319" s="310"/>
      <c r="AN319" s="307"/>
      <c r="AO319" s="307"/>
      <c r="AP319" s="307"/>
    </row>
    <row r="320" spans="2:42" hidden="1" x14ac:dyDescent="0.2">
      <c r="B320" s="7">
        <f>SUBTOTAL(3,$C$4:C320)</f>
        <v>74</v>
      </c>
      <c r="C320" s="299" t="s">
        <v>673</v>
      </c>
      <c r="D320" s="4" t="s">
        <v>2544</v>
      </c>
      <c r="E320" s="4" t="s">
        <v>2545</v>
      </c>
      <c r="F320" s="300">
        <v>46113</v>
      </c>
      <c r="G320" s="4" t="s">
        <v>681</v>
      </c>
      <c r="H320" s="4" t="str">
        <f ca="1">'Database MK'!Q321</f>
        <v>Proses Konstruksi</v>
      </c>
      <c r="I320" s="24">
        <f>'Database MK'!S321</f>
        <v>1</v>
      </c>
      <c r="J320" s="24">
        <f>'Database MK'!T321</f>
        <v>0.77016596469681486</v>
      </c>
      <c r="K320" s="603">
        <f>'Database MK'!U321</f>
        <v>-0.22983403530318514</v>
      </c>
      <c r="L320" s="593">
        <f>'Database MK'!V321</f>
        <v>598</v>
      </c>
      <c r="M320" s="593">
        <f>'Database MK'!W321</f>
        <v>431</v>
      </c>
      <c r="N320" s="593">
        <f>Table3[[#This Row],[Total Panjang Pipa Aktual]]-Table3[[#This Row],[Volume
BA MC-0]]</f>
        <v>-167</v>
      </c>
      <c r="O320" s="7" t="str">
        <f ca="1">'Database MK'!DE321</f>
        <v>Sudah, OnSchedule</v>
      </c>
      <c r="P320" s="7" t="str">
        <f ca="1">'Database MK'!DI321</f>
        <v>Sudah, OnSchedule</v>
      </c>
      <c r="Q320" s="7" t="str">
        <f ca="1">'Database MK'!DN321</f>
        <v>Sudah, OnSchedule</v>
      </c>
      <c r="R320" s="7" t="str">
        <f ca="1">'Database MK'!DR321</f>
        <v>Sudah, Delay</v>
      </c>
      <c r="S320" s="7" t="str">
        <f ca="1">'Database MK'!EA321</f>
        <v>Sudah, OnSchedule</v>
      </c>
      <c r="T320" s="7" t="str">
        <f ca="1">'Database MK'!EI321</f>
        <v>Sudah, Delay</v>
      </c>
      <c r="U320" s="7" t="str">
        <f ca="1">'Database MK'!ET321</f>
        <v>Sudah, Delay</v>
      </c>
      <c r="V320" s="7" t="str">
        <f ca="1">'Database MK'!GA321</f>
        <v>Belum, Delay</v>
      </c>
      <c r="W320" s="7" t="str">
        <f ca="1">'Database MK'!GD321</f>
        <v>Sudah, Delay</v>
      </c>
      <c r="X320" s="7" t="str">
        <f ca="1">'Database MK'!GG321</f>
        <v>Sudah, Delay</v>
      </c>
      <c r="Y320" s="7" t="str">
        <f ca="1">'Database MK'!GK321</f>
        <v>Sudah, Delay</v>
      </c>
      <c r="Z320" s="7" t="str">
        <f ca="1">'Database MK'!HH321</f>
        <v>Belum, Delay</v>
      </c>
      <c r="AA320" s="7" t="str">
        <f ca="1">'Database MK'!HQ321</f>
        <v>Belum, Delay</v>
      </c>
      <c r="AB320" s="7" t="str">
        <f ca="1">'Database MK'!HW321</f>
        <v>Belum, Delay</v>
      </c>
      <c r="AC320" s="7">
        <f>'Database MK'!DA321-'Database MK'!DB321</f>
        <v>33</v>
      </c>
      <c r="AD320" s="7">
        <f>'Database MK'!DA321-'Database MK'!DF321</f>
        <v>27</v>
      </c>
      <c r="AE320" s="7">
        <f>'Database MK'!DK321-'Database MK'!DL321</f>
        <v>32</v>
      </c>
      <c r="AF320" s="7">
        <f>'Database MK'!DK321-'Database MK'!DO321</f>
        <v>-37</v>
      </c>
      <c r="AG320" s="7">
        <f>'Database MK'!DU321-'Database MK'!DW321</f>
        <v>3</v>
      </c>
      <c r="AH320" s="7">
        <f>IF('Database MK'!EB321="","Belum",'Database MK'!DU321-'Database MK'!EB321)</f>
        <v>-255</v>
      </c>
      <c r="AI320" s="7">
        <f>IF('Database MK'!EN321="","Belum",'Database MK'!EL321-'Database MK'!EN321)</f>
        <v>-163</v>
      </c>
      <c r="AJ320" s="7">
        <f>'Database MK'!FY321-'Database MK'!FZ321</f>
        <v>0</v>
      </c>
      <c r="AK320" s="7">
        <f>IF('Database MK'!GC321="","Belum",'Database MK'!GB321-'Database MK'!GC321)</f>
        <v>-48</v>
      </c>
      <c r="AL320" s="7">
        <f>IF('Database MK'!GF321="","Belum",'Database MK'!GE321-'Database MK'!GF321)</f>
        <v>-41</v>
      </c>
      <c r="AM320" s="309">
        <f>IF('Database MK'!GJ321="","Belum",'Database MK'!GI321-'Database MK'!GJ321)</f>
        <v>-33</v>
      </c>
      <c r="AN320" s="7" t="str">
        <f>IF('Database MK'!HG321="","Belum",'Database MK'!HF321-'Database MK'!HG321)</f>
        <v>Belum</v>
      </c>
      <c r="AO320" s="7" t="str">
        <f>IF('Database MK'!HP321="","Belum",'Database MK'!HN321-'Database MK'!HP321)</f>
        <v>Belum</v>
      </c>
      <c r="AP320" s="7" t="str">
        <f>IF('Database MK'!HV321="","Belum",'Database MK'!HT321-'Database MK'!HV321)</f>
        <v>Belum</v>
      </c>
    </row>
    <row r="321" spans="2:42" s="77" customFormat="1" hidden="1" x14ac:dyDescent="0.2">
      <c r="B321" s="307">
        <f>SUBTOTAL(3,$C$4:C321)</f>
        <v>74</v>
      </c>
      <c r="C321" s="77" t="s">
        <v>673</v>
      </c>
      <c r="D321" s="77" t="s">
        <v>2552</v>
      </c>
      <c r="E321" s="77" t="s">
        <v>2553</v>
      </c>
      <c r="F321" s="302">
        <v>46113</v>
      </c>
      <c r="G321" s="77" t="s">
        <v>681</v>
      </c>
      <c r="H321" s="77" t="str">
        <f>'Database MK'!Q322</f>
        <v>BATAL / CANCEL</v>
      </c>
      <c r="I321" s="604">
        <f>'Database MK'!S322</f>
        <v>1</v>
      </c>
      <c r="J321" s="604">
        <f>'Database MK'!T322</f>
        <v>0</v>
      </c>
      <c r="K321" s="605">
        <f>'Database MK'!U322</f>
        <v>-1</v>
      </c>
      <c r="L321" s="594">
        <f>'Database MK'!V322</f>
        <v>0</v>
      </c>
      <c r="M321" s="594">
        <f>'Database MK'!W322</f>
        <v>0</v>
      </c>
      <c r="N321" s="594">
        <f>Table3[[#This Row],[Total Panjang Pipa Aktual]]-Table3[[#This Row],[Volume
BA MC-0]]</f>
        <v>0</v>
      </c>
      <c r="O321" s="307" t="str">
        <f ca="1">'Database MK'!DE322</f>
        <v>Sudah, OnSchedule</v>
      </c>
      <c r="P321" s="307">
        <f>'Database MK'!DI322</f>
        <v>0</v>
      </c>
      <c r="Q321" s="307">
        <f>'Database MK'!DN322</f>
        <v>0</v>
      </c>
      <c r="R321" s="307">
        <f>'Database MK'!DR322</f>
        <v>0</v>
      </c>
      <c r="S321" s="307">
        <f>'Database MK'!EA322</f>
        <v>0</v>
      </c>
      <c r="T321" s="307" t="str">
        <f ca="1">'Database MK'!EI322</f>
        <v>Belum, Delay</v>
      </c>
      <c r="U321" s="307" t="str">
        <f ca="1">'Database MK'!ET322</f>
        <v>Belum, Delay</v>
      </c>
      <c r="V321" s="307" t="str">
        <f ca="1">'Database MK'!GA322</f>
        <v>Belum, Delay</v>
      </c>
      <c r="W321" s="307" t="str">
        <f ca="1">'Database MK'!GD322</f>
        <v>Sudah, Delay</v>
      </c>
      <c r="X321" s="307" t="str">
        <f ca="1">'Database MK'!GG322</f>
        <v>Sudah, Delay</v>
      </c>
      <c r="Y321" s="307" t="str">
        <f ca="1">'Database MK'!GK322</f>
        <v>Sudah, Delay</v>
      </c>
      <c r="Z321" s="307" t="str">
        <f ca="1">'Database MK'!HH322</f>
        <v>Belum, Delay</v>
      </c>
      <c r="AA321" s="307" t="str">
        <f ca="1">'Database MK'!HQ322</f>
        <v>Belum, Delay</v>
      </c>
      <c r="AB321" s="307" t="str">
        <f ca="1">'Database MK'!HW322</f>
        <v>Belum, Delay</v>
      </c>
      <c r="AC321" s="307"/>
      <c r="AD321" s="307"/>
      <c r="AE321" s="307"/>
      <c r="AF321" s="307"/>
      <c r="AG321" s="307"/>
      <c r="AH321" s="307"/>
      <c r="AI321" s="307"/>
      <c r="AJ321" s="307">
        <f>'Database MK'!FY322-'Database MK'!FZ322</f>
        <v>0</v>
      </c>
      <c r="AK321" s="307"/>
      <c r="AL321" s="307"/>
      <c r="AM321" s="310"/>
      <c r="AN321" s="307"/>
      <c r="AO321" s="307"/>
      <c r="AP321" s="307"/>
    </row>
    <row r="322" spans="2:42" hidden="1" x14ac:dyDescent="0.2">
      <c r="B322" s="7">
        <f>SUBTOTAL(3,$C$4:C322)</f>
        <v>74</v>
      </c>
      <c r="C322" s="299" t="s">
        <v>673</v>
      </c>
      <c r="D322" s="4" t="s">
        <v>2560</v>
      </c>
      <c r="E322" s="4" t="s">
        <v>2561</v>
      </c>
      <c r="F322" s="300">
        <v>46113</v>
      </c>
      <c r="G322" s="4" t="s">
        <v>681</v>
      </c>
      <c r="H322" s="4" t="str">
        <f ca="1">'Database MK'!Q323</f>
        <v>Proses Konstruksi</v>
      </c>
      <c r="I322" s="24">
        <f>'Database MK'!S323</f>
        <v>1</v>
      </c>
      <c r="J322" s="24">
        <f>'Database MK'!T323</f>
        <v>0.91516250224600015</v>
      </c>
      <c r="K322" s="603">
        <f>'Database MK'!U323</f>
        <v>-8.4837497753999846E-2</v>
      </c>
      <c r="L322" s="593">
        <f>'Database MK'!V323</f>
        <v>369</v>
      </c>
      <c r="M322" s="593">
        <f>'Database MK'!W323</f>
        <v>715</v>
      </c>
      <c r="N322" s="593">
        <f>Table3[[#This Row],[Total Panjang Pipa Aktual]]-Table3[[#This Row],[Volume
BA MC-0]]</f>
        <v>346</v>
      </c>
      <c r="O322" s="7" t="str">
        <f ca="1">'Database MK'!DE323</f>
        <v>Sudah, OnSchedule</v>
      </c>
      <c r="P322" s="7" t="str">
        <f ca="1">'Database MK'!DI323</f>
        <v>Sudah, OnSchedule</v>
      </c>
      <c r="Q322" s="7" t="str">
        <f ca="1">'Database MK'!DN323</f>
        <v>Sudah, OnSchedule</v>
      </c>
      <c r="R322" s="7" t="str">
        <f ca="1">'Database MK'!DR323</f>
        <v>Sudah, OnSchedule</v>
      </c>
      <c r="S322" s="7" t="str">
        <f ca="1">'Database MK'!EA323</f>
        <v>Sudah, OnSchedule</v>
      </c>
      <c r="T322" s="7" t="str">
        <f ca="1">'Database MK'!EI323</f>
        <v>Belum, Delay</v>
      </c>
      <c r="U322" s="7" t="str">
        <f ca="1">'Database MK'!ET323</f>
        <v>Belum, Delay</v>
      </c>
      <c r="V322" s="7" t="str">
        <f ca="1">'Database MK'!GA323</f>
        <v>Belum, Delay</v>
      </c>
      <c r="W322" s="7" t="str">
        <f ca="1">'Database MK'!GD323</f>
        <v>Sudah, Delay</v>
      </c>
      <c r="X322" s="7" t="str">
        <f ca="1">'Database MK'!GG323</f>
        <v>Sudah, Delay</v>
      </c>
      <c r="Y322" s="7" t="str">
        <f ca="1">'Database MK'!GK323</f>
        <v>Sudah, Delay</v>
      </c>
      <c r="Z322" s="7" t="str">
        <f ca="1">'Database MK'!HH323</f>
        <v>Belum, Delay</v>
      </c>
      <c r="AA322" s="7" t="str">
        <f ca="1">'Database MK'!HQ323</f>
        <v>Belum, Delay</v>
      </c>
      <c r="AB322" s="7" t="str">
        <f ca="1">'Database MK'!HW323</f>
        <v>Belum, Delay</v>
      </c>
      <c r="AC322" s="7">
        <f>'Database MK'!DA323-'Database MK'!DB323</f>
        <v>33</v>
      </c>
      <c r="AD322" s="7">
        <f>'Database MK'!DA323-'Database MK'!DF323</f>
        <v>27</v>
      </c>
      <c r="AE322" s="7">
        <f>'Database MK'!DK323-'Database MK'!DL323</f>
        <v>60</v>
      </c>
      <c r="AF322" s="7">
        <f>'Database MK'!DK323-'Database MK'!DO323</f>
        <v>11</v>
      </c>
      <c r="AG322" s="7">
        <f>'Database MK'!DU323-'Database MK'!DW323</f>
        <v>32</v>
      </c>
      <c r="AH322" s="7" t="str">
        <f>IF('Database MK'!EB323="","Belum",'Database MK'!DU323-'Database MK'!EB323)</f>
        <v>Belum</v>
      </c>
      <c r="AI322" s="7" t="str">
        <f>IF('Database MK'!EN323="","Belum",'Database MK'!EL323-'Database MK'!EN323)</f>
        <v>Belum</v>
      </c>
      <c r="AJ322" s="7">
        <f>'Database MK'!FY323-'Database MK'!FZ323</f>
        <v>0</v>
      </c>
      <c r="AK322" s="7">
        <f>IF('Database MK'!GC323="","Belum",'Database MK'!GB323-'Database MK'!GC323)</f>
        <v>-49</v>
      </c>
      <c r="AL322" s="7">
        <f>IF('Database MK'!GF323="","Belum",'Database MK'!GE323-'Database MK'!GF323)</f>
        <v>-42</v>
      </c>
      <c r="AM322" s="309">
        <f>IF('Database MK'!GJ323="","Belum",'Database MK'!GI323-'Database MK'!GJ323)</f>
        <v>-43</v>
      </c>
      <c r="AN322" s="7" t="str">
        <f>IF('Database MK'!HG323="","Belum",'Database MK'!HF323-'Database MK'!HG323)</f>
        <v>Belum</v>
      </c>
      <c r="AO322" s="7" t="str">
        <f>IF('Database MK'!HP323="","Belum",'Database MK'!HN323-'Database MK'!HP323)</f>
        <v>Belum</v>
      </c>
      <c r="AP322" s="7" t="str">
        <f>IF('Database MK'!HV323="","Belum",'Database MK'!HT323-'Database MK'!HV323)</f>
        <v>Belum</v>
      </c>
    </row>
    <row r="323" spans="2:42" hidden="1" x14ac:dyDescent="0.2">
      <c r="B323" s="7">
        <f>SUBTOTAL(3,$C$4:C323)</f>
        <v>74</v>
      </c>
      <c r="C323" s="299" t="s">
        <v>673</v>
      </c>
      <c r="D323" s="4" t="s">
        <v>2569</v>
      </c>
      <c r="E323" s="4" t="s">
        <v>2570</v>
      </c>
      <c r="F323" s="300">
        <v>46113</v>
      </c>
      <c r="G323" s="4" t="s">
        <v>681</v>
      </c>
      <c r="H323" s="4" t="str">
        <f ca="1">'Database MK'!Q324</f>
        <v>MC-100</v>
      </c>
      <c r="I323" s="24">
        <f>'Database MK'!S324</f>
        <v>1</v>
      </c>
      <c r="J323" s="24">
        <f>'Database MK'!T324</f>
        <v>0.88212576657363251</v>
      </c>
      <c r="K323" s="603">
        <f>'Database MK'!U324</f>
        <v>-0.11787423342636749</v>
      </c>
      <c r="L323" s="593">
        <f>'Database MK'!V324</f>
        <v>11652</v>
      </c>
      <c r="M323" s="593">
        <f>'Database MK'!W324</f>
        <v>10434</v>
      </c>
      <c r="N323" s="593">
        <f>Table3[[#This Row],[Total Panjang Pipa Aktual]]-Table3[[#This Row],[Volume
BA MC-0]]</f>
        <v>-1218</v>
      </c>
      <c r="O323" s="7" t="str">
        <f ca="1">'Database MK'!DE324</f>
        <v>Sudah, OnSchedule</v>
      </c>
      <c r="P323" s="7" t="str">
        <f ca="1">'Database MK'!DI324</f>
        <v>Sudah, OnSchedule</v>
      </c>
      <c r="Q323" s="7" t="str">
        <f ca="1">'Database MK'!DN324</f>
        <v>Sudah, OnSchedule</v>
      </c>
      <c r="R323" s="7" t="str">
        <f ca="1">'Database MK'!DR324</f>
        <v>Sudah, OnSchedule</v>
      </c>
      <c r="S323" s="7" t="str">
        <f ca="1">'Database MK'!EA324</f>
        <v>Sudah, OnSchedule</v>
      </c>
      <c r="T323" s="7" t="str">
        <f ca="1">'Database MK'!EI324</f>
        <v>Belum, Delay</v>
      </c>
      <c r="U323" s="7" t="str">
        <f ca="1">'Database MK'!ET324</f>
        <v>Belum, Delay</v>
      </c>
      <c r="V323" s="7" t="str">
        <f ca="1">'Database MK'!GA324</f>
        <v>Belum, Delay</v>
      </c>
      <c r="W323" s="7" t="str">
        <f ca="1">'Database MK'!GD324</f>
        <v>Sudah, Delay</v>
      </c>
      <c r="X323" s="7" t="str">
        <f ca="1">'Database MK'!GG324</f>
        <v>Sudah, Delay</v>
      </c>
      <c r="Y323" s="7" t="str">
        <f ca="1">'Database MK'!GK324</f>
        <v>Sudah, Delay</v>
      </c>
      <c r="Z323" s="7" t="str">
        <f ca="1">'Database MK'!HH324</f>
        <v>Sudah, Delay</v>
      </c>
      <c r="AA323" s="7" t="str">
        <f ca="1">'Database MK'!HQ324</f>
        <v>Sudah, Delay</v>
      </c>
      <c r="AB323" s="7" t="str">
        <f ca="1">'Database MK'!HW324</f>
        <v>Belum, Delay</v>
      </c>
      <c r="AC323" s="7">
        <f>'Database MK'!DA324-'Database MK'!DB324</f>
        <v>33</v>
      </c>
      <c r="AD323" s="7">
        <f>'Database MK'!DA324-'Database MK'!DF324</f>
        <v>27</v>
      </c>
      <c r="AE323" s="7">
        <f>'Database MK'!DK324-'Database MK'!DL324</f>
        <v>60</v>
      </c>
      <c r="AF323" s="7">
        <f>'Database MK'!DK324-'Database MK'!DO324</f>
        <v>11</v>
      </c>
      <c r="AG323" s="7">
        <f>'Database MK'!DU324-'Database MK'!DW324</f>
        <v>32</v>
      </c>
      <c r="AH323" s="7" t="str">
        <f>IF('Database MK'!EB324="","Belum",'Database MK'!DU324-'Database MK'!EB324)</f>
        <v>Belum</v>
      </c>
      <c r="AI323" s="7" t="str">
        <f>IF('Database MK'!EN324="","Belum",'Database MK'!EL324-'Database MK'!EN324)</f>
        <v>Belum</v>
      </c>
      <c r="AJ323" s="7">
        <f>'Database MK'!FY324-'Database MK'!FZ324</f>
        <v>0</v>
      </c>
      <c r="AK323" s="7">
        <f>IF('Database MK'!GC324="","Belum",'Database MK'!GB324-'Database MK'!GC324)</f>
        <v>-49</v>
      </c>
      <c r="AL323" s="7">
        <f>IF('Database MK'!GF324="","Belum",'Database MK'!GE324-'Database MK'!GF324)</f>
        <v>-42</v>
      </c>
      <c r="AM323" s="309">
        <f>IF('Database MK'!GJ324="","Belum",'Database MK'!GI324-'Database MK'!GJ324)</f>
        <v>-38</v>
      </c>
      <c r="AN323" s="7">
        <f>IF('Database MK'!HG324="","Belum",'Database MK'!HF324-'Database MK'!HG324)</f>
        <v>-120</v>
      </c>
      <c r="AO323" s="7">
        <f>IF('Database MK'!HP324="","Belum",'Database MK'!HN324-'Database MK'!HP324)</f>
        <v>-117</v>
      </c>
      <c r="AP323" s="7" t="str">
        <f>IF('Database MK'!HV324="","Belum",'Database MK'!HT324-'Database MK'!HV324)</f>
        <v>Belum</v>
      </c>
    </row>
    <row r="324" spans="2:42" hidden="1" x14ac:dyDescent="0.2">
      <c r="B324" s="7">
        <f>SUBTOTAL(3,$C$4:C324)</f>
        <v>74</v>
      </c>
      <c r="C324" s="299" t="s">
        <v>673</v>
      </c>
      <c r="D324" s="4" t="s">
        <v>2577</v>
      </c>
      <c r="E324" s="4" t="s">
        <v>2578</v>
      </c>
      <c r="F324" s="300">
        <v>46113</v>
      </c>
      <c r="G324" s="4" t="s">
        <v>681</v>
      </c>
      <c r="H324" s="4" t="str">
        <f ca="1">'Database MK'!Q325</f>
        <v>Proses Konstruksi</v>
      </c>
      <c r="I324" s="24">
        <f>'Database MK'!S325</f>
        <v>1</v>
      </c>
      <c r="J324" s="24">
        <f>'Database MK'!T325</f>
        <v>0.9055814731635895</v>
      </c>
      <c r="K324" s="603">
        <f>'Database MK'!U325</f>
        <v>-9.4418526836410499E-2</v>
      </c>
      <c r="L324" s="593">
        <f>'Database MK'!V325</f>
        <v>6459</v>
      </c>
      <c r="M324" s="593">
        <f>'Database MK'!W325</f>
        <v>6342</v>
      </c>
      <c r="N324" s="593">
        <f>Table3[[#This Row],[Total Panjang Pipa Aktual]]-Table3[[#This Row],[Volume
BA MC-0]]</f>
        <v>-117</v>
      </c>
      <c r="O324" s="7" t="str">
        <f ca="1">'Database MK'!DE325</f>
        <v>Sudah, Delay</v>
      </c>
      <c r="P324" s="7" t="str">
        <f ca="1">'Database MK'!DI325</f>
        <v>Sudah, Delay</v>
      </c>
      <c r="Q324" s="7" t="str">
        <f ca="1">'Database MK'!DN325</f>
        <v>Sudah, OnSchedule</v>
      </c>
      <c r="R324" s="7" t="str">
        <f ca="1">'Database MK'!DR325</f>
        <v>Sudah, Delay</v>
      </c>
      <c r="S324" s="7" t="str">
        <f ca="1">'Database MK'!EA325</f>
        <v>Sudah, Delay</v>
      </c>
      <c r="T324" s="7" t="str">
        <f ca="1">'Database MK'!EI325</f>
        <v>Sudah, Delay</v>
      </c>
      <c r="U324" s="7" t="str">
        <f ca="1">'Database MK'!ET325</f>
        <v>Sudah, Delay</v>
      </c>
      <c r="V324" s="7" t="str">
        <f ca="1">'Database MK'!GA325</f>
        <v>Belum, Delay</v>
      </c>
      <c r="W324" s="7" t="str">
        <f ca="1">'Database MK'!GD325</f>
        <v>Sudah, Delay</v>
      </c>
      <c r="X324" s="7" t="str">
        <f ca="1">'Database MK'!GG325</f>
        <v>Sudah, Delay</v>
      </c>
      <c r="Y324" s="7" t="str">
        <f ca="1">'Database MK'!GK325</f>
        <v>Sudah, Delay</v>
      </c>
      <c r="Z324" s="7" t="str">
        <f ca="1">'Database MK'!HH325</f>
        <v>Belum, Delay</v>
      </c>
      <c r="AA324" s="7" t="str">
        <f ca="1">'Database MK'!HQ325</f>
        <v>Belum, Delay</v>
      </c>
      <c r="AB324" s="7" t="str">
        <f ca="1">'Database MK'!HW325</f>
        <v>Belum, Delay</v>
      </c>
      <c r="AC324" s="7">
        <f>'Database MK'!DA325-'Database MK'!DB325</f>
        <v>-5</v>
      </c>
      <c r="AD324" s="7">
        <f>'Database MK'!DA325-'Database MK'!DF325</f>
        <v>-31</v>
      </c>
      <c r="AE324" s="7">
        <f>'Database MK'!DK325-'Database MK'!DL325</f>
        <v>10</v>
      </c>
      <c r="AF324" s="7">
        <f>'Database MK'!DK325-'Database MK'!DO325</f>
        <v>-10</v>
      </c>
      <c r="AG324" s="7">
        <f>'Database MK'!DU325-'Database MK'!DW325</f>
        <v>-12</v>
      </c>
      <c r="AH324" s="7">
        <f>IF('Database MK'!EB325="","Belum",'Database MK'!DU325-'Database MK'!EB325)</f>
        <v>-235</v>
      </c>
      <c r="AI324" s="7">
        <f>IF('Database MK'!EN325="","Belum",'Database MK'!EL325-'Database MK'!EN325)</f>
        <v>-131</v>
      </c>
      <c r="AJ324" s="7">
        <f>'Database MK'!FY325-'Database MK'!FZ325</f>
        <v>0</v>
      </c>
      <c r="AK324" s="7">
        <f>IF('Database MK'!GC325="","Belum",'Database MK'!GB325-'Database MK'!GC325)</f>
        <v>-41</v>
      </c>
      <c r="AL324" s="7">
        <f>IF('Database MK'!GF325="","Belum",'Database MK'!GE325-'Database MK'!GF325)</f>
        <v>-34</v>
      </c>
      <c r="AM324" s="309">
        <f>IF('Database MK'!GJ325="","Belum",'Database MK'!GI325-'Database MK'!GJ325)</f>
        <v>-24</v>
      </c>
      <c r="AN324" s="7" t="str">
        <f>IF('Database MK'!HG325="","Belum",'Database MK'!HF325-'Database MK'!HG325)</f>
        <v>Belum</v>
      </c>
      <c r="AO324" s="7" t="str">
        <f>IF('Database MK'!HP325="","Belum",'Database MK'!HN325-'Database MK'!HP325)</f>
        <v>Belum</v>
      </c>
      <c r="AP324" s="7" t="str">
        <f>IF('Database MK'!HV325="","Belum",'Database MK'!HT325-'Database MK'!HV325)</f>
        <v>Belum</v>
      </c>
    </row>
    <row r="325" spans="2:42" hidden="1" x14ac:dyDescent="0.2">
      <c r="B325" s="7">
        <f>SUBTOTAL(3,$C$4:C325)</f>
        <v>74</v>
      </c>
      <c r="C325" s="299" t="s">
        <v>673</v>
      </c>
      <c r="D325" s="4" t="s">
        <v>2585</v>
      </c>
      <c r="E325" s="4" t="s">
        <v>2586</v>
      </c>
      <c r="F325" s="300">
        <v>46113</v>
      </c>
      <c r="G325" s="4" t="s">
        <v>681</v>
      </c>
      <c r="H325" s="4" t="str">
        <f ca="1">'Database MK'!Q326</f>
        <v>DPPP</v>
      </c>
      <c r="I325" s="24">
        <f>'Database MK'!S326</f>
        <v>1</v>
      </c>
      <c r="J325" s="24">
        <f>'Database MK'!T326</f>
        <v>1</v>
      </c>
      <c r="K325" s="603">
        <f>'Database MK'!U326</f>
        <v>0</v>
      </c>
      <c r="L325" s="593">
        <f>'Database MK'!V326</f>
        <v>275</v>
      </c>
      <c r="M325" s="593">
        <f>'Database MK'!W326</f>
        <v>275</v>
      </c>
      <c r="N325" s="593">
        <f>Table3[[#This Row],[Total Panjang Pipa Aktual]]-Table3[[#This Row],[Volume
BA MC-0]]</f>
        <v>0</v>
      </c>
      <c r="O325" s="7" t="str">
        <f ca="1">'Database MK'!DE326</f>
        <v>Sudah, OnSchedule</v>
      </c>
      <c r="P325" s="7" t="str">
        <f ca="1">'Database MK'!DI326</f>
        <v>Sudah, OnSchedule</v>
      </c>
      <c r="Q325" s="7" t="str">
        <f ca="1">'Database MK'!DN326</f>
        <v>Sudah, OnSchedule</v>
      </c>
      <c r="R325" s="7" t="str">
        <f ca="1">'Database MK'!DR326</f>
        <v>Sudah, OnSchedule</v>
      </c>
      <c r="S325" s="7" t="str">
        <f ca="1">'Database MK'!EA326</f>
        <v>Sudah, OnSchedule</v>
      </c>
      <c r="T325" s="7" t="str">
        <f ca="1">'Database MK'!EI326</f>
        <v>Sudah, Delay</v>
      </c>
      <c r="U325" s="7" t="str">
        <f ca="1">'Database MK'!ET326</f>
        <v>Sudah, Delay</v>
      </c>
      <c r="V325" s="7" t="str">
        <f ca="1">'Database MK'!GA326</f>
        <v>Belum, Delay</v>
      </c>
      <c r="W325" s="7" t="str">
        <f ca="1">'Database MK'!GD326</f>
        <v>Sudah, OnSchedule</v>
      </c>
      <c r="X325" s="7" t="str">
        <f ca="1">'Database MK'!GG326</f>
        <v>Sudah, OnSchedule</v>
      </c>
      <c r="Y325" s="7" t="str">
        <f ca="1">'Database MK'!GK326</f>
        <v>Sudah, OnSchedule</v>
      </c>
      <c r="Z325" s="7" t="str">
        <f ca="1">'Database MK'!HH326</f>
        <v>Sudah, Delay</v>
      </c>
      <c r="AA325" s="7" t="str">
        <f ca="1">'Database MK'!HQ326</f>
        <v>Sudah, Delay</v>
      </c>
      <c r="AB325" s="7" t="str">
        <f ca="1">'Database MK'!HW326</f>
        <v>Sudah, Delay</v>
      </c>
      <c r="AC325" s="7">
        <f>'Database MK'!DA326-'Database MK'!DB326</f>
        <v>47</v>
      </c>
      <c r="AD325" s="7">
        <f>'Database MK'!DA326-'Database MK'!DF326</f>
        <v>34</v>
      </c>
      <c r="AE325" s="7">
        <f>'Database MK'!DK326-'Database MK'!DL326</f>
        <v>65</v>
      </c>
      <c r="AF325" s="7">
        <f>'Database MK'!DK326-'Database MK'!DO326</f>
        <v>45</v>
      </c>
      <c r="AG325" s="7">
        <f>'Database MK'!DU326-'Database MK'!DW326</f>
        <v>44</v>
      </c>
      <c r="AH325" s="7">
        <f>IF('Database MK'!EB326="","Belum",'Database MK'!DU326-'Database MK'!EB326)</f>
        <v>-215</v>
      </c>
      <c r="AI325" s="7">
        <f>IF('Database MK'!EN326="","Belum",'Database MK'!EL326-'Database MK'!EN326)</f>
        <v>-204</v>
      </c>
      <c r="AJ325" s="7">
        <f>'Database MK'!FY326-'Database MK'!FZ326</f>
        <v>0</v>
      </c>
      <c r="AK325" s="7">
        <f>IF('Database MK'!GC326="","Belum",'Database MK'!GB326-'Database MK'!GC326)</f>
        <v>42</v>
      </c>
      <c r="AL325" s="7">
        <f>IF('Database MK'!GF326="","Belum",'Database MK'!GE326-'Database MK'!GF326)</f>
        <v>49</v>
      </c>
      <c r="AM325" s="309">
        <f>IF('Database MK'!GJ326="","Belum",'Database MK'!GI326-'Database MK'!GJ326)</f>
        <v>55</v>
      </c>
      <c r="AN325" s="7">
        <f>IF('Database MK'!HG326="","Belum",'Database MK'!HF326-'Database MK'!HG326)</f>
        <v>-103</v>
      </c>
      <c r="AO325" s="7">
        <f>IF('Database MK'!HP326="","Belum",'Database MK'!HN326-'Database MK'!HP326)</f>
        <v>-111</v>
      </c>
      <c r="AP325" s="7">
        <f>IF('Database MK'!HV326="","Belum",'Database MK'!HT326-'Database MK'!HV326)</f>
        <v>-110</v>
      </c>
    </row>
    <row r="326" spans="2:42" s="77" customFormat="1" hidden="1" x14ac:dyDescent="0.2">
      <c r="B326" s="307">
        <f>SUBTOTAL(3,$C$4:C326)</f>
        <v>74</v>
      </c>
      <c r="C326" s="77" t="s">
        <v>673</v>
      </c>
      <c r="D326" s="77" t="s">
        <v>2593</v>
      </c>
      <c r="E326" s="77" t="s">
        <v>2594</v>
      </c>
      <c r="F326" s="302">
        <v>46113</v>
      </c>
      <c r="G326" s="77" t="s">
        <v>681</v>
      </c>
      <c r="H326" s="77" t="str">
        <f>'Database MK'!Q327</f>
        <v>BATAL / CANCEL</v>
      </c>
      <c r="I326" s="604">
        <f>'Database MK'!S327</f>
        <v>1</v>
      </c>
      <c r="J326" s="604">
        <f>'Database MK'!T327</f>
        <v>0</v>
      </c>
      <c r="K326" s="605">
        <f>'Database MK'!U327</f>
        <v>-1</v>
      </c>
      <c r="L326" s="594">
        <f>'Database MK'!V327</f>
        <v>0</v>
      </c>
      <c r="M326" s="594">
        <f>'Database MK'!W327</f>
        <v>0</v>
      </c>
      <c r="N326" s="594">
        <f>Table3[[#This Row],[Total Panjang Pipa Aktual]]-Table3[[#This Row],[Volume
BA MC-0]]</f>
        <v>0</v>
      </c>
      <c r="O326" s="307" t="str">
        <f ca="1">'Database MK'!DE327</f>
        <v>Sudah, OnSchedule</v>
      </c>
      <c r="P326" s="307">
        <f>'Database MK'!DI327</f>
        <v>0</v>
      </c>
      <c r="Q326" s="307">
        <f>'Database MK'!DN327</f>
        <v>0</v>
      </c>
      <c r="R326" s="307">
        <f>'Database MK'!DR327</f>
        <v>0</v>
      </c>
      <c r="S326" s="307">
        <f>'Database MK'!EA327</f>
        <v>0</v>
      </c>
      <c r="T326" s="307" t="str">
        <f ca="1">'Database MK'!EI327</f>
        <v>Belum, Delay</v>
      </c>
      <c r="U326" s="307" t="str">
        <f ca="1">'Database MK'!ET327</f>
        <v>Belum, Delay</v>
      </c>
      <c r="V326" s="307" t="str">
        <f ca="1">'Database MK'!GA327</f>
        <v>Belum, Delay</v>
      </c>
      <c r="W326" s="307" t="str">
        <f ca="1">'Database MK'!GD327</f>
        <v>Sudah, OnSchedule</v>
      </c>
      <c r="X326" s="307" t="str">
        <f ca="1">'Database MK'!GG327</f>
        <v>Sudah, Delay</v>
      </c>
      <c r="Y326" s="307" t="str">
        <f ca="1">'Database MK'!GK327</f>
        <v>Belum, Delay</v>
      </c>
      <c r="Z326" s="307" t="str">
        <f ca="1">'Database MK'!HH327</f>
        <v>Belum, Delay</v>
      </c>
      <c r="AA326" s="307" t="str">
        <f ca="1">'Database MK'!HQ327</f>
        <v>Belum, Delay</v>
      </c>
      <c r="AB326" s="307" t="str">
        <f ca="1">'Database MK'!HW327</f>
        <v>Belum, Delay</v>
      </c>
      <c r="AC326" s="307"/>
      <c r="AD326" s="307"/>
      <c r="AE326" s="307"/>
      <c r="AF326" s="307"/>
      <c r="AG326" s="307"/>
      <c r="AH326" s="307"/>
      <c r="AI326" s="307"/>
      <c r="AJ326" s="307">
        <f>'Database MK'!FY327-'Database MK'!FZ327</f>
        <v>0</v>
      </c>
      <c r="AK326" s="307"/>
      <c r="AL326" s="307"/>
      <c r="AM326" s="310"/>
      <c r="AN326" s="307"/>
      <c r="AO326" s="307"/>
      <c r="AP326" s="307"/>
    </row>
    <row r="327" spans="2:42" hidden="1" x14ac:dyDescent="0.2">
      <c r="B327" s="7">
        <f>SUBTOTAL(3,$C$4:C327)</f>
        <v>74</v>
      </c>
      <c r="C327" s="299" t="s">
        <v>673</v>
      </c>
      <c r="D327" s="4" t="s">
        <v>2600</v>
      </c>
      <c r="E327" s="4" t="s">
        <v>2601</v>
      </c>
      <c r="F327" s="300">
        <v>46113</v>
      </c>
      <c r="G327" s="4" t="s">
        <v>681</v>
      </c>
      <c r="H327" s="4" t="str">
        <f ca="1">'Database MK'!Q328</f>
        <v>Proses Konstruksi</v>
      </c>
      <c r="I327" s="24">
        <f>'Database MK'!S328</f>
        <v>1</v>
      </c>
      <c r="J327" s="24">
        <f>'Database MK'!T328</f>
        <v>0.2501558953785683</v>
      </c>
      <c r="K327" s="603">
        <f>'Database MK'!U328</f>
        <v>-0.7498441046214317</v>
      </c>
      <c r="L327" s="593">
        <f>'Database MK'!V328</f>
        <v>5219</v>
      </c>
      <c r="M327" s="593">
        <f>'Database MK'!W328</f>
        <v>2731</v>
      </c>
      <c r="N327" s="593">
        <f>Table3[[#This Row],[Total Panjang Pipa Aktual]]-Table3[[#This Row],[Volume
BA MC-0]]</f>
        <v>-2488</v>
      </c>
      <c r="O327" s="7" t="str">
        <f ca="1">'Database MK'!DE328</f>
        <v>Sudah, OnSchedule</v>
      </c>
      <c r="P327" s="7" t="str">
        <f ca="1">'Database MK'!DI328</f>
        <v>Sudah, OnSchedule</v>
      </c>
      <c r="Q327" s="7" t="str">
        <f ca="1">'Database MK'!DN328</f>
        <v>Sudah, OnSchedule</v>
      </c>
      <c r="R327" s="7" t="str">
        <f ca="1">'Database MK'!DR328</f>
        <v>Sudah, Delay</v>
      </c>
      <c r="S327" s="7" t="str">
        <f ca="1">'Database MK'!EA328</f>
        <v>Sudah, OnSchedule</v>
      </c>
      <c r="T327" s="7" t="str">
        <f ca="1">'Database MK'!EI328</f>
        <v>Belum, Delay</v>
      </c>
      <c r="U327" s="7" t="str">
        <f ca="1">'Database MK'!ET328</f>
        <v>Belum, Delay</v>
      </c>
      <c r="V327" s="7" t="str">
        <f ca="1">'Database MK'!GA328</f>
        <v>Belum, Delay</v>
      </c>
      <c r="W327" s="7" t="str">
        <f ca="1">'Database MK'!GD328</f>
        <v>Sudah, Delay</v>
      </c>
      <c r="X327" s="7" t="str">
        <f ca="1">'Database MK'!GG328</f>
        <v>Sudah, Delay</v>
      </c>
      <c r="Y327" s="7" t="str">
        <f ca="1">'Database MK'!GK328</f>
        <v>Sudah, Delay</v>
      </c>
      <c r="Z327" s="7" t="str">
        <f ca="1">'Database MK'!HH328</f>
        <v>Belum, Delay</v>
      </c>
      <c r="AA327" s="7" t="str">
        <f ca="1">'Database MK'!HQ328</f>
        <v>Belum, Delay</v>
      </c>
      <c r="AB327" s="7" t="str">
        <f ca="1">'Database MK'!HW328</f>
        <v>Belum, Delay</v>
      </c>
      <c r="AC327" s="7">
        <f>'Database MK'!DA328-'Database MK'!DB328</f>
        <v>44</v>
      </c>
      <c r="AD327" s="7">
        <f>'Database MK'!DA328-'Database MK'!DF328</f>
        <v>34</v>
      </c>
      <c r="AE327" s="7">
        <f>'Database MK'!DK328-'Database MK'!DL328</f>
        <v>60</v>
      </c>
      <c r="AF327" s="7">
        <f>'Database MK'!DK328-'Database MK'!DO328</f>
        <v>-9</v>
      </c>
      <c r="AG327" s="7">
        <f>'Database MK'!DU328-'Database MK'!DW328</f>
        <v>44</v>
      </c>
      <c r="AH327" s="7" t="str">
        <f>IF('Database MK'!EB328="","Belum",'Database MK'!DU328-'Database MK'!EB328)</f>
        <v>Belum</v>
      </c>
      <c r="AI327" s="7" t="str">
        <f>IF('Database MK'!EN328="","Belum",'Database MK'!EL328-'Database MK'!EN328)</f>
        <v>Belum</v>
      </c>
      <c r="AJ327" s="7">
        <f>'Database MK'!FY328-'Database MK'!FZ328</f>
        <v>0</v>
      </c>
      <c r="AK327" s="7">
        <f>IF('Database MK'!GC328="","Belum",'Database MK'!GB328-'Database MK'!GC328)</f>
        <v>-7</v>
      </c>
      <c r="AL327" s="7">
        <f>IF('Database MK'!GF328="","Belum",'Database MK'!GE328-'Database MK'!GF328)</f>
        <v>-13</v>
      </c>
      <c r="AM327" s="309">
        <f>IF('Database MK'!GJ328="","Belum",'Database MK'!GI328-'Database MK'!GJ328)</f>
        <v>-5</v>
      </c>
      <c r="AN327" s="7" t="str">
        <f>IF('Database MK'!HG328="","Belum",'Database MK'!HF328-'Database MK'!HG328)</f>
        <v>Belum</v>
      </c>
      <c r="AO327" s="7" t="str">
        <f>IF('Database MK'!HP328="","Belum",'Database MK'!HN328-'Database MK'!HP328)</f>
        <v>Belum</v>
      </c>
      <c r="AP327" s="7" t="str">
        <f>IF('Database MK'!HV328="","Belum",'Database MK'!HT328-'Database MK'!HV328)</f>
        <v>Belum</v>
      </c>
    </row>
    <row r="328" spans="2:42" hidden="1" x14ac:dyDescent="0.2">
      <c r="B328" s="7">
        <f>SUBTOTAL(3,$C$4:C328)</f>
        <v>74</v>
      </c>
      <c r="C328" s="299" t="s">
        <v>673</v>
      </c>
      <c r="D328" s="4" t="s">
        <v>2607</v>
      </c>
      <c r="E328" s="4" t="s">
        <v>2608</v>
      </c>
      <c r="F328" s="300">
        <v>46113</v>
      </c>
      <c r="G328" s="4" t="s">
        <v>681</v>
      </c>
      <c r="H328" s="4" t="str">
        <f ca="1">'Database MK'!Q329</f>
        <v>Proses Konstruksi</v>
      </c>
      <c r="I328" s="24">
        <f>'Database MK'!S329</f>
        <v>1</v>
      </c>
      <c r="J328" s="24">
        <f>'Database MK'!T329</f>
        <v>0.85965595879998635</v>
      </c>
      <c r="K328" s="603">
        <f>'Database MK'!U329</f>
        <v>-0.14034404120001365</v>
      </c>
      <c r="L328" s="593">
        <f>'Database MK'!V329</f>
        <v>1206</v>
      </c>
      <c r="M328" s="593">
        <f>'Database MK'!W329</f>
        <v>1189</v>
      </c>
      <c r="N328" s="593">
        <f>Table3[[#This Row],[Total Panjang Pipa Aktual]]-Table3[[#This Row],[Volume
BA MC-0]]</f>
        <v>-17</v>
      </c>
      <c r="O328" s="7" t="str">
        <f ca="1">'Database MK'!DE329</f>
        <v>Sudah, OnSchedule</v>
      </c>
      <c r="P328" s="7" t="str">
        <f ca="1">'Database MK'!DI329</f>
        <v>Sudah, OnSchedule</v>
      </c>
      <c r="Q328" s="7" t="str">
        <f ca="1">'Database MK'!DN329</f>
        <v>Sudah, OnSchedule</v>
      </c>
      <c r="R328" s="7" t="str">
        <f ca="1">'Database MK'!DR329</f>
        <v>Sudah, OnSchedule</v>
      </c>
      <c r="S328" s="7" t="str">
        <f ca="1">'Database MK'!EA329</f>
        <v>Sudah, OnSchedule</v>
      </c>
      <c r="T328" s="7" t="str">
        <f ca="1">'Database MK'!EI329</f>
        <v>Belum, Delay</v>
      </c>
      <c r="U328" s="7" t="str">
        <f ca="1">'Database MK'!ET329</f>
        <v>Belum, Delay</v>
      </c>
      <c r="V328" s="7" t="str">
        <f ca="1">'Database MK'!GA329</f>
        <v>Belum, Delay</v>
      </c>
      <c r="W328" s="7" t="str">
        <f ca="1">'Database MK'!GD329</f>
        <v>Sudah, Delay</v>
      </c>
      <c r="X328" s="7" t="str">
        <f ca="1">'Database MK'!GG329</f>
        <v>Sudah, Delay</v>
      </c>
      <c r="Y328" s="7" t="str">
        <f ca="1">'Database MK'!GK329</f>
        <v>Sudah, Delay</v>
      </c>
      <c r="Z328" s="7" t="str">
        <f ca="1">'Database MK'!HH329</f>
        <v>Belum, Delay</v>
      </c>
      <c r="AA328" s="7" t="str">
        <f ca="1">'Database MK'!HQ329</f>
        <v>Belum, Delay</v>
      </c>
      <c r="AB328" s="7" t="str">
        <f ca="1">'Database MK'!HW329</f>
        <v>Belum, Delay</v>
      </c>
      <c r="AC328" s="7">
        <f>'Database MK'!DA329-'Database MK'!DB329</f>
        <v>44</v>
      </c>
      <c r="AD328" s="7">
        <f>'Database MK'!DA329-'Database MK'!DF329</f>
        <v>34</v>
      </c>
      <c r="AE328" s="7">
        <f>'Database MK'!DK329-'Database MK'!DL329</f>
        <v>60</v>
      </c>
      <c r="AF328" s="7">
        <f>'Database MK'!DK329-'Database MK'!DO329</f>
        <v>11</v>
      </c>
      <c r="AG328" s="7">
        <f>'Database MK'!DU329-'Database MK'!DW329</f>
        <v>44</v>
      </c>
      <c r="AH328" s="7" t="str">
        <f>IF('Database MK'!EB329="","Belum",'Database MK'!DU329-'Database MK'!EB329)</f>
        <v>Belum</v>
      </c>
      <c r="AI328" s="7" t="str">
        <f>IF('Database MK'!EN329="","Belum",'Database MK'!EL329-'Database MK'!EN329)</f>
        <v>Belum</v>
      </c>
      <c r="AJ328" s="7">
        <f>'Database MK'!FY329-'Database MK'!FZ329</f>
        <v>0</v>
      </c>
      <c r="AK328" s="7">
        <f>IF('Database MK'!GC329="","Belum",'Database MK'!GB329-'Database MK'!GC329)</f>
        <v>-7</v>
      </c>
      <c r="AL328" s="7">
        <f>IF('Database MK'!GF329="","Belum",'Database MK'!GE329-'Database MK'!GF329)</f>
        <v>-14</v>
      </c>
      <c r="AM328" s="309">
        <f>IF('Database MK'!GJ329="","Belum",'Database MK'!GI329-'Database MK'!GJ329)</f>
        <v>-10</v>
      </c>
      <c r="AN328" s="7" t="str">
        <f>IF('Database MK'!HG329="","Belum",'Database MK'!HF329-'Database MK'!HG329)</f>
        <v>Belum</v>
      </c>
      <c r="AO328" s="7" t="str">
        <f>IF('Database MK'!HP329="","Belum",'Database MK'!HN329-'Database MK'!HP329)</f>
        <v>Belum</v>
      </c>
      <c r="AP328" s="7" t="str">
        <f>IF('Database MK'!HV329="","Belum",'Database MK'!HT329-'Database MK'!HV329)</f>
        <v>Belum</v>
      </c>
    </row>
    <row r="329" spans="2:42" hidden="1" x14ac:dyDescent="0.2">
      <c r="B329" s="7">
        <f>SUBTOTAL(3,$C$4:C329)</f>
        <v>74</v>
      </c>
      <c r="C329" s="299" t="s">
        <v>673</v>
      </c>
      <c r="D329" s="4" t="s">
        <v>2615</v>
      </c>
      <c r="E329" s="4" t="s">
        <v>2616</v>
      </c>
      <c r="F329" s="300">
        <v>46113</v>
      </c>
      <c r="G329" s="4" t="s">
        <v>681</v>
      </c>
      <c r="H329" s="4" t="str">
        <f ca="1">'Database MK'!Q330</f>
        <v>Proses Konstruksi</v>
      </c>
      <c r="I329" s="24">
        <f>'Database MK'!S330</f>
        <v>1</v>
      </c>
      <c r="J329" s="24">
        <f>'Database MK'!T330</f>
        <v>8.9484958966922851E-2</v>
      </c>
      <c r="K329" s="603">
        <f>'Database MK'!U330</f>
        <v>-0.91051504103307712</v>
      </c>
      <c r="L329" s="593">
        <f>'Database MK'!V330</f>
        <v>360</v>
      </c>
      <c r="M329" s="593">
        <f>'Database MK'!W330</f>
        <v>1</v>
      </c>
      <c r="N329" s="593">
        <f>Table3[[#This Row],[Total Panjang Pipa Aktual]]-Table3[[#This Row],[Volume
BA MC-0]]</f>
        <v>-359</v>
      </c>
      <c r="O329" s="7" t="str">
        <f ca="1">'Database MK'!DE330</f>
        <v>Sudah, Delay</v>
      </c>
      <c r="P329" s="7" t="str">
        <f ca="1">'Database MK'!DI330</f>
        <v>Sudah, Delay</v>
      </c>
      <c r="Q329" s="7" t="str">
        <f ca="1">'Database MK'!DN330</f>
        <v>Sudah, OnSchedule</v>
      </c>
      <c r="R329" s="7" t="str">
        <f ca="1">'Database MK'!DR330</f>
        <v>Sudah, OnSchedule</v>
      </c>
      <c r="S329" s="7" t="str">
        <f ca="1">'Database MK'!EA330</f>
        <v>Sudah, Delay</v>
      </c>
      <c r="T329" s="7" t="str">
        <f ca="1">'Database MK'!EI330</f>
        <v>Belum, Delay</v>
      </c>
      <c r="U329" s="7" t="str">
        <f ca="1">'Database MK'!ET330</f>
        <v>Belum, Delay</v>
      </c>
      <c r="V329" s="7" t="str">
        <f ca="1">'Database MK'!GA330</f>
        <v>Belum, Delay</v>
      </c>
      <c r="W329" s="7" t="str">
        <f ca="1">'Database MK'!GD330</f>
        <v>Sudah, OnSchedule</v>
      </c>
      <c r="X329" s="7" t="str">
        <f ca="1">'Database MK'!GG330</f>
        <v>Sudah, OnSchedule</v>
      </c>
      <c r="Y329" s="7" t="str">
        <f ca="1">'Database MK'!GK330</f>
        <v>Sudah, OnSchedule</v>
      </c>
      <c r="Z329" s="7" t="str">
        <f ca="1">'Database MK'!HH330</f>
        <v>Belum, Delay</v>
      </c>
      <c r="AA329" s="7" t="str">
        <f ca="1">'Database MK'!HQ330</f>
        <v>Belum, Delay</v>
      </c>
      <c r="AB329" s="7" t="str">
        <f ca="1">'Database MK'!HW330</f>
        <v>Belum, Delay</v>
      </c>
      <c r="AC329" s="7">
        <f>'Database MK'!DA330-'Database MK'!DB330</f>
        <v>-8</v>
      </c>
      <c r="AD329" s="7">
        <f>'Database MK'!DA330-'Database MK'!DF330</f>
        <v>-22</v>
      </c>
      <c r="AE329" s="7">
        <f>'Database MK'!DK330-'Database MK'!DL330</f>
        <v>26</v>
      </c>
      <c r="AF329" s="7">
        <f>'Database MK'!DK330-'Database MK'!DO330</f>
        <v>17</v>
      </c>
      <c r="AG329" s="7">
        <f>'Database MK'!DU330-'Database MK'!DW330</f>
        <v>-2</v>
      </c>
      <c r="AH329" s="7" t="str">
        <f>IF('Database MK'!EB330="","Belum",'Database MK'!DU330-'Database MK'!EB330)</f>
        <v>Belum</v>
      </c>
      <c r="AI329" s="7" t="str">
        <f>IF('Database MK'!EN330="","Belum",'Database MK'!EL330-'Database MK'!EN330)</f>
        <v>Belum</v>
      </c>
      <c r="AJ329" s="7">
        <f>'Database MK'!FY330-'Database MK'!FZ330</f>
        <v>0</v>
      </c>
      <c r="AK329" s="7">
        <f>IF('Database MK'!GC330="","Belum",'Database MK'!GB330-'Database MK'!GC330)</f>
        <v>15</v>
      </c>
      <c r="AL329" s="7">
        <f>IF('Database MK'!GF330="","Belum",'Database MK'!GE330-'Database MK'!GF330)</f>
        <v>22</v>
      </c>
      <c r="AM329" s="309">
        <f>IF('Database MK'!GJ330="","Belum",'Database MK'!GI330-'Database MK'!GJ330)</f>
        <v>30</v>
      </c>
      <c r="AN329" s="7" t="str">
        <f>IF('Database MK'!HG330="","Belum",'Database MK'!HF330-'Database MK'!HG330)</f>
        <v>Belum</v>
      </c>
      <c r="AO329" s="7" t="str">
        <f>IF('Database MK'!HP330="","Belum",'Database MK'!HN330-'Database MK'!HP330)</f>
        <v>Belum</v>
      </c>
      <c r="AP329" s="7" t="str">
        <f>IF('Database MK'!HV330="","Belum",'Database MK'!HT330-'Database MK'!HV330)</f>
        <v>Belum</v>
      </c>
    </row>
    <row r="330" spans="2:42" hidden="1" x14ac:dyDescent="0.2">
      <c r="B330" s="7">
        <f>SUBTOTAL(3,$C$4:C330)</f>
        <v>74</v>
      </c>
      <c r="C330" s="299" t="s">
        <v>673</v>
      </c>
      <c r="D330" s="4" t="s">
        <v>2623</v>
      </c>
      <c r="E330" s="4" t="s">
        <v>2624</v>
      </c>
      <c r="F330" s="300">
        <v>46113</v>
      </c>
      <c r="G330" s="4" t="s">
        <v>681</v>
      </c>
      <c r="H330" s="4" t="str">
        <f ca="1">'Database MK'!Q331</f>
        <v>DPPP</v>
      </c>
      <c r="I330" s="24">
        <f>'Database MK'!S331</f>
        <v>1</v>
      </c>
      <c r="J330" s="24">
        <f>'Database MK'!T331</f>
        <v>1</v>
      </c>
      <c r="K330" s="603">
        <f>'Database MK'!U331</f>
        <v>0</v>
      </c>
      <c r="L330" s="593">
        <f>'Database MK'!V331</f>
        <v>200</v>
      </c>
      <c r="M330" s="593">
        <f>'Database MK'!W331</f>
        <v>200</v>
      </c>
      <c r="N330" s="593">
        <f>Table3[[#This Row],[Total Panjang Pipa Aktual]]-Table3[[#This Row],[Volume
BA MC-0]]</f>
        <v>0</v>
      </c>
      <c r="O330" s="7" t="str">
        <f ca="1">'Database MK'!DE331</f>
        <v>Sudah, Delay</v>
      </c>
      <c r="P330" s="7" t="str">
        <f ca="1">'Database MK'!DI331</f>
        <v>Sudah, Delay</v>
      </c>
      <c r="Q330" s="7" t="str">
        <f ca="1">'Database MK'!DN331</f>
        <v>Sudah, OnSchedule</v>
      </c>
      <c r="R330" s="7" t="str">
        <f ca="1">'Database MK'!DR331</f>
        <v>Sudah, Delay</v>
      </c>
      <c r="S330" s="7" t="str">
        <f ca="1">'Database MK'!EA331</f>
        <v>Sudah, Delay</v>
      </c>
      <c r="T330" s="7" t="str">
        <f ca="1">'Database MK'!EI331</f>
        <v>Sudah, Delay</v>
      </c>
      <c r="U330" s="7" t="str">
        <f ca="1">'Database MK'!ET331</f>
        <v>Sudah, Delay</v>
      </c>
      <c r="V330" s="7" t="str">
        <f ca="1">'Database MK'!GA331</f>
        <v>Belum, Delay</v>
      </c>
      <c r="W330" s="7" t="str">
        <f ca="1">'Database MK'!GD331</f>
        <v>Sudah, Delay</v>
      </c>
      <c r="X330" s="7" t="str">
        <f ca="1">'Database MK'!GG331</f>
        <v>Sudah, OnSchedule</v>
      </c>
      <c r="Y330" s="7" t="str">
        <f ca="1">'Database MK'!GK331</f>
        <v>Sudah, OnSchedule</v>
      </c>
      <c r="Z330" s="7" t="str">
        <f ca="1">'Database MK'!HH331</f>
        <v>Sudah, Delay</v>
      </c>
      <c r="AA330" s="7" t="str">
        <f ca="1">'Database MK'!HQ331</f>
        <v>Sudah, Delay</v>
      </c>
      <c r="AB330" s="7" t="str">
        <f ca="1">'Database MK'!HW331</f>
        <v>Sudah, Delay</v>
      </c>
      <c r="AC330" s="7">
        <f>'Database MK'!DA331-'Database MK'!DB331</f>
        <v>-8</v>
      </c>
      <c r="AD330" s="7">
        <f>'Database MK'!DA331-'Database MK'!DF331</f>
        <v>-22</v>
      </c>
      <c r="AE330" s="7">
        <f>'Database MK'!DK331-'Database MK'!DL331</f>
        <v>19</v>
      </c>
      <c r="AF330" s="7">
        <f>'Database MK'!DK331-'Database MK'!DO331</f>
        <v>-4</v>
      </c>
      <c r="AG330" s="7">
        <f>'Database MK'!DU331-'Database MK'!DW331</f>
        <v>-2</v>
      </c>
      <c r="AH330" s="7">
        <f>IF('Database MK'!EB331="","Belum",'Database MK'!DU331-'Database MK'!EB331)</f>
        <v>-192</v>
      </c>
      <c r="AI330" s="7">
        <f>IF('Database MK'!EN331="","Belum",'Database MK'!EL331-'Database MK'!EN331)</f>
        <v>-165</v>
      </c>
      <c r="AJ330" s="7">
        <f>'Database MK'!FY331-'Database MK'!FZ331</f>
        <v>0</v>
      </c>
      <c r="AK330" s="7">
        <f>IF('Database MK'!GC331="","Belum",'Database MK'!GB331-'Database MK'!GC331)</f>
        <v>-7</v>
      </c>
      <c r="AL330" s="7">
        <f>IF('Database MK'!GF331="","Belum",'Database MK'!GE331-'Database MK'!GF331)</f>
        <v>14</v>
      </c>
      <c r="AM330" s="309">
        <f>IF('Database MK'!GJ331="","Belum",'Database MK'!GI331-'Database MK'!GJ331)</f>
        <v>18</v>
      </c>
      <c r="AN330" s="7">
        <f>IF('Database MK'!HG331="","Belum",'Database MK'!HF331-'Database MK'!HG331)</f>
        <v>-5</v>
      </c>
      <c r="AO330" s="7">
        <f>IF('Database MK'!HP331="","Belum",'Database MK'!HN331-'Database MK'!HP331)</f>
        <v>-34</v>
      </c>
      <c r="AP330" s="7">
        <f>IF('Database MK'!HV331="","Belum",'Database MK'!HT331-'Database MK'!HV331)</f>
        <v>-39</v>
      </c>
    </row>
    <row r="331" spans="2:42" s="77" customFormat="1" hidden="1" x14ac:dyDescent="0.2">
      <c r="B331" s="307">
        <f>SUBTOTAL(3,$C$4:C331)</f>
        <v>74</v>
      </c>
      <c r="C331" s="77" t="s">
        <v>673</v>
      </c>
      <c r="D331" s="77" t="s">
        <v>2632</v>
      </c>
      <c r="E331" s="77" t="s">
        <v>2633</v>
      </c>
      <c r="F331" s="302">
        <v>46113</v>
      </c>
      <c r="G331" s="77" t="s">
        <v>681</v>
      </c>
      <c r="H331" s="77" t="str">
        <f>'Database MK'!Q332</f>
        <v>BATAL / CANCEL</v>
      </c>
      <c r="I331" s="604">
        <f>'Database MK'!S332</f>
        <v>1</v>
      </c>
      <c r="J331" s="604">
        <f>'Database MK'!T332</f>
        <v>0</v>
      </c>
      <c r="K331" s="605">
        <f>'Database MK'!U332</f>
        <v>-1</v>
      </c>
      <c r="L331" s="594">
        <f>'Database MK'!V332</f>
        <v>0</v>
      </c>
      <c r="M331" s="594">
        <f>'Database MK'!W332</f>
        <v>0</v>
      </c>
      <c r="N331" s="594">
        <f>Table3[[#This Row],[Total Panjang Pipa Aktual]]-Table3[[#This Row],[Volume
BA MC-0]]</f>
        <v>0</v>
      </c>
      <c r="O331" s="307" t="str">
        <f ca="1">'Database MK'!DE332</f>
        <v>Sudah, Delay</v>
      </c>
      <c r="P331" s="307">
        <f>'Database MK'!DI332</f>
        <v>0</v>
      </c>
      <c r="Q331" s="307">
        <f>'Database MK'!DN332</f>
        <v>0</v>
      </c>
      <c r="R331" s="307">
        <f>'Database MK'!DR332</f>
        <v>0</v>
      </c>
      <c r="S331" s="307">
        <f>'Database MK'!EA332</f>
        <v>0</v>
      </c>
      <c r="T331" s="307" t="str">
        <f ca="1">'Database MK'!EI332</f>
        <v>Belum, Delay</v>
      </c>
      <c r="U331" s="307" t="str">
        <f ca="1">'Database MK'!ET332</f>
        <v>Belum, Delay</v>
      </c>
      <c r="V331" s="307" t="str">
        <f ca="1">'Database MK'!GA332</f>
        <v>Belum, Delay</v>
      </c>
      <c r="W331" s="307" t="str">
        <f ca="1">'Database MK'!GD332</f>
        <v>Sudah, Delay</v>
      </c>
      <c r="X331" s="307" t="str">
        <f ca="1">'Database MK'!GG332</f>
        <v>Sudah, OnSchedule</v>
      </c>
      <c r="Y331" s="307" t="str">
        <f ca="1">'Database MK'!GK332</f>
        <v>Belum, Delay</v>
      </c>
      <c r="Z331" s="307" t="str">
        <f ca="1">'Database MK'!HH332</f>
        <v>Belum, Delay</v>
      </c>
      <c r="AA331" s="307" t="str">
        <f ca="1">'Database MK'!HQ332</f>
        <v>Belum, Delay</v>
      </c>
      <c r="AB331" s="307" t="str">
        <f ca="1">'Database MK'!HW332</f>
        <v>Belum, Delay</v>
      </c>
      <c r="AC331" s="307"/>
      <c r="AD331" s="307"/>
      <c r="AE331" s="307"/>
      <c r="AF331" s="307"/>
      <c r="AG331" s="307"/>
      <c r="AH331" s="307"/>
      <c r="AI331" s="307"/>
      <c r="AJ331" s="307">
        <f>'Database MK'!FY332-'Database MK'!FZ332</f>
        <v>0</v>
      </c>
      <c r="AK331" s="307"/>
      <c r="AL331" s="307"/>
      <c r="AM331" s="310"/>
      <c r="AN331" s="307"/>
      <c r="AO331" s="307"/>
      <c r="AP331" s="307"/>
    </row>
    <row r="332" spans="2:42" s="77" customFormat="1" hidden="1" x14ac:dyDescent="0.2">
      <c r="B332" s="307">
        <f>SUBTOTAL(3,$C$4:C332)</f>
        <v>74</v>
      </c>
      <c r="C332" s="77" t="s">
        <v>673</v>
      </c>
      <c r="D332" s="77" t="s">
        <v>2640</v>
      </c>
      <c r="E332" s="77" t="s">
        <v>2641</v>
      </c>
      <c r="F332" s="302">
        <v>46113</v>
      </c>
      <c r="G332" s="77" t="s">
        <v>681</v>
      </c>
      <c r="H332" s="77" t="str">
        <f>'Database MK'!Q333</f>
        <v>BATAL / CANCEL</v>
      </c>
      <c r="I332" s="604">
        <f>'Database MK'!S333</f>
        <v>1</v>
      </c>
      <c r="J332" s="604">
        <f>'Database MK'!T333</f>
        <v>0</v>
      </c>
      <c r="K332" s="605">
        <f>'Database MK'!U333</f>
        <v>-1</v>
      </c>
      <c r="L332" s="594">
        <f>'Database MK'!V333</f>
        <v>100</v>
      </c>
      <c r="M332" s="594">
        <f>'Database MK'!W333</f>
        <v>0</v>
      </c>
      <c r="N332" s="594">
        <f>Table3[[#This Row],[Total Panjang Pipa Aktual]]-Table3[[#This Row],[Volume
BA MC-0]]</f>
        <v>-100</v>
      </c>
      <c r="O332" s="307" t="str">
        <f ca="1">'Database MK'!DE333</f>
        <v>Sudah, Delay</v>
      </c>
      <c r="P332" s="307" t="str">
        <f ca="1">'Database MK'!DI333</f>
        <v>Sudah, Delay</v>
      </c>
      <c r="Q332" s="307" t="str">
        <f ca="1">'Database MK'!DN333</f>
        <v>Sudah, Delay</v>
      </c>
      <c r="R332" s="307" t="str">
        <f ca="1">'Database MK'!DR333</f>
        <v>Sudah, Delay</v>
      </c>
      <c r="S332" s="307" t="str">
        <f ca="1">'Database MK'!EA333</f>
        <v>Sudah, Delay</v>
      </c>
      <c r="T332" s="307" t="str">
        <f ca="1">'Database MK'!EI333</f>
        <v>Belum, Delay</v>
      </c>
      <c r="U332" s="307" t="str">
        <f ca="1">'Database MK'!ET333</f>
        <v>Belum, Delay</v>
      </c>
      <c r="V332" s="307" t="str">
        <f ca="1">'Database MK'!GA333</f>
        <v>Belum, Delay</v>
      </c>
      <c r="W332" s="307" t="str">
        <f ca="1">'Database MK'!GD333</f>
        <v>Sudah, OnSchedule</v>
      </c>
      <c r="X332" s="307" t="str">
        <f ca="1">'Database MK'!GG333</f>
        <v>Sudah, OnSchedule</v>
      </c>
      <c r="Y332" s="307" t="str">
        <f ca="1">'Database MK'!GK333</f>
        <v>Sudah, OnSchedule</v>
      </c>
      <c r="Z332" s="307" t="str">
        <f ca="1">'Database MK'!HH333</f>
        <v>Belum, Delay</v>
      </c>
      <c r="AA332" s="307" t="str">
        <f ca="1">'Database MK'!HQ333</f>
        <v>Belum, Delay</v>
      </c>
      <c r="AB332" s="307" t="str">
        <f ca="1">'Database MK'!HW333</f>
        <v>Belum, Delay</v>
      </c>
      <c r="AC332" s="307"/>
      <c r="AD332" s="307"/>
      <c r="AE332" s="307"/>
      <c r="AF332" s="307"/>
      <c r="AG332" s="307"/>
      <c r="AH332" s="307"/>
      <c r="AI332" s="307"/>
      <c r="AJ332" s="307">
        <f>'Database MK'!FY333-'Database MK'!FZ333</f>
        <v>0</v>
      </c>
      <c r="AK332" s="307"/>
      <c r="AL332" s="307"/>
      <c r="AM332" s="310"/>
      <c r="AN332" s="307"/>
      <c r="AO332" s="307"/>
      <c r="AP332" s="307"/>
    </row>
    <row r="333" spans="2:42" hidden="1" x14ac:dyDescent="0.2">
      <c r="B333" s="7">
        <f>SUBTOTAL(3,$C$4:C333)</f>
        <v>74</v>
      </c>
      <c r="C333" s="299" t="s">
        <v>673</v>
      </c>
      <c r="D333" s="4" t="s">
        <v>2648</v>
      </c>
      <c r="E333" s="4" t="s">
        <v>2649</v>
      </c>
      <c r="F333" s="300">
        <v>46113</v>
      </c>
      <c r="G333" s="4" t="s">
        <v>681</v>
      </c>
      <c r="H333" s="4" t="str">
        <f ca="1">'Database MK'!Q334</f>
        <v>Proses Konstruksi</v>
      </c>
      <c r="I333" s="24">
        <f>'Database MK'!S334</f>
        <v>1</v>
      </c>
      <c r="J333" s="24">
        <f>'Database MK'!T334</f>
        <v>0.93084550688630696</v>
      </c>
      <c r="K333" s="603">
        <f>'Database MK'!U334</f>
        <v>-6.9154493113693039E-2</v>
      </c>
      <c r="L333" s="593">
        <f>'Database MK'!V334</f>
        <v>332</v>
      </c>
      <c r="M333" s="593">
        <f>'Database MK'!W334</f>
        <v>174</v>
      </c>
      <c r="N333" s="593">
        <f>Table3[[#This Row],[Total Panjang Pipa Aktual]]-Table3[[#This Row],[Volume
BA MC-0]]</f>
        <v>-158</v>
      </c>
      <c r="O333" s="7" t="str">
        <f ca="1">'Database MK'!DE334</f>
        <v>Sudah, Delay</v>
      </c>
      <c r="P333" s="7" t="str">
        <f ca="1">'Database MK'!DI334</f>
        <v>Sudah, Delay</v>
      </c>
      <c r="Q333" s="7" t="str">
        <f ca="1">'Database MK'!DN334</f>
        <v>Sudah, OnSchedule</v>
      </c>
      <c r="R333" s="7" t="str">
        <f ca="1">'Database MK'!DR334</f>
        <v>Sudah, OnSchedule</v>
      </c>
      <c r="S333" s="7" t="str">
        <f ca="1">'Database MK'!EA334</f>
        <v>Sudah, Delay</v>
      </c>
      <c r="T333" s="7" t="str">
        <f ca="1">'Database MK'!EI334</f>
        <v>Sudah, Delay</v>
      </c>
      <c r="U333" s="7" t="str">
        <f ca="1">'Database MK'!ET334</f>
        <v>Sudah, Delay</v>
      </c>
      <c r="V333" s="7" t="str">
        <f ca="1">'Database MK'!GA334</f>
        <v>Belum, Delay</v>
      </c>
      <c r="W333" s="7" t="str">
        <f ca="1">'Database MK'!GD334</f>
        <v>Sudah, Delay</v>
      </c>
      <c r="X333" s="7" t="str">
        <f ca="1">'Database MK'!GG334</f>
        <v>Sudah, OnSchedule</v>
      </c>
      <c r="Y333" s="7" t="str">
        <f ca="1">'Database MK'!GK334</f>
        <v>Sudah, OnSchedule</v>
      </c>
      <c r="Z333" s="7" t="str">
        <f ca="1">'Database MK'!HH334</f>
        <v>Belum, Delay</v>
      </c>
      <c r="AA333" s="7" t="str">
        <f ca="1">'Database MK'!HQ334</f>
        <v>Belum, Delay</v>
      </c>
      <c r="AB333" s="7" t="str">
        <f ca="1">'Database MK'!HW334</f>
        <v>Belum, Delay</v>
      </c>
      <c r="AC333" s="7">
        <f>'Database MK'!DA334-'Database MK'!DB334</f>
        <v>-9</v>
      </c>
      <c r="AD333" s="7">
        <f>'Database MK'!DA334-'Database MK'!DF334</f>
        <v>-22</v>
      </c>
      <c r="AE333" s="7">
        <f>'Database MK'!DK334-'Database MK'!DL334</f>
        <v>19</v>
      </c>
      <c r="AF333" s="7">
        <f>'Database MK'!DK334-'Database MK'!DO334</f>
        <v>12</v>
      </c>
      <c r="AG333" s="7">
        <f>'Database MK'!DU334-'Database MK'!DW334</f>
        <v>-2</v>
      </c>
      <c r="AH333" s="7">
        <f>IF('Database MK'!EB334="","Belum",'Database MK'!DU334-'Database MK'!EB334)</f>
        <v>-32</v>
      </c>
      <c r="AI333" s="7">
        <f>IF('Database MK'!EN334="","Belum",'Database MK'!EL334-'Database MK'!EN334)</f>
        <v>-57</v>
      </c>
      <c r="AJ333" s="7">
        <f>'Database MK'!FY334-'Database MK'!FZ334</f>
        <v>0</v>
      </c>
      <c r="AK333" s="7">
        <f>IF('Database MK'!GC334="","Belum",'Database MK'!GB334-'Database MK'!GC334)</f>
        <v>-7</v>
      </c>
      <c r="AL333" s="7">
        <f>IF('Database MK'!GF334="","Belum",'Database MK'!GE334-'Database MK'!GF334)</f>
        <v>15</v>
      </c>
      <c r="AM333" s="309">
        <f>IF('Database MK'!GJ334="","Belum",'Database MK'!GI334-'Database MK'!GJ334)</f>
        <v>23</v>
      </c>
      <c r="AN333" s="7" t="str">
        <f>IF('Database MK'!HG334="","Belum",'Database MK'!HF334-'Database MK'!HG334)</f>
        <v>Belum</v>
      </c>
      <c r="AO333" s="7" t="str">
        <f>IF('Database MK'!HP334="","Belum",'Database MK'!HN334-'Database MK'!HP334)</f>
        <v>Belum</v>
      </c>
      <c r="AP333" s="7" t="str">
        <f>IF('Database MK'!HV334="","Belum",'Database MK'!HT334-'Database MK'!HV334)</f>
        <v>Belum</v>
      </c>
    </row>
    <row r="334" spans="2:42" hidden="1" x14ac:dyDescent="0.2">
      <c r="B334" s="7">
        <f>SUBTOTAL(3,$C$4:C334)</f>
        <v>74</v>
      </c>
      <c r="C334" s="299" t="s">
        <v>673</v>
      </c>
      <c r="D334" s="4" t="s">
        <v>2657</v>
      </c>
      <c r="E334" s="4" t="s">
        <v>2658</v>
      </c>
      <c r="F334" s="300">
        <v>46113</v>
      </c>
      <c r="G334" s="4" t="s">
        <v>681</v>
      </c>
      <c r="H334" s="4" t="str">
        <f ca="1">'Database MK'!Q335</f>
        <v>DPPP</v>
      </c>
      <c r="I334" s="24">
        <f>'Database MK'!S335</f>
        <v>1</v>
      </c>
      <c r="J334" s="24">
        <f>'Database MK'!T335</f>
        <v>1</v>
      </c>
      <c r="K334" s="603">
        <f>'Database MK'!U335</f>
        <v>0</v>
      </c>
      <c r="L334" s="593">
        <f>'Database MK'!V335</f>
        <v>52</v>
      </c>
      <c r="M334" s="593">
        <f>'Database MK'!W335</f>
        <v>54</v>
      </c>
      <c r="N334" s="593">
        <f>Table3[[#This Row],[Total Panjang Pipa Aktual]]-Table3[[#This Row],[Volume
BA MC-0]]</f>
        <v>2</v>
      </c>
      <c r="O334" s="7" t="str">
        <f ca="1">'Database MK'!DE335</f>
        <v>Sudah, Delay</v>
      </c>
      <c r="P334" s="7" t="str">
        <f ca="1">'Database MK'!DI335</f>
        <v>Sudah, Delay</v>
      </c>
      <c r="Q334" s="7" t="str">
        <f ca="1">'Database MK'!DN335</f>
        <v>Sudah, OnSchedule</v>
      </c>
      <c r="R334" s="7" t="str">
        <f ca="1">'Database MK'!DR335</f>
        <v>Sudah, Delay</v>
      </c>
      <c r="S334" s="7" t="str">
        <f ca="1">'Database MK'!EA335</f>
        <v>Sudah, Delay</v>
      </c>
      <c r="T334" s="7" t="str">
        <f ca="1">'Database MK'!EI335</f>
        <v>Sudah, Delay</v>
      </c>
      <c r="U334" s="7" t="str">
        <f ca="1">'Database MK'!ET335</f>
        <v>Sudah, Delay</v>
      </c>
      <c r="V334" s="7" t="str">
        <f ca="1">'Database MK'!GA335</f>
        <v>Belum, Delay</v>
      </c>
      <c r="W334" s="7" t="str">
        <f ca="1">'Database MK'!GD335</f>
        <v>Sudah, Delay</v>
      </c>
      <c r="X334" s="7" t="str">
        <f ca="1">'Database MK'!GG335</f>
        <v>Sudah, OnSchedule</v>
      </c>
      <c r="Y334" s="7" t="str">
        <f ca="1">'Database MK'!GK335</f>
        <v>Sudah, OnSchedule</v>
      </c>
      <c r="Z334" s="7" t="str">
        <f ca="1">'Database MK'!HH335</f>
        <v>Sudah, Delay</v>
      </c>
      <c r="AA334" s="7" t="str">
        <f ca="1">'Database MK'!HQ335</f>
        <v>Sudah, Delay</v>
      </c>
      <c r="AB334" s="7" t="str">
        <f ca="1">'Database MK'!HW335</f>
        <v>Sudah, Delay</v>
      </c>
      <c r="AC334" s="7">
        <f>'Database MK'!DA335-'Database MK'!DB335</f>
        <v>-9</v>
      </c>
      <c r="AD334" s="7">
        <f>'Database MK'!DA335-'Database MK'!DF335</f>
        <v>-26</v>
      </c>
      <c r="AE334" s="7">
        <f>'Database MK'!DK335-'Database MK'!DL335</f>
        <v>18</v>
      </c>
      <c r="AF334" s="7">
        <f>'Database MK'!DK335-'Database MK'!DO335</f>
        <v>-10</v>
      </c>
      <c r="AG334" s="7">
        <f>'Database MK'!DU335-'Database MK'!DW335</f>
        <v>-3</v>
      </c>
      <c r="AH334" s="7">
        <f>IF('Database MK'!EB335="","Belum",'Database MK'!DU335-'Database MK'!EB335)</f>
        <v>-71</v>
      </c>
      <c r="AI334" s="7">
        <f>IF('Database MK'!EN335="","Belum",'Database MK'!EL335-'Database MK'!EN335)</f>
        <v>-55</v>
      </c>
      <c r="AJ334" s="7">
        <f>'Database MK'!FY335-'Database MK'!FZ335</f>
        <v>0</v>
      </c>
      <c r="AK334" s="7">
        <f>IF('Database MK'!GC335="","Belum",'Database MK'!GB335-'Database MK'!GC335)</f>
        <v>-7</v>
      </c>
      <c r="AL334" s="7">
        <f>IF('Database MK'!GF335="","Belum",'Database MK'!GE335-'Database MK'!GF335)</f>
        <v>1</v>
      </c>
      <c r="AM334" s="309">
        <f>IF('Database MK'!GJ335="","Belum",'Database MK'!GI335-'Database MK'!GJ335)</f>
        <v>9</v>
      </c>
      <c r="AN334" s="7">
        <f>IF('Database MK'!HG335="","Belum",'Database MK'!HF335-'Database MK'!HG335)</f>
        <v>-86</v>
      </c>
      <c r="AO334" s="7">
        <f>IF('Database MK'!HP335="","Belum",'Database MK'!HN335-'Database MK'!HP335)</f>
        <v>-83</v>
      </c>
      <c r="AP334" s="7">
        <f>IF('Database MK'!HV335="","Belum",'Database MK'!HT335-'Database MK'!HV335)</f>
        <v>-82</v>
      </c>
    </row>
    <row r="335" spans="2:42" hidden="1" x14ac:dyDescent="0.2">
      <c r="B335" s="7">
        <f>SUBTOTAL(3,$C$4:C335)</f>
        <v>74</v>
      </c>
      <c r="C335" s="299" t="s">
        <v>673</v>
      </c>
      <c r="D335" s="4" t="s">
        <v>2666</v>
      </c>
      <c r="E335" s="4" t="s">
        <v>2667</v>
      </c>
      <c r="F335" s="300">
        <v>46113</v>
      </c>
      <c r="G335" s="4" t="s">
        <v>681</v>
      </c>
      <c r="H335" s="4" t="str">
        <f ca="1">'Database MK'!Q336</f>
        <v>Proses Konstruksi</v>
      </c>
      <c r="I335" s="24">
        <f>'Database MK'!S336</f>
        <v>1</v>
      </c>
      <c r="J335" s="24">
        <f>'Database MK'!T336</f>
        <v>0.37650309442881963</v>
      </c>
      <c r="K335" s="603">
        <f>'Database MK'!U336</f>
        <v>-0.62349690557118032</v>
      </c>
      <c r="L335" s="593">
        <f>'Database MK'!V336</f>
        <v>739</v>
      </c>
      <c r="M335" s="593">
        <f>'Database MK'!W336</f>
        <v>569</v>
      </c>
      <c r="N335" s="593">
        <f>Table3[[#This Row],[Total Panjang Pipa Aktual]]-Table3[[#This Row],[Volume
BA MC-0]]</f>
        <v>-170</v>
      </c>
      <c r="O335" s="7" t="str">
        <f ca="1">'Database MK'!DE336</f>
        <v>Sudah, Delay</v>
      </c>
      <c r="P335" s="7" t="str">
        <f ca="1">'Database MK'!DI336</f>
        <v>Sudah, Delay</v>
      </c>
      <c r="Q335" s="7" t="str">
        <f ca="1">'Database MK'!DN336</f>
        <v>Sudah, OnSchedule</v>
      </c>
      <c r="R335" s="7" t="str">
        <f ca="1">'Database MK'!DR336</f>
        <v>Sudah, OnSchedule</v>
      </c>
      <c r="S335" s="7" t="str">
        <f ca="1">'Database MK'!EA336</f>
        <v>Sudah, Delay</v>
      </c>
      <c r="T335" s="7" t="str">
        <f ca="1">'Database MK'!EI336</f>
        <v>Belum, Delay</v>
      </c>
      <c r="U335" s="7" t="str">
        <f ca="1">'Database MK'!ET336</f>
        <v>Belum, Delay</v>
      </c>
      <c r="V335" s="7" t="str">
        <f ca="1">'Database MK'!GA336</f>
        <v>Belum, Delay</v>
      </c>
      <c r="W335" s="7" t="str">
        <f ca="1">'Database MK'!GD336</f>
        <v>Sudah, Delay</v>
      </c>
      <c r="X335" s="7" t="str">
        <f ca="1">'Database MK'!GG336</f>
        <v>Sudah, OnSchedule</v>
      </c>
      <c r="Y335" s="7" t="str">
        <f ca="1">'Database MK'!GK336</f>
        <v>Sudah, OnSchedule</v>
      </c>
      <c r="Z335" s="7" t="str">
        <f ca="1">'Database MK'!HH336</f>
        <v>Belum, Delay</v>
      </c>
      <c r="AA335" s="7" t="str">
        <f ca="1">'Database MK'!HQ336</f>
        <v>Belum, Delay</v>
      </c>
      <c r="AB335" s="7" t="str">
        <f ca="1">'Database MK'!HW336</f>
        <v>Belum, Delay</v>
      </c>
      <c r="AC335" s="7">
        <f>'Database MK'!DA336-'Database MK'!DB336</f>
        <v>-8</v>
      </c>
      <c r="AD335" s="7">
        <f>'Database MK'!DA336-'Database MK'!DF336</f>
        <v>-22</v>
      </c>
      <c r="AE335" s="7">
        <f>'Database MK'!DK336-'Database MK'!DL336</f>
        <v>26</v>
      </c>
      <c r="AF335" s="7">
        <f>'Database MK'!DK336-'Database MK'!DO336</f>
        <v>17</v>
      </c>
      <c r="AG335" s="7">
        <f>'Database MK'!DU336-'Database MK'!DW336</f>
        <v>-2</v>
      </c>
      <c r="AH335" s="7" t="str">
        <f>IF('Database MK'!EB336="","Belum",'Database MK'!DU336-'Database MK'!EB336)</f>
        <v>Belum</v>
      </c>
      <c r="AI335" s="7" t="str">
        <f>IF('Database MK'!EN336="","Belum",'Database MK'!EL336-'Database MK'!EN336)</f>
        <v>Belum</v>
      </c>
      <c r="AJ335" s="7">
        <f>'Database MK'!FY336-'Database MK'!FZ336</f>
        <v>0</v>
      </c>
      <c r="AK335" s="7">
        <f>IF('Database MK'!GC336="","Belum",'Database MK'!GB336-'Database MK'!GC336)</f>
        <v>-7</v>
      </c>
      <c r="AL335" s="7">
        <f>IF('Database MK'!GF336="","Belum",'Database MK'!GE336-'Database MK'!GF336)</f>
        <v>8</v>
      </c>
      <c r="AM335" s="309">
        <f>IF('Database MK'!GJ336="","Belum",'Database MK'!GI336-'Database MK'!GJ336)</f>
        <v>16</v>
      </c>
      <c r="AN335" s="7" t="str">
        <f>IF('Database MK'!HG336="","Belum",'Database MK'!HF336-'Database MK'!HG336)</f>
        <v>Belum</v>
      </c>
      <c r="AO335" s="7" t="str">
        <f>IF('Database MK'!HP336="","Belum",'Database MK'!HN336-'Database MK'!HP336)</f>
        <v>Belum</v>
      </c>
      <c r="AP335" s="7" t="str">
        <f>IF('Database MK'!HV336="","Belum",'Database MK'!HT336-'Database MK'!HV336)</f>
        <v>Belum</v>
      </c>
    </row>
    <row r="336" spans="2:42" hidden="1" x14ac:dyDescent="0.2">
      <c r="B336" s="7">
        <f>SUBTOTAL(3,$C$4:C336)</f>
        <v>74</v>
      </c>
      <c r="C336" s="299" t="s">
        <v>673</v>
      </c>
      <c r="D336" s="4" t="s">
        <v>2674</v>
      </c>
      <c r="E336" s="4" t="s">
        <v>2675</v>
      </c>
      <c r="F336" s="300">
        <v>46113</v>
      </c>
      <c r="G336" s="4" t="s">
        <v>681</v>
      </c>
      <c r="H336" s="4" t="str">
        <f ca="1">'Database MK'!Q337</f>
        <v>MC-0</v>
      </c>
      <c r="I336" s="24">
        <f>'Database MK'!S337</f>
        <v>1</v>
      </c>
      <c r="J336" s="24">
        <f>'Database MK'!T337</f>
        <v>0</v>
      </c>
      <c r="K336" s="603">
        <f>'Database MK'!U337</f>
        <v>-1</v>
      </c>
      <c r="L336" s="593">
        <f>'Database MK'!V337</f>
        <v>1</v>
      </c>
      <c r="M336" s="593">
        <f>'Database MK'!W337</f>
        <v>0</v>
      </c>
      <c r="N336" s="593">
        <f>Table3[[#This Row],[Total Panjang Pipa Aktual]]-Table3[[#This Row],[Volume
BA MC-0]]</f>
        <v>-1</v>
      </c>
      <c r="O336" s="7" t="str">
        <f ca="1">'Database MK'!DE337</f>
        <v>Sudah, Delay</v>
      </c>
      <c r="P336" s="7" t="str">
        <f ca="1">'Database MK'!DI337</f>
        <v>Sudah, Delay</v>
      </c>
      <c r="Q336" s="7" t="str">
        <f ca="1">'Database MK'!DN337</f>
        <v>Sudah, OnSchedule</v>
      </c>
      <c r="R336" s="7" t="str">
        <f ca="1">'Database MK'!DR337</f>
        <v>Sudah, OnSchedule</v>
      </c>
      <c r="S336" s="7" t="str">
        <f ca="1">'Database MK'!EA337</f>
        <v>Sudah, OnSchedule</v>
      </c>
      <c r="T336" s="7" t="str">
        <f ca="1">'Database MK'!EI337</f>
        <v>Sudah, Delay</v>
      </c>
      <c r="U336" s="7" t="str">
        <f ca="1">'Database MK'!ET337</f>
        <v>Sudah, Delay</v>
      </c>
      <c r="V336" s="7" t="str">
        <f ca="1">'Database MK'!GA337</f>
        <v>Belum, Delay</v>
      </c>
      <c r="W336" s="7" t="str">
        <f ca="1">'Database MK'!GD337</f>
        <v>Sudah, OnSchedule</v>
      </c>
      <c r="X336" s="7" t="str">
        <f ca="1">'Database MK'!GG337</f>
        <v>Sudah, OnSchedule</v>
      </c>
      <c r="Y336" s="7" t="str">
        <f ca="1">'Database MK'!GK337</f>
        <v>Sudah, OnSchedule</v>
      </c>
      <c r="Z336" s="7" t="str">
        <f ca="1">'Database MK'!HH337</f>
        <v>Belum, Delay</v>
      </c>
      <c r="AA336" s="7" t="str">
        <f ca="1">'Database MK'!HQ337</f>
        <v>Belum, Delay</v>
      </c>
      <c r="AB336" s="7" t="str">
        <f ca="1">'Database MK'!HW337</f>
        <v>Belum, Delay</v>
      </c>
      <c r="AC336" s="7">
        <f>'Database MK'!DA337-'Database MK'!DB337</f>
        <v>-96</v>
      </c>
      <c r="AD336" s="7">
        <f>'Database MK'!DA337-'Database MK'!DF337</f>
        <v>-23</v>
      </c>
      <c r="AE336" s="7">
        <f>'Database MK'!DK337-'Database MK'!DL337</f>
        <v>129</v>
      </c>
      <c r="AF336" s="7">
        <f>'Database MK'!DK337-'Database MK'!DO337</f>
        <v>109</v>
      </c>
      <c r="AG336" s="7">
        <f>'Database MK'!DU337-'Database MK'!DW337</f>
        <v>45</v>
      </c>
      <c r="AH336" s="7">
        <f>IF('Database MK'!EB337="","Belum",'Database MK'!DU337-'Database MK'!EB337)</f>
        <v>-116</v>
      </c>
      <c r="AI336" s="7">
        <f>IF('Database MK'!EN337="","Belum",'Database MK'!EL337-'Database MK'!EN337)</f>
        <v>-75</v>
      </c>
      <c r="AJ336" s="7">
        <f>'Database MK'!FY337-'Database MK'!FZ337</f>
        <v>0</v>
      </c>
      <c r="AK336" s="7">
        <f>IF('Database MK'!GC337="","Belum",'Database MK'!GB337-'Database MK'!GC337)</f>
        <v>78</v>
      </c>
      <c r="AL336" s="7">
        <f>IF('Database MK'!GF337="","Belum",'Database MK'!GE337-'Database MK'!GF337)</f>
        <v>85</v>
      </c>
      <c r="AM336" s="309">
        <f>IF('Database MK'!GJ337="","Belum",'Database MK'!GI337-'Database MK'!GJ337)</f>
        <v>95</v>
      </c>
      <c r="AN336" s="7" t="str">
        <f>IF('Database MK'!HG337="","Belum",'Database MK'!HF337-'Database MK'!HG337)</f>
        <v>Belum</v>
      </c>
      <c r="AO336" s="7" t="str">
        <f>IF('Database MK'!HP337="","Belum",'Database MK'!HN337-'Database MK'!HP337)</f>
        <v>Belum</v>
      </c>
      <c r="AP336" s="7" t="str">
        <f>IF('Database MK'!HV337="","Belum",'Database MK'!HT337-'Database MK'!HV337)</f>
        <v>Belum</v>
      </c>
    </row>
    <row r="337" spans="2:42" hidden="1" x14ac:dyDescent="0.2">
      <c r="B337" s="7">
        <f>SUBTOTAL(3,$C$4:C337)</f>
        <v>74</v>
      </c>
      <c r="C337" s="299" t="s">
        <v>673</v>
      </c>
      <c r="D337" s="4" t="s">
        <v>2679</v>
      </c>
      <c r="E337" s="4" t="s">
        <v>2680</v>
      </c>
      <c r="F337" s="300">
        <v>46113</v>
      </c>
      <c r="G337" s="4" t="s">
        <v>681</v>
      </c>
      <c r="H337" s="4" t="str">
        <f ca="1">'Database MK'!Q338</f>
        <v>DPPP</v>
      </c>
      <c r="I337" s="24">
        <f>'Database MK'!S338</f>
        <v>1</v>
      </c>
      <c r="J337" s="24">
        <f>'Database MK'!T338</f>
        <v>1</v>
      </c>
      <c r="K337" s="603">
        <f>'Database MK'!U338</f>
        <v>0</v>
      </c>
      <c r="L337" s="593">
        <f>'Database MK'!V338</f>
        <v>2426</v>
      </c>
      <c r="M337" s="593">
        <f>'Database MK'!W338</f>
        <v>2396</v>
      </c>
      <c r="N337" s="593">
        <f>Table3[[#This Row],[Total Panjang Pipa Aktual]]-Table3[[#This Row],[Volume
BA MC-0]]</f>
        <v>-30</v>
      </c>
      <c r="O337" s="7" t="str">
        <f ca="1">'Database MK'!DE338</f>
        <v>Sudah, OnSchedule</v>
      </c>
      <c r="P337" s="7" t="str">
        <f ca="1">'Database MK'!DI338</f>
        <v>Sudah, Delay</v>
      </c>
      <c r="Q337" s="7" t="str">
        <f ca="1">'Database MK'!DN338</f>
        <v>Sudah, OnSchedule</v>
      </c>
      <c r="R337" s="7" t="str">
        <f ca="1">'Database MK'!DR338</f>
        <v>Sudah, OnSchedule</v>
      </c>
      <c r="S337" s="7" t="str">
        <f ca="1">'Database MK'!EA338</f>
        <v>Sudah, OnSchedule</v>
      </c>
      <c r="T337" s="7" t="str">
        <f ca="1">'Database MK'!EI338</f>
        <v>Sudah, Delay</v>
      </c>
      <c r="U337" s="7" t="str">
        <f ca="1">'Database MK'!ET338</f>
        <v>Sudah, OnSchedule</v>
      </c>
      <c r="V337" s="7" t="str">
        <f ca="1">'Database MK'!GA338</f>
        <v>Belum, Delay</v>
      </c>
      <c r="W337" s="7" t="str">
        <f ca="1">'Database MK'!GD338</f>
        <v>Sudah, OnSchedule</v>
      </c>
      <c r="X337" s="7" t="str">
        <f ca="1">'Database MK'!GG338</f>
        <v>Sudah, OnSchedule</v>
      </c>
      <c r="Y337" s="7" t="str">
        <f ca="1">'Database MK'!GK338</f>
        <v>Sudah, OnSchedule</v>
      </c>
      <c r="Z337" s="7" t="str">
        <f ca="1">'Database MK'!HH338</f>
        <v>Sudah, Delay</v>
      </c>
      <c r="AA337" s="7" t="str">
        <f ca="1">'Database MK'!HQ338</f>
        <v>Sudah, Delay</v>
      </c>
      <c r="AB337" s="7" t="str">
        <f ca="1">'Database MK'!HW338</f>
        <v>Sudah, Delay</v>
      </c>
      <c r="AC337" s="7">
        <f>'Database MK'!DA338-'Database MK'!DB338</f>
        <v>10</v>
      </c>
      <c r="AD337" s="7">
        <f>'Database MK'!DA338-'Database MK'!DF338</f>
        <v>-23</v>
      </c>
      <c r="AE337" s="7">
        <f>'Database MK'!DK338-'Database MK'!DL338</f>
        <v>37</v>
      </c>
      <c r="AF337" s="7">
        <f>'Database MK'!DK338-'Database MK'!DO338</f>
        <v>19</v>
      </c>
      <c r="AG337" s="7">
        <f>'Database MK'!DU338-'Database MK'!DW338</f>
        <v>9</v>
      </c>
      <c r="AH337" s="7">
        <f>IF('Database MK'!EB338="","Belum",'Database MK'!DU338-'Database MK'!EB338)</f>
        <v>-39</v>
      </c>
      <c r="AI337" s="7">
        <f>IF('Database MK'!EN338="","Belum",'Database MK'!EL338-'Database MK'!EN338)</f>
        <v>34</v>
      </c>
      <c r="AJ337" s="7">
        <f>'Database MK'!FY338-'Database MK'!FZ338</f>
        <v>0</v>
      </c>
      <c r="AK337" s="7">
        <f>IF('Database MK'!GC338="","Belum",'Database MK'!GB338-'Database MK'!GC338)</f>
        <v>15</v>
      </c>
      <c r="AL337" s="7">
        <f>IF('Database MK'!GF338="","Belum",'Database MK'!GE338-'Database MK'!GF338)</f>
        <v>22</v>
      </c>
      <c r="AM337" s="309">
        <f>IF('Database MK'!GJ338="","Belum",'Database MK'!GI338-'Database MK'!GJ338)</f>
        <v>32</v>
      </c>
      <c r="AN337" s="7">
        <f>IF('Database MK'!HG338="","Belum",'Database MK'!HF338-'Database MK'!HG338)</f>
        <v>-30</v>
      </c>
      <c r="AO337" s="7">
        <f>IF('Database MK'!HP338="","Belum",'Database MK'!HN338-'Database MK'!HP338)</f>
        <v>-27</v>
      </c>
      <c r="AP337" s="7">
        <f>IF('Database MK'!HV338="","Belum",'Database MK'!HT338-'Database MK'!HV338)</f>
        <v>-26</v>
      </c>
    </row>
    <row r="338" spans="2:42" hidden="1" x14ac:dyDescent="0.2">
      <c r="B338" s="7">
        <f>SUBTOTAL(3,$C$4:C338)</f>
        <v>74</v>
      </c>
      <c r="C338" s="299" t="s">
        <v>673</v>
      </c>
      <c r="D338" s="4" t="s">
        <v>2688</v>
      </c>
      <c r="E338" s="4" t="s">
        <v>2689</v>
      </c>
      <c r="F338" s="300">
        <v>46113</v>
      </c>
      <c r="G338" s="4" t="s">
        <v>681</v>
      </c>
      <c r="H338" s="4" t="str">
        <f ca="1">'Database MK'!Q339</f>
        <v>DPPP</v>
      </c>
      <c r="I338" s="24">
        <f>'Database MK'!S339</f>
        <v>1</v>
      </c>
      <c r="J338" s="24">
        <f>'Database MK'!T339</f>
        <v>1</v>
      </c>
      <c r="K338" s="603">
        <f>'Database MK'!U339</f>
        <v>0</v>
      </c>
      <c r="L338" s="593">
        <f>'Database MK'!V339</f>
        <v>546</v>
      </c>
      <c r="M338" s="593">
        <f>'Database MK'!W339</f>
        <v>527</v>
      </c>
      <c r="N338" s="593">
        <f>Table3[[#This Row],[Total Panjang Pipa Aktual]]-Table3[[#This Row],[Volume
BA MC-0]]</f>
        <v>-19</v>
      </c>
      <c r="O338" s="7" t="str">
        <f ca="1">'Database MK'!DE339</f>
        <v>Sudah, OnSchedule</v>
      </c>
      <c r="P338" s="7" t="str">
        <f ca="1">'Database MK'!DI339</f>
        <v>Sudah, OnSchedule</v>
      </c>
      <c r="Q338" s="7" t="str">
        <f ca="1">'Database MK'!DN339</f>
        <v>Sudah, OnSchedule</v>
      </c>
      <c r="R338" s="7" t="str">
        <f ca="1">'Database MK'!DR339</f>
        <v>Sudah, OnSchedule</v>
      </c>
      <c r="S338" s="7" t="str">
        <f ca="1">'Database MK'!EA339</f>
        <v>Sudah, OnSchedule</v>
      </c>
      <c r="T338" s="7" t="str">
        <f ca="1">'Database MK'!EI339</f>
        <v>Sudah, OnSchedule</v>
      </c>
      <c r="U338" s="7" t="str">
        <f ca="1">'Database MK'!ET339</f>
        <v>Sudah, Delay</v>
      </c>
      <c r="V338" s="7" t="str">
        <f ca="1">'Database MK'!GA339</f>
        <v>Belum, Delay</v>
      </c>
      <c r="W338" s="7" t="str">
        <f ca="1">'Database MK'!GD339</f>
        <v>Sudah, OnSchedule</v>
      </c>
      <c r="X338" s="7" t="str">
        <f ca="1">'Database MK'!GG339</f>
        <v>Sudah, OnSchedule</v>
      </c>
      <c r="Y338" s="7" t="str">
        <f ca="1">'Database MK'!GK339</f>
        <v>Sudah, OnSchedule</v>
      </c>
      <c r="Z338" s="7" t="str">
        <f ca="1">'Database MK'!HH339</f>
        <v>Sudah, Delay</v>
      </c>
      <c r="AA338" s="7" t="str">
        <f ca="1">'Database MK'!HQ339</f>
        <v>Sudah, Delay</v>
      </c>
      <c r="AB338" s="7" t="str">
        <f ca="1">'Database MK'!HW339</f>
        <v>Sudah, Delay</v>
      </c>
      <c r="AC338" s="7">
        <f>'Database MK'!DA339-'Database MK'!DB339</f>
        <v>27</v>
      </c>
      <c r="AD338" s="7">
        <f>'Database MK'!DA339-'Database MK'!DF339</f>
        <v>13</v>
      </c>
      <c r="AE338" s="7">
        <f>'Database MK'!DK339-'Database MK'!DL339</f>
        <v>61</v>
      </c>
      <c r="AF338" s="7">
        <f>'Database MK'!DK339-'Database MK'!DO339</f>
        <v>47</v>
      </c>
      <c r="AG338" s="7">
        <f>'Database MK'!DU339-'Database MK'!DW339</f>
        <v>40</v>
      </c>
      <c r="AH338" s="7">
        <f>IF('Database MK'!EB339="","Belum",'Database MK'!DU339-'Database MK'!EB339)</f>
        <v>3</v>
      </c>
      <c r="AI338" s="7">
        <f>IF('Database MK'!EN339="","Belum",'Database MK'!EL339-'Database MK'!EN339)</f>
        <v>-65</v>
      </c>
      <c r="AJ338" s="7">
        <f>'Database MK'!FY339-'Database MK'!FZ339</f>
        <v>0</v>
      </c>
      <c r="AK338" s="7">
        <f>IF('Database MK'!GC339="","Belum",'Database MK'!GB339-'Database MK'!GC339)</f>
        <v>32</v>
      </c>
      <c r="AL338" s="7">
        <f>IF('Database MK'!GF339="","Belum",'Database MK'!GE339-'Database MK'!GF339)</f>
        <v>39</v>
      </c>
      <c r="AM338" s="309">
        <f>IF('Database MK'!GJ339="","Belum",'Database MK'!GI339-'Database MK'!GJ339)</f>
        <v>48</v>
      </c>
      <c r="AN338" s="7">
        <f>IF('Database MK'!HG339="","Belum",'Database MK'!HF339-'Database MK'!HG339)</f>
        <v>-26</v>
      </c>
      <c r="AO338" s="7">
        <f>IF('Database MK'!HP339="","Belum",'Database MK'!HN339-'Database MK'!HP339)</f>
        <v>-27</v>
      </c>
      <c r="AP338" s="7">
        <f>IF('Database MK'!HV339="","Belum",'Database MK'!HT339-'Database MK'!HV339)</f>
        <v>-26</v>
      </c>
    </row>
    <row r="339" spans="2:42" hidden="1" x14ac:dyDescent="0.2">
      <c r="B339" s="7">
        <f>SUBTOTAL(3,$C$4:C339)</f>
        <v>74</v>
      </c>
      <c r="C339" s="299" t="s">
        <v>673</v>
      </c>
      <c r="D339" s="4" t="s">
        <v>2697</v>
      </c>
      <c r="E339" s="4" t="s">
        <v>2698</v>
      </c>
      <c r="F339" s="300">
        <v>46113</v>
      </c>
      <c r="G339" s="4" t="s">
        <v>681</v>
      </c>
      <c r="H339" s="4" t="str">
        <f ca="1">'Database MK'!Q340</f>
        <v>Proses Konstruksi</v>
      </c>
      <c r="I339" s="24">
        <f>'Database MK'!S340</f>
        <v>1</v>
      </c>
      <c r="J339" s="24">
        <f>'Database MK'!T340</f>
        <v>0.27070733631921118</v>
      </c>
      <c r="K339" s="603">
        <f>'Database MK'!U340</f>
        <v>-0.72929266368078882</v>
      </c>
      <c r="L339" s="593">
        <f>'Database MK'!V340</f>
        <v>100</v>
      </c>
      <c r="M339" s="593">
        <f>'Database MK'!W340</f>
        <v>1</v>
      </c>
      <c r="N339" s="593">
        <f>Table3[[#This Row],[Total Panjang Pipa Aktual]]-Table3[[#This Row],[Volume
BA MC-0]]</f>
        <v>-99</v>
      </c>
      <c r="O339" s="7" t="str">
        <f ca="1">'Database MK'!DE340</f>
        <v>Sudah, OnSchedule</v>
      </c>
      <c r="P339" s="7" t="str">
        <f ca="1">'Database MK'!DI340</f>
        <v>Sudah, OnSchedule</v>
      </c>
      <c r="Q339" s="7" t="str">
        <f ca="1">'Database MK'!DN340</f>
        <v>Sudah, OnSchedule</v>
      </c>
      <c r="R339" s="7" t="str">
        <f ca="1">'Database MK'!DR340</f>
        <v>Sudah, OnSchedule</v>
      </c>
      <c r="S339" s="7" t="str">
        <f ca="1">'Database MK'!EA340</f>
        <v>Sudah, OnSchedule</v>
      </c>
      <c r="T339" s="7" t="str">
        <f ca="1">'Database MK'!EI340</f>
        <v>Sudah, Delay</v>
      </c>
      <c r="U339" s="7" t="str">
        <f ca="1">'Database MK'!ET340</f>
        <v>Sudah, Delay</v>
      </c>
      <c r="V339" s="7" t="str">
        <f ca="1">'Database MK'!GA340</f>
        <v>Belum, Delay</v>
      </c>
      <c r="W339" s="7" t="str">
        <f ca="1">'Database MK'!GD340</f>
        <v>Sudah, OnSchedule</v>
      </c>
      <c r="X339" s="7" t="str">
        <f ca="1">'Database MK'!GG340</f>
        <v>Sudah, OnSchedule</v>
      </c>
      <c r="Y339" s="7" t="str">
        <f ca="1">'Database MK'!GK340</f>
        <v>Sudah, OnSchedule</v>
      </c>
      <c r="Z339" s="7" t="str">
        <f ca="1">'Database MK'!HH340</f>
        <v>Belum, Delay</v>
      </c>
      <c r="AA339" s="7" t="str">
        <f ca="1">'Database MK'!HQ340</f>
        <v>Belum, Delay</v>
      </c>
      <c r="AB339" s="7" t="str">
        <f ca="1">'Database MK'!HW340</f>
        <v>Belum, Delay</v>
      </c>
      <c r="AC339" s="7">
        <f>'Database MK'!DA340-'Database MK'!DB340</f>
        <v>27</v>
      </c>
      <c r="AD339" s="7">
        <f>'Database MK'!DA340-'Database MK'!DF340</f>
        <v>13</v>
      </c>
      <c r="AE339" s="7">
        <f>'Database MK'!DK340-'Database MK'!DL340</f>
        <v>55</v>
      </c>
      <c r="AF339" s="7">
        <f>'Database MK'!DK340-'Database MK'!DO340</f>
        <v>23</v>
      </c>
      <c r="AG339" s="7">
        <f>'Database MK'!DU340-'Database MK'!DW340</f>
        <v>34</v>
      </c>
      <c r="AH339" s="7">
        <f>IF('Database MK'!EB340="","Belum",'Database MK'!DU340-'Database MK'!EB340)</f>
        <v>-36</v>
      </c>
      <c r="AI339" s="7">
        <f>IF('Database MK'!EN340="","Belum",'Database MK'!EL340-'Database MK'!EN340)</f>
        <v>-96</v>
      </c>
      <c r="AJ339" s="7">
        <f>'Database MK'!FY340-'Database MK'!FZ340</f>
        <v>0</v>
      </c>
      <c r="AK339" s="7">
        <f>IF('Database MK'!GC340="","Belum",'Database MK'!GB340-'Database MK'!GC340)</f>
        <v>29</v>
      </c>
      <c r="AL339" s="7">
        <f>IF('Database MK'!GF340="","Belum",'Database MK'!GE340-'Database MK'!GF340)</f>
        <v>36</v>
      </c>
      <c r="AM339" s="309">
        <f>IF('Database MK'!GJ340="","Belum",'Database MK'!GI340-'Database MK'!GJ340)</f>
        <v>44</v>
      </c>
      <c r="AN339" s="7" t="str">
        <f>IF('Database MK'!HG340="","Belum",'Database MK'!HF340-'Database MK'!HG340)</f>
        <v>Belum</v>
      </c>
      <c r="AO339" s="7" t="str">
        <f>IF('Database MK'!HP340="","Belum",'Database MK'!HN340-'Database MK'!HP340)</f>
        <v>Belum</v>
      </c>
      <c r="AP339" s="7" t="str">
        <f>IF('Database MK'!HV340="","Belum",'Database MK'!HT340-'Database MK'!HV340)</f>
        <v>Belum</v>
      </c>
    </row>
    <row r="340" spans="2:42" hidden="1" x14ac:dyDescent="0.2">
      <c r="B340" s="7">
        <f>SUBTOTAL(3,$C$4:C340)</f>
        <v>74</v>
      </c>
      <c r="C340" s="299" t="s">
        <v>673</v>
      </c>
      <c r="D340" s="4" t="s">
        <v>2705</v>
      </c>
      <c r="E340" s="4" t="s">
        <v>2706</v>
      </c>
      <c r="F340" s="300">
        <v>46113</v>
      </c>
      <c r="G340" s="4" t="s">
        <v>681</v>
      </c>
      <c r="H340" s="4" t="str">
        <f ca="1">'Database MK'!Q341</f>
        <v>DPPP</v>
      </c>
      <c r="I340" s="24">
        <f>'Database MK'!S341</f>
        <v>1</v>
      </c>
      <c r="J340" s="24">
        <f>'Database MK'!T341</f>
        <v>1</v>
      </c>
      <c r="K340" s="603">
        <f>'Database MK'!U341</f>
        <v>0</v>
      </c>
      <c r="L340" s="593">
        <f>'Database MK'!V341</f>
        <v>981</v>
      </c>
      <c r="M340" s="593">
        <f>'Database MK'!W341</f>
        <v>856</v>
      </c>
      <c r="N340" s="593">
        <f>Table3[[#This Row],[Total Panjang Pipa Aktual]]-Table3[[#This Row],[Volume
BA MC-0]]</f>
        <v>-125</v>
      </c>
      <c r="O340" s="7" t="str">
        <f ca="1">'Database MK'!DE341</f>
        <v>Sudah, OnSchedule</v>
      </c>
      <c r="P340" s="7" t="str">
        <f ca="1">'Database MK'!DI341</f>
        <v>Sudah, OnSchedule</v>
      </c>
      <c r="Q340" s="7" t="str">
        <f ca="1">'Database MK'!DN341</f>
        <v>Sudah, OnSchedule</v>
      </c>
      <c r="R340" s="7" t="str">
        <f ca="1">'Database MK'!DR341</f>
        <v>Sudah, OnSchedule</v>
      </c>
      <c r="S340" s="7" t="str">
        <f ca="1">'Database MK'!EA341</f>
        <v>Sudah, OnSchedule</v>
      </c>
      <c r="T340" s="7" t="str">
        <f ca="1">'Database MK'!EI341</f>
        <v>Sudah, Delay</v>
      </c>
      <c r="U340" s="7" t="str">
        <f ca="1">'Database MK'!ET341</f>
        <v>Sudah, Delay</v>
      </c>
      <c r="V340" s="7" t="str">
        <f ca="1">'Database MK'!GA341</f>
        <v>Belum, Delay</v>
      </c>
      <c r="W340" s="7" t="str">
        <f ca="1">'Database MK'!GD341</f>
        <v>Sudah, OnSchedule</v>
      </c>
      <c r="X340" s="7" t="str">
        <f ca="1">'Database MK'!GG341</f>
        <v>Sudah, OnSchedule</v>
      </c>
      <c r="Y340" s="7" t="str">
        <f ca="1">'Database MK'!GK341</f>
        <v>Sudah, OnSchedule</v>
      </c>
      <c r="Z340" s="7" t="str">
        <f ca="1">'Database MK'!HH341</f>
        <v>Sudah, Delay</v>
      </c>
      <c r="AA340" s="7" t="str">
        <f ca="1">'Database MK'!HQ341</f>
        <v>Sudah, Delay</v>
      </c>
      <c r="AB340" s="7" t="str">
        <f ca="1">'Database MK'!HW341</f>
        <v>Sudah, Delay</v>
      </c>
      <c r="AC340" s="7">
        <f>'Database MK'!DA341-'Database MK'!DB341</f>
        <v>42</v>
      </c>
      <c r="AD340" s="7">
        <f>'Database MK'!DA341-'Database MK'!DF341</f>
        <v>13</v>
      </c>
      <c r="AE340" s="7">
        <f>'Database MK'!DK341-'Database MK'!DL341</f>
        <v>72</v>
      </c>
      <c r="AF340" s="7">
        <f>'Database MK'!DK341-'Database MK'!DO341</f>
        <v>65</v>
      </c>
      <c r="AG340" s="7">
        <f>'Database MK'!DU341-'Database MK'!DW341</f>
        <v>51</v>
      </c>
      <c r="AH340" s="7">
        <f>IF('Database MK'!EB341="","Belum",'Database MK'!DU341-'Database MK'!EB341)</f>
        <v>-36</v>
      </c>
      <c r="AI340" s="7">
        <f>IF('Database MK'!EN341="","Belum",'Database MK'!EL341-'Database MK'!EN341)</f>
        <v>-130</v>
      </c>
      <c r="AJ340" s="7">
        <f>'Database MK'!FY341-'Database MK'!FZ341</f>
        <v>0</v>
      </c>
      <c r="AK340" s="7">
        <f>IF('Database MK'!GC341="","Belum",'Database MK'!GB341-'Database MK'!GC341)</f>
        <v>43</v>
      </c>
      <c r="AL340" s="7">
        <f>IF('Database MK'!GF341="","Belum",'Database MK'!GE341-'Database MK'!GF341)</f>
        <v>50</v>
      </c>
      <c r="AM340" s="309">
        <f>IF('Database MK'!GJ341="","Belum",'Database MK'!GI341-'Database MK'!GJ341)</f>
        <v>60</v>
      </c>
      <c r="AN340" s="7">
        <f>IF('Database MK'!HG341="","Belum",'Database MK'!HF341-'Database MK'!HG341)</f>
        <v>-37</v>
      </c>
      <c r="AO340" s="7">
        <f>IF('Database MK'!HP341="","Belum",'Database MK'!HN341-'Database MK'!HP341)</f>
        <v>-27</v>
      </c>
      <c r="AP340" s="7">
        <f>IF('Database MK'!HV341="","Belum",'Database MK'!HT341-'Database MK'!HV341)</f>
        <v>-26</v>
      </c>
    </row>
    <row r="341" spans="2:42" hidden="1" x14ac:dyDescent="0.2">
      <c r="B341" s="7">
        <f>SUBTOTAL(3,$C$4:C341)</f>
        <v>74</v>
      </c>
      <c r="C341" s="299" t="s">
        <v>673</v>
      </c>
      <c r="D341" s="4" t="s">
        <v>2714</v>
      </c>
      <c r="E341" s="4" t="s">
        <v>2715</v>
      </c>
      <c r="F341" s="300">
        <v>46113</v>
      </c>
      <c r="G341" s="4" t="s">
        <v>681</v>
      </c>
      <c r="H341" s="4" t="str">
        <f ca="1">'Database MK'!Q342</f>
        <v>DPPP</v>
      </c>
      <c r="I341" s="24">
        <f>'Database MK'!S342</f>
        <v>1</v>
      </c>
      <c r="J341" s="24">
        <f>'Database MK'!T342</f>
        <v>1</v>
      </c>
      <c r="K341" s="603">
        <f>'Database MK'!U342</f>
        <v>0</v>
      </c>
      <c r="L341" s="593">
        <f>'Database MK'!V342</f>
        <v>310</v>
      </c>
      <c r="M341" s="593">
        <f>'Database MK'!W342</f>
        <v>310</v>
      </c>
      <c r="N341" s="593">
        <f>Table3[[#This Row],[Total Panjang Pipa Aktual]]-Table3[[#This Row],[Volume
BA MC-0]]</f>
        <v>0</v>
      </c>
      <c r="O341" s="7" t="str">
        <f ca="1">'Database MK'!DE342</f>
        <v>Sudah, OnSchedule</v>
      </c>
      <c r="P341" s="7" t="str">
        <f ca="1">'Database MK'!DI342</f>
        <v>Sudah, OnSchedule</v>
      </c>
      <c r="Q341" s="7" t="str">
        <f ca="1">'Database MK'!DN342</f>
        <v>Sudah, OnSchedule</v>
      </c>
      <c r="R341" s="7" t="str">
        <f ca="1">'Database MK'!DR342</f>
        <v>Sudah, OnSchedule</v>
      </c>
      <c r="S341" s="7" t="str">
        <f ca="1">'Database MK'!EA342</f>
        <v>Sudah, OnSchedule</v>
      </c>
      <c r="T341" s="7" t="str">
        <f ca="1">'Database MK'!EI342</f>
        <v>Sudah, Delay</v>
      </c>
      <c r="U341" s="7" t="str">
        <f ca="1">'Database MK'!ET342</f>
        <v>Sudah, Delay</v>
      </c>
      <c r="V341" s="7" t="str">
        <f ca="1">'Database MK'!GA342</f>
        <v>Belum, Delay</v>
      </c>
      <c r="W341" s="7" t="str">
        <f ca="1">'Database MK'!GD342</f>
        <v>Sudah, OnSchedule</v>
      </c>
      <c r="X341" s="7" t="str">
        <f ca="1">'Database MK'!GG342</f>
        <v>Sudah, OnSchedule</v>
      </c>
      <c r="Y341" s="7" t="str">
        <f ca="1">'Database MK'!GK342</f>
        <v>Sudah, OnSchedule</v>
      </c>
      <c r="Z341" s="7" t="str">
        <f ca="1">'Database MK'!HH342</f>
        <v>Sudah, OnSchedule</v>
      </c>
      <c r="AA341" s="7" t="str">
        <f ca="1">'Database MK'!HQ342</f>
        <v>Sudah, Delay</v>
      </c>
      <c r="AB341" s="7" t="str">
        <f ca="1">'Database MK'!HW342</f>
        <v>Sudah, Delay</v>
      </c>
      <c r="AC341" s="7">
        <f>'Database MK'!DA342-'Database MK'!DB342</f>
        <v>42</v>
      </c>
      <c r="AD341" s="7">
        <f>'Database MK'!DA342-'Database MK'!DF342</f>
        <v>13</v>
      </c>
      <c r="AE341" s="7">
        <f>'Database MK'!DK342-'Database MK'!DL342</f>
        <v>73</v>
      </c>
      <c r="AF341" s="7">
        <f>'Database MK'!DK342-'Database MK'!DO342</f>
        <v>65</v>
      </c>
      <c r="AG341" s="7">
        <f>'Database MK'!DU342-'Database MK'!DW342</f>
        <v>52</v>
      </c>
      <c r="AH341" s="7">
        <f>IF('Database MK'!EB342="","Belum",'Database MK'!DU342-'Database MK'!EB342)</f>
        <v>-38</v>
      </c>
      <c r="AI341" s="7">
        <f>IF('Database MK'!EN342="","Belum",'Database MK'!EL342-'Database MK'!EN342)</f>
        <v>-65</v>
      </c>
      <c r="AJ341" s="7">
        <f>'Database MK'!FY342-'Database MK'!FZ342</f>
        <v>0</v>
      </c>
      <c r="AK341" s="7">
        <f>IF('Database MK'!GC342="","Belum",'Database MK'!GB342-'Database MK'!GC342)</f>
        <v>42</v>
      </c>
      <c r="AL341" s="7">
        <f>IF('Database MK'!GF342="","Belum",'Database MK'!GE342-'Database MK'!GF342)</f>
        <v>49</v>
      </c>
      <c r="AM341" s="309">
        <f>IF('Database MK'!GJ342="","Belum",'Database MK'!GI342-'Database MK'!GJ342)</f>
        <v>48</v>
      </c>
      <c r="AN341" s="7">
        <f>IF('Database MK'!HG342="","Belum",'Database MK'!HF342-'Database MK'!HG342)</f>
        <v>23</v>
      </c>
      <c r="AO341" s="7">
        <f>IF('Database MK'!HP342="","Belum",'Database MK'!HN342-'Database MK'!HP342)</f>
        <v>-6</v>
      </c>
      <c r="AP341" s="7">
        <f>IF('Database MK'!HV342="","Belum",'Database MK'!HT342-'Database MK'!HV342)</f>
        <v>-14</v>
      </c>
    </row>
    <row r="342" spans="2:42" hidden="1" x14ac:dyDescent="0.2">
      <c r="B342" s="7">
        <f>SUBTOTAL(3,$C$4:C342)</f>
        <v>74</v>
      </c>
      <c r="C342" s="299" t="s">
        <v>673</v>
      </c>
      <c r="D342" s="4" t="s">
        <v>2722</v>
      </c>
      <c r="E342" s="4" t="s">
        <v>2723</v>
      </c>
      <c r="F342" s="300">
        <v>46113</v>
      </c>
      <c r="G342" s="4" t="s">
        <v>681</v>
      </c>
      <c r="H342" s="4" t="str">
        <f ca="1">'Database MK'!Q343</f>
        <v>DPPP</v>
      </c>
      <c r="I342" s="24">
        <f>'Database MK'!S343</f>
        <v>1</v>
      </c>
      <c r="J342" s="24">
        <f>'Database MK'!T343</f>
        <v>1</v>
      </c>
      <c r="K342" s="603">
        <f>'Database MK'!U343</f>
        <v>0</v>
      </c>
      <c r="L342" s="593">
        <f>'Database MK'!V343</f>
        <v>39</v>
      </c>
      <c r="M342" s="593">
        <f>'Database MK'!W343</f>
        <v>39</v>
      </c>
      <c r="N342" s="593">
        <f>Table3[[#This Row],[Total Panjang Pipa Aktual]]-Table3[[#This Row],[Volume
BA MC-0]]</f>
        <v>0</v>
      </c>
      <c r="O342" s="7" t="str">
        <f ca="1">'Database MK'!DE343</f>
        <v>Sudah, OnSchedule</v>
      </c>
      <c r="P342" s="7" t="str">
        <f ca="1">'Database MK'!DI343</f>
        <v>Sudah, OnSchedule</v>
      </c>
      <c r="Q342" s="7" t="str">
        <f ca="1">'Database MK'!DN343</f>
        <v>Sudah, OnSchedule</v>
      </c>
      <c r="R342" s="7" t="str">
        <f ca="1">'Database MK'!DR343</f>
        <v>Sudah, OnSchedule</v>
      </c>
      <c r="S342" s="7" t="str">
        <f ca="1">'Database MK'!EA343</f>
        <v>Sudah, OnSchedule</v>
      </c>
      <c r="T342" s="7" t="str">
        <f ca="1">'Database MK'!EI343</f>
        <v>Sudah, Delay</v>
      </c>
      <c r="U342" s="7" t="str">
        <f ca="1">'Database MK'!ET343</f>
        <v>Sudah, Delay</v>
      </c>
      <c r="V342" s="7" t="str">
        <f ca="1">'Database MK'!GA343</f>
        <v>Belum, Delay</v>
      </c>
      <c r="W342" s="7" t="str">
        <f ca="1">'Database MK'!GD343</f>
        <v>Sudah, OnSchedule</v>
      </c>
      <c r="X342" s="7" t="str">
        <f ca="1">'Database MK'!GG343</f>
        <v>Sudah, OnSchedule</v>
      </c>
      <c r="Y342" s="7" t="str">
        <f ca="1">'Database MK'!GK343</f>
        <v>Sudah, OnSchedule</v>
      </c>
      <c r="Z342" s="7" t="str">
        <f ca="1">'Database MK'!HH343</f>
        <v>Sudah, OnSchedule</v>
      </c>
      <c r="AA342" s="7" t="str">
        <f ca="1">'Database MK'!HQ343</f>
        <v>Sudah, Delay</v>
      </c>
      <c r="AB342" s="7" t="str">
        <f ca="1">'Database MK'!HW343</f>
        <v>Sudah, Delay</v>
      </c>
      <c r="AC342" s="7">
        <f>'Database MK'!DA343-'Database MK'!DB343</f>
        <v>26</v>
      </c>
      <c r="AD342" s="7">
        <f>'Database MK'!DA343-'Database MK'!DF343</f>
        <v>13</v>
      </c>
      <c r="AE342" s="7">
        <f>'Database MK'!DK343-'Database MK'!DL343</f>
        <v>73</v>
      </c>
      <c r="AF342" s="7">
        <f>'Database MK'!DK343-'Database MK'!DO343</f>
        <v>65</v>
      </c>
      <c r="AG342" s="7">
        <f>'Database MK'!DU343-'Database MK'!DW343</f>
        <v>52</v>
      </c>
      <c r="AH342" s="7">
        <f>IF('Database MK'!EB343="","Belum",'Database MK'!DU343-'Database MK'!EB343)</f>
        <v>-38</v>
      </c>
      <c r="AI342" s="7">
        <f>IF('Database MK'!EN343="","Belum",'Database MK'!EL343-'Database MK'!EN343)</f>
        <v>-38</v>
      </c>
      <c r="AJ342" s="7">
        <f>'Database MK'!FY343-'Database MK'!FZ343</f>
        <v>0</v>
      </c>
      <c r="AK342" s="7">
        <f>IF('Database MK'!GC343="","Belum",'Database MK'!GB343-'Database MK'!GC343)</f>
        <v>42</v>
      </c>
      <c r="AL342" s="7">
        <f>IF('Database MK'!GF343="","Belum",'Database MK'!GE343-'Database MK'!GF343)</f>
        <v>49</v>
      </c>
      <c r="AM342" s="309">
        <f>IF('Database MK'!GJ343="","Belum",'Database MK'!GI343-'Database MK'!GJ343)</f>
        <v>48</v>
      </c>
      <c r="AN342" s="7">
        <f>IF('Database MK'!HG343="","Belum",'Database MK'!HF343-'Database MK'!HG343)</f>
        <v>23</v>
      </c>
      <c r="AO342" s="7">
        <f>IF('Database MK'!HP343="","Belum",'Database MK'!HN343-'Database MK'!HP343)</f>
        <v>-6</v>
      </c>
      <c r="AP342" s="7">
        <f>IF('Database MK'!HV343="","Belum",'Database MK'!HT343-'Database MK'!HV343)</f>
        <v>-14</v>
      </c>
    </row>
    <row r="343" spans="2:42" hidden="1" x14ac:dyDescent="0.2">
      <c r="B343" s="7">
        <f>SUBTOTAL(3,$C$4:C343)</f>
        <v>74</v>
      </c>
      <c r="C343" s="299" t="s">
        <v>673</v>
      </c>
      <c r="D343" s="4" t="s">
        <v>2731</v>
      </c>
      <c r="E343" s="4" t="s">
        <v>2732</v>
      </c>
      <c r="F343" s="300">
        <v>46113</v>
      </c>
      <c r="G343" s="4" t="s">
        <v>681</v>
      </c>
      <c r="H343" s="4" t="str">
        <f ca="1">'Database MK'!Q344</f>
        <v>DPPP</v>
      </c>
      <c r="I343" s="24">
        <f>'Database MK'!S344</f>
        <v>1</v>
      </c>
      <c r="J343" s="24">
        <f>'Database MK'!T344</f>
        <v>1</v>
      </c>
      <c r="K343" s="603">
        <f>'Database MK'!U344</f>
        <v>0</v>
      </c>
      <c r="L343" s="593">
        <f>'Database MK'!V344</f>
        <v>403</v>
      </c>
      <c r="M343" s="593">
        <f>'Database MK'!W344</f>
        <v>403</v>
      </c>
      <c r="N343" s="593">
        <f>Table3[[#This Row],[Total Panjang Pipa Aktual]]-Table3[[#This Row],[Volume
BA MC-0]]</f>
        <v>0</v>
      </c>
      <c r="O343" s="7" t="str">
        <f ca="1">'Database MK'!DE344</f>
        <v>Sudah, OnSchedule</v>
      </c>
      <c r="P343" s="7" t="str">
        <f ca="1">'Database MK'!DI344</f>
        <v>Sudah, OnSchedule</v>
      </c>
      <c r="Q343" s="7" t="str">
        <f ca="1">'Database MK'!DN344</f>
        <v>Sudah, OnSchedule</v>
      </c>
      <c r="R343" s="7" t="str">
        <f ca="1">'Database MK'!DR344</f>
        <v>Sudah, OnSchedule</v>
      </c>
      <c r="S343" s="7" t="str">
        <f ca="1">'Database MK'!EA344</f>
        <v>Sudah, OnSchedule</v>
      </c>
      <c r="T343" s="7" t="str">
        <f ca="1">'Database MK'!EI344</f>
        <v>Sudah, Delay</v>
      </c>
      <c r="U343" s="7" t="str">
        <f ca="1">'Database MK'!ET344</f>
        <v>Sudah, Delay</v>
      </c>
      <c r="V343" s="7" t="str">
        <f ca="1">'Database MK'!GA344</f>
        <v>Belum, Delay</v>
      </c>
      <c r="W343" s="7" t="str">
        <f ca="1">'Database MK'!GD344</f>
        <v>Sudah, OnSchedule</v>
      </c>
      <c r="X343" s="7" t="str">
        <f ca="1">'Database MK'!GG344</f>
        <v>Sudah, OnSchedule</v>
      </c>
      <c r="Y343" s="7" t="str">
        <f ca="1">'Database MK'!GK344</f>
        <v>Sudah, OnSchedule</v>
      </c>
      <c r="Z343" s="7" t="str">
        <f ca="1">'Database MK'!HH344</f>
        <v>Sudah, OnSchedule</v>
      </c>
      <c r="AA343" s="7" t="str">
        <f ca="1">'Database MK'!HQ344</f>
        <v>Sudah, OnSchedule</v>
      </c>
      <c r="AB343" s="7" t="str">
        <f ca="1">'Database MK'!HW344</f>
        <v>Sudah, OnSchedule</v>
      </c>
      <c r="AC343" s="7">
        <f>'Database MK'!DA344-'Database MK'!DB344</f>
        <v>40</v>
      </c>
      <c r="AD343" s="7">
        <f>'Database MK'!DA344-'Database MK'!DF344</f>
        <v>12</v>
      </c>
      <c r="AE343" s="7">
        <f>'Database MK'!DK344-'Database MK'!DL344</f>
        <v>102</v>
      </c>
      <c r="AF343" s="7">
        <f>'Database MK'!DK344-'Database MK'!DO344</f>
        <v>79</v>
      </c>
      <c r="AG343" s="7">
        <f>'Database MK'!DU344-'Database MK'!DW344</f>
        <v>80</v>
      </c>
      <c r="AH343" s="7">
        <f>IF('Database MK'!EB344="","Belum",'Database MK'!DU344-'Database MK'!EB344)</f>
        <v>-10</v>
      </c>
      <c r="AI343" s="7">
        <f>IF('Database MK'!EN344="","Belum",'Database MK'!EL344-'Database MK'!EN344)</f>
        <v>-13</v>
      </c>
      <c r="AJ343" s="7">
        <f>'Database MK'!FY344-'Database MK'!FZ344</f>
        <v>0</v>
      </c>
      <c r="AK343" s="7">
        <f>IF('Database MK'!GC344="","Belum",'Database MK'!GB344-'Database MK'!GC344)</f>
        <v>71</v>
      </c>
      <c r="AL343" s="7">
        <f>IF('Database MK'!GF344="","Belum",'Database MK'!GE344-'Database MK'!GF344)</f>
        <v>78</v>
      </c>
      <c r="AM343" s="309">
        <f>IF('Database MK'!GJ344="","Belum",'Database MK'!GI344-'Database MK'!GJ344)</f>
        <v>88</v>
      </c>
      <c r="AN343" s="7">
        <f>IF('Database MK'!HG344="","Belum",'Database MK'!HF344-'Database MK'!HG344)</f>
        <v>88</v>
      </c>
      <c r="AO343" s="7">
        <f>IF('Database MK'!HP344="","Belum",'Database MK'!HN344-'Database MK'!HP344)</f>
        <v>57</v>
      </c>
      <c r="AP343" s="7">
        <f>IF('Database MK'!HV344="","Belum",'Database MK'!HT344-'Database MK'!HV344)</f>
        <v>51</v>
      </c>
    </row>
    <row r="344" spans="2:42" hidden="1" x14ac:dyDescent="0.2">
      <c r="B344" s="7">
        <f>SUBTOTAL(3,$C$4:C344)</f>
        <v>74</v>
      </c>
      <c r="C344" s="299" t="s">
        <v>244</v>
      </c>
      <c r="D344" s="299" t="s">
        <v>2740</v>
      </c>
      <c r="E344" s="4" t="s">
        <v>2741</v>
      </c>
      <c r="F344" s="300">
        <v>46296</v>
      </c>
      <c r="G344" s="4" t="s">
        <v>247</v>
      </c>
      <c r="H344" s="4" t="str">
        <f ca="1">'Database MK'!Q345</f>
        <v>MC-0</v>
      </c>
      <c r="I344" s="24">
        <f>'Database MK'!S345</f>
        <v>0.34090135713107678</v>
      </c>
      <c r="J344" s="24">
        <f>'Database MK'!T345</f>
        <v>6.1813827374598902E-2</v>
      </c>
      <c r="K344" s="603">
        <f>'Database MK'!U345</f>
        <v>-0.27908752975647788</v>
      </c>
      <c r="L344" s="593">
        <f>'Database MK'!V345</f>
        <v>0</v>
      </c>
      <c r="M344" s="593">
        <f>'Database MK'!W345</f>
        <v>0</v>
      </c>
      <c r="N344" s="593">
        <f>Table3[[#This Row],[Total Panjang Pipa Aktual]]-Table3[[#This Row],[Volume
BA MC-0]]</f>
        <v>0</v>
      </c>
      <c r="O344" s="7" t="str">
        <f ca="1">'Database MK'!DE345</f>
        <v>Sudah, OnSchedule</v>
      </c>
      <c r="P344" s="7" t="str">
        <f ca="1">'Database MK'!DI345</f>
        <v>Sudah, OnSchedule</v>
      </c>
      <c r="Q344" s="7" t="str">
        <f ca="1">'Database MK'!DN345</f>
        <v>Sudah, OnSchedule</v>
      </c>
      <c r="R344" s="7" t="str">
        <f ca="1">'Database MK'!DR345</f>
        <v>Sudah, OnSchedule</v>
      </c>
      <c r="S344" s="7" t="str">
        <f ca="1">'Database MK'!EA345</f>
        <v>Sudah, OnSchedule</v>
      </c>
      <c r="T344" s="7" t="str">
        <f ca="1">'Database MK'!EI345</f>
        <v>Belum, Delay</v>
      </c>
      <c r="U344" s="7" t="str">
        <f ca="1">'Database MK'!ET345</f>
        <v>Belum, OnSchedule</v>
      </c>
      <c r="V344" s="7" t="str">
        <f ca="1">'Database MK'!GA345</f>
        <v>Sudah, OnSchedule</v>
      </c>
      <c r="W344" s="7" t="str">
        <f ca="1">'Database MK'!GD345</f>
        <v>Sudah, OnSchedule</v>
      </c>
      <c r="X344" s="7" t="str">
        <f ca="1">'Database MK'!GG345</f>
        <v>Sudah, OnSchedule</v>
      </c>
      <c r="Y344" s="7" t="str">
        <f ca="1">'Database MK'!GK345</f>
        <v>Sudah, OnSchedule</v>
      </c>
      <c r="Z344" s="7" t="str">
        <f ca="1">'Database MK'!HH345</f>
        <v>Belum, OnSchedule</v>
      </c>
      <c r="AA344" s="7" t="str">
        <f ca="1">'Database MK'!HQ345</f>
        <v>Belum, OnSchedule</v>
      </c>
      <c r="AB344" s="7" t="str">
        <f ca="1">'Database MK'!HW345</f>
        <v>Belum, OnSchedule</v>
      </c>
      <c r="AC344" s="7">
        <f>'Database MK'!DA345-'Database MK'!DB345</f>
        <v>723</v>
      </c>
      <c r="AD344" s="7">
        <f>'Database MK'!DA345-'Database MK'!DF345</f>
        <v>713</v>
      </c>
      <c r="AE344" s="7">
        <f>'Database MK'!DK345-'Database MK'!DL345</f>
        <v>804</v>
      </c>
      <c r="AF344" s="7">
        <f>'Database MK'!DK345-'Database MK'!DO345</f>
        <v>60</v>
      </c>
      <c r="AG344" s="7">
        <f>'Database MK'!DU345-'Database MK'!DW345</f>
        <v>723</v>
      </c>
      <c r="AH344" s="7" t="str">
        <f>IF('Database MK'!EB345="","Belum",'Database MK'!DU345-'Database MK'!EB345)</f>
        <v>Belum</v>
      </c>
      <c r="AI344" s="7" t="str">
        <f>IF('Database MK'!EN345="","Belum",'Database MK'!EL345-'Database MK'!EN345)</f>
        <v>Belum</v>
      </c>
      <c r="AJ344" s="7">
        <f>'Database MK'!FY345-'Database MK'!FZ345</f>
        <v>48</v>
      </c>
      <c r="AK344" s="7">
        <f>IF('Database MK'!GC345="","Belum",'Database MK'!GB345-'Database MK'!GC345)</f>
        <v>61</v>
      </c>
      <c r="AL344" s="7">
        <f>IF('Database MK'!GF345="","Belum",'Database MK'!GE345-'Database MK'!GF345)</f>
        <v>68</v>
      </c>
      <c r="AM344" s="309">
        <f>IF('Database MK'!GJ345="","Belum",'Database MK'!GI345-'Database MK'!GJ345)</f>
        <v>72</v>
      </c>
      <c r="AN344" s="7" t="str">
        <f>IF('Database MK'!HG345="","Belum",'Database MK'!HF345-'Database MK'!HG345)</f>
        <v>Belum</v>
      </c>
      <c r="AO344" s="7" t="str">
        <f>IF('Database MK'!HP345="","Belum",'Database MK'!HN345-'Database MK'!HP345)</f>
        <v>Belum</v>
      </c>
      <c r="AP344" s="7" t="str">
        <f>IF('Database MK'!HV345="","Belum",'Database MK'!HT345-'Database MK'!HV345)</f>
        <v>Belum</v>
      </c>
    </row>
    <row r="345" spans="2:42" hidden="1" x14ac:dyDescent="0.2">
      <c r="B345" s="7">
        <f>SUBTOTAL(3,$C$4:C345)</f>
        <v>74</v>
      </c>
      <c r="C345" s="299" t="s">
        <v>244</v>
      </c>
      <c r="D345" s="299" t="s">
        <v>2749</v>
      </c>
      <c r="E345" s="4" t="s">
        <v>2750</v>
      </c>
      <c r="F345" s="300">
        <v>46296</v>
      </c>
      <c r="G345" s="4" t="s">
        <v>247</v>
      </c>
      <c r="H345" s="4" t="str">
        <f ca="1">'Database MK'!Q346</f>
        <v>PCM</v>
      </c>
      <c r="I345" s="24">
        <f>'Database MK'!S346</f>
        <v>0.14660377358429316</v>
      </c>
      <c r="J345" s="24">
        <f>'Database MK'!T346</f>
        <v>0</v>
      </c>
      <c r="K345" s="603">
        <f>'Database MK'!U346</f>
        <v>-0.14660377358429316</v>
      </c>
      <c r="L345" s="593">
        <f>'Database MK'!V346</f>
        <v>0</v>
      </c>
      <c r="M345" s="593">
        <f>'Database MK'!W346</f>
        <v>0</v>
      </c>
      <c r="N345" s="593">
        <f>Table3[[#This Row],[Total Panjang Pipa Aktual]]-Table3[[#This Row],[Volume
BA MC-0]]</f>
        <v>0</v>
      </c>
      <c r="O345" s="7" t="str">
        <f ca="1">'Database MK'!DE346</f>
        <v>Sudah, Delay</v>
      </c>
      <c r="P345" s="7" t="str">
        <f ca="1">'Database MK'!DI346</f>
        <v>Sudah, Delay</v>
      </c>
      <c r="Q345" s="7" t="str">
        <f ca="1">'Database MK'!DN346</f>
        <v>Sudah, OnSchedule</v>
      </c>
      <c r="R345" s="7" t="str">
        <f ca="1">'Database MK'!DR346</f>
        <v>Sudah, Delay</v>
      </c>
      <c r="S345" s="7" t="str">
        <f ca="1">'Database MK'!EA346</f>
        <v>Sudah, Delay</v>
      </c>
      <c r="T345" s="7" t="str">
        <f ca="1">'Database MK'!EI346</f>
        <v>Belum, Delay</v>
      </c>
      <c r="U345" s="7" t="str">
        <f ca="1">'Database MK'!ET346</f>
        <v>Belum, OnSchedule</v>
      </c>
      <c r="V345" s="7" t="str">
        <f ca="1">'Database MK'!GA346</f>
        <v>Sudah, OnSchedule</v>
      </c>
      <c r="W345" s="7" t="str">
        <f ca="1">'Database MK'!GD346</f>
        <v>Sudah, Delay</v>
      </c>
      <c r="X345" s="7" t="str">
        <f ca="1">'Database MK'!GG346</f>
        <v>Belum, Delay</v>
      </c>
      <c r="Y345" s="7" t="str">
        <f ca="1">'Database MK'!GK346</f>
        <v>Belum, Delay</v>
      </c>
      <c r="Z345" s="7" t="str">
        <f ca="1">'Database MK'!HH346</f>
        <v>Belum, OnSchedule</v>
      </c>
      <c r="AA345" s="7" t="str">
        <f ca="1">'Database MK'!HQ346</f>
        <v>Belum, OnSchedule</v>
      </c>
      <c r="AB345" s="7" t="str">
        <f ca="1">'Database MK'!HW346</f>
        <v>Belum, OnSchedule</v>
      </c>
      <c r="AC345" s="7">
        <f>'Database MK'!DA346-'Database MK'!DB346</f>
        <v>-1</v>
      </c>
      <c r="AD345" s="7">
        <f>'Database MK'!DA346-'Database MK'!DF346</f>
        <v>-36</v>
      </c>
      <c r="AE345" s="7">
        <f>'Database MK'!DK346-'Database MK'!DL346</f>
        <v>53</v>
      </c>
      <c r="AF345" s="7">
        <f>'Database MK'!DK346-'Database MK'!DO346</f>
        <v>-45</v>
      </c>
      <c r="AG345" s="7">
        <f>'Database MK'!DU346-'Database MK'!DW346</f>
        <v>-44</v>
      </c>
      <c r="AH345" s="7" t="str">
        <f>IF('Database MK'!EB346="","Belum",'Database MK'!DU346-'Database MK'!EB346)</f>
        <v>Belum</v>
      </c>
      <c r="AI345" s="7" t="str">
        <f>IF('Database MK'!EN346="","Belum",'Database MK'!EL346-'Database MK'!EN346)</f>
        <v>Belum</v>
      </c>
      <c r="AJ345" s="7">
        <f>'Database MK'!FY346-'Database MK'!FZ346</f>
        <v>0</v>
      </c>
      <c r="AK345" s="7">
        <f>IF('Database MK'!GC346="","Belum",'Database MK'!GB346-'Database MK'!GC346)</f>
        <v>-51</v>
      </c>
      <c r="AL345" s="7" t="str">
        <f>IF('Database MK'!GF346="","Belum",'Database MK'!GE346-'Database MK'!GF346)</f>
        <v>Belum</v>
      </c>
      <c r="AM345" s="309" t="str">
        <f>IF('Database MK'!GJ346="","Belum",'Database MK'!GI346-'Database MK'!GJ346)</f>
        <v>Belum</v>
      </c>
      <c r="AN345" s="7" t="str">
        <f>IF('Database MK'!HG346="","Belum",'Database MK'!HF346-'Database MK'!HG346)</f>
        <v>Belum</v>
      </c>
      <c r="AO345" s="7" t="str">
        <f>IF('Database MK'!HP346="","Belum",'Database MK'!HN346-'Database MK'!HP346)</f>
        <v>Belum</v>
      </c>
      <c r="AP345" s="7" t="str">
        <f>IF('Database MK'!HV346="","Belum",'Database MK'!HT346-'Database MK'!HV346)</f>
        <v>Belum</v>
      </c>
    </row>
    <row r="346" spans="2:42" hidden="1" x14ac:dyDescent="0.2">
      <c r="B346" s="7">
        <f>SUBTOTAL(3,$C$4:C346)</f>
        <v>74</v>
      </c>
      <c r="C346" s="299" t="s">
        <v>244</v>
      </c>
      <c r="D346" s="299" t="s">
        <v>2761</v>
      </c>
      <c r="E346" s="4" t="s">
        <v>2762</v>
      </c>
      <c r="F346" s="300">
        <v>46296</v>
      </c>
      <c r="G346" s="4" t="s">
        <v>247</v>
      </c>
      <c r="H346" s="4" t="str">
        <f ca="1">'Database MK'!Q347</f>
        <v>Proses MOS</v>
      </c>
      <c r="I346" s="24">
        <f>'Database MK'!S347</f>
        <v>0.32703535789143323</v>
      </c>
      <c r="J346" s="24">
        <f>'Database MK'!T347</f>
        <v>6.6148104219520859E-2</v>
      </c>
      <c r="K346" s="603">
        <f>'Database MK'!U347</f>
        <v>-0.26088725367191234</v>
      </c>
      <c r="L346" s="593">
        <f>'Database MK'!V347</f>
        <v>0</v>
      </c>
      <c r="M346" s="593">
        <f>'Database MK'!W347</f>
        <v>0</v>
      </c>
      <c r="N346" s="593">
        <f>Table3[[#This Row],[Total Panjang Pipa Aktual]]-Table3[[#This Row],[Volume
BA MC-0]]</f>
        <v>0</v>
      </c>
      <c r="O346" s="7" t="str">
        <f ca="1">'Database MK'!DE347</f>
        <v>Sudah, Delay</v>
      </c>
      <c r="P346" s="7" t="str">
        <f ca="1">'Database MK'!DI347</f>
        <v>Sudah, Delay</v>
      </c>
      <c r="Q346" s="7" t="str">
        <f ca="1">'Database MK'!DN347</f>
        <v>Sudah, Delay</v>
      </c>
      <c r="R346" s="7" t="str">
        <f ca="1">'Database MK'!DR347</f>
        <v>Sudah, Delay</v>
      </c>
      <c r="S346" s="7" t="str">
        <f ca="1">'Database MK'!EA347</f>
        <v>Sudah, Delay</v>
      </c>
      <c r="T346" s="7" t="str">
        <f ca="1">'Database MK'!EI347</f>
        <v>Belum, Delay</v>
      </c>
      <c r="U346" s="7" t="str">
        <f ca="1">'Database MK'!ET347</f>
        <v>Belum, OnSchedule</v>
      </c>
      <c r="V346" s="7" t="str">
        <f ca="1">'Database MK'!GA347</f>
        <v>Sudah, Delay</v>
      </c>
      <c r="W346" s="7" t="str">
        <f ca="1">'Database MK'!GD347</f>
        <v>Belum, Delay</v>
      </c>
      <c r="X346" s="7" t="str">
        <f ca="1">'Database MK'!GG347</f>
        <v>Belum, Delay</v>
      </c>
      <c r="Y346" s="7" t="str">
        <f ca="1">'Database MK'!GK347</f>
        <v>Belum, Delay</v>
      </c>
      <c r="Z346" s="7" t="str">
        <f ca="1">'Database MK'!HH347</f>
        <v>Belum, OnSchedule</v>
      </c>
      <c r="AA346" s="7" t="str">
        <f ca="1">'Database MK'!HQ347</f>
        <v>Belum, OnSchedule</v>
      </c>
      <c r="AB346" s="7" t="str">
        <f ca="1">'Database MK'!HW347</f>
        <v>Belum, OnSchedule</v>
      </c>
      <c r="AC346" s="7">
        <f>'Database MK'!DA347-'Database MK'!DB347</f>
        <v>-113</v>
      </c>
      <c r="AD346" s="7">
        <f>'Database MK'!DA347-'Database MK'!DF347</f>
        <v>-123</v>
      </c>
      <c r="AE346" s="7">
        <f>'Database MK'!DK347-'Database MK'!DL347</f>
        <v>-14</v>
      </c>
      <c r="AF346" s="7">
        <f>'Database MK'!DK347-'Database MK'!DO347</f>
        <v>-54</v>
      </c>
      <c r="AG346" s="7">
        <f>'Database MK'!DU347-'Database MK'!DW347</f>
        <v>-81</v>
      </c>
      <c r="AH346" s="7" t="str">
        <f>IF('Database MK'!EB347="","Belum",'Database MK'!DU347-'Database MK'!EB347)</f>
        <v>Belum</v>
      </c>
      <c r="AI346" s="7" t="str">
        <f>IF('Database MK'!EN347="","Belum",'Database MK'!EL347-'Database MK'!EN347)</f>
        <v>Belum</v>
      </c>
      <c r="AJ346" s="7" t="e">
        <f>'Database MK'!FY347-'Database MK'!FZ347</f>
        <v>#VALUE!</v>
      </c>
      <c r="AK346" s="7" t="str">
        <f>IF('Database MK'!GC347="","Belum",'Database MK'!GB347-'Database MK'!GC347)</f>
        <v>Belum</v>
      </c>
      <c r="AL346" s="7" t="str">
        <f>IF('Database MK'!GF347="","Belum",'Database MK'!GE347-'Database MK'!GF347)</f>
        <v>Belum</v>
      </c>
      <c r="AM346" s="309" t="str">
        <f>IF('Database MK'!GJ347="","Belum",'Database MK'!GI347-'Database MK'!GJ347)</f>
        <v>Belum</v>
      </c>
      <c r="AN346" s="7" t="str">
        <f>IF('Database MK'!HG347="","Belum",'Database MK'!HF347-'Database MK'!HG347)</f>
        <v>Belum</v>
      </c>
      <c r="AO346" s="7" t="str">
        <f>IF('Database MK'!HP347="","Belum",'Database MK'!HN347-'Database MK'!HP347)</f>
        <v>Belum</v>
      </c>
      <c r="AP346" s="7" t="str">
        <f>IF('Database MK'!HV347="","Belum",'Database MK'!HT347-'Database MK'!HV347)</f>
        <v>Belum</v>
      </c>
    </row>
    <row r="347" spans="2:42" hidden="1" x14ac:dyDescent="0.2">
      <c r="B347" s="7">
        <f>SUBTOTAL(3,$C$4:C347)</f>
        <v>74</v>
      </c>
      <c r="C347" s="299" t="s">
        <v>244</v>
      </c>
      <c r="D347" s="299" t="s">
        <v>2769</v>
      </c>
      <c r="E347" s="4" t="s">
        <v>2770</v>
      </c>
      <c r="F347" s="300">
        <v>46296</v>
      </c>
      <c r="G347" s="4" t="s">
        <v>247</v>
      </c>
      <c r="H347" s="4" t="str">
        <f ca="1">'Database MK'!Q348</f>
        <v>Proses MOS</v>
      </c>
      <c r="I347" s="24">
        <f>'Database MK'!S348</f>
        <v>0.27298888459622761</v>
      </c>
      <c r="J347" s="24">
        <f>'Database MK'!T348</f>
        <v>8.7333662816636813E-3</v>
      </c>
      <c r="K347" s="603">
        <f>'Database MK'!U348</f>
        <v>-0.26425551831456395</v>
      </c>
      <c r="L347" s="593">
        <f>'Database MK'!V348</f>
        <v>0</v>
      </c>
      <c r="M347" s="593">
        <f>'Database MK'!W348</f>
        <v>0</v>
      </c>
      <c r="N347" s="593">
        <f>Table3[[#This Row],[Total Panjang Pipa Aktual]]-Table3[[#This Row],[Volume
BA MC-0]]</f>
        <v>0</v>
      </c>
      <c r="O347" s="7" t="str">
        <f ca="1">'Database MK'!DE348</f>
        <v>Sudah, Delay</v>
      </c>
      <c r="P347" s="7" t="str">
        <f ca="1">'Database MK'!DI348</f>
        <v>Sudah, Delay</v>
      </c>
      <c r="Q347" s="7" t="str">
        <f ca="1">'Database MK'!DN348</f>
        <v>Sudah, Delay</v>
      </c>
      <c r="R347" s="7" t="str">
        <f ca="1">'Database MK'!DR348</f>
        <v>Sudah, Delay</v>
      </c>
      <c r="S347" s="7" t="str">
        <f ca="1">'Database MK'!EA348</f>
        <v>Sudah, Delay</v>
      </c>
      <c r="T347" s="7" t="str">
        <f ca="1">'Database MK'!EI348</f>
        <v>Belum, Delay</v>
      </c>
      <c r="U347" s="7" t="str">
        <f ca="1">'Database MK'!ET348</f>
        <v>Belum, OnSchedule</v>
      </c>
      <c r="V347" s="7" t="str">
        <f ca="1">'Database MK'!GA348</f>
        <v>Sudah, Delay</v>
      </c>
      <c r="W347" s="7" t="str">
        <f ca="1">'Database MK'!GD348</f>
        <v>Belum, Delay</v>
      </c>
      <c r="X347" s="7" t="str">
        <f ca="1">'Database MK'!GG348</f>
        <v>Belum, Delay</v>
      </c>
      <c r="Y347" s="7" t="str">
        <f ca="1">'Database MK'!GK348</f>
        <v>Belum, Delay</v>
      </c>
      <c r="Z347" s="7" t="str">
        <f ca="1">'Database MK'!HH348</f>
        <v>Belum, OnSchedule</v>
      </c>
      <c r="AA347" s="7" t="str">
        <f ca="1">'Database MK'!HQ348</f>
        <v>Belum, OnSchedule</v>
      </c>
      <c r="AB347" s="7" t="str">
        <f ca="1">'Database MK'!HW348</f>
        <v>Belum, OnSchedule</v>
      </c>
      <c r="AC347" s="7">
        <f>'Database MK'!DA348-'Database MK'!DB348</f>
        <v>-113</v>
      </c>
      <c r="AD347" s="7">
        <f>'Database MK'!DA348-'Database MK'!DF348</f>
        <v>-128</v>
      </c>
      <c r="AE347" s="7">
        <f>'Database MK'!DK348-'Database MK'!DL348</f>
        <v>-11</v>
      </c>
      <c r="AF347" s="7">
        <f>'Database MK'!DK348-'Database MK'!DO348</f>
        <v>-54</v>
      </c>
      <c r="AG347" s="7">
        <f>'Database MK'!DU348-'Database MK'!DW348</f>
        <v>-109</v>
      </c>
      <c r="AH347" s="7" t="str">
        <f>IF('Database MK'!EB348="","Belum",'Database MK'!DU348-'Database MK'!EB348)</f>
        <v>Belum</v>
      </c>
      <c r="AI347" s="7" t="str">
        <f>IF('Database MK'!EN348="","Belum",'Database MK'!EL348-'Database MK'!EN348)</f>
        <v>Belum</v>
      </c>
      <c r="AJ347" s="7" t="e">
        <f>'Database MK'!FY348-'Database MK'!FZ348</f>
        <v>#VALUE!</v>
      </c>
      <c r="AK347" s="7" t="str">
        <f>IF('Database MK'!GC348="","Belum",'Database MK'!GB348-'Database MK'!GC348)</f>
        <v>Belum</v>
      </c>
      <c r="AL347" s="7" t="str">
        <f>IF('Database MK'!GF348="","Belum",'Database MK'!GE348-'Database MK'!GF348)</f>
        <v>Belum</v>
      </c>
      <c r="AM347" s="309" t="str">
        <f>IF('Database MK'!GJ348="","Belum",'Database MK'!GI348-'Database MK'!GJ348)</f>
        <v>Belum</v>
      </c>
      <c r="AN347" s="7" t="str">
        <f>IF('Database MK'!HG348="","Belum",'Database MK'!HF348-'Database MK'!HG348)</f>
        <v>Belum</v>
      </c>
      <c r="AO347" s="7" t="str">
        <f>IF('Database MK'!HP348="","Belum",'Database MK'!HN348-'Database MK'!HP348)</f>
        <v>Belum</v>
      </c>
      <c r="AP347" s="7" t="str">
        <f>IF('Database MK'!HV348="","Belum",'Database MK'!HT348-'Database MK'!HV348)</f>
        <v>Belum</v>
      </c>
    </row>
    <row r="348" spans="2:42" hidden="1" x14ac:dyDescent="0.2">
      <c r="B348" s="7">
        <f>SUBTOTAL(3,$C$4:C348)</f>
        <v>74</v>
      </c>
      <c r="C348" s="299" t="s">
        <v>244</v>
      </c>
      <c r="D348" s="299" t="s">
        <v>2776</v>
      </c>
      <c r="E348" s="4" t="s">
        <v>2777</v>
      </c>
      <c r="F348" s="300">
        <v>46296</v>
      </c>
      <c r="G348" s="4" t="s">
        <v>247</v>
      </c>
      <c r="H348" s="4" t="str">
        <f ca="1">'Database MK'!Q349</f>
        <v>Proses MOS</v>
      </c>
      <c r="I348" s="24">
        <f>'Database MK'!S349</f>
        <v>0.3888364591958724</v>
      </c>
      <c r="J348" s="24">
        <f>'Database MK'!T349</f>
        <v>3.7528886170739864E-2</v>
      </c>
      <c r="K348" s="603">
        <f>'Database MK'!U349</f>
        <v>-0.35130757302513255</v>
      </c>
      <c r="L348" s="593">
        <f>'Database MK'!V349</f>
        <v>0</v>
      </c>
      <c r="M348" s="593">
        <f>'Database MK'!W349</f>
        <v>0</v>
      </c>
      <c r="N348" s="593">
        <f>Table3[[#This Row],[Total Panjang Pipa Aktual]]-Table3[[#This Row],[Volume
BA MC-0]]</f>
        <v>0</v>
      </c>
      <c r="O348" s="7" t="str">
        <f ca="1">'Database MK'!DE349</f>
        <v>Sudah, Delay</v>
      </c>
      <c r="P348" s="7" t="str">
        <f ca="1">'Database MK'!DI349</f>
        <v>Sudah, Delay</v>
      </c>
      <c r="Q348" s="7" t="str">
        <f ca="1">'Database MK'!DN349</f>
        <v>Sudah, Delay</v>
      </c>
      <c r="R348" s="7" t="str">
        <f ca="1">'Database MK'!DR349</f>
        <v>Sudah, Delay</v>
      </c>
      <c r="S348" s="7" t="str">
        <f ca="1">'Database MK'!EA349</f>
        <v>Sudah, Delay</v>
      </c>
      <c r="T348" s="7" t="str">
        <f ca="1">'Database MK'!EI349</f>
        <v>Belum, Delay</v>
      </c>
      <c r="U348" s="7" t="str">
        <f ca="1">'Database MK'!ET349</f>
        <v>Belum, OnSchedule</v>
      </c>
      <c r="V348" s="7" t="str">
        <f ca="1">'Database MK'!GA349</f>
        <v>Sudah, Delay</v>
      </c>
      <c r="W348" s="7" t="str">
        <f ca="1">'Database MK'!GD349</f>
        <v>Belum, Delay</v>
      </c>
      <c r="X348" s="7" t="str">
        <f ca="1">'Database MK'!GG349</f>
        <v>Belum, Delay</v>
      </c>
      <c r="Y348" s="7" t="str">
        <f ca="1">'Database MK'!GK349</f>
        <v>Belum, Delay</v>
      </c>
      <c r="Z348" s="7" t="str">
        <f ca="1">'Database MK'!HH349</f>
        <v>Belum, OnSchedule</v>
      </c>
      <c r="AA348" s="7" t="str">
        <f ca="1">'Database MK'!HQ349</f>
        <v>Belum, OnSchedule</v>
      </c>
      <c r="AB348" s="7" t="str">
        <f ca="1">'Database MK'!HW349</f>
        <v>Belum, OnSchedule</v>
      </c>
      <c r="AC348" s="7">
        <f>'Database MK'!DA349-'Database MK'!DB349</f>
        <v>-113</v>
      </c>
      <c r="AD348" s="7">
        <f>'Database MK'!DA349-'Database MK'!DF349</f>
        <v>-128</v>
      </c>
      <c r="AE348" s="7">
        <f>'Database MK'!DK349-'Database MK'!DL349</f>
        <v>-15</v>
      </c>
      <c r="AF348" s="7">
        <f>'Database MK'!DK349-'Database MK'!DO349</f>
        <v>-54</v>
      </c>
      <c r="AG348" s="7">
        <f>'Database MK'!DU349-'Database MK'!DW349</f>
        <v>-113</v>
      </c>
      <c r="AH348" s="7" t="str">
        <f>IF('Database MK'!EB349="","Belum",'Database MK'!DU349-'Database MK'!EB349)</f>
        <v>Belum</v>
      </c>
      <c r="AI348" s="7" t="str">
        <f>IF('Database MK'!EN349="","Belum",'Database MK'!EL349-'Database MK'!EN349)</f>
        <v>Belum</v>
      </c>
      <c r="AJ348" s="7" t="e">
        <f>'Database MK'!FY349-'Database MK'!FZ349</f>
        <v>#VALUE!</v>
      </c>
      <c r="AK348" s="7" t="str">
        <f>IF('Database MK'!GC349="","Belum",'Database MK'!GB349-'Database MK'!GC349)</f>
        <v>Belum</v>
      </c>
      <c r="AL348" s="7" t="str">
        <f>IF('Database MK'!GF349="","Belum",'Database MK'!GE349-'Database MK'!GF349)</f>
        <v>Belum</v>
      </c>
      <c r="AM348" s="309" t="str">
        <f>IF('Database MK'!GJ349="","Belum",'Database MK'!GI349-'Database MK'!GJ349)</f>
        <v>Belum</v>
      </c>
      <c r="AN348" s="7" t="str">
        <f>IF('Database MK'!HG349="","Belum",'Database MK'!HF349-'Database MK'!HG349)</f>
        <v>Belum</v>
      </c>
      <c r="AO348" s="7" t="str">
        <f>IF('Database MK'!HP349="","Belum",'Database MK'!HN349-'Database MK'!HP349)</f>
        <v>Belum</v>
      </c>
      <c r="AP348" s="7" t="str">
        <f>IF('Database MK'!HV349="","Belum",'Database MK'!HT349-'Database MK'!HV349)</f>
        <v>Belum</v>
      </c>
    </row>
    <row r="349" spans="2:42" hidden="1" x14ac:dyDescent="0.2">
      <c r="B349" s="7">
        <f>SUBTOTAL(3,$C$4:C349)</f>
        <v>74</v>
      </c>
      <c r="C349" s="299" t="s">
        <v>244</v>
      </c>
      <c r="D349" s="299" t="s">
        <v>2784</v>
      </c>
      <c r="E349" s="4" t="s">
        <v>2785</v>
      </c>
      <c r="F349" s="300">
        <v>46296</v>
      </c>
      <c r="G349" s="4" t="s">
        <v>247</v>
      </c>
      <c r="H349" s="4" t="str">
        <f ca="1">'Database MK'!Q350</f>
        <v>Proses MOS</v>
      </c>
      <c r="I349" s="24">
        <f>'Database MK'!S350</f>
        <v>0.3358821971094435</v>
      </c>
      <c r="J349" s="24">
        <f>'Database MK'!T350</f>
        <v>1.1452355688432713E-2</v>
      </c>
      <c r="K349" s="603">
        <f>'Database MK'!U350</f>
        <v>-0.32442984142101078</v>
      </c>
      <c r="L349" s="593">
        <f>'Database MK'!V350</f>
        <v>0</v>
      </c>
      <c r="M349" s="593">
        <f>'Database MK'!W350</f>
        <v>0</v>
      </c>
      <c r="N349" s="593">
        <f>Table3[[#This Row],[Total Panjang Pipa Aktual]]-Table3[[#This Row],[Volume
BA MC-0]]</f>
        <v>0</v>
      </c>
      <c r="O349" s="7" t="str">
        <f ca="1">'Database MK'!DE350</f>
        <v>Sudah, Delay</v>
      </c>
      <c r="P349" s="7" t="str">
        <f ca="1">'Database MK'!DI350</f>
        <v>Sudah, Delay</v>
      </c>
      <c r="Q349" s="7" t="str">
        <f ca="1">'Database MK'!DN350</f>
        <v>Sudah, Delay</v>
      </c>
      <c r="R349" s="7" t="str">
        <f ca="1">'Database MK'!DR350</f>
        <v>Sudah, Delay</v>
      </c>
      <c r="S349" s="7" t="str">
        <f ca="1">'Database MK'!EA350</f>
        <v>Sudah, Delay</v>
      </c>
      <c r="T349" s="7" t="str">
        <f ca="1">'Database MK'!EI350</f>
        <v>Belum, Delay</v>
      </c>
      <c r="U349" s="7" t="str">
        <f ca="1">'Database MK'!ET350</f>
        <v>Belum, OnSchedule</v>
      </c>
      <c r="V349" s="7" t="str">
        <f ca="1">'Database MK'!GA350</f>
        <v>Sudah, Delay</v>
      </c>
      <c r="W349" s="7" t="str">
        <f ca="1">'Database MK'!GD350</f>
        <v>Belum, Delay</v>
      </c>
      <c r="X349" s="7" t="str">
        <f ca="1">'Database MK'!GG350</f>
        <v>Belum, Delay</v>
      </c>
      <c r="Y349" s="7" t="str">
        <f ca="1">'Database MK'!GK350</f>
        <v>Belum, Delay</v>
      </c>
      <c r="Z349" s="7" t="str">
        <f ca="1">'Database MK'!HH350</f>
        <v>Belum, OnSchedule</v>
      </c>
      <c r="AA349" s="7" t="str">
        <f ca="1">'Database MK'!HQ350</f>
        <v>Belum, OnSchedule</v>
      </c>
      <c r="AB349" s="7" t="str">
        <f ca="1">'Database MK'!HW350</f>
        <v>Belum, OnSchedule</v>
      </c>
      <c r="AC349" s="7">
        <f>'Database MK'!DA350-'Database MK'!DB350</f>
        <v>-113</v>
      </c>
      <c r="AD349" s="7">
        <f>'Database MK'!DA350-'Database MK'!DF350</f>
        <v>-128</v>
      </c>
      <c r="AE349" s="7">
        <f>'Database MK'!DK350-'Database MK'!DL350</f>
        <v>-15</v>
      </c>
      <c r="AF349" s="7">
        <f>'Database MK'!DK350-'Database MK'!DO350</f>
        <v>-54</v>
      </c>
      <c r="AG349" s="7">
        <f>'Database MK'!DU350-'Database MK'!DW350</f>
        <v>-113</v>
      </c>
      <c r="AH349" s="7" t="str">
        <f>IF('Database MK'!EB350="","Belum",'Database MK'!DU350-'Database MK'!EB350)</f>
        <v>Belum</v>
      </c>
      <c r="AI349" s="7" t="str">
        <f>IF('Database MK'!EN350="","Belum",'Database MK'!EL350-'Database MK'!EN350)</f>
        <v>Belum</v>
      </c>
      <c r="AJ349" s="7" t="e">
        <f>'Database MK'!FY350-'Database MK'!FZ350</f>
        <v>#VALUE!</v>
      </c>
      <c r="AK349" s="7" t="str">
        <f>IF('Database MK'!GC350="","Belum",'Database MK'!GB350-'Database MK'!GC350)</f>
        <v>Belum</v>
      </c>
      <c r="AL349" s="7" t="str">
        <f>IF('Database MK'!GF350="","Belum",'Database MK'!GE350-'Database MK'!GF350)</f>
        <v>Belum</v>
      </c>
      <c r="AM349" s="309" t="str">
        <f>IF('Database MK'!GJ350="","Belum",'Database MK'!GI350-'Database MK'!GJ350)</f>
        <v>Belum</v>
      </c>
      <c r="AN349" s="7" t="str">
        <f>IF('Database MK'!HG350="","Belum",'Database MK'!HF350-'Database MK'!HG350)</f>
        <v>Belum</v>
      </c>
      <c r="AO349" s="7" t="str">
        <f>IF('Database MK'!HP350="","Belum",'Database MK'!HN350-'Database MK'!HP350)</f>
        <v>Belum</v>
      </c>
      <c r="AP349" s="7" t="str">
        <f>IF('Database MK'!HV350="","Belum",'Database MK'!HT350-'Database MK'!HV350)</f>
        <v>Belum</v>
      </c>
    </row>
    <row r="350" spans="2:42" hidden="1" x14ac:dyDescent="0.2">
      <c r="B350" s="7">
        <f>SUBTOTAL(3,$C$4:C350)</f>
        <v>74</v>
      </c>
      <c r="C350" s="299" t="s">
        <v>244</v>
      </c>
      <c r="D350" s="299" t="s">
        <v>2792</v>
      </c>
      <c r="E350" s="4" t="s">
        <v>2793</v>
      </c>
      <c r="F350" s="300">
        <v>46296</v>
      </c>
      <c r="G350" s="4" t="s">
        <v>247</v>
      </c>
      <c r="H350" s="4" t="str">
        <f ca="1">'Database MK'!Q351</f>
        <v>PO Jasa BPM</v>
      </c>
      <c r="I350" s="24">
        <f>'Database MK'!S351</f>
        <v>0.41321343346617406</v>
      </c>
      <c r="J350" s="24">
        <f>'Database MK'!T351</f>
        <v>0</v>
      </c>
      <c r="K350" s="603">
        <f>'Database MK'!U351</f>
        <v>-0.41321343346617406</v>
      </c>
      <c r="L350" s="593">
        <f>'Database MK'!V351</f>
        <v>0</v>
      </c>
      <c r="M350" s="593">
        <f>'Database MK'!W351</f>
        <v>0</v>
      </c>
      <c r="N350" s="593">
        <f>Table3[[#This Row],[Total Panjang Pipa Aktual]]-Table3[[#This Row],[Volume
BA MC-0]]</f>
        <v>0</v>
      </c>
      <c r="O350" s="7" t="str">
        <f ca="1">'Database MK'!DE351</f>
        <v>Sudah, Delay</v>
      </c>
      <c r="P350" s="7" t="str">
        <f ca="1">'Database MK'!DI351</f>
        <v>Sudah, Delay</v>
      </c>
      <c r="Q350" s="7" t="str">
        <f ca="1">'Database MK'!DN351</f>
        <v>Sudah, Delay</v>
      </c>
      <c r="R350" s="7" t="str">
        <f ca="1">'Database MK'!DR351</f>
        <v>Sudah, Delay</v>
      </c>
      <c r="S350" s="7" t="str">
        <f ca="1">'Database MK'!EA351</f>
        <v>Sudah, Delay</v>
      </c>
      <c r="T350" s="7" t="str">
        <f ca="1">'Database MK'!EI351</f>
        <v>Belum, Delay</v>
      </c>
      <c r="U350" s="7" t="str">
        <f ca="1">'Database MK'!ET351</f>
        <v>Belum, OnSchedule</v>
      </c>
      <c r="V350" s="7" t="str">
        <f ca="1">'Database MK'!GA351</f>
        <v>Sudah, Delay</v>
      </c>
      <c r="W350" s="7" t="str">
        <f ca="1">'Database MK'!GD351</f>
        <v>Belum, Delay</v>
      </c>
      <c r="X350" s="7" t="str">
        <f ca="1">'Database MK'!GG351</f>
        <v>Belum, Delay</v>
      </c>
      <c r="Y350" s="7" t="str">
        <f ca="1">'Database MK'!GK351</f>
        <v>Belum, Delay</v>
      </c>
      <c r="Z350" s="7" t="str">
        <f ca="1">'Database MK'!HH351</f>
        <v>Belum, OnSchedule</v>
      </c>
      <c r="AA350" s="7" t="str">
        <f ca="1">'Database MK'!HQ351</f>
        <v>Belum, OnSchedule</v>
      </c>
      <c r="AB350" s="7" t="str">
        <f ca="1">'Database MK'!HW351</f>
        <v>Belum, OnSchedule</v>
      </c>
      <c r="AC350" s="7">
        <f>'Database MK'!DA351-'Database MK'!DB351</f>
        <v>-113</v>
      </c>
      <c r="AD350" s="7">
        <f>'Database MK'!DA351-'Database MK'!DF351</f>
        <v>-128</v>
      </c>
      <c r="AE350" s="7">
        <f>'Database MK'!DK351-'Database MK'!DL351</f>
        <v>-30.766273148146865</v>
      </c>
      <c r="AF350" s="7">
        <f>'Database MK'!DK351-'Database MK'!DO351</f>
        <v>-54</v>
      </c>
      <c r="AG350" s="7">
        <f>'Database MK'!DU351-'Database MK'!DW351</f>
        <v>-128</v>
      </c>
      <c r="AH350" s="7" t="str">
        <f>IF('Database MK'!EB351="","Belum",'Database MK'!DU351-'Database MK'!EB351)</f>
        <v>Belum</v>
      </c>
      <c r="AI350" s="7" t="str">
        <f>IF('Database MK'!EN351="","Belum",'Database MK'!EL351-'Database MK'!EN351)</f>
        <v>Belum</v>
      </c>
      <c r="AJ350" s="7" t="e">
        <f>'Database MK'!FY351-'Database MK'!FZ351</f>
        <v>#VALUE!</v>
      </c>
      <c r="AK350" s="7" t="str">
        <f>IF('Database MK'!GC351="","Belum",'Database MK'!GB351-'Database MK'!GC351)</f>
        <v>Belum</v>
      </c>
      <c r="AL350" s="7" t="str">
        <f>IF('Database MK'!GF351="","Belum",'Database MK'!GE351-'Database MK'!GF351)</f>
        <v>Belum</v>
      </c>
      <c r="AM350" s="309" t="str">
        <f>IF('Database MK'!GJ351="","Belum",'Database MK'!GI351-'Database MK'!GJ351)</f>
        <v>Belum</v>
      </c>
      <c r="AN350" s="7" t="str">
        <f>IF('Database MK'!HG351="","Belum",'Database MK'!HF351-'Database MK'!HG351)</f>
        <v>Belum</v>
      </c>
      <c r="AO350" s="7" t="str">
        <f>IF('Database MK'!HP351="","Belum",'Database MK'!HN351-'Database MK'!HP351)</f>
        <v>Belum</v>
      </c>
      <c r="AP350" s="7" t="str">
        <f>IF('Database MK'!HV351="","Belum",'Database MK'!HT351-'Database MK'!HV351)</f>
        <v>Belum</v>
      </c>
    </row>
    <row r="351" spans="2:42" hidden="1" x14ac:dyDescent="0.2">
      <c r="B351" s="7">
        <f>SUBTOTAL(3,$C$4:C351)</f>
        <v>74</v>
      </c>
      <c r="C351" s="299" t="s">
        <v>244</v>
      </c>
      <c r="D351" s="299" t="s">
        <v>2799</v>
      </c>
      <c r="E351" s="4" t="s">
        <v>2800</v>
      </c>
      <c r="F351" s="300">
        <v>46296</v>
      </c>
      <c r="G351" s="4" t="s">
        <v>247</v>
      </c>
      <c r="H351" s="4" t="str">
        <f ca="1">'Database MK'!Q352</f>
        <v>MC-0</v>
      </c>
      <c r="I351" s="24">
        <f>'Database MK'!S352</f>
        <v>0.94696167044099777</v>
      </c>
      <c r="J351" s="24">
        <f>'Database MK'!T352</f>
        <v>6.5688385579552311E-2</v>
      </c>
      <c r="K351" s="603">
        <f>'Database MK'!U352</f>
        <v>-0.88127328486144552</v>
      </c>
      <c r="L351" s="593">
        <f>'Database MK'!V352</f>
        <v>1074</v>
      </c>
      <c r="M351" s="593">
        <f>'Database MK'!W352</f>
        <v>0</v>
      </c>
      <c r="N351" s="593">
        <f>Table3[[#This Row],[Total Panjang Pipa Aktual]]-Table3[[#This Row],[Volume
BA MC-0]]</f>
        <v>-1074</v>
      </c>
      <c r="O351" s="7" t="str">
        <f ca="1">'Database MK'!DE352</f>
        <v>Sudah, OnSchedule</v>
      </c>
      <c r="P351" s="7" t="str">
        <f ca="1">'Database MK'!DI352</f>
        <v>Sudah, OnSchedule</v>
      </c>
      <c r="Q351" s="7" t="str">
        <f ca="1">'Database MK'!DN352</f>
        <v>Sudah, OnSchedule</v>
      </c>
      <c r="R351" s="7" t="str">
        <f ca="1">'Database MK'!DR352</f>
        <v>Sudah, OnSchedule</v>
      </c>
      <c r="S351" s="7" t="str">
        <f ca="1">'Database MK'!EA352</f>
        <v>Sudah, OnSchedule</v>
      </c>
      <c r="T351" s="7" t="str">
        <f ca="1">'Database MK'!EI352</f>
        <v>Belum, Delay</v>
      </c>
      <c r="U351" s="7" t="str">
        <f ca="1">'Database MK'!ET352</f>
        <v>Belum, Delay</v>
      </c>
      <c r="V351" s="7" t="str">
        <f ca="1">'Database MK'!GA352</f>
        <v>Sudah, OnSchedule</v>
      </c>
      <c r="W351" s="7" t="str">
        <f ca="1">'Database MK'!GD352</f>
        <v>Sudah, Delay</v>
      </c>
      <c r="X351" s="7" t="str">
        <f ca="1">'Database MK'!GG352</f>
        <v>Sudah, OnSchedule</v>
      </c>
      <c r="Y351" s="7" t="str">
        <f ca="1">'Database MK'!GK352</f>
        <v>Sudah, OnSchedule</v>
      </c>
      <c r="Z351" s="7" t="str">
        <f ca="1">'Database MK'!HH352</f>
        <v>Belum, Delay</v>
      </c>
      <c r="AA351" s="7" t="str">
        <f ca="1">'Database MK'!HQ352</f>
        <v>Belum, OnSchedule</v>
      </c>
      <c r="AB351" s="7" t="str">
        <f ca="1">'Database MK'!HW352</f>
        <v>Belum, OnSchedule</v>
      </c>
      <c r="AC351" s="7">
        <f>'Database MK'!DA352-'Database MK'!DB352</f>
        <v>101</v>
      </c>
      <c r="AD351" s="7">
        <f>'Database MK'!DA352-'Database MK'!DF352</f>
        <v>90</v>
      </c>
      <c r="AE351" s="7">
        <f>'Database MK'!DK352-'Database MK'!DL352</f>
        <v>60</v>
      </c>
      <c r="AF351" s="7">
        <f>'Database MK'!DK352-'Database MK'!DO352</f>
        <v>23</v>
      </c>
      <c r="AG351" s="7">
        <f>'Database MK'!DU352-'Database MK'!DW352</f>
        <v>39</v>
      </c>
      <c r="AH351" s="7" t="str">
        <f>IF('Database MK'!EB352="","Belum",'Database MK'!DU352-'Database MK'!EB352)</f>
        <v>Belum</v>
      </c>
      <c r="AI351" s="7" t="str">
        <f>IF('Database MK'!EN352="","Belum",'Database MK'!EL352-'Database MK'!EN352)</f>
        <v>Belum</v>
      </c>
      <c r="AJ351" s="7">
        <f>'Database MK'!FY352-'Database MK'!FZ352</f>
        <v>0</v>
      </c>
      <c r="AK351" s="7">
        <f>IF('Database MK'!GC352="","Belum",'Database MK'!GB352-'Database MK'!GC352)</f>
        <v>-7</v>
      </c>
      <c r="AL351" s="7">
        <f>IF('Database MK'!GF352="","Belum",'Database MK'!GE352-'Database MK'!GF352)</f>
        <v>0</v>
      </c>
      <c r="AM351" s="309">
        <f>IF('Database MK'!GJ352="","Belum",'Database MK'!GI352-'Database MK'!GJ352)</f>
        <v>6</v>
      </c>
      <c r="AN351" s="7" t="str">
        <f>IF('Database MK'!HG352="","Belum",'Database MK'!HF352-'Database MK'!HG352)</f>
        <v>Belum</v>
      </c>
      <c r="AO351" s="7" t="str">
        <f>IF('Database MK'!HP352="","Belum",'Database MK'!HN352-'Database MK'!HP352)</f>
        <v>Belum</v>
      </c>
      <c r="AP351" s="7" t="str">
        <f>IF('Database MK'!HV352="","Belum",'Database MK'!HT352-'Database MK'!HV352)</f>
        <v>Belum</v>
      </c>
    </row>
    <row r="352" spans="2:42" hidden="1" x14ac:dyDescent="0.2">
      <c r="B352" s="7">
        <f>SUBTOTAL(3,$C$4:C352)</f>
        <v>74</v>
      </c>
      <c r="C352" s="299" t="s">
        <v>244</v>
      </c>
      <c r="D352" s="299" t="s">
        <v>2807</v>
      </c>
      <c r="E352" s="4" t="s">
        <v>2808</v>
      </c>
      <c r="F352" s="300">
        <v>46296</v>
      </c>
      <c r="G352" s="4" t="s">
        <v>247</v>
      </c>
      <c r="H352" s="4" t="str">
        <f ca="1">'Database MK'!Q353</f>
        <v>MC-0</v>
      </c>
      <c r="I352" s="24">
        <f>'Database MK'!S353</f>
        <v>0.98549551439922656</v>
      </c>
      <c r="J352" s="24">
        <f>'Database MK'!T353</f>
        <v>3.4462807226870104E-2</v>
      </c>
      <c r="K352" s="603">
        <f>'Database MK'!U353</f>
        <v>-0.95103270717235644</v>
      </c>
      <c r="L352" s="593">
        <f>'Database MK'!V353</f>
        <v>0</v>
      </c>
      <c r="M352" s="593">
        <f>'Database MK'!W353</f>
        <v>0</v>
      </c>
      <c r="N352" s="593">
        <f>Table3[[#This Row],[Total Panjang Pipa Aktual]]-Table3[[#This Row],[Volume
BA MC-0]]</f>
        <v>0</v>
      </c>
      <c r="O352" s="7" t="str">
        <f ca="1">'Database MK'!DE353</f>
        <v>Sudah, OnSchedule</v>
      </c>
      <c r="P352" s="7" t="str">
        <f ca="1">'Database MK'!DI353</f>
        <v>Sudah, Delay</v>
      </c>
      <c r="Q352" s="7" t="str">
        <f ca="1">'Database MK'!DN353</f>
        <v>Sudah, Delay</v>
      </c>
      <c r="R352" s="7" t="str">
        <f ca="1">'Database MK'!DR353</f>
        <v>Sudah, Delay</v>
      </c>
      <c r="S352" s="7" t="str">
        <f ca="1">'Database MK'!EA353</f>
        <v>Sudah, Delay</v>
      </c>
      <c r="T352" s="7" t="str">
        <f ca="1">'Database MK'!EI353</f>
        <v>Belum, Delay</v>
      </c>
      <c r="U352" s="7" t="str">
        <f ca="1">'Database MK'!ET353</f>
        <v>Belum, Delay</v>
      </c>
      <c r="V352" s="7" t="str">
        <f ca="1">'Database MK'!GA353</f>
        <v>Sudah, OnSchedule</v>
      </c>
      <c r="W352" s="7" t="str">
        <f ca="1">'Database MK'!GD353</f>
        <v>Sudah, Delay</v>
      </c>
      <c r="X352" s="7" t="str">
        <f ca="1">'Database MK'!GG353</f>
        <v>Sudah, Delay</v>
      </c>
      <c r="Y352" s="7" t="str">
        <f ca="1">'Database MK'!GK353</f>
        <v>Sudah, Delay</v>
      </c>
      <c r="Z352" s="7" t="str">
        <f ca="1">'Database MK'!HH353</f>
        <v>Belum, Delay</v>
      </c>
      <c r="AA352" s="7" t="str">
        <f ca="1">'Database MK'!HQ353</f>
        <v>Belum, OnSchedule</v>
      </c>
      <c r="AB352" s="7" t="str">
        <f ca="1">'Database MK'!HW353</f>
        <v>Belum, OnSchedule</v>
      </c>
      <c r="AC352" s="7">
        <f>'Database MK'!DA353-'Database MK'!DB353</f>
        <v>6</v>
      </c>
      <c r="AD352" s="7">
        <f>'Database MK'!DA353-'Database MK'!DF353</f>
        <v>-16</v>
      </c>
      <c r="AE352" s="7">
        <f>'Database MK'!DK353-'Database MK'!DL353</f>
        <v>-11</v>
      </c>
      <c r="AF352" s="7">
        <f>'Database MK'!DK353-'Database MK'!DO353</f>
        <v>-94</v>
      </c>
      <c r="AG352" s="7">
        <f>'Database MK'!DU353-'Database MK'!DW353</f>
        <v>-4</v>
      </c>
      <c r="AH352" s="7" t="str">
        <f>IF('Database MK'!EB353="","Belum",'Database MK'!DU353-'Database MK'!EB353)</f>
        <v>Belum</v>
      </c>
      <c r="AI352" s="7" t="str">
        <f>IF('Database MK'!EN353="","Belum",'Database MK'!EL353-'Database MK'!EN353)</f>
        <v>Belum</v>
      </c>
      <c r="AJ352" s="7">
        <f>'Database MK'!FY353-'Database MK'!FZ353</f>
        <v>54</v>
      </c>
      <c r="AK352" s="7">
        <f>IF('Database MK'!GC353="","Belum",'Database MK'!GB353-'Database MK'!GC353)</f>
        <v>-126</v>
      </c>
      <c r="AL352" s="7">
        <f>IF('Database MK'!GF353="","Belum",'Database MK'!GE353-'Database MK'!GF353)</f>
        <v>-119</v>
      </c>
      <c r="AM352" s="309">
        <f>IF('Database MK'!GJ353="","Belum",'Database MK'!GI353-'Database MK'!GJ353)</f>
        <v>-121</v>
      </c>
      <c r="AN352" s="7" t="str">
        <f>IF('Database MK'!HG353="","Belum",'Database MK'!HF353-'Database MK'!HG353)</f>
        <v>Belum</v>
      </c>
      <c r="AO352" s="7" t="str">
        <f>IF('Database MK'!HP353="","Belum",'Database MK'!HN353-'Database MK'!HP353)</f>
        <v>Belum</v>
      </c>
      <c r="AP352" s="7" t="str">
        <f>IF('Database MK'!HV353="","Belum",'Database MK'!HT353-'Database MK'!HV353)</f>
        <v>Belum</v>
      </c>
    </row>
    <row r="353" spans="2:42" hidden="1" x14ac:dyDescent="0.2">
      <c r="B353" s="7">
        <f>SUBTOTAL(3,$C$4:C353)</f>
        <v>74</v>
      </c>
      <c r="C353" s="299" t="s">
        <v>244</v>
      </c>
      <c r="D353" s="299" t="s">
        <v>2814</v>
      </c>
      <c r="E353" s="4" t="s">
        <v>2815</v>
      </c>
      <c r="F353" s="300">
        <v>46296</v>
      </c>
      <c r="G353" s="4" t="s">
        <v>247</v>
      </c>
      <c r="H353" s="4" t="str">
        <f ca="1">'Database MK'!Q354</f>
        <v>MC-0</v>
      </c>
      <c r="I353" s="24">
        <f>'Database MK'!S354</f>
        <v>0.97892911245051439</v>
      </c>
      <c r="J353" s="24">
        <f>'Database MK'!T354</f>
        <v>3.9966374789213187E-2</v>
      </c>
      <c r="K353" s="603">
        <f>'Database MK'!U354</f>
        <v>-0.93896273766130123</v>
      </c>
      <c r="L353" s="593">
        <f>'Database MK'!V354</f>
        <v>0</v>
      </c>
      <c r="M353" s="593">
        <f>'Database MK'!W354</f>
        <v>0</v>
      </c>
      <c r="N353" s="593">
        <f>Table3[[#This Row],[Total Panjang Pipa Aktual]]-Table3[[#This Row],[Volume
BA MC-0]]</f>
        <v>0</v>
      </c>
      <c r="O353" s="7" t="str">
        <f ca="1">'Database MK'!DE354</f>
        <v>Sudah, OnSchedule</v>
      </c>
      <c r="P353" s="7" t="str">
        <f ca="1">'Database MK'!DI354</f>
        <v>Sudah, Delay</v>
      </c>
      <c r="Q353" s="7" t="str">
        <f ca="1">'Database MK'!DN354</f>
        <v>Sudah, Delay</v>
      </c>
      <c r="R353" s="7" t="str">
        <f ca="1">'Database MK'!DR354</f>
        <v>Sudah, Delay</v>
      </c>
      <c r="S353" s="7" t="str">
        <f ca="1">'Database MK'!EA354</f>
        <v>Sudah, Delay</v>
      </c>
      <c r="T353" s="7" t="str">
        <f ca="1">'Database MK'!EI354</f>
        <v>Belum, Delay</v>
      </c>
      <c r="U353" s="7" t="str">
        <f ca="1">'Database MK'!ET354</f>
        <v>Belum, Delay</v>
      </c>
      <c r="V353" s="7" t="str">
        <f ca="1">'Database MK'!GA354</f>
        <v>Sudah, OnSchedule</v>
      </c>
      <c r="W353" s="7" t="str">
        <f ca="1">'Database MK'!GD354</f>
        <v>Sudah, Delay</v>
      </c>
      <c r="X353" s="7" t="str">
        <f ca="1">'Database MK'!GG354</f>
        <v>Sudah, Delay</v>
      </c>
      <c r="Y353" s="7" t="str">
        <f ca="1">'Database MK'!GK354</f>
        <v>Sudah, Delay</v>
      </c>
      <c r="Z353" s="7" t="str">
        <f ca="1">'Database MK'!HH354</f>
        <v>Belum, Delay</v>
      </c>
      <c r="AA353" s="7" t="str">
        <f ca="1">'Database MK'!HQ354</f>
        <v>Belum, OnSchedule</v>
      </c>
      <c r="AB353" s="7" t="str">
        <f ca="1">'Database MK'!HW354</f>
        <v>Belum, OnSchedule</v>
      </c>
      <c r="AC353" s="7">
        <f>'Database MK'!DA354-'Database MK'!DB354</f>
        <v>6</v>
      </c>
      <c r="AD353" s="7">
        <f>'Database MK'!DA354-'Database MK'!DF354</f>
        <v>-1</v>
      </c>
      <c r="AE353" s="7">
        <f>'Database MK'!DK354-'Database MK'!DL354</f>
        <v>-22</v>
      </c>
      <c r="AF353" s="7">
        <f>'Database MK'!DK354-'Database MK'!DO354</f>
        <v>-67.291666666664241</v>
      </c>
      <c r="AG353" s="7">
        <f>'Database MK'!DU354-'Database MK'!DW354</f>
        <v>-43</v>
      </c>
      <c r="AH353" s="7" t="str">
        <f>IF('Database MK'!EB354="","Belum",'Database MK'!DU354-'Database MK'!EB354)</f>
        <v>Belum</v>
      </c>
      <c r="AI353" s="7" t="str">
        <f>IF('Database MK'!EN354="","Belum",'Database MK'!EL354-'Database MK'!EN354)</f>
        <v>Belum</v>
      </c>
      <c r="AJ353" s="7">
        <f>'Database MK'!FY354-'Database MK'!FZ354</f>
        <v>39</v>
      </c>
      <c r="AK353" s="7">
        <f>IF('Database MK'!GC354="","Belum",'Database MK'!GB354-'Database MK'!GC354)</f>
        <v>-98</v>
      </c>
      <c r="AL353" s="7">
        <f>IF('Database MK'!GF354="","Belum",'Database MK'!GE354-'Database MK'!GF354)</f>
        <v>-91</v>
      </c>
      <c r="AM353" s="309">
        <f>IF('Database MK'!GJ354="","Belum",'Database MK'!GI354-'Database MK'!GJ354)</f>
        <v>-93</v>
      </c>
      <c r="AN353" s="7" t="str">
        <f>IF('Database MK'!HG354="","Belum",'Database MK'!HF354-'Database MK'!HG354)</f>
        <v>Belum</v>
      </c>
      <c r="AO353" s="7" t="str">
        <f>IF('Database MK'!HP354="","Belum",'Database MK'!HN354-'Database MK'!HP354)</f>
        <v>Belum</v>
      </c>
      <c r="AP353" s="7" t="str">
        <f>IF('Database MK'!HV354="","Belum",'Database MK'!HT354-'Database MK'!HV354)</f>
        <v>Belum</v>
      </c>
    </row>
    <row r="354" spans="2:42" hidden="1" x14ac:dyDescent="0.2">
      <c r="B354" s="7">
        <f>SUBTOTAL(3,$C$4:C354)</f>
        <v>74</v>
      </c>
      <c r="C354" s="299" t="s">
        <v>244</v>
      </c>
      <c r="D354" s="299" t="s">
        <v>2822</v>
      </c>
      <c r="E354" s="4" t="s">
        <v>2823</v>
      </c>
      <c r="F354" s="300">
        <v>46296</v>
      </c>
      <c r="G354" s="4" t="s">
        <v>247</v>
      </c>
      <c r="H354" s="4" t="str">
        <f ca="1">'Database MK'!Q355</f>
        <v>MC-0</v>
      </c>
      <c r="I354" s="24">
        <f>'Database MK'!S355</f>
        <v>0.98078197539742196</v>
      </c>
      <c r="J354" s="24">
        <f>'Database MK'!T355</f>
        <v>4.9723426988345039E-2</v>
      </c>
      <c r="K354" s="603">
        <f>'Database MK'!U355</f>
        <v>-0.93105854840907687</v>
      </c>
      <c r="L354" s="593">
        <f>'Database MK'!V355</f>
        <v>0</v>
      </c>
      <c r="M354" s="593">
        <f>'Database MK'!W355</f>
        <v>0</v>
      </c>
      <c r="N354" s="593">
        <f>Table3[[#This Row],[Total Panjang Pipa Aktual]]-Table3[[#This Row],[Volume
BA MC-0]]</f>
        <v>0</v>
      </c>
      <c r="O354" s="7" t="str">
        <f ca="1">'Database MK'!DE355</f>
        <v>Sudah, OnSchedule</v>
      </c>
      <c r="P354" s="7" t="str">
        <f ca="1">'Database MK'!DI355</f>
        <v>Sudah, Delay</v>
      </c>
      <c r="Q354" s="7" t="str">
        <f ca="1">'Database MK'!DN355</f>
        <v>Sudah, Delay</v>
      </c>
      <c r="R354" s="7" t="str">
        <f ca="1">'Database MK'!DR355</f>
        <v>Sudah, Delay</v>
      </c>
      <c r="S354" s="7" t="str">
        <f ca="1">'Database MK'!EA355</f>
        <v>Sudah, Delay</v>
      </c>
      <c r="T354" s="7" t="str">
        <f ca="1">'Database MK'!EI355</f>
        <v>Belum, Delay</v>
      </c>
      <c r="U354" s="7" t="str">
        <f ca="1">'Database MK'!ET355</f>
        <v>Belum, Delay</v>
      </c>
      <c r="V354" s="7" t="str">
        <f ca="1">'Database MK'!GA355</f>
        <v>Sudah, OnSchedule</v>
      </c>
      <c r="W354" s="7" t="str">
        <f ca="1">'Database MK'!GD355</f>
        <v>Sudah, Delay</v>
      </c>
      <c r="X354" s="7" t="str">
        <f ca="1">'Database MK'!GG355</f>
        <v>Sudah, Delay</v>
      </c>
      <c r="Y354" s="7" t="str">
        <f ca="1">'Database MK'!GK355</f>
        <v>Sudah, Delay</v>
      </c>
      <c r="Z354" s="7" t="str">
        <f ca="1">'Database MK'!HH355</f>
        <v>Belum, Delay</v>
      </c>
      <c r="AA354" s="7" t="str">
        <f ca="1">'Database MK'!HQ355</f>
        <v>Belum, OnSchedule</v>
      </c>
      <c r="AB354" s="7" t="str">
        <f ca="1">'Database MK'!HW355</f>
        <v>Belum, OnSchedule</v>
      </c>
      <c r="AC354" s="7">
        <f>'Database MK'!DA355-'Database MK'!DB355</f>
        <v>6</v>
      </c>
      <c r="AD354" s="7">
        <f>'Database MK'!DA355-'Database MK'!DF355</f>
        <v>-1</v>
      </c>
      <c r="AE354" s="7">
        <f>'Database MK'!DK355-'Database MK'!DL355</f>
        <v>-26</v>
      </c>
      <c r="AF354" s="7">
        <f>'Database MK'!DK355-'Database MK'!DO355</f>
        <v>-67.291666666664241</v>
      </c>
      <c r="AG354" s="7">
        <f>'Database MK'!DU355-'Database MK'!DW355</f>
        <v>-47</v>
      </c>
      <c r="AH354" s="7" t="str">
        <f>IF('Database MK'!EB355="","Belum",'Database MK'!DU355-'Database MK'!EB355)</f>
        <v>Belum</v>
      </c>
      <c r="AI354" s="7" t="str">
        <f>IF('Database MK'!EN355="","Belum",'Database MK'!EL355-'Database MK'!EN355)</f>
        <v>Belum</v>
      </c>
      <c r="AJ354" s="7">
        <f>'Database MK'!FY355-'Database MK'!FZ355</f>
        <v>39</v>
      </c>
      <c r="AK354" s="7">
        <f>IF('Database MK'!GC355="","Belum",'Database MK'!GB355-'Database MK'!GC355)</f>
        <v>-92</v>
      </c>
      <c r="AL354" s="7">
        <f>IF('Database MK'!GF355="","Belum",'Database MK'!GE355-'Database MK'!GF355)</f>
        <v>-85</v>
      </c>
      <c r="AM354" s="309">
        <f>IF('Database MK'!GJ355="","Belum",'Database MK'!GI355-'Database MK'!GJ355)</f>
        <v>-78</v>
      </c>
      <c r="AN354" s="7" t="str">
        <f>IF('Database MK'!HG355="","Belum",'Database MK'!HF355-'Database MK'!HG355)</f>
        <v>Belum</v>
      </c>
      <c r="AO354" s="7" t="str">
        <f>IF('Database MK'!HP355="","Belum",'Database MK'!HN355-'Database MK'!HP355)</f>
        <v>Belum</v>
      </c>
      <c r="AP354" s="7" t="str">
        <f>IF('Database MK'!HV355="","Belum",'Database MK'!HT355-'Database MK'!HV355)</f>
        <v>Belum</v>
      </c>
    </row>
    <row r="355" spans="2:42" hidden="1" x14ac:dyDescent="0.2">
      <c r="B355" s="7">
        <f>SUBTOTAL(3,$C$4:C355)</f>
        <v>74</v>
      </c>
      <c r="C355" s="299" t="s">
        <v>244</v>
      </c>
      <c r="D355" s="299" t="s">
        <v>2828</v>
      </c>
      <c r="E355" s="4" t="s">
        <v>2829</v>
      </c>
      <c r="F355" s="300">
        <v>46296</v>
      </c>
      <c r="G355" s="4" t="s">
        <v>247</v>
      </c>
      <c r="H355" s="4" t="str">
        <f ca="1">'Database MK'!Q356</f>
        <v>MC-0</v>
      </c>
      <c r="I355" s="24">
        <f>'Database MK'!S356</f>
        <v>0.98294663915627167</v>
      </c>
      <c r="J355" s="24">
        <f>'Database MK'!T356</f>
        <v>4.6856345269157822E-2</v>
      </c>
      <c r="K355" s="603">
        <f>'Database MK'!U356</f>
        <v>-0.93609029388711384</v>
      </c>
      <c r="L355" s="593">
        <f>'Database MK'!V356</f>
        <v>0</v>
      </c>
      <c r="M355" s="593">
        <f>'Database MK'!W356</f>
        <v>0</v>
      </c>
      <c r="N355" s="593">
        <f>Table3[[#This Row],[Total Panjang Pipa Aktual]]-Table3[[#This Row],[Volume
BA MC-0]]</f>
        <v>0</v>
      </c>
      <c r="O355" s="7" t="str">
        <f ca="1">'Database MK'!DE356</f>
        <v>Sudah, Delay</v>
      </c>
      <c r="P355" s="7" t="str">
        <f ca="1">'Database MK'!DI356</f>
        <v>Sudah, Delay</v>
      </c>
      <c r="Q355" s="7" t="str">
        <f ca="1">'Database MK'!DN356</f>
        <v>Sudah, Delay</v>
      </c>
      <c r="R355" s="7" t="str">
        <f ca="1">'Database MK'!DR356</f>
        <v>Sudah, Delay</v>
      </c>
      <c r="S355" s="7" t="str">
        <f ca="1">'Database MK'!EA356</f>
        <v>Sudah, Delay</v>
      </c>
      <c r="T355" s="7" t="str">
        <f ca="1">'Database MK'!EI356</f>
        <v>Belum, Delay</v>
      </c>
      <c r="U355" s="7" t="str">
        <f ca="1">'Database MK'!ET356</f>
        <v>Belum, Delay</v>
      </c>
      <c r="V355" s="7" t="str">
        <f ca="1">'Database MK'!GA356</f>
        <v>Sudah, Delay</v>
      </c>
      <c r="W355" s="7" t="str">
        <f ca="1">'Database MK'!GD356</f>
        <v>Sudah, Delay</v>
      </c>
      <c r="X355" s="7" t="str">
        <f ca="1">'Database MK'!GG356</f>
        <v>Sudah, Delay</v>
      </c>
      <c r="Y355" s="7" t="str">
        <f ca="1">'Database MK'!GK356</f>
        <v>Sudah, Delay</v>
      </c>
      <c r="Z355" s="7" t="str">
        <f ca="1">'Database MK'!HH356</f>
        <v>Belum, Delay</v>
      </c>
      <c r="AA355" s="7" t="str">
        <f ca="1">'Database MK'!HQ356</f>
        <v>Belum, OnSchedule</v>
      </c>
      <c r="AB355" s="7" t="str">
        <f ca="1">'Database MK'!HW356</f>
        <v>Belum, OnSchedule</v>
      </c>
      <c r="AC355" s="7">
        <f>'Database MK'!DA356-'Database MK'!DB356</f>
        <v>-43</v>
      </c>
      <c r="AD355" s="7">
        <f>'Database MK'!DA356-'Database MK'!DF356</f>
        <v>-57</v>
      </c>
      <c r="AE355" s="7">
        <f>'Database MK'!DK356-'Database MK'!DL356</f>
        <v>-30</v>
      </c>
      <c r="AF355" s="7">
        <f>'Database MK'!DK356-'Database MK'!DO356</f>
        <v>-67.291666666664241</v>
      </c>
      <c r="AG355" s="7">
        <f>'Database MK'!DU356-'Database MK'!DW356</f>
        <v>-66</v>
      </c>
      <c r="AH355" s="7" t="str">
        <f>IF('Database MK'!EB356="","Belum",'Database MK'!DU356-'Database MK'!EB356)</f>
        <v>Belum</v>
      </c>
      <c r="AI355" s="7" t="str">
        <f>IF('Database MK'!EN356="","Belum",'Database MK'!EL356-'Database MK'!EN356)</f>
        <v>Belum</v>
      </c>
      <c r="AJ355" s="7">
        <f>'Database MK'!FY356-'Database MK'!FZ356</f>
        <v>-44</v>
      </c>
      <c r="AK355" s="7">
        <f>IF('Database MK'!GC356="","Belum",'Database MK'!GB356-'Database MK'!GC356)</f>
        <v>-92</v>
      </c>
      <c r="AL355" s="7">
        <f>IF('Database MK'!GF356="","Belum",'Database MK'!GE356-'Database MK'!GF356)</f>
        <v>-85</v>
      </c>
      <c r="AM355" s="309">
        <f>IF('Database MK'!GJ356="","Belum",'Database MK'!GI356-'Database MK'!GJ356)</f>
        <v>-87</v>
      </c>
      <c r="AN355" s="7" t="str">
        <f>IF('Database MK'!HG356="","Belum",'Database MK'!HF356-'Database MK'!HG356)</f>
        <v>Belum</v>
      </c>
      <c r="AO355" s="7" t="str">
        <f>IF('Database MK'!HP356="","Belum",'Database MK'!HN356-'Database MK'!HP356)</f>
        <v>Belum</v>
      </c>
      <c r="AP355" s="7" t="str">
        <f>IF('Database MK'!HV356="","Belum",'Database MK'!HT356-'Database MK'!HV356)</f>
        <v>Belum</v>
      </c>
    </row>
    <row r="356" spans="2:42" hidden="1" x14ac:dyDescent="0.2">
      <c r="B356" s="7">
        <f>SUBTOTAL(3,$C$4:C356)</f>
        <v>74</v>
      </c>
      <c r="C356" s="299" t="s">
        <v>244</v>
      </c>
      <c r="D356" s="299" t="s">
        <v>2834</v>
      </c>
      <c r="E356" s="4" t="s">
        <v>2835</v>
      </c>
      <c r="F356" s="300">
        <v>46296</v>
      </c>
      <c r="G356" s="4" t="s">
        <v>247</v>
      </c>
      <c r="H356" s="4" t="str">
        <f ca="1">'Database MK'!Q357</f>
        <v>MC-0</v>
      </c>
      <c r="I356" s="24">
        <f>'Database MK'!S357</f>
        <v>0.98043996379869913</v>
      </c>
      <c r="J356" s="24">
        <f>'Database MK'!T357</f>
        <v>6.3111741538165636E-2</v>
      </c>
      <c r="K356" s="603">
        <f>'Database MK'!U357</f>
        <v>-0.91732822226053345</v>
      </c>
      <c r="L356" s="593">
        <f>'Database MK'!V357</f>
        <v>1681.3</v>
      </c>
      <c r="M356" s="593">
        <f>'Database MK'!W357</f>
        <v>0</v>
      </c>
      <c r="N356" s="593">
        <f>Table3[[#This Row],[Total Panjang Pipa Aktual]]-Table3[[#This Row],[Volume
BA MC-0]]</f>
        <v>-1681.3</v>
      </c>
      <c r="O356" s="7" t="str">
        <f ca="1">'Database MK'!DE357</f>
        <v>Sudah, Delay</v>
      </c>
      <c r="P356" s="7" t="str">
        <f ca="1">'Database MK'!DI357</f>
        <v>Sudah, Delay</v>
      </c>
      <c r="Q356" s="7" t="str">
        <f ca="1">'Database MK'!DN357</f>
        <v>Sudah, Delay</v>
      </c>
      <c r="R356" s="7" t="str">
        <f ca="1">'Database MK'!DR357</f>
        <v>Sudah, Delay</v>
      </c>
      <c r="S356" s="7" t="str">
        <f ca="1">'Database MK'!EA357</f>
        <v>Sudah, Delay</v>
      </c>
      <c r="T356" s="7" t="str">
        <f ca="1">'Database MK'!EI357</f>
        <v>Belum, Delay</v>
      </c>
      <c r="U356" s="7" t="str">
        <f ca="1">'Database MK'!ET357</f>
        <v>Belum, Delay</v>
      </c>
      <c r="V356" s="7" t="str">
        <f ca="1">'Database MK'!GA357</f>
        <v>Sudah, Delay</v>
      </c>
      <c r="W356" s="7" t="str">
        <f ca="1">'Database MK'!GD357</f>
        <v>Sudah, Delay</v>
      </c>
      <c r="X356" s="7" t="str">
        <f ca="1">'Database MK'!GG357</f>
        <v>Sudah, Delay</v>
      </c>
      <c r="Y356" s="7" t="str">
        <f ca="1">'Database MK'!GK357</f>
        <v>Sudah, Delay</v>
      </c>
      <c r="Z356" s="7" t="str">
        <f ca="1">'Database MK'!HH357</f>
        <v>Belum, Delay</v>
      </c>
      <c r="AA356" s="7" t="str">
        <f ca="1">'Database MK'!HQ357</f>
        <v>Belum, OnSchedule</v>
      </c>
      <c r="AB356" s="7" t="str">
        <f ca="1">'Database MK'!HW357</f>
        <v>Belum, OnSchedule</v>
      </c>
      <c r="AC356" s="7">
        <f>'Database MK'!DA357-'Database MK'!DB357</f>
        <v>-43</v>
      </c>
      <c r="AD356" s="7">
        <f>'Database MK'!DA357-'Database MK'!DF357</f>
        <v>-57</v>
      </c>
      <c r="AE356" s="7">
        <f>'Database MK'!DK357-'Database MK'!DL357</f>
        <v>-31</v>
      </c>
      <c r="AF356" s="7">
        <f>'Database MK'!DK357-'Database MK'!DO357</f>
        <v>-66</v>
      </c>
      <c r="AG356" s="7">
        <f>'Database MK'!DU357-'Database MK'!DW357</f>
        <v>-52</v>
      </c>
      <c r="AH356" s="7" t="str">
        <f>IF('Database MK'!EB357="","Belum",'Database MK'!DU357-'Database MK'!EB357)</f>
        <v>Belum</v>
      </c>
      <c r="AI356" s="7" t="str">
        <f>IF('Database MK'!EN357="","Belum",'Database MK'!EL357-'Database MK'!EN357)</f>
        <v>Belum</v>
      </c>
      <c r="AJ356" s="7">
        <f>'Database MK'!FY357-'Database MK'!FZ357</f>
        <v>-44</v>
      </c>
      <c r="AK356" s="7">
        <f>IF('Database MK'!GC357="","Belum",'Database MK'!GB357-'Database MK'!GC357)</f>
        <v>-93</v>
      </c>
      <c r="AL356" s="7">
        <f>IF('Database MK'!GF357="","Belum",'Database MK'!GE357-'Database MK'!GF357)</f>
        <v>-86</v>
      </c>
      <c r="AM356" s="309">
        <f>IF('Database MK'!GJ357="","Belum",'Database MK'!GI357-'Database MK'!GJ357)</f>
        <v>-79</v>
      </c>
      <c r="AN356" s="7" t="str">
        <f>IF('Database MK'!HG357="","Belum",'Database MK'!HF357-'Database MK'!HG357)</f>
        <v>Belum</v>
      </c>
      <c r="AO356" s="7" t="str">
        <f>IF('Database MK'!HP357="","Belum",'Database MK'!HN357-'Database MK'!HP357)</f>
        <v>Belum</v>
      </c>
      <c r="AP356" s="7" t="str">
        <f>IF('Database MK'!HV357="","Belum",'Database MK'!HT357-'Database MK'!HV357)</f>
        <v>Belum</v>
      </c>
    </row>
    <row r="357" spans="2:42" hidden="1" x14ac:dyDescent="0.2">
      <c r="B357" s="7">
        <f>SUBTOTAL(3,$C$4:C357)</f>
        <v>74</v>
      </c>
      <c r="C357" s="299" t="s">
        <v>244</v>
      </c>
      <c r="D357" s="299" t="s">
        <v>2841</v>
      </c>
      <c r="E357" s="4" t="s">
        <v>2842</v>
      </c>
      <c r="F357" s="300">
        <v>46296</v>
      </c>
      <c r="G357" s="4" t="s">
        <v>247</v>
      </c>
      <c r="H357" s="4" t="str">
        <f ca="1">'Database MK'!Q358</f>
        <v>MC-0</v>
      </c>
      <c r="I357" s="24">
        <f>'Database MK'!S358</f>
        <v>0.97991445784549469</v>
      </c>
      <c r="J357" s="24">
        <f>'Database MK'!T358</f>
        <v>3.0464458736511119E-2</v>
      </c>
      <c r="K357" s="603">
        <f>'Database MK'!U358</f>
        <v>-0.94944999910898353</v>
      </c>
      <c r="L357" s="593">
        <f>'Database MK'!V358</f>
        <v>659.5</v>
      </c>
      <c r="M357" s="593">
        <f>'Database MK'!W358</f>
        <v>0</v>
      </c>
      <c r="N357" s="593">
        <f>Table3[[#This Row],[Total Panjang Pipa Aktual]]-Table3[[#This Row],[Volume
BA MC-0]]</f>
        <v>-659.5</v>
      </c>
      <c r="O357" s="7" t="str">
        <f ca="1">'Database MK'!DE358</f>
        <v>Sudah, Delay</v>
      </c>
      <c r="P357" s="7" t="str">
        <f ca="1">'Database MK'!DI358</f>
        <v>Sudah, Delay</v>
      </c>
      <c r="Q357" s="7" t="str">
        <f ca="1">'Database MK'!DN358</f>
        <v>Sudah, Delay</v>
      </c>
      <c r="R357" s="7" t="str">
        <f ca="1">'Database MK'!DR358</f>
        <v>Sudah, Delay</v>
      </c>
      <c r="S357" s="7" t="str">
        <f ca="1">'Database MK'!EA358</f>
        <v>Sudah, Delay</v>
      </c>
      <c r="T357" s="7" t="str">
        <f ca="1">'Database MK'!EI358</f>
        <v>Belum, Delay</v>
      </c>
      <c r="U357" s="7" t="str">
        <f ca="1">'Database MK'!ET358</f>
        <v>Belum, Delay</v>
      </c>
      <c r="V357" s="7" t="str">
        <f ca="1">'Database MK'!GA358</f>
        <v>Sudah, Delay</v>
      </c>
      <c r="W357" s="7" t="str">
        <f ca="1">'Database MK'!GD358</f>
        <v>Sudah, Delay</v>
      </c>
      <c r="X357" s="7" t="str">
        <f ca="1">'Database MK'!GG358</f>
        <v>Sudah, Delay</v>
      </c>
      <c r="Y357" s="7" t="str">
        <f ca="1">'Database MK'!GK358</f>
        <v>Sudah, Delay</v>
      </c>
      <c r="Z357" s="7" t="str">
        <f ca="1">'Database MK'!HH358</f>
        <v>Belum, Delay</v>
      </c>
      <c r="AA357" s="7" t="str">
        <f ca="1">'Database MK'!HQ358</f>
        <v>Belum, OnSchedule</v>
      </c>
      <c r="AB357" s="7" t="str">
        <f ca="1">'Database MK'!HW358</f>
        <v>Belum, OnSchedule</v>
      </c>
      <c r="AC357" s="7">
        <f>'Database MK'!DA358-'Database MK'!DB358</f>
        <v>-43</v>
      </c>
      <c r="AD357" s="7">
        <f>'Database MK'!DA358-'Database MK'!DF358</f>
        <v>-72</v>
      </c>
      <c r="AE357" s="7">
        <f>'Database MK'!DK358-'Database MK'!DL358</f>
        <v>-43</v>
      </c>
      <c r="AF357" s="7">
        <f>'Database MK'!DK358-'Database MK'!DO358</f>
        <v>-66</v>
      </c>
      <c r="AG357" s="7">
        <f>'Database MK'!DU358-'Database MK'!DW358</f>
        <v>-64</v>
      </c>
      <c r="AH357" s="7" t="str">
        <f>IF('Database MK'!EB358="","Belum",'Database MK'!DU358-'Database MK'!EB358)</f>
        <v>Belum</v>
      </c>
      <c r="AI357" s="7" t="str">
        <f>IF('Database MK'!EN358="","Belum",'Database MK'!EL358-'Database MK'!EN358)</f>
        <v>Belum</v>
      </c>
      <c r="AJ357" s="7">
        <f>'Database MK'!FY358-'Database MK'!FZ358</f>
        <v>-44</v>
      </c>
      <c r="AK357" s="7">
        <f>IF('Database MK'!GC358="","Belum",'Database MK'!GB358-'Database MK'!GC358)</f>
        <v>-93</v>
      </c>
      <c r="AL357" s="7">
        <f>IF('Database MK'!GF358="","Belum",'Database MK'!GE358-'Database MK'!GF358)</f>
        <v>-86</v>
      </c>
      <c r="AM357" s="309">
        <f>IF('Database MK'!GJ358="","Belum",'Database MK'!GI358-'Database MK'!GJ358)</f>
        <v>-79</v>
      </c>
      <c r="AN357" s="7" t="str">
        <f>IF('Database MK'!HG358="","Belum",'Database MK'!HF358-'Database MK'!HG358)</f>
        <v>Belum</v>
      </c>
      <c r="AO357" s="7" t="str">
        <f>IF('Database MK'!HP358="","Belum",'Database MK'!HN358-'Database MK'!HP358)</f>
        <v>Belum</v>
      </c>
      <c r="AP357" s="7" t="str">
        <f>IF('Database MK'!HV358="","Belum",'Database MK'!HT358-'Database MK'!HV358)</f>
        <v>Belum</v>
      </c>
    </row>
    <row r="358" spans="2:42" hidden="1" x14ac:dyDescent="0.2">
      <c r="B358" s="7">
        <f>SUBTOTAL(3,$C$4:C358)</f>
        <v>74</v>
      </c>
      <c r="C358" s="299" t="s">
        <v>244</v>
      </c>
      <c r="D358" s="299" t="s">
        <v>2848</v>
      </c>
      <c r="E358" s="4" t="s">
        <v>2849</v>
      </c>
      <c r="F358" s="300">
        <v>46296</v>
      </c>
      <c r="G358" s="4" t="s">
        <v>247</v>
      </c>
      <c r="H358" s="4" t="str">
        <f ca="1">'Database MK'!Q359</f>
        <v>MC-0</v>
      </c>
      <c r="I358" s="24">
        <f>'Database MK'!S359</f>
        <v>0.97877181234552679</v>
      </c>
      <c r="J358" s="24">
        <f>'Database MK'!T359</f>
        <v>5.3324955065416353E-2</v>
      </c>
      <c r="K358" s="603">
        <f>'Database MK'!U359</f>
        <v>-0.92544685728011045</v>
      </c>
      <c r="L358" s="593">
        <f>'Database MK'!V359</f>
        <v>1800</v>
      </c>
      <c r="M358" s="593">
        <f>'Database MK'!W359</f>
        <v>0</v>
      </c>
      <c r="N358" s="593">
        <f>Table3[[#This Row],[Total Panjang Pipa Aktual]]-Table3[[#This Row],[Volume
BA MC-0]]</f>
        <v>-1800</v>
      </c>
      <c r="O358" s="7" t="str">
        <f ca="1">'Database MK'!DE359</f>
        <v>Sudah, Delay</v>
      </c>
      <c r="P358" s="7" t="str">
        <f ca="1">'Database MK'!DI359</f>
        <v>Sudah, Delay</v>
      </c>
      <c r="Q358" s="7" t="str">
        <f ca="1">'Database MK'!DN359</f>
        <v>Sudah, Delay</v>
      </c>
      <c r="R358" s="7" t="str">
        <f ca="1">'Database MK'!DR359</f>
        <v>Sudah, Delay</v>
      </c>
      <c r="S358" s="7" t="str">
        <f ca="1">'Database MK'!EA359</f>
        <v>Sudah, Delay</v>
      </c>
      <c r="T358" s="7" t="str">
        <f ca="1">'Database MK'!EI359</f>
        <v>Belum, Delay</v>
      </c>
      <c r="U358" s="7" t="str">
        <f ca="1">'Database MK'!ET359</f>
        <v>Belum, Delay</v>
      </c>
      <c r="V358" s="7" t="str">
        <f ca="1">'Database MK'!GA359</f>
        <v>Sudah, Delay</v>
      </c>
      <c r="W358" s="7" t="str">
        <f ca="1">'Database MK'!GD359</f>
        <v>Sudah, Delay</v>
      </c>
      <c r="X358" s="7" t="str">
        <f ca="1">'Database MK'!GG359</f>
        <v>Sudah, Delay</v>
      </c>
      <c r="Y358" s="7" t="str">
        <f ca="1">'Database MK'!GK359</f>
        <v>Sudah, Delay</v>
      </c>
      <c r="Z358" s="7" t="str">
        <f ca="1">'Database MK'!HH359</f>
        <v>Belum, Delay</v>
      </c>
      <c r="AA358" s="7" t="str">
        <f ca="1">'Database MK'!HQ359</f>
        <v>Belum, OnSchedule</v>
      </c>
      <c r="AB358" s="7" t="str">
        <f ca="1">'Database MK'!HW359</f>
        <v>Belum, OnSchedule</v>
      </c>
      <c r="AC358" s="7">
        <f>'Database MK'!DA359-'Database MK'!DB359</f>
        <v>-64</v>
      </c>
      <c r="AD358" s="7">
        <f>'Database MK'!DA359-'Database MK'!DF359</f>
        <v>-93</v>
      </c>
      <c r="AE358" s="7">
        <f>'Database MK'!DK359-'Database MK'!DL359</f>
        <v>-44</v>
      </c>
      <c r="AF358" s="7">
        <f>'Database MK'!DK359-'Database MK'!DO359</f>
        <v>-67.291666666664241</v>
      </c>
      <c r="AG358" s="7">
        <f>'Database MK'!DU359-'Database MK'!DW359</f>
        <v>-65</v>
      </c>
      <c r="AH358" s="7" t="str">
        <f>IF('Database MK'!EB359="","Belum",'Database MK'!DU359-'Database MK'!EB359)</f>
        <v>Belum</v>
      </c>
      <c r="AI358" s="7" t="str">
        <f>IF('Database MK'!EN359="","Belum",'Database MK'!EL359-'Database MK'!EN359)</f>
        <v>Belum</v>
      </c>
      <c r="AJ358" s="7">
        <f>'Database MK'!FY359-'Database MK'!FZ359</f>
        <v>-44</v>
      </c>
      <c r="AK358" s="7">
        <f>IF('Database MK'!GC359="","Belum",'Database MK'!GB359-'Database MK'!GC359)</f>
        <v>-92</v>
      </c>
      <c r="AL358" s="7">
        <f>IF('Database MK'!GF359="","Belum",'Database MK'!GE359-'Database MK'!GF359)</f>
        <v>-85</v>
      </c>
      <c r="AM358" s="309">
        <f>IF('Database MK'!GJ359="","Belum",'Database MK'!GI359-'Database MK'!GJ359)</f>
        <v>-79</v>
      </c>
      <c r="AN358" s="7" t="str">
        <f>IF('Database MK'!HG359="","Belum",'Database MK'!HF359-'Database MK'!HG359)</f>
        <v>Belum</v>
      </c>
      <c r="AO358" s="7" t="str">
        <f>IF('Database MK'!HP359="","Belum",'Database MK'!HN359-'Database MK'!HP359)</f>
        <v>Belum</v>
      </c>
      <c r="AP358" s="7" t="str">
        <f>IF('Database MK'!HV359="","Belum",'Database MK'!HT359-'Database MK'!HV359)</f>
        <v>Belum</v>
      </c>
    </row>
    <row r="359" spans="2:42" hidden="1" x14ac:dyDescent="0.2">
      <c r="B359" s="7">
        <f>SUBTOTAL(3,$C$4:C359)</f>
        <v>74</v>
      </c>
      <c r="C359" s="299" t="s">
        <v>244</v>
      </c>
      <c r="D359" s="299" t="s">
        <v>2856</v>
      </c>
      <c r="E359" s="4" t="s">
        <v>2857</v>
      </c>
      <c r="F359" s="300">
        <v>46296</v>
      </c>
      <c r="G359" s="4" t="s">
        <v>247</v>
      </c>
      <c r="H359" s="4" t="str">
        <f ca="1">'Database MK'!Q360</f>
        <v>MC-0</v>
      </c>
      <c r="I359" s="24">
        <f>'Database MK'!S360</f>
        <v>0.97565835607069318</v>
      </c>
      <c r="J359" s="24">
        <f>'Database MK'!T360</f>
        <v>2.3875109882788754E-2</v>
      </c>
      <c r="K359" s="603">
        <f>'Database MK'!U360</f>
        <v>-0.95178324618790444</v>
      </c>
      <c r="L359" s="593">
        <f>'Database MK'!V360</f>
        <v>758.5</v>
      </c>
      <c r="M359" s="593">
        <f>'Database MK'!W360</f>
        <v>0</v>
      </c>
      <c r="N359" s="593">
        <f>Table3[[#This Row],[Total Panjang Pipa Aktual]]-Table3[[#This Row],[Volume
BA MC-0]]</f>
        <v>-758.5</v>
      </c>
      <c r="O359" s="7" t="str">
        <f ca="1">'Database MK'!DE360</f>
        <v>Sudah, OnSchedule</v>
      </c>
      <c r="P359" s="7" t="str">
        <f ca="1">'Database MK'!DI360</f>
        <v>Sudah, Delay</v>
      </c>
      <c r="Q359" s="7" t="str">
        <f ca="1">'Database MK'!DN360</f>
        <v>Sudah, OnSchedule</v>
      </c>
      <c r="R359" s="7" t="str">
        <f ca="1">'Database MK'!DR360</f>
        <v>Sudah, Delay</v>
      </c>
      <c r="S359" s="7" t="str">
        <f ca="1">'Database MK'!EA360</f>
        <v>Sudah, OnSchedule</v>
      </c>
      <c r="T359" s="7" t="str">
        <f ca="1">'Database MK'!EI360</f>
        <v>Belum, Delay</v>
      </c>
      <c r="U359" s="7" t="str">
        <f ca="1">'Database MK'!ET360</f>
        <v>Belum, Delay</v>
      </c>
      <c r="V359" s="7" t="str">
        <f ca="1">'Database MK'!GA360</f>
        <v>Sudah, Delay</v>
      </c>
      <c r="W359" s="7" t="str">
        <f ca="1">'Database MK'!GD360</f>
        <v>Sudah, Delay</v>
      </c>
      <c r="X359" s="7" t="str">
        <f ca="1">'Database MK'!GG360</f>
        <v>Sudah, Delay</v>
      </c>
      <c r="Y359" s="7" t="str">
        <f ca="1">'Database MK'!GK360</f>
        <v>Sudah, Delay</v>
      </c>
      <c r="Z359" s="7" t="str">
        <f ca="1">'Database MK'!HH360</f>
        <v>Belum, Delay</v>
      </c>
      <c r="AA359" s="7" t="str">
        <f ca="1">'Database MK'!HQ360</f>
        <v>Belum, OnSchedule</v>
      </c>
      <c r="AB359" s="7" t="str">
        <f ca="1">'Database MK'!HW360</f>
        <v>Belum, OnSchedule</v>
      </c>
      <c r="AC359" s="7">
        <f>'Database MK'!DA360-'Database MK'!DB360</f>
        <v>69</v>
      </c>
      <c r="AD359" s="7">
        <f>'Database MK'!DA360-'Database MK'!DF360</f>
        <v>-30</v>
      </c>
      <c r="AE359" s="7">
        <f>'Database MK'!DK360-'Database MK'!DL360</f>
        <v>23</v>
      </c>
      <c r="AF359" s="7">
        <f>'Database MK'!DK360-'Database MK'!DO360</f>
        <v>-5</v>
      </c>
      <c r="AG359" s="7">
        <f>'Database MK'!DU360-'Database MK'!DW360</f>
        <v>2</v>
      </c>
      <c r="AH359" s="7" t="str">
        <f>IF('Database MK'!EB360="","Belum",'Database MK'!DU360-'Database MK'!EB360)</f>
        <v>Belum</v>
      </c>
      <c r="AI359" s="7" t="str">
        <f>IF('Database MK'!EN360="","Belum",'Database MK'!EL360-'Database MK'!EN360)</f>
        <v>Belum</v>
      </c>
      <c r="AJ359" s="7">
        <f>'Database MK'!FY360-'Database MK'!FZ360</f>
        <v>-56</v>
      </c>
      <c r="AK359" s="7">
        <f>IF('Database MK'!GC360="","Belum",'Database MK'!GB360-'Database MK'!GC360)</f>
        <v>-30</v>
      </c>
      <c r="AL359" s="7">
        <f>IF('Database MK'!GF360="","Belum",'Database MK'!GE360-'Database MK'!GF360)</f>
        <v>-23</v>
      </c>
      <c r="AM359" s="309">
        <f>IF('Database MK'!GJ360="","Belum",'Database MK'!GI360-'Database MK'!GJ360)</f>
        <v>-24</v>
      </c>
      <c r="AN359" s="7" t="str">
        <f>IF('Database MK'!HG360="","Belum",'Database MK'!HF360-'Database MK'!HG360)</f>
        <v>Belum</v>
      </c>
      <c r="AO359" s="7" t="str">
        <f>IF('Database MK'!HP360="","Belum",'Database MK'!HN360-'Database MK'!HP360)</f>
        <v>Belum</v>
      </c>
      <c r="AP359" s="7" t="str">
        <f>IF('Database MK'!HV360="","Belum",'Database MK'!HT360-'Database MK'!HV360)</f>
        <v>Belum</v>
      </c>
    </row>
    <row r="360" spans="2:42" hidden="1" x14ac:dyDescent="0.2">
      <c r="B360" s="7">
        <f>SUBTOTAL(3,$C$4:C360)</f>
        <v>74</v>
      </c>
      <c r="C360" s="299" t="s">
        <v>244</v>
      </c>
      <c r="D360" s="299" t="s">
        <v>2863</v>
      </c>
      <c r="E360" s="4" t="s">
        <v>2864</v>
      </c>
      <c r="F360" s="300">
        <v>46296</v>
      </c>
      <c r="G360" s="4" t="s">
        <v>247</v>
      </c>
      <c r="H360" s="4" t="str">
        <f ca="1">'Database MK'!Q361</f>
        <v>MC-0</v>
      </c>
      <c r="I360" s="24">
        <f>'Database MK'!S361</f>
        <v>0.97708675732251637</v>
      </c>
      <c r="J360" s="24">
        <f>'Database MK'!T361</f>
        <v>8.7389253396450539E-2</v>
      </c>
      <c r="K360" s="603">
        <f>'Database MK'!U361</f>
        <v>-0.88969750392606584</v>
      </c>
      <c r="L360" s="593">
        <f>'Database MK'!V361</f>
        <v>801.5</v>
      </c>
      <c r="M360" s="593">
        <f>'Database MK'!W361</f>
        <v>0</v>
      </c>
      <c r="N360" s="593">
        <f>Table3[[#This Row],[Total Panjang Pipa Aktual]]-Table3[[#This Row],[Volume
BA MC-0]]</f>
        <v>-801.5</v>
      </c>
      <c r="O360" s="7" t="str">
        <f ca="1">'Database MK'!DE361</f>
        <v>Sudah, OnSchedule</v>
      </c>
      <c r="P360" s="7" t="str">
        <f ca="1">'Database MK'!DI361</f>
        <v>Sudah, OnSchedule</v>
      </c>
      <c r="Q360" s="7" t="str">
        <f ca="1">'Database MK'!DN361</f>
        <v>Sudah, OnSchedule</v>
      </c>
      <c r="R360" s="7" t="str">
        <f ca="1">'Database MK'!DR361</f>
        <v>Sudah, Delay</v>
      </c>
      <c r="S360" s="7" t="str">
        <f ca="1">'Database MK'!EA361</f>
        <v>Sudah, OnSchedule</v>
      </c>
      <c r="T360" s="7" t="str">
        <f ca="1">'Database MK'!EI361</f>
        <v>Belum, Delay</v>
      </c>
      <c r="U360" s="7" t="str">
        <f ca="1">'Database MK'!ET361</f>
        <v>Belum, Delay</v>
      </c>
      <c r="V360" s="7" t="str">
        <f ca="1">'Database MK'!GA361</f>
        <v>Sudah, Delay</v>
      </c>
      <c r="W360" s="7" t="str">
        <f ca="1">'Database MK'!GD361</f>
        <v>Sudah, Delay</v>
      </c>
      <c r="X360" s="7" t="str">
        <f ca="1">'Database MK'!GG361</f>
        <v>Sudah, Delay</v>
      </c>
      <c r="Y360" s="7" t="str">
        <f ca="1">'Database MK'!GK361</f>
        <v>Sudah, Delay</v>
      </c>
      <c r="Z360" s="7" t="str">
        <f ca="1">'Database MK'!HH361</f>
        <v>Belum, Delay</v>
      </c>
      <c r="AA360" s="7" t="str">
        <f ca="1">'Database MK'!HQ361</f>
        <v>Belum, OnSchedule</v>
      </c>
      <c r="AB360" s="7" t="str">
        <f ca="1">'Database MK'!HW361</f>
        <v>Belum, OnSchedule</v>
      </c>
      <c r="AC360" s="7">
        <f>'Database MK'!DA361-'Database MK'!DB361</f>
        <v>68</v>
      </c>
      <c r="AD360" s="7">
        <f>'Database MK'!DA361-'Database MK'!DF361</f>
        <v>47</v>
      </c>
      <c r="AE360" s="7">
        <f>'Database MK'!DK361-'Database MK'!DL361</f>
        <v>32</v>
      </c>
      <c r="AF360" s="7">
        <f>'Database MK'!DK361-'Database MK'!DO361</f>
        <v>-11</v>
      </c>
      <c r="AG360" s="7">
        <f>'Database MK'!DU361-'Database MK'!DW361</f>
        <v>11</v>
      </c>
      <c r="AH360" s="7" t="str">
        <f>IF('Database MK'!EB361="","Belum",'Database MK'!DU361-'Database MK'!EB361)</f>
        <v>Belum</v>
      </c>
      <c r="AI360" s="7" t="str">
        <f>IF('Database MK'!EN361="","Belum",'Database MK'!EL361-'Database MK'!EN361)</f>
        <v>Belum</v>
      </c>
      <c r="AJ360" s="7">
        <f>'Database MK'!FY361-'Database MK'!FZ361</f>
        <v>-56</v>
      </c>
      <c r="AK360" s="7">
        <f>IF('Database MK'!GC361="","Belum",'Database MK'!GB361-'Database MK'!GC361)</f>
        <v>-29</v>
      </c>
      <c r="AL360" s="7">
        <f>IF('Database MK'!GF361="","Belum",'Database MK'!GE361-'Database MK'!GF361)</f>
        <v>-22</v>
      </c>
      <c r="AM360" s="309">
        <f>IF('Database MK'!GJ361="","Belum",'Database MK'!GI361-'Database MK'!GJ361)</f>
        <v>-17</v>
      </c>
      <c r="AN360" s="7" t="str">
        <f>IF('Database MK'!HG361="","Belum",'Database MK'!HF361-'Database MK'!HG361)</f>
        <v>Belum</v>
      </c>
      <c r="AO360" s="7" t="str">
        <f>IF('Database MK'!HP361="","Belum",'Database MK'!HN361-'Database MK'!HP361)</f>
        <v>Belum</v>
      </c>
      <c r="AP360" s="7" t="str">
        <f>IF('Database MK'!HV361="","Belum",'Database MK'!HT361-'Database MK'!HV361)</f>
        <v>Belum</v>
      </c>
    </row>
    <row r="361" spans="2:42" hidden="1" x14ac:dyDescent="0.2">
      <c r="B361" s="7">
        <f>SUBTOTAL(3,$C$4:C361)</f>
        <v>74</v>
      </c>
      <c r="C361" s="299" t="s">
        <v>244</v>
      </c>
      <c r="D361" s="299" t="s">
        <v>2871</v>
      </c>
      <c r="E361" s="4" t="s">
        <v>2872</v>
      </c>
      <c r="F361" s="300">
        <v>46296</v>
      </c>
      <c r="G361" s="4" t="s">
        <v>247</v>
      </c>
      <c r="H361" s="4" t="str">
        <f ca="1">'Database MK'!Q362</f>
        <v>MC-0</v>
      </c>
      <c r="I361" s="24">
        <f>'Database MK'!S362</f>
        <v>0.97536608604734887</v>
      </c>
      <c r="J361" s="24">
        <f>'Database MK'!T362</f>
        <v>4.6586159875590352E-2</v>
      </c>
      <c r="K361" s="603">
        <f>'Database MK'!U362</f>
        <v>-0.92877992617175853</v>
      </c>
      <c r="L361" s="593">
        <f>'Database MK'!V362</f>
        <v>479</v>
      </c>
      <c r="M361" s="593">
        <f>'Database MK'!W362</f>
        <v>0</v>
      </c>
      <c r="N361" s="593">
        <f>Table3[[#This Row],[Total Panjang Pipa Aktual]]-Table3[[#This Row],[Volume
BA MC-0]]</f>
        <v>-479</v>
      </c>
      <c r="O361" s="7" t="str">
        <f ca="1">'Database MK'!DE362</f>
        <v>Sudah, OnSchedule</v>
      </c>
      <c r="P361" s="7" t="str">
        <f ca="1">'Database MK'!DI362</f>
        <v>Sudah, Delay</v>
      </c>
      <c r="Q361" s="7" t="str">
        <f ca="1">'Database MK'!DN362</f>
        <v>Sudah, Delay</v>
      </c>
      <c r="R361" s="7" t="str">
        <f ca="1">'Database MK'!DR362</f>
        <v>Sudah, Delay</v>
      </c>
      <c r="S361" s="7" t="str">
        <f ca="1">'Database MK'!EA362</f>
        <v>Sudah, Delay</v>
      </c>
      <c r="T361" s="7" t="str">
        <f ca="1">'Database MK'!EI362</f>
        <v>Belum, Delay</v>
      </c>
      <c r="U361" s="7" t="str">
        <f ca="1">'Database MK'!ET362</f>
        <v>Belum, Delay</v>
      </c>
      <c r="V361" s="7" t="str">
        <f ca="1">'Database MK'!GA362</f>
        <v>Sudah, Delay</v>
      </c>
      <c r="W361" s="7" t="str">
        <f ca="1">'Database MK'!GD362</f>
        <v>Sudah, Delay</v>
      </c>
      <c r="X361" s="7" t="str">
        <f ca="1">'Database MK'!GG362</f>
        <v>Sudah, Delay</v>
      </c>
      <c r="Y361" s="7" t="str">
        <f ca="1">'Database MK'!GK362</f>
        <v>Sudah, Delay</v>
      </c>
      <c r="Z361" s="7" t="str">
        <f ca="1">'Database MK'!HH362</f>
        <v>Belum, Delay</v>
      </c>
      <c r="AA361" s="7" t="str">
        <f ca="1">'Database MK'!HQ362</f>
        <v>Belum, OnSchedule</v>
      </c>
      <c r="AB361" s="7" t="str">
        <f ca="1">'Database MK'!HW362</f>
        <v>Belum, OnSchedule</v>
      </c>
      <c r="AC361" s="7">
        <f>'Database MK'!DA362-'Database MK'!DB362</f>
        <v>31</v>
      </c>
      <c r="AD361" s="7">
        <f>'Database MK'!DA362-'Database MK'!DF362</f>
        <v>-17</v>
      </c>
      <c r="AE361" s="7">
        <f>'Database MK'!DK362-'Database MK'!DL362</f>
        <v>-3</v>
      </c>
      <c r="AF361" s="7">
        <f>'Database MK'!DK362-'Database MK'!DO362</f>
        <v>-40</v>
      </c>
      <c r="AG361" s="7">
        <f>'Database MK'!DU362-'Database MK'!DW362</f>
        <v>-25</v>
      </c>
      <c r="AH361" s="7" t="str">
        <f>IF('Database MK'!EB362="","Belum",'Database MK'!DU362-'Database MK'!EB362)</f>
        <v>Belum</v>
      </c>
      <c r="AI361" s="7" t="str">
        <f>IF('Database MK'!EN362="","Belum",'Database MK'!EL362-'Database MK'!EN362)</f>
        <v>Belum</v>
      </c>
      <c r="AJ361" s="7">
        <f>'Database MK'!FY362-'Database MK'!FZ362</f>
        <v>-15</v>
      </c>
      <c r="AK361" s="7">
        <f>IF('Database MK'!GC362="","Belum",'Database MK'!GB362-'Database MK'!GC362)</f>
        <v>-65</v>
      </c>
      <c r="AL361" s="7">
        <f>IF('Database MK'!GF362="","Belum",'Database MK'!GE362-'Database MK'!GF362)</f>
        <v>-58</v>
      </c>
      <c r="AM361" s="309">
        <f>IF('Database MK'!GJ362="","Belum",'Database MK'!GI362-'Database MK'!GJ362)</f>
        <v>-53</v>
      </c>
      <c r="AN361" s="7" t="str">
        <f>IF('Database MK'!HG362="","Belum",'Database MK'!HF362-'Database MK'!HG362)</f>
        <v>Belum</v>
      </c>
      <c r="AO361" s="7" t="str">
        <f>IF('Database MK'!HP362="","Belum",'Database MK'!HN362-'Database MK'!HP362)</f>
        <v>Belum</v>
      </c>
      <c r="AP361" s="7" t="str">
        <f>IF('Database MK'!HV362="","Belum",'Database MK'!HT362-'Database MK'!HV362)</f>
        <v>Belum</v>
      </c>
    </row>
    <row r="362" spans="2:42" hidden="1" x14ac:dyDescent="0.2">
      <c r="B362" s="7">
        <f>SUBTOTAL(3,$C$4:C362)</f>
        <v>74</v>
      </c>
      <c r="C362" s="299" t="s">
        <v>244</v>
      </c>
      <c r="D362" s="299" t="s">
        <v>2878</v>
      </c>
      <c r="E362" s="4" t="s">
        <v>2879</v>
      </c>
      <c r="F362" s="300">
        <v>46296</v>
      </c>
      <c r="G362" s="4" t="s">
        <v>247</v>
      </c>
      <c r="H362" s="4" t="str">
        <f ca="1">'Database MK'!Q363</f>
        <v>MC-0</v>
      </c>
      <c r="I362" s="24">
        <f>'Database MK'!S363</f>
        <v>0.97328700044952765</v>
      </c>
      <c r="J362" s="24">
        <f>'Database MK'!T363</f>
        <v>4.6965113082318058E-2</v>
      </c>
      <c r="K362" s="603">
        <f>'Database MK'!U363</f>
        <v>-0.92632188736720955</v>
      </c>
      <c r="L362" s="593">
        <f>'Database MK'!V363</f>
        <v>5239.3</v>
      </c>
      <c r="M362" s="593">
        <f>'Database MK'!W363</f>
        <v>0</v>
      </c>
      <c r="N362" s="593">
        <f>Table3[[#This Row],[Total Panjang Pipa Aktual]]-Table3[[#This Row],[Volume
BA MC-0]]</f>
        <v>-5239.3</v>
      </c>
      <c r="O362" s="7" t="str">
        <f ca="1">'Database MK'!DE363</f>
        <v>Sudah, OnSchedule</v>
      </c>
      <c r="P362" s="7" t="str">
        <f ca="1">'Database MK'!DI363</f>
        <v>Sudah, OnSchedule</v>
      </c>
      <c r="Q362" s="7" t="str">
        <f ca="1">'Database MK'!DN363</f>
        <v>Sudah, Delay</v>
      </c>
      <c r="R362" s="7" t="str">
        <f ca="1">'Database MK'!DR363</f>
        <v>Sudah, Delay</v>
      </c>
      <c r="S362" s="7" t="str">
        <f ca="1">'Database MK'!EA363</f>
        <v>Sudah, Delay</v>
      </c>
      <c r="T362" s="7" t="str">
        <f ca="1">'Database MK'!EI363</f>
        <v>Belum, Delay</v>
      </c>
      <c r="U362" s="7" t="str">
        <f ca="1">'Database MK'!ET363</f>
        <v>Belum, Delay</v>
      </c>
      <c r="V362" s="7" t="str">
        <f ca="1">'Database MK'!GA363</f>
        <v>Sudah, Delay</v>
      </c>
      <c r="W362" s="7" t="str">
        <f ca="1">'Database MK'!GD363</f>
        <v>Sudah, Delay</v>
      </c>
      <c r="X362" s="7" t="str">
        <f ca="1">'Database MK'!GG363</f>
        <v>Sudah, Delay</v>
      </c>
      <c r="Y362" s="7" t="str">
        <f ca="1">'Database MK'!GK363</f>
        <v>Sudah, Delay</v>
      </c>
      <c r="Z362" s="7" t="str">
        <f ca="1">'Database MK'!HH363</f>
        <v>Belum, Delay</v>
      </c>
      <c r="AA362" s="7" t="str">
        <f ca="1">'Database MK'!HQ363</f>
        <v>Belum, OnSchedule</v>
      </c>
      <c r="AB362" s="7" t="str">
        <f ca="1">'Database MK'!HW363</f>
        <v>Belum, OnSchedule</v>
      </c>
      <c r="AC362" s="7">
        <f>'Database MK'!DA363-'Database MK'!DB363</f>
        <v>31</v>
      </c>
      <c r="AD362" s="7">
        <f>'Database MK'!DA363-'Database MK'!DF363</f>
        <v>12</v>
      </c>
      <c r="AE362" s="7">
        <f>'Database MK'!DK363-'Database MK'!DL363</f>
        <v>-4</v>
      </c>
      <c r="AF362" s="7">
        <f>'Database MK'!DK363-'Database MK'!DO363</f>
        <v>-40</v>
      </c>
      <c r="AG362" s="7">
        <f>'Database MK'!DU363-'Database MK'!DW363</f>
        <v>-25</v>
      </c>
      <c r="AH362" s="7" t="str">
        <f>IF('Database MK'!EB363="","Belum",'Database MK'!DU363-'Database MK'!EB363)</f>
        <v>Belum</v>
      </c>
      <c r="AI362" s="7" t="str">
        <f>IF('Database MK'!EN363="","Belum",'Database MK'!EL363-'Database MK'!EN363)</f>
        <v>Belum</v>
      </c>
      <c r="AJ362" s="7">
        <f>'Database MK'!FY363-'Database MK'!FZ363</f>
        <v>-15</v>
      </c>
      <c r="AK362" s="7">
        <f>IF('Database MK'!GC363="","Belum",'Database MK'!GB363-'Database MK'!GC363)</f>
        <v>-65</v>
      </c>
      <c r="AL362" s="7">
        <f>IF('Database MK'!GF363="","Belum",'Database MK'!GE363-'Database MK'!GF363)</f>
        <v>-58</v>
      </c>
      <c r="AM362" s="309">
        <f>IF('Database MK'!GJ363="","Belum",'Database MK'!GI363-'Database MK'!GJ363)</f>
        <v>-54</v>
      </c>
      <c r="AN362" s="7" t="str">
        <f>IF('Database MK'!HG363="","Belum",'Database MK'!HF363-'Database MK'!HG363)</f>
        <v>Belum</v>
      </c>
      <c r="AO362" s="7" t="str">
        <f>IF('Database MK'!HP363="","Belum",'Database MK'!HN363-'Database MK'!HP363)</f>
        <v>Belum</v>
      </c>
      <c r="AP362" s="7" t="str">
        <f>IF('Database MK'!HV363="","Belum",'Database MK'!HT363-'Database MK'!HV363)</f>
        <v>Belum</v>
      </c>
    </row>
    <row r="363" spans="2:42" hidden="1" x14ac:dyDescent="0.2">
      <c r="B363" s="7">
        <f>SUBTOTAL(3,$C$4:C363)</f>
        <v>74</v>
      </c>
      <c r="C363" s="299" t="s">
        <v>244</v>
      </c>
      <c r="D363" s="299" t="s">
        <v>2886</v>
      </c>
      <c r="E363" s="4" t="s">
        <v>2887</v>
      </c>
      <c r="F363" s="300">
        <v>46296</v>
      </c>
      <c r="G363" s="4" t="s">
        <v>247</v>
      </c>
      <c r="H363" s="4" t="str">
        <f ca="1">'Database MK'!Q364</f>
        <v>MC-0</v>
      </c>
      <c r="I363" s="24">
        <f>'Database MK'!S364</f>
        <v>0.98190583561658817</v>
      </c>
      <c r="J363" s="24">
        <f>'Database MK'!T364</f>
        <v>3.0757397495327382E-2</v>
      </c>
      <c r="K363" s="603">
        <f>'Database MK'!U364</f>
        <v>-0.95114843812126082</v>
      </c>
      <c r="L363" s="593">
        <f>'Database MK'!V364</f>
        <v>0</v>
      </c>
      <c r="M363" s="593">
        <f>'Database MK'!W364</f>
        <v>0</v>
      </c>
      <c r="N363" s="593">
        <f>Table3[[#This Row],[Total Panjang Pipa Aktual]]-Table3[[#This Row],[Volume
BA MC-0]]</f>
        <v>0</v>
      </c>
      <c r="O363" s="7" t="str">
        <f ca="1">'Database MK'!DE364</f>
        <v>Sudah, OnSchedule</v>
      </c>
      <c r="P363" s="7" t="str">
        <f ca="1">'Database MK'!DI364</f>
        <v>Sudah, Delay</v>
      </c>
      <c r="Q363" s="7" t="str">
        <f ca="1">'Database MK'!DN364</f>
        <v>Sudah, Delay</v>
      </c>
      <c r="R363" s="7" t="str">
        <f ca="1">'Database MK'!DR364</f>
        <v>Sudah, Delay</v>
      </c>
      <c r="S363" s="7" t="str">
        <f ca="1">'Database MK'!EA364</f>
        <v>Sudah, Delay</v>
      </c>
      <c r="T363" s="7" t="str">
        <f ca="1">'Database MK'!EI364</f>
        <v>Belum, Delay</v>
      </c>
      <c r="U363" s="7" t="str">
        <f ca="1">'Database MK'!ET364</f>
        <v>Belum, Delay</v>
      </c>
      <c r="V363" s="7" t="str">
        <f ca="1">'Database MK'!GA364</f>
        <v>Sudah, OnSchedule</v>
      </c>
      <c r="W363" s="7" t="str">
        <f ca="1">'Database MK'!GD364</f>
        <v>Sudah, Delay</v>
      </c>
      <c r="X363" s="7" t="str">
        <f ca="1">'Database MK'!GG364</f>
        <v>Sudah, Delay</v>
      </c>
      <c r="Y363" s="7" t="str">
        <f ca="1">'Database MK'!GK364</f>
        <v>Sudah, Delay</v>
      </c>
      <c r="Z363" s="7" t="str">
        <f ca="1">'Database MK'!HH364</f>
        <v>Belum, Delay</v>
      </c>
      <c r="AA363" s="7" t="str">
        <f ca="1">'Database MK'!HQ364</f>
        <v>Belum, OnSchedule</v>
      </c>
      <c r="AB363" s="7" t="str">
        <f ca="1">'Database MK'!HW364</f>
        <v>Belum, OnSchedule</v>
      </c>
      <c r="AC363" s="7">
        <f>'Database MK'!DA364-'Database MK'!DB364</f>
        <v>3</v>
      </c>
      <c r="AD363" s="7">
        <f>'Database MK'!DA364-'Database MK'!DF364</f>
        <v>-16</v>
      </c>
      <c r="AE363" s="7">
        <f>'Database MK'!DK364-'Database MK'!DL364</f>
        <v>-31</v>
      </c>
      <c r="AF363" s="7">
        <f>'Database MK'!DK364-'Database MK'!DO364</f>
        <v>-66.291666666664241</v>
      </c>
      <c r="AG363" s="7">
        <f>'Database MK'!DU364-'Database MK'!DW364</f>
        <v>-52</v>
      </c>
      <c r="AH363" s="7" t="str">
        <f>IF('Database MK'!EB364="","Belum",'Database MK'!DU364-'Database MK'!EB364)</f>
        <v>Belum</v>
      </c>
      <c r="AI363" s="7" t="str">
        <f>IF('Database MK'!EN364="","Belum",'Database MK'!EL364-'Database MK'!EN364)</f>
        <v>Belum</v>
      </c>
      <c r="AJ363" s="7">
        <f>'Database MK'!FY364-'Database MK'!FZ364</f>
        <v>39</v>
      </c>
      <c r="AK363" s="7">
        <f>IF('Database MK'!GC364="","Belum",'Database MK'!GB364-'Database MK'!GC364)</f>
        <v>-98</v>
      </c>
      <c r="AL363" s="7">
        <f>IF('Database MK'!GF364="","Belum",'Database MK'!GE364-'Database MK'!GF364)</f>
        <v>-91</v>
      </c>
      <c r="AM363" s="309">
        <f>IF('Database MK'!GJ364="","Belum",'Database MK'!GI364-'Database MK'!GJ364)</f>
        <v>-92</v>
      </c>
      <c r="AN363" s="7" t="str">
        <f>IF('Database MK'!HG364="","Belum",'Database MK'!HF364-'Database MK'!HG364)</f>
        <v>Belum</v>
      </c>
      <c r="AO363" s="7" t="str">
        <f>IF('Database MK'!HP364="","Belum",'Database MK'!HN364-'Database MK'!HP364)</f>
        <v>Belum</v>
      </c>
      <c r="AP363" s="7" t="str">
        <f>IF('Database MK'!HV364="","Belum",'Database MK'!HT364-'Database MK'!HV364)</f>
        <v>Belum</v>
      </c>
    </row>
    <row r="364" spans="2:42" hidden="1" x14ac:dyDescent="0.2">
      <c r="B364" s="7">
        <f>SUBTOTAL(3,$C$4:C364)</f>
        <v>74</v>
      </c>
      <c r="C364" s="299" t="s">
        <v>244</v>
      </c>
      <c r="D364" s="299" t="s">
        <v>2895</v>
      </c>
      <c r="E364" s="4" t="s">
        <v>2896</v>
      </c>
      <c r="F364" s="300">
        <v>46296</v>
      </c>
      <c r="G364" s="4" t="s">
        <v>247</v>
      </c>
      <c r="H364" s="4" t="str">
        <f ca="1">'Database MK'!Q365</f>
        <v>MC-0</v>
      </c>
      <c r="I364" s="24">
        <f>'Database MK'!S365</f>
        <v>0.97557069255757933</v>
      </c>
      <c r="J364" s="24">
        <f>'Database MK'!T365</f>
        <v>2.0446069710954334E-2</v>
      </c>
      <c r="K364" s="603">
        <f>'Database MK'!U365</f>
        <v>-0.95512462284662503</v>
      </c>
      <c r="L364" s="593">
        <f>'Database MK'!V365</f>
        <v>3607</v>
      </c>
      <c r="M364" s="593">
        <f>'Database MK'!W365</f>
        <v>0</v>
      </c>
      <c r="N364" s="593">
        <f>Table3[[#This Row],[Total Panjang Pipa Aktual]]-Table3[[#This Row],[Volume
BA MC-0]]</f>
        <v>-3607</v>
      </c>
      <c r="O364" s="7" t="str">
        <f ca="1">'Database MK'!DE365</f>
        <v>Sudah, OnSchedule</v>
      </c>
      <c r="P364" s="7" t="str">
        <f ca="1">'Database MK'!DI365</f>
        <v>Sudah, Delay</v>
      </c>
      <c r="Q364" s="7" t="str">
        <f ca="1">'Database MK'!DN365</f>
        <v>Sudah, Delay</v>
      </c>
      <c r="R364" s="7" t="str">
        <f ca="1">'Database MK'!DR365</f>
        <v>Sudah, Delay</v>
      </c>
      <c r="S364" s="7" t="str">
        <f ca="1">'Database MK'!EA365</f>
        <v>Sudah, Delay</v>
      </c>
      <c r="T364" s="7" t="str">
        <f ca="1">'Database MK'!EI365</f>
        <v>Belum, Delay</v>
      </c>
      <c r="U364" s="7" t="str">
        <f ca="1">'Database MK'!ET365</f>
        <v>Belum, Delay</v>
      </c>
      <c r="V364" s="7" t="str">
        <f ca="1">'Database MK'!GA365</f>
        <v>Sudah, Delay</v>
      </c>
      <c r="W364" s="7" t="str">
        <f ca="1">'Database MK'!GD365</f>
        <v>Sudah, Delay</v>
      </c>
      <c r="X364" s="7" t="str">
        <f ca="1">'Database MK'!GG365</f>
        <v>Sudah, Delay</v>
      </c>
      <c r="Y364" s="7" t="str">
        <f ca="1">'Database MK'!GK365</f>
        <v>Sudah, Delay</v>
      </c>
      <c r="Z364" s="7" t="str">
        <f ca="1">'Database MK'!HH365</f>
        <v>Belum, Delay</v>
      </c>
      <c r="AA364" s="7" t="str">
        <f ca="1">'Database MK'!HQ365</f>
        <v>Belum, OnSchedule</v>
      </c>
      <c r="AB364" s="7" t="str">
        <f ca="1">'Database MK'!HW365</f>
        <v>Belum, OnSchedule</v>
      </c>
      <c r="AC364" s="7">
        <f>'Database MK'!DA365-'Database MK'!DB365</f>
        <v>20</v>
      </c>
      <c r="AD364" s="7">
        <f>'Database MK'!DA365-'Database MK'!DF365</f>
        <v>-2</v>
      </c>
      <c r="AE364" s="7">
        <f>'Database MK'!DK365-'Database MK'!DL365</f>
        <v>-3</v>
      </c>
      <c r="AF364" s="7">
        <f>'Database MK'!DK365-'Database MK'!DO365</f>
        <v>-40</v>
      </c>
      <c r="AG364" s="7">
        <f>'Database MK'!DU365-'Database MK'!DW365</f>
        <v>-24</v>
      </c>
      <c r="AH364" s="7" t="str">
        <f>IF('Database MK'!EB365="","Belum",'Database MK'!DU365-'Database MK'!EB365)</f>
        <v>Belum</v>
      </c>
      <c r="AI364" s="7" t="str">
        <f>IF('Database MK'!EN365="","Belum",'Database MK'!EL365-'Database MK'!EN365)</f>
        <v>Belum</v>
      </c>
      <c r="AJ364" s="7">
        <f>'Database MK'!FY365-'Database MK'!FZ365</f>
        <v>-15</v>
      </c>
      <c r="AK364" s="7">
        <f>IF('Database MK'!GC365="","Belum",'Database MK'!GB365-'Database MK'!GC365)</f>
        <v>-70</v>
      </c>
      <c r="AL364" s="7">
        <f>IF('Database MK'!GF365="","Belum",'Database MK'!GE365-'Database MK'!GF365)</f>
        <v>-63</v>
      </c>
      <c r="AM364" s="309">
        <f>IF('Database MK'!GJ365="","Belum",'Database MK'!GI365-'Database MK'!GJ365)</f>
        <v>-57</v>
      </c>
      <c r="AN364" s="7" t="str">
        <f>IF('Database MK'!HG365="","Belum",'Database MK'!HF365-'Database MK'!HG365)</f>
        <v>Belum</v>
      </c>
      <c r="AO364" s="7" t="str">
        <f>IF('Database MK'!HP365="","Belum",'Database MK'!HN365-'Database MK'!HP365)</f>
        <v>Belum</v>
      </c>
      <c r="AP364" s="7" t="str">
        <f>IF('Database MK'!HV365="","Belum",'Database MK'!HT365-'Database MK'!HV365)</f>
        <v>Belum</v>
      </c>
    </row>
    <row r="365" spans="2:42" hidden="1" x14ac:dyDescent="0.2">
      <c r="B365" s="7">
        <f>SUBTOTAL(3,$C$4:C365)</f>
        <v>74</v>
      </c>
      <c r="C365" s="299" t="s">
        <v>244</v>
      </c>
      <c r="D365" s="299" t="s">
        <v>2902</v>
      </c>
      <c r="E365" s="4" t="s">
        <v>2903</v>
      </c>
      <c r="F365" s="300">
        <v>46296</v>
      </c>
      <c r="G365" s="4" t="s">
        <v>247</v>
      </c>
      <c r="H365" s="4" t="str">
        <f ca="1">'Database MK'!Q366</f>
        <v>MC-0</v>
      </c>
      <c r="I365" s="24">
        <f>'Database MK'!S366</f>
        <v>0.97469893497154869</v>
      </c>
      <c r="J365" s="24">
        <f>'Database MK'!T366</f>
        <v>3.4327612783892542E-2</v>
      </c>
      <c r="K365" s="603">
        <f>'Database MK'!U366</f>
        <v>-0.94037132218765618</v>
      </c>
      <c r="L365" s="593">
        <f>'Database MK'!V366</f>
        <v>1751</v>
      </c>
      <c r="M365" s="593">
        <f>'Database MK'!W366</f>
        <v>0</v>
      </c>
      <c r="N365" s="593">
        <f>Table3[[#This Row],[Total Panjang Pipa Aktual]]-Table3[[#This Row],[Volume
BA MC-0]]</f>
        <v>-1751</v>
      </c>
      <c r="O365" s="7" t="str">
        <f ca="1">'Database MK'!DE366</f>
        <v>Sudah, OnSchedule</v>
      </c>
      <c r="P365" s="7" t="str">
        <f ca="1">'Database MK'!DI366</f>
        <v>Sudah, OnSchedule</v>
      </c>
      <c r="Q365" s="7" t="str">
        <f ca="1">'Database MK'!DN366</f>
        <v>Sudah, Delay</v>
      </c>
      <c r="R365" s="7" t="str">
        <f ca="1">'Database MK'!DR366</f>
        <v>Sudah, Delay</v>
      </c>
      <c r="S365" s="7" t="str">
        <f ca="1">'Database MK'!EA366</f>
        <v>Sudah, Delay</v>
      </c>
      <c r="T365" s="7" t="str">
        <f ca="1">'Database MK'!EI366</f>
        <v>Belum, Delay</v>
      </c>
      <c r="U365" s="7" t="str">
        <f ca="1">'Database MK'!ET366</f>
        <v>Belum, Delay</v>
      </c>
      <c r="V365" s="7" t="str">
        <f ca="1">'Database MK'!GA366</f>
        <v>Sudah, Delay</v>
      </c>
      <c r="W365" s="7" t="str">
        <f ca="1">'Database MK'!GD366</f>
        <v>Sudah, Delay</v>
      </c>
      <c r="X365" s="7" t="str">
        <f ca="1">'Database MK'!GG366</f>
        <v>Sudah, Delay</v>
      </c>
      <c r="Y365" s="7" t="str">
        <f ca="1">'Database MK'!GK366</f>
        <v>Sudah, Delay</v>
      </c>
      <c r="Z365" s="7" t="str">
        <f ca="1">'Database MK'!HH366</f>
        <v>Belum, Delay</v>
      </c>
      <c r="AA365" s="7" t="str">
        <f ca="1">'Database MK'!HQ366</f>
        <v>Belum, OnSchedule</v>
      </c>
      <c r="AB365" s="7" t="str">
        <f ca="1">'Database MK'!HW366</f>
        <v>Belum, OnSchedule</v>
      </c>
      <c r="AC365" s="7">
        <f>'Database MK'!DA366-'Database MK'!DB366</f>
        <v>20</v>
      </c>
      <c r="AD365" s="7">
        <f>'Database MK'!DA366-'Database MK'!DF366</f>
        <v>315</v>
      </c>
      <c r="AE365" s="7">
        <f>'Database MK'!DK366-'Database MK'!DL366</f>
        <v>-3</v>
      </c>
      <c r="AF365" s="7">
        <f>'Database MK'!DK366-'Database MK'!DO366</f>
        <v>-40</v>
      </c>
      <c r="AG365" s="7">
        <f>'Database MK'!DU366-'Database MK'!DW366</f>
        <v>-25</v>
      </c>
      <c r="AH365" s="7" t="str">
        <f>IF('Database MK'!EB366="","Belum",'Database MK'!DU366-'Database MK'!EB366)</f>
        <v>Belum</v>
      </c>
      <c r="AI365" s="7" t="str">
        <f>IF('Database MK'!EN366="","Belum",'Database MK'!EL366-'Database MK'!EN366)</f>
        <v>Belum</v>
      </c>
      <c r="AJ365" s="7">
        <f>'Database MK'!FY366-'Database MK'!FZ366</f>
        <v>-15</v>
      </c>
      <c r="AK365" s="7">
        <f>IF('Database MK'!GC366="","Belum",'Database MK'!GB366-'Database MK'!GC366)</f>
        <v>-70</v>
      </c>
      <c r="AL365" s="7">
        <f>IF('Database MK'!GF366="","Belum",'Database MK'!GE366-'Database MK'!GF366)</f>
        <v>-63</v>
      </c>
      <c r="AM365" s="309">
        <f>IF('Database MK'!GJ366="","Belum",'Database MK'!GI366-'Database MK'!GJ366)</f>
        <v>-57</v>
      </c>
      <c r="AN365" s="7" t="str">
        <f>IF('Database MK'!HG366="","Belum",'Database MK'!HF366-'Database MK'!HG366)</f>
        <v>Belum</v>
      </c>
      <c r="AO365" s="7" t="str">
        <f>IF('Database MK'!HP366="","Belum",'Database MK'!HN366-'Database MK'!HP366)</f>
        <v>Belum</v>
      </c>
      <c r="AP365" s="7" t="str">
        <f>IF('Database MK'!HV366="","Belum",'Database MK'!HT366-'Database MK'!HV366)</f>
        <v>Belum</v>
      </c>
    </row>
    <row r="366" spans="2:42" hidden="1" x14ac:dyDescent="0.2">
      <c r="B366" s="7">
        <f>SUBTOTAL(3,$C$4:C366)</f>
        <v>74</v>
      </c>
      <c r="C366" s="299" t="s">
        <v>244</v>
      </c>
      <c r="D366" s="299" t="s">
        <v>2909</v>
      </c>
      <c r="E366" s="4" t="s">
        <v>2910</v>
      </c>
      <c r="F366" s="300">
        <v>46296</v>
      </c>
      <c r="G366" s="4" t="s">
        <v>247</v>
      </c>
      <c r="H366" s="4" t="str">
        <f ca="1">'Database MK'!Q367</f>
        <v>MC-0</v>
      </c>
      <c r="I366" s="24">
        <f>'Database MK'!S367</f>
        <v>0.9793062626879403</v>
      </c>
      <c r="J366" s="24">
        <f>'Database MK'!T367</f>
        <v>6.6179284251258227E-2</v>
      </c>
      <c r="K366" s="603">
        <f>'Database MK'!U367</f>
        <v>-0.91312697843668211</v>
      </c>
      <c r="L366" s="593">
        <f>'Database MK'!V367</f>
        <v>24266.7</v>
      </c>
      <c r="M366" s="593">
        <f>'Database MK'!W367</f>
        <v>0</v>
      </c>
      <c r="N366" s="593">
        <f>Table3[[#This Row],[Total Panjang Pipa Aktual]]-Table3[[#This Row],[Volume
BA MC-0]]</f>
        <v>-24266.7</v>
      </c>
      <c r="O366" s="7" t="str">
        <f ca="1">'Database MK'!DE367</f>
        <v>Sudah, Delay</v>
      </c>
      <c r="P366" s="7" t="str">
        <f ca="1">'Database MK'!DI367</f>
        <v>Sudah, Delay</v>
      </c>
      <c r="Q366" s="7" t="str">
        <f ca="1">'Database MK'!DN367</f>
        <v>Sudah, Delay</v>
      </c>
      <c r="R366" s="7" t="str">
        <f ca="1">'Database MK'!DR367</f>
        <v>Sudah, Delay</v>
      </c>
      <c r="S366" s="7" t="str">
        <f ca="1">'Database MK'!EA367</f>
        <v>Sudah, Delay</v>
      </c>
      <c r="T366" s="7" t="str">
        <f ca="1">'Database MK'!EI367</f>
        <v>Belum, Delay</v>
      </c>
      <c r="U366" s="7" t="str">
        <f ca="1">'Database MK'!ET367</f>
        <v>Belum, Delay</v>
      </c>
      <c r="V366" s="7" t="str">
        <f ca="1">'Database MK'!GA367</f>
        <v>Sudah, OnSchedule</v>
      </c>
      <c r="W366" s="7" t="str">
        <f ca="1">'Database MK'!GD367</f>
        <v>Sudah, Delay</v>
      </c>
      <c r="X366" s="7" t="str">
        <f ca="1">'Database MK'!GG367</f>
        <v>Sudah, Delay</v>
      </c>
      <c r="Y366" s="7" t="str">
        <f ca="1">'Database MK'!GK367</f>
        <v>Sudah, Delay</v>
      </c>
      <c r="Z366" s="7" t="str">
        <f ca="1">'Database MK'!HH367</f>
        <v>Belum, Delay</v>
      </c>
      <c r="AA366" s="7" t="str">
        <f ca="1">'Database MK'!HQ367</f>
        <v>Belum, OnSchedule</v>
      </c>
      <c r="AB366" s="7" t="str">
        <f ca="1">'Database MK'!HW367</f>
        <v>Belum, OnSchedule</v>
      </c>
      <c r="AC366" s="7">
        <f>'Database MK'!DA367-'Database MK'!DB367</f>
        <v>-8</v>
      </c>
      <c r="AD366" s="7">
        <f>'Database MK'!DA367-'Database MK'!DF367</f>
        <v>-36</v>
      </c>
      <c r="AE366" s="7">
        <f>'Database MK'!DK367-'Database MK'!DL367</f>
        <v>-30</v>
      </c>
      <c r="AF366" s="7">
        <f>'Database MK'!DK367-'Database MK'!DO367</f>
        <v>-68</v>
      </c>
      <c r="AG366" s="7">
        <f>'Database MK'!DU367-'Database MK'!DW367</f>
        <v>-51</v>
      </c>
      <c r="AH366" s="7" t="str">
        <f>IF('Database MK'!EB367="","Belum",'Database MK'!DU367-'Database MK'!EB367)</f>
        <v>Belum</v>
      </c>
      <c r="AI366" s="7" t="str">
        <f>IF('Database MK'!EN367="","Belum",'Database MK'!EL367-'Database MK'!EN367)</f>
        <v>Belum</v>
      </c>
      <c r="AJ366" s="7">
        <f>'Database MK'!FY367-'Database MK'!FZ367</f>
        <v>39</v>
      </c>
      <c r="AK366" s="7">
        <f>IF('Database MK'!GC367="","Belum",'Database MK'!GB367-'Database MK'!GC367)</f>
        <v>-93</v>
      </c>
      <c r="AL366" s="7">
        <f>IF('Database MK'!GF367="","Belum",'Database MK'!GE367-'Database MK'!GF367)</f>
        <v>-86</v>
      </c>
      <c r="AM366" s="309">
        <f>IF('Database MK'!GJ367="","Belum",'Database MK'!GI367-'Database MK'!GJ367)</f>
        <v>-85</v>
      </c>
      <c r="AN366" s="7" t="str">
        <f>IF('Database MK'!HG367="","Belum",'Database MK'!HF367-'Database MK'!HG367)</f>
        <v>Belum</v>
      </c>
      <c r="AO366" s="7" t="str">
        <f>IF('Database MK'!HP367="","Belum",'Database MK'!HN367-'Database MK'!HP367)</f>
        <v>Belum</v>
      </c>
      <c r="AP366" s="7" t="str">
        <f>IF('Database MK'!HV367="","Belum",'Database MK'!HT367-'Database MK'!HV367)</f>
        <v>Belum</v>
      </c>
    </row>
    <row r="367" spans="2:42" hidden="1" x14ac:dyDescent="0.2">
      <c r="B367" s="7">
        <f>SUBTOTAL(3,$C$4:C367)</f>
        <v>74</v>
      </c>
      <c r="C367" s="299" t="s">
        <v>244</v>
      </c>
      <c r="D367" s="299" t="s">
        <v>2916</v>
      </c>
      <c r="E367" s="4" t="s">
        <v>2917</v>
      </c>
      <c r="F367" s="300">
        <v>46296</v>
      </c>
      <c r="G367" s="4" t="s">
        <v>247</v>
      </c>
      <c r="H367" s="4" t="str">
        <f ca="1">'Database MK'!Q368</f>
        <v>MC-0</v>
      </c>
      <c r="I367" s="24">
        <f>'Database MK'!S368</f>
        <v>0.97887162573386333</v>
      </c>
      <c r="J367" s="24">
        <f>'Database MK'!T368</f>
        <v>4.9887258871529006E-2</v>
      </c>
      <c r="K367" s="603">
        <f>'Database MK'!U368</f>
        <v>-0.92898436686233432</v>
      </c>
      <c r="L367" s="593">
        <f>'Database MK'!V368</f>
        <v>22594.799999999999</v>
      </c>
      <c r="M367" s="593">
        <f>'Database MK'!W368</f>
        <v>0</v>
      </c>
      <c r="N367" s="593">
        <f>Table3[[#This Row],[Total Panjang Pipa Aktual]]-Table3[[#This Row],[Volume
BA MC-0]]</f>
        <v>-22594.799999999999</v>
      </c>
      <c r="O367" s="7" t="str">
        <f ca="1">'Database MK'!DE368</f>
        <v>Sudah, Delay</v>
      </c>
      <c r="P367" s="7" t="str">
        <f ca="1">'Database MK'!DI368</f>
        <v>Sudah, Delay</v>
      </c>
      <c r="Q367" s="7" t="str">
        <f ca="1">'Database MK'!DN368</f>
        <v>Sudah, Delay</v>
      </c>
      <c r="R367" s="7" t="str">
        <f ca="1">'Database MK'!DR368</f>
        <v>Sudah, Delay</v>
      </c>
      <c r="S367" s="7" t="str">
        <f ca="1">'Database MK'!EA368</f>
        <v>Sudah, Delay</v>
      </c>
      <c r="T367" s="7" t="str">
        <f ca="1">'Database MK'!EI368</f>
        <v>Belum, Delay</v>
      </c>
      <c r="U367" s="7" t="str">
        <f ca="1">'Database MK'!ET368</f>
        <v>Belum, Delay</v>
      </c>
      <c r="V367" s="7" t="str">
        <f ca="1">'Database MK'!GA368</f>
        <v>Sudah, OnSchedule</v>
      </c>
      <c r="W367" s="7" t="str">
        <f ca="1">'Database MK'!GD368</f>
        <v>Sudah, Delay</v>
      </c>
      <c r="X367" s="7" t="str">
        <f ca="1">'Database MK'!GG368</f>
        <v>Sudah, Delay</v>
      </c>
      <c r="Y367" s="7" t="str">
        <f ca="1">'Database MK'!GK368</f>
        <v>Sudah, Delay</v>
      </c>
      <c r="Z367" s="7" t="str">
        <f ca="1">'Database MK'!HH368</f>
        <v>Belum, Delay</v>
      </c>
      <c r="AA367" s="7" t="str">
        <f ca="1">'Database MK'!HQ368</f>
        <v>Belum, OnSchedule</v>
      </c>
      <c r="AB367" s="7" t="str">
        <f ca="1">'Database MK'!HW368</f>
        <v>Belum, OnSchedule</v>
      </c>
      <c r="AC367" s="7">
        <f>'Database MK'!DA368-'Database MK'!DB368</f>
        <v>-9</v>
      </c>
      <c r="AD367" s="7">
        <f>'Database MK'!DA368-'Database MK'!DF368</f>
        <v>-30</v>
      </c>
      <c r="AE367" s="7">
        <f>'Database MK'!DK368-'Database MK'!DL368</f>
        <v>-33</v>
      </c>
      <c r="AF367" s="7">
        <f>'Database MK'!DK368-'Database MK'!DO368</f>
        <v>-65</v>
      </c>
      <c r="AG367" s="7">
        <f>'Database MK'!DU368-'Database MK'!DW368</f>
        <v>-54</v>
      </c>
      <c r="AH367" s="7" t="str">
        <f>IF('Database MK'!EB368="","Belum",'Database MK'!DU368-'Database MK'!EB368)</f>
        <v>Belum</v>
      </c>
      <c r="AI367" s="7" t="str">
        <f>IF('Database MK'!EN368="","Belum",'Database MK'!EL368-'Database MK'!EN368)</f>
        <v>Belum</v>
      </c>
      <c r="AJ367" s="7">
        <f>'Database MK'!FY368-'Database MK'!FZ368</f>
        <v>39</v>
      </c>
      <c r="AK367" s="7">
        <f>IF('Database MK'!GC368="","Belum",'Database MK'!GB368-'Database MK'!GC368)</f>
        <v>-93</v>
      </c>
      <c r="AL367" s="7">
        <f>IF('Database MK'!GF368="","Belum",'Database MK'!GE368-'Database MK'!GF368)</f>
        <v>-86</v>
      </c>
      <c r="AM367" s="309">
        <f>IF('Database MK'!GJ368="","Belum",'Database MK'!GI368-'Database MK'!GJ368)</f>
        <v>-86</v>
      </c>
      <c r="AN367" s="7" t="str">
        <f>IF('Database MK'!HG368="","Belum",'Database MK'!HF368-'Database MK'!HG368)</f>
        <v>Belum</v>
      </c>
      <c r="AO367" s="7" t="str">
        <f>IF('Database MK'!HP368="","Belum",'Database MK'!HN368-'Database MK'!HP368)</f>
        <v>Belum</v>
      </c>
      <c r="AP367" s="7" t="str">
        <f>IF('Database MK'!HV368="","Belum",'Database MK'!HT368-'Database MK'!HV368)</f>
        <v>Belum</v>
      </c>
    </row>
    <row r="368" spans="2:42" hidden="1" x14ac:dyDescent="0.2">
      <c r="B368" s="7">
        <f>SUBTOTAL(3,$C$4:C368)</f>
        <v>74</v>
      </c>
      <c r="C368" s="299" t="s">
        <v>244</v>
      </c>
      <c r="D368" s="4" t="s">
        <v>2924</v>
      </c>
      <c r="E368" s="4" t="s">
        <v>2925</v>
      </c>
      <c r="F368" s="300">
        <v>46296</v>
      </c>
      <c r="G368" s="4" t="s">
        <v>681</v>
      </c>
      <c r="H368" s="4" t="str">
        <f ca="1">'Database MK'!Q369</f>
        <v>MC-0</v>
      </c>
      <c r="I368" s="24">
        <f>'Database MK'!S369</f>
        <v>1.0000000000000002</v>
      </c>
      <c r="J368" s="24">
        <f>'Database MK'!T369</f>
        <v>6.4387339111755884E-2</v>
      </c>
      <c r="K368" s="603">
        <f>'Database MK'!U369</f>
        <v>-0.93561266088824435</v>
      </c>
      <c r="L368" s="593">
        <f>'Database MK'!V369</f>
        <v>0</v>
      </c>
      <c r="M368" s="593">
        <f>'Database MK'!W369</f>
        <v>0</v>
      </c>
      <c r="N368" s="593">
        <f>Table3[[#This Row],[Total Panjang Pipa Aktual]]-Table3[[#This Row],[Volume
BA MC-0]]</f>
        <v>0</v>
      </c>
      <c r="O368" s="7" t="str">
        <f ca="1">'Database MK'!DE369</f>
        <v>Sudah, OnSchedule</v>
      </c>
      <c r="P368" s="7" t="str">
        <f ca="1">'Database MK'!DI369</f>
        <v>Sudah, Delay</v>
      </c>
      <c r="Q368" s="7" t="str">
        <f ca="1">'Database MK'!DN369</f>
        <v>Sudah, OnSchedule</v>
      </c>
      <c r="R368" s="7" t="str">
        <f ca="1">'Database MK'!DR369</f>
        <v>Sudah, Delay</v>
      </c>
      <c r="S368" s="7" t="str">
        <f ca="1">'Database MK'!EA369</f>
        <v>Sudah, Delay</v>
      </c>
      <c r="T368" s="7" t="str">
        <f ca="1">'Database MK'!EI369</f>
        <v>Belum, Delay</v>
      </c>
      <c r="U368" s="7" t="str">
        <f ca="1">'Database MK'!ET369</f>
        <v>Belum, Delay</v>
      </c>
      <c r="V368" s="7" t="str">
        <f ca="1">'Database MK'!GA369</f>
        <v>Sudah, Delay</v>
      </c>
      <c r="W368" s="7" t="str">
        <f ca="1">'Database MK'!GD369</f>
        <v>Sudah, Delay</v>
      </c>
      <c r="X368" s="7" t="str">
        <f ca="1">'Database MK'!GG369</f>
        <v>Sudah, Delay</v>
      </c>
      <c r="Y368" s="7" t="str">
        <f ca="1">'Database MK'!GK369</f>
        <v>Sudah, Delay</v>
      </c>
      <c r="Z368" s="7" t="str">
        <f ca="1">'Database MK'!HH369</f>
        <v>Belum, Delay</v>
      </c>
      <c r="AA368" s="7" t="str">
        <f ca="1">'Database MK'!HQ369</f>
        <v>Belum, Delay</v>
      </c>
      <c r="AB368" s="7" t="str">
        <f ca="1">'Database MK'!HW369</f>
        <v>Belum, Delay</v>
      </c>
      <c r="AC368" s="7">
        <f>'Database MK'!DA369-'Database MK'!DB369</f>
        <v>18</v>
      </c>
      <c r="AD368" s="7">
        <f>'Database MK'!DA369-'Database MK'!DF369</f>
        <v>-3</v>
      </c>
      <c r="AE368" s="7">
        <f>'Database MK'!DK369-'Database MK'!DL369</f>
        <v>5</v>
      </c>
      <c r="AF368" s="7">
        <f>'Database MK'!DK369-'Database MK'!DO369</f>
        <v>-44</v>
      </c>
      <c r="AG368" s="7">
        <f>'Database MK'!DU369-'Database MK'!DW369</f>
        <v>-16</v>
      </c>
      <c r="AH368" s="7" t="str">
        <f>IF('Database MK'!EB369="","Belum",'Database MK'!DU369-'Database MK'!EB369)</f>
        <v>Belum</v>
      </c>
      <c r="AI368" s="7" t="str">
        <f>IF('Database MK'!EN369="","Belum",'Database MK'!EL369-'Database MK'!EN369)</f>
        <v>Belum</v>
      </c>
      <c r="AJ368" s="7">
        <f>'Database MK'!FY369-'Database MK'!FZ369</f>
        <v>-15</v>
      </c>
      <c r="AK368" s="7">
        <f>IF('Database MK'!GC369="","Belum",'Database MK'!GB369-'Database MK'!GC369)</f>
        <v>-93</v>
      </c>
      <c r="AL368" s="7">
        <f>IF('Database MK'!GF369="","Belum",'Database MK'!GE369-'Database MK'!GF369)</f>
        <v>-86</v>
      </c>
      <c r="AM368" s="309">
        <f>IF('Database MK'!GJ369="","Belum",'Database MK'!GI369-'Database MK'!GJ369)</f>
        <v>-82</v>
      </c>
      <c r="AN368" s="7" t="str">
        <f>IF('Database MK'!HG369="","Belum",'Database MK'!HF369-'Database MK'!HG369)</f>
        <v>Belum</v>
      </c>
      <c r="AO368" s="7" t="str">
        <f>IF('Database MK'!HP369="","Belum",'Database MK'!HN369-'Database MK'!HP369)</f>
        <v>Belum</v>
      </c>
      <c r="AP368" s="7" t="str">
        <f>IF('Database MK'!HV369="","Belum",'Database MK'!HT369-'Database MK'!HV369)</f>
        <v>Belum</v>
      </c>
    </row>
    <row r="369" spans="2:42" hidden="1" x14ac:dyDescent="0.2">
      <c r="B369" s="7">
        <f>SUBTOTAL(3,$C$4:C369)</f>
        <v>74</v>
      </c>
      <c r="C369" s="299" t="s">
        <v>244</v>
      </c>
      <c r="D369" s="4" t="s">
        <v>2932</v>
      </c>
      <c r="E369" s="4" t="s">
        <v>2933</v>
      </c>
      <c r="F369" s="300">
        <v>46296</v>
      </c>
      <c r="G369" s="4" t="s">
        <v>681</v>
      </c>
      <c r="H369" s="4" t="str">
        <f ca="1">'Database MK'!Q370</f>
        <v>MC-0</v>
      </c>
      <c r="I369" s="24">
        <f>'Database MK'!S370</f>
        <v>1</v>
      </c>
      <c r="J369" s="24">
        <f>'Database MK'!T370</f>
        <v>4.0866486686973222E-2</v>
      </c>
      <c r="K369" s="603">
        <f>'Database MK'!U370</f>
        <v>-0.95913351331302676</v>
      </c>
      <c r="L369" s="593">
        <f>'Database MK'!V370</f>
        <v>920</v>
      </c>
      <c r="M369" s="593">
        <f>'Database MK'!W370</f>
        <v>0</v>
      </c>
      <c r="N369" s="593">
        <f>Table3[[#This Row],[Total Panjang Pipa Aktual]]-Table3[[#This Row],[Volume
BA MC-0]]</f>
        <v>-920</v>
      </c>
      <c r="O369" s="7" t="str">
        <f ca="1">'Database MK'!DE370</f>
        <v>Sudah, OnSchedule</v>
      </c>
      <c r="P369" s="7" t="str">
        <f ca="1">'Database MK'!DI370</f>
        <v>Sudah, Delay</v>
      </c>
      <c r="Q369" s="7" t="str">
        <f ca="1">'Database MK'!DN370</f>
        <v>Sudah, OnSchedule</v>
      </c>
      <c r="R369" s="7" t="str">
        <f ca="1">'Database MK'!DR370</f>
        <v>Sudah, Delay</v>
      </c>
      <c r="S369" s="7" t="str">
        <f ca="1">'Database MK'!EA370</f>
        <v>Sudah, Delay</v>
      </c>
      <c r="T369" s="7" t="str">
        <f ca="1">'Database MK'!EI370</f>
        <v>Belum, Delay</v>
      </c>
      <c r="U369" s="7" t="str">
        <f ca="1">'Database MK'!ET370</f>
        <v>Belum, Delay</v>
      </c>
      <c r="V369" s="7" t="str">
        <f ca="1">'Database MK'!GA370</f>
        <v>Sudah, Delay</v>
      </c>
      <c r="W369" s="7" t="str">
        <f ca="1">'Database MK'!GD370</f>
        <v>Sudah, Delay</v>
      </c>
      <c r="X369" s="7" t="str">
        <f ca="1">'Database MK'!GG370</f>
        <v>Sudah, Delay</v>
      </c>
      <c r="Y369" s="7" t="str">
        <f ca="1">'Database MK'!GK370</f>
        <v>Sudah, Delay</v>
      </c>
      <c r="Z369" s="7" t="str">
        <f ca="1">'Database MK'!HH370</f>
        <v>Belum, Delay</v>
      </c>
      <c r="AA369" s="7" t="str">
        <f ca="1">'Database MK'!HQ370</f>
        <v>Belum, Delay</v>
      </c>
      <c r="AB369" s="7" t="str">
        <f ca="1">'Database MK'!HW370</f>
        <v>Belum, Delay</v>
      </c>
      <c r="AC369" s="7">
        <f>'Database MK'!DA370-'Database MK'!DB370</f>
        <v>18</v>
      </c>
      <c r="AD369" s="7">
        <f>'Database MK'!DA370-'Database MK'!DF370</f>
        <v>-2</v>
      </c>
      <c r="AE369" s="7">
        <f>'Database MK'!DK370-'Database MK'!DL370</f>
        <v>1</v>
      </c>
      <c r="AF369" s="7">
        <f>'Database MK'!DK370-'Database MK'!DO370</f>
        <v>-44</v>
      </c>
      <c r="AG369" s="7">
        <f>'Database MK'!DU370-'Database MK'!DW370</f>
        <v>-20</v>
      </c>
      <c r="AH369" s="7" t="str">
        <f>IF('Database MK'!EB370="","Belum",'Database MK'!DU370-'Database MK'!EB370)</f>
        <v>Belum</v>
      </c>
      <c r="AI369" s="7" t="str">
        <f>IF('Database MK'!EN370="","Belum",'Database MK'!EL370-'Database MK'!EN370)</f>
        <v>Belum</v>
      </c>
      <c r="AJ369" s="7">
        <f>'Database MK'!FY370-'Database MK'!FZ370</f>
        <v>-15</v>
      </c>
      <c r="AK369" s="7">
        <f>IF('Database MK'!GC370="","Belum",'Database MK'!GB370-'Database MK'!GC370)</f>
        <v>-64</v>
      </c>
      <c r="AL369" s="7">
        <f>IF('Database MK'!GF370="","Belum",'Database MK'!GE370-'Database MK'!GF370)</f>
        <v>-57</v>
      </c>
      <c r="AM369" s="309">
        <f>IF('Database MK'!GJ370="","Belum",'Database MK'!GI370-'Database MK'!GJ370)</f>
        <v>-59</v>
      </c>
      <c r="AN369" s="7" t="str">
        <f>IF('Database MK'!HG370="","Belum",'Database MK'!HF370-'Database MK'!HG370)</f>
        <v>Belum</v>
      </c>
      <c r="AO369" s="7" t="str">
        <f>IF('Database MK'!HP370="","Belum",'Database MK'!HN370-'Database MK'!HP370)</f>
        <v>Belum</v>
      </c>
      <c r="AP369" s="7" t="str">
        <f>IF('Database MK'!HV370="","Belum",'Database MK'!HT370-'Database MK'!HV370)</f>
        <v>Belum</v>
      </c>
    </row>
    <row r="370" spans="2:42" hidden="1" x14ac:dyDescent="0.2">
      <c r="B370" s="7">
        <f>SUBTOTAL(3,$C$4:C370)</f>
        <v>74</v>
      </c>
      <c r="C370" s="299" t="s">
        <v>244</v>
      </c>
      <c r="D370" s="4" t="s">
        <v>2940</v>
      </c>
      <c r="E370" s="4" t="s">
        <v>2941</v>
      </c>
      <c r="F370" s="300">
        <v>46296</v>
      </c>
      <c r="G370" s="4" t="s">
        <v>681</v>
      </c>
      <c r="H370" s="4" t="str">
        <f>'Database MK'!Q371</f>
        <v>BATAL / CANCEL</v>
      </c>
      <c r="I370" s="24">
        <f>'Database MK'!S371</f>
        <v>1.0000000000000002</v>
      </c>
      <c r="J370" s="24">
        <f>'Database MK'!T371</f>
        <v>7.0822232078847316E-2</v>
      </c>
      <c r="K370" s="603">
        <f>'Database MK'!U371</f>
        <v>-0.92917776792115292</v>
      </c>
      <c r="L370" s="593">
        <f>'Database MK'!V371</f>
        <v>0</v>
      </c>
      <c r="M370" s="593">
        <f>'Database MK'!W371</f>
        <v>0</v>
      </c>
      <c r="N370" s="593">
        <f>Table3[[#This Row],[Total Panjang Pipa Aktual]]-Table3[[#This Row],[Volume
BA MC-0]]</f>
        <v>0</v>
      </c>
      <c r="O370" s="7" t="str">
        <f ca="1">'Database MK'!DE371</f>
        <v>Sudah, OnSchedule</v>
      </c>
      <c r="P370" s="7" t="str">
        <f ca="1">'Database MK'!DI371</f>
        <v>Sudah, Delay</v>
      </c>
      <c r="Q370" s="7" t="str">
        <f ca="1">'Database MK'!DN371</f>
        <v>Sudah, OnSchedule</v>
      </c>
      <c r="R370" s="7" t="str">
        <f ca="1">'Database MK'!DR371</f>
        <v>Sudah, Delay</v>
      </c>
      <c r="S370" s="7" t="str">
        <f ca="1">'Database MK'!EA371</f>
        <v>Sudah, Delay</v>
      </c>
      <c r="T370" s="7" t="str">
        <f ca="1">'Database MK'!EI371</f>
        <v>Belum, Delay</v>
      </c>
      <c r="U370" s="7" t="str">
        <f ca="1">'Database MK'!ET371</f>
        <v>Belum, Delay</v>
      </c>
      <c r="V370" s="7" t="str">
        <f ca="1">'Database MK'!GA371</f>
        <v>Sudah, Delay</v>
      </c>
      <c r="W370" s="7" t="str">
        <f ca="1">'Database MK'!GD371</f>
        <v>Sudah, Delay</v>
      </c>
      <c r="X370" s="7" t="str">
        <f ca="1">'Database MK'!GG371</f>
        <v>Sudah, Delay</v>
      </c>
      <c r="Y370" s="7" t="str">
        <f ca="1">'Database MK'!GK371</f>
        <v>Sudah, Delay</v>
      </c>
      <c r="Z370" s="7" t="str">
        <f ca="1">'Database MK'!HH371</f>
        <v>Belum, Delay</v>
      </c>
      <c r="AA370" s="7" t="str">
        <f ca="1">'Database MK'!HQ371</f>
        <v>Belum, Delay</v>
      </c>
      <c r="AB370" s="7" t="str">
        <f ca="1">'Database MK'!HW371</f>
        <v>Belum, Delay</v>
      </c>
      <c r="AC370" s="7">
        <f>'Database MK'!DA371-'Database MK'!DB371</f>
        <v>18</v>
      </c>
      <c r="AD370" s="7">
        <f>'Database MK'!DA371-'Database MK'!DF371</f>
        <v>-3</v>
      </c>
      <c r="AE370" s="7">
        <f>'Database MK'!DK371-'Database MK'!DL371</f>
        <v>5</v>
      </c>
      <c r="AF370" s="7">
        <f>'Database MK'!DK371-'Database MK'!DO371</f>
        <v>-44</v>
      </c>
      <c r="AG370" s="7">
        <f>'Database MK'!DU371-'Database MK'!DW371</f>
        <v>-16</v>
      </c>
      <c r="AH370" s="7" t="str">
        <f>IF('Database MK'!EB371="","Belum",'Database MK'!DU371-'Database MK'!EB371)</f>
        <v>Belum</v>
      </c>
      <c r="AI370" s="7" t="str">
        <f>IF('Database MK'!EN371="","Belum",'Database MK'!EL371-'Database MK'!EN371)</f>
        <v>Belum</v>
      </c>
      <c r="AJ370" s="7">
        <f>'Database MK'!FY371-'Database MK'!FZ371</f>
        <v>-15</v>
      </c>
      <c r="AK370" s="7">
        <f>IF('Database MK'!GC371="","Belum",'Database MK'!GB371-'Database MK'!GC371)</f>
        <v>-93</v>
      </c>
      <c r="AL370" s="7">
        <f>IF('Database MK'!GF371="","Belum",'Database MK'!GE371-'Database MK'!GF371)</f>
        <v>-86</v>
      </c>
      <c r="AM370" s="309">
        <f>IF('Database MK'!GJ371="","Belum",'Database MK'!GI371-'Database MK'!GJ371)</f>
        <v>-78</v>
      </c>
      <c r="AN370" s="7" t="str">
        <f>IF('Database MK'!HG371="","Belum",'Database MK'!HF371-'Database MK'!HG371)</f>
        <v>Belum</v>
      </c>
      <c r="AO370" s="7" t="str">
        <f>IF('Database MK'!HP371="","Belum",'Database MK'!HN371-'Database MK'!HP371)</f>
        <v>Belum</v>
      </c>
      <c r="AP370" s="7" t="str">
        <f>IF('Database MK'!HV371="","Belum",'Database MK'!HT371-'Database MK'!HV371)</f>
        <v>Belum</v>
      </c>
    </row>
    <row r="371" spans="2:42" hidden="1" x14ac:dyDescent="0.2">
      <c r="B371" s="7">
        <f>SUBTOTAL(3,$C$4:C371)</f>
        <v>74</v>
      </c>
      <c r="C371" s="299" t="s">
        <v>244</v>
      </c>
      <c r="D371" s="4" t="s">
        <v>2948</v>
      </c>
      <c r="E371" s="4" t="s">
        <v>2949</v>
      </c>
      <c r="F371" s="300">
        <v>46296</v>
      </c>
      <c r="G371" s="4" t="s">
        <v>681</v>
      </c>
      <c r="H371" s="4" t="str">
        <f ca="1">'Database MK'!Q372</f>
        <v>MC-0</v>
      </c>
      <c r="I371" s="24">
        <f>'Database MK'!S372</f>
        <v>1</v>
      </c>
      <c r="J371" s="24">
        <f>'Database MK'!T372</f>
        <v>6.4639055083658359E-2</v>
      </c>
      <c r="K371" s="603">
        <f>'Database MK'!U372</f>
        <v>-0.93536094491634159</v>
      </c>
      <c r="L371" s="593">
        <f>'Database MK'!V372</f>
        <v>0</v>
      </c>
      <c r="M371" s="593">
        <f>'Database MK'!W372</f>
        <v>0</v>
      </c>
      <c r="N371" s="593">
        <f>Table3[[#This Row],[Total Panjang Pipa Aktual]]-Table3[[#This Row],[Volume
BA MC-0]]</f>
        <v>0</v>
      </c>
      <c r="O371" s="7" t="str">
        <f ca="1">'Database MK'!DE372</f>
        <v>Sudah, OnSchedule</v>
      </c>
      <c r="P371" s="7" t="str">
        <f ca="1">'Database MK'!DI372</f>
        <v>Sudah, Delay</v>
      </c>
      <c r="Q371" s="7" t="str">
        <f ca="1">'Database MK'!DN372</f>
        <v>Sudah, OnSchedule</v>
      </c>
      <c r="R371" s="7" t="str">
        <f ca="1">'Database MK'!DR372</f>
        <v>Sudah, Delay</v>
      </c>
      <c r="S371" s="7" t="str">
        <f ca="1">'Database MK'!EA372</f>
        <v>Sudah, Delay</v>
      </c>
      <c r="T371" s="7" t="str">
        <f ca="1">'Database MK'!EI372</f>
        <v>Belum, Delay</v>
      </c>
      <c r="U371" s="7" t="str">
        <f ca="1">'Database MK'!ET372</f>
        <v>Belum, Delay</v>
      </c>
      <c r="V371" s="7" t="str">
        <f ca="1">'Database MK'!GA372</f>
        <v>Sudah, Delay</v>
      </c>
      <c r="W371" s="7" t="str">
        <f ca="1">'Database MK'!GD372</f>
        <v>Sudah, Delay</v>
      </c>
      <c r="X371" s="7" t="str">
        <f ca="1">'Database MK'!GG372</f>
        <v>Sudah, Delay</v>
      </c>
      <c r="Y371" s="7" t="str">
        <f ca="1">'Database MK'!GK372</f>
        <v>Sudah, Delay</v>
      </c>
      <c r="Z371" s="7" t="str">
        <f ca="1">'Database MK'!HH372</f>
        <v>Belum, Delay</v>
      </c>
      <c r="AA371" s="7" t="str">
        <f ca="1">'Database MK'!HQ372</f>
        <v>Belum, Delay</v>
      </c>
      <c r="AB371" s="7" t="str">
        <f ca="1">'Database MK'!HW372</f>
        <v>Belum, Delay</v>
      </c>
      <c r="AC371" s="7">
        <f>'Database MK'!DA372-'Database MK'!DB372</f>
        <v>17</v>
      </c>
      <c r="AD371" s="7">
        <f>'Database MK'!DA372-'Database MK'!DF372</f>
        <v>-3</v>
      </c>
      <c r="AE371" s="7">
        <f>'Database MK'!DK372-'Database MK'!DL372</f>
        <v>5</v>
      </c>
      <c r="AF371" s="7">
        <f>'Database MK'!DK372-'Database MK'!DO372</f>
        <v>-40</v>
      </c>
      <c r="AG371" s="7">
        <f>'Database MK'!DU372-'Database MK'!DW372</f>
        <v>-16</v>
      </c>
      <c r="AH371" s="7" t="str">
        <f>IF('Database MK'!EB372="","Belum",'Database MK'!DU372-'Database MK'!EB372)</f>
        <v>Belum</v>
      </c>
      <c r="AI371" s="7" t="str">
        <f>IF('Database MK'!EN372="","Belum",'Database MK'!EL372-'Database MK'!EN372)</f>
        <v>Belum</v>
      </c>
      <c r="AJ371" s="7">
        <f>'Database MK'!FY372-'Database MK'!FZ372</f>
        <v>-15</v>
      </c>
      <c r="AK371" s="7">
        <f>IF('Database MK'!GC372="","Belum",'Database MK'!GB372-'Database MK'!GC372)</f>
        <v>-93</v>
      </c>
      <c r="AL371" s="7">
        <f>IF('Database MK'!GF372="","Belum",'Database MK'!GE372-'Database MK'!GF372)</f>
        <v>-86</v>
      </c>
      <c r="AM371" s="309">
        <f>IF('Database MK'!GJ372="","Belum",'Database MK'!GI372-'Database MK'!GJ372)</f>
        <v>-80</v>
      </c>
      <c r="AN371" s="7" t="str">
        <f>IF('Database MK'!HG372="","Belum",'Database MK'!HF372-'Database MK'!HG372)</f>
        <v>Belum</v>
      </c>
      <c r="AO371" s="7" t="str">
        <f>IF('Database MK'!HP372="","Belum",'Database MK'!HN372-'Database MK'!HP372)</f>
        <v>Belum</v>
      </c>
      <c r="AP371" s="7" t="str">
        <f>IF('Database MK'!HV372="","Belum",'Database MK'!HT372-'Database MK'!HV372)</f>
        <v>Belum</v>
      </c>
    </row>
    <row r="372" spans="2:42" hidden="1" x14ac:dyDescent="0.2">
      <c r="B372" s="7">
        <f>SUBTOTAL(3,$C$4:C372)</f>
        <v>74</v>
      </c>
      <c r="C372" s="299" t="s">
        <v>244</v>
      </c>
      <c r="D372" s="4" t="s">
        <v>2956</v>
      </c>
      <c r="E372" s="4" t="s">
        <v>2957</v>
      </c>
      <c r="F372" s="300">
        <v>46296</v>
      </c>
      <c r="G372" s="4" t="s">
        <v>681</v>
      </c>
      <c r="H372" s="4" t="str">
        <f ca="1">'Database MK'!Q373</f>
        <v>MC-0</v>
      </c>
      <c r="I372" s="24">
        <f>'Database MK'!S373</f>
        <v>1</v>
      </c>
      <c r="J372" s="24">
        <f>'Database MK'!T373</f>
        <v>8.8178517756254113E-2</v>
      </c>
      <c r="K372" s="603">
        <f>'Database MK'!U373</f>
        <v>-0.91182148224374593</v>
      </c>
      <c r="L372" s="593">
        <f>'Database MK'!V373</f>
        <v>0</v>
      </c>
      <c r="M372" s="593">
        <f>'Database MK'!W373</f>
        <v>0</v>
      </c>
      <c r="N372" s="593">
        <f>Table3[[#This Row],[Total Panjang Pipa Aktual]]-Table3[[#This Row],[Volume
BA MC-0]]</f>
        <v>0</v>
      </c>
      <c r="O372" s="7" t="str">
        <f ca="1">'Database MK'!DE373</f>
        <v>Sudah, OnSchedule</v>
      </c>
      <c r="P372" s="7" t="str">
        <f ca="1">'Database MK'!DI373</f>
        <v>Sudah, Delay</v>
      </c>
      <c r="Q372" s="7" t="str">
        <f ca="1">'Database MK'!DN373</f>
        <v>Sudah, OnSchedule</v>
      </c>
      <c r="R372" s="7" t="str">
        <f ca="1">'Database MK'!DR373</f>
        <v>Sudah, Delay</v>
      </c>
      <c r="S372" s="7" t="str">
        <f ca="1">'Database MK'!EA373</f>
        <v>Sudah, Delay</v>
      </c>
      <c r="T372" s="7" t="str">
        <f ca="1">'Database MK'!EI373</f>
        <v>Belum, Delay</v>
      </c>
      <c r="U372" s="7" t="str">
        <f ca="1">'Database MK'!ET373</f>
        <v>Belum, Delay</v>
      </c>
      <c r="V372" s="7" t="str">
        <f ca="1">'Database MK'!GA373</f>
        <v>Sudah, Delay</v>
      </c>
      <c r="W372" s="7" t="str">
        <f ca="1">'Database MK'!GD373</f>
        <v>Sudah, Delay</v>
      </c>
      <c r="X372" s="7" t="str">
        <f ca="1">'Database MK'!GG373</f>
        <v>Sudah, Delay</v>
      </c>
      <c r="Y372" s="7" t="str">
        <f ca="1">'Database MK'!GK373</f>
        <v>Sudah, Delay</v>
      </c>
      <c r="Z372" s="7" t="str">
        <f ca="1">'Database MK'!HH373</f>
        <v>Belum, Delay</v>
      </c>
      <c r="AA372" s="7" t="str">
        <f ca="1">'Database MK'!HQ373</f>
        <v>Belum, Delay</v>
      </c>
      <c r="AB372" s="7" t="str">
        <f ca="1">'Database MK'!HW373</f>
        <v>Belum, Delay</v>
      </c>
      <c r="AC372" s="7">
        <f>'Database MK'!DA373-'Database MK'!DB373</f>
        <v>17</v>
      </c>
      <c r="AD372" s="7">
        <f>'Database MK'!DA373-'Database MK'!DF373</f>
        <v>-3</v>
      </c>
      <c r="AE372" s="7">
        <f>'Database MK'!DK373-'Database MK'!DL373</f>
        <v>0</v>
      </c>
      <c r="AF372" s="7">
        <f>'Database MK'!DK373-'Database MK'!DO373</f>
        <v>-46</v>
      </c>
      <c r="AG372" s="7">
        <f>'Database MK'!DU373-'Database MK'!DW373</f>
        <v>-21</v>
      </c>
      <c r="AH372" s="7" t="str">
        <f>IF('Database MK'!EB373="","Belum",'Database MK'!DU373-'Database MK'!EB373)</f>
        <v>Belum</v>
      </c>
      <c r="AI372" s="7" t="str">
        <f>IF('Database MK'!EN373="","Belum",'Database MK'!EL373-'Database MK'!EN373)</f>
        <v>Belum</v>
      </c>
      <c r="AJ372" s="7">
        <f>'Database MK'!FY373-'Database MK'!FZ373</f>
        <v>-15</v>
      </c>
      <c r="AK372" s="7">
        <f>IF('Database MK'!GC373="","Belum",'Database MK'!GB373-'Database MK'!GC373)</f>
        <v>-93</v>
      </c>
      <c r="AL372" s="7">
        <f>IF('Database MK'!GF373="","Belum",'Database MK'!GE373-'Database MK'!GF373)</f>
        <v>-86</v>
      </c>
      <c r="AM372" s="309">
        <f>IF('Database MK'!GJ373="","Belum",'Database MK'!GI373-'Database MK'!GJ373)</f>
        <v>-79</v>
      </c>
      <c r="AN372" s="7" t="str">
        <f>IF('Database MK'!HG373="","Belum",'Database MK'!HF373-'Database MK'!HG373)</f>
        <v>Belum</v>
      </c>
      <c r="AO372" s="7" t="str">
        <f>IF('Database MK'!HP373="","Belum",'Database MK'!HN373-'Database MK'!HP373)</f>
        <v>Belum</v>
      </c>
      <c r="AP372" s="7" t="str">
        <f>IF('Database MK'!HV373="","Belum",'Database MK'!HT373-'Database MK'!HV373)</f>
        <v>Belum</v>
      </c>
    </row>
    <row r="373" spans="2:42" hidden="1" x14ac:dyDescent="0.2">
      <c r="B373" s="7">
        <f>SUBTOTAL(3,$C$4:C373)</f>
        <v>74</v>
      </c>
      <c r="C373" s="299" t="s">
        <v>244</v>
      </c>
      <c r="D373" s="4" t="s">
        <v>2964</v>
      </c>
      <c r="E373" s="4" t="s">
        <v>2965</v>
      </c>
      <c r="F373" s="300">
        <v>46296</v>
      </c>
      <c r="G373" s="4" t="s">
        <v>681</v>
      </c>
      <c r="H373" s="4" t="str">
        <f ca="1">'Database MK'!Q374</f>
        <v>MC-0</v>
      </c>
      <c r="I373" s="24">
        <f>'Database MK'!S374</f>
        <v>0.99999999999999989</v>
      </c>
      <c r="J373" s="24">
        <f>'Database MK'!T374</f>
        <v>0.11540202893979591</v>
      </c>
      <c r="K373" s="603">
        <f>'Database MK'!U374</f>
        <v>-0.88459797106020399</v>
      </c>
      <c r="L373" s="593">
        <f>'Database MK'!V374</f>
        <v>0</v>
      </c>
      <c r="M373" s="593">
        <f>'Database MK'!W374</f>
        <v>0</v>
      </c>
      <c r="N373" s="593">
        <f>Table3[[#This Row],[Total Panjang Pipa Aktual]]-Table3[[#This Row],[Volume
BA MC-0]]</f>
        <v>0</v>
      </c>
      <c r="O373" s="7" t="str">
        <f ca="1">'Database MK'!DE374</f>
        <v>Sudah, OnSchedule</v>
      </c>
      <c r="P373" s="7" t="str">
        <f ca="1">'Database MK'!DI374</f>
        <v>Sudah, Delay</v>
      </c>
      <c r="Q373" s="7" t="str">
        <f ca="1">'Database MK'!DN374</f>
        <v>Sudah, OnSchedule</v>
      </c>
      <c r="R373" s="7" t="str">
        <f ca="1">'Database MK'!DR374</f>
        <v>Sudah, Delay</v>
      </c>
      <c r="S373" s="7" t="str">
        <f ca="1">'Database MK'!EA374</f>
        <v>Sudah, Delay</v>
      </c>
      <c r="T373" s="7" t="str">
        <f ca="1">'Database MK'!EI374</f>
        <v>Belum, Delay</v>
      </c>
      <c r="U373" s="7" t="str">
        <f ca="1">'Database MK'!ET374</f>
        <v>Belum, Delay</v>
      </c>
      <c r="V373" s="7" t="str">
        <f ca="1">'Database MK'!GA374</f>
        <v>Sudah, Delay</v>
      </c>
      <c r="W373" s="7" t="str">
        <f ca="1">'Database MK'!GD374</f>
        <v>Sudah, Delay</v>
      </c>
      <c r="X373" s="7" t="str">
        <f ca="1">'Database MK'!GG374</f>
        <v>Sudah, Delay</v>
      </c>
      <c r="Y373" s="7" t="str">
        <f ca="1">'Database MK'!GK374</f>
        <v>Sudah, Delay</v>
      </c>
      <c r="Z373" s="7" t="str">
        <f ca="1">'Database MK'!HH374</f>
        <v>Belum, Delay</v>
      </c>
      <c r="AA373" s="7" t="str">
        <f ca="1">'Database MK'!HQ374</f>
        <v>Belum, Delay</v>
      </c>
      <c r="AB373" s="7" t="str">
        <f ca="1">'Database MK'!HW374</f>
        <v>Belum, Delay</v>
      </c>
      <c r="AC373" s="7">
        <f>'Database MK'!DA374-'Database MK'!DB374</f>
        <v>17</v>
      </c>
      <c r="AD373" s="7">
        <f>'Database MK'!DA374-'Database MK'!DF374</f>
        <v>-15</v>
      </c>
      <c r="AE373" s="7">
        <f>'Database MK'!DK374-'Database MK'!DL374</f>
        <v>0</v>
      </c>
      <c r="AF373" s="7">
        <f>'Database MK'!DK374-'Database MK'!DO374</f>
        <v>-46</v>
      </c>
      <c r="AG373" s="7">
        <f>'Database MK'!DU374-'Database MK'!DW374</f>
        <v>-21</v>
      </c>
      <c r="AH373" s="7" t="str">
        <f>IF('Database MK'!EB374="","Belum",'Database MK'!DU374-'Database MK'!EB374)</f>
        <v>Belum</v>
      </c>
      <c r="AI373" s="7" t="str">
        <f>IF('Database MK'!EN374="","Belum",'Database MK'!EL374-'Database MK'!EN374)</f>
        <v>Belum</v>
      </c>
      <c r="AJ373" s="7">
        <f>'Database MK'!FY374-'Database MK'!FZ374</f>
        <v>-15</v>
      </c>
      <c r="AK373" s="7">
        <f>IF('Database MK'!GC374="","Belum",'Database MK'!GB374-'Database MK'!GC374)</f>
        <v>-93</v>
      </c>
      <c r="AL373" s="7">
        <f>IF('Database MK'!GF374="","Belum",'Database MK'!GE374-'Database MK'!GF374)</f>
        <v>-86</v>
      </c>
      <c r="AM373" s="309">
        <f>IF('Database MK'!GJ374="","Belum",'Database MK'!GI374-'Database MK'!GJ374)</f>
        <v>-79</v>
      </c>
      <c r="AN373" s="7" t="str">
        <f>IF('Database MK'!HG374="","Belum",'Database MK'!HF374-'Database MK'!HG374)</f>
        <v>Belum</v>
      </c>
      <c r="AO373" s="7" t="str">
        <f>IF('Database MK'!HP374="","Belum",'Database MK'!HN374-'Database MK'!HP374)</f>
        <v>Belum</v>
      </c>
      <c r="AP373" s="7" t="str">
        <f>IF('Database MK'!HV374="","Belum",'Database MK'!HT374-'Database MK'!HV374)</f>
        <v>Belum</v>
      </c>
    </row>
    <row r="374" spans="2:42" hidden="1" x14ac:dyDescent="0.2">
      <c r="B374" s="7">
        <f>SUBTOTAL(3,$C$4:C374)</f>
        <v>74</v>
      </c>
      <c r="C374" s="299" t="s">
        <v>244</v>
      </c>
      <c r="D374" s="4" t="s">
        <v>2972</v>
      </c>
      <c r="E374" s="4" t="s">
        <v>2973</v>
      </c>
      <c r="F374" s="300">
        <v>46296</v>
      </c>
      <c r="G374" s="4" t="s">
        <v>681</v>
      </c>
      <c r="H374" s="4" t="str">
        <f ca="1">'Database MK'!Q375</f>
        <v>MC-0</v>
      </c>
      <c r="I374" s="24">
        <f>'Database MK'!S375</f>
        <v>1.0000000000000002</v>
      </c>
      <c r="J374" s="24">
        <f>'Database MK'!T375</f>
        <v>7.4970633073719484E-2</v>
      </c>
      <c r="K374" s="603">
        <f>'Database MK'!U375</f>
        <v>-0.92502936692628079</v>
      </c>
      <c r="L374" s="593">
        <f>'Database MK'!V375</f>
        <v>0</v>
      </c>
      <c r="M374" s="593">
        <f>'Database MK'!W375</f>
        <v>0</v>
      </c>
      <c r="N374" s="593">
        <f>Table3[[#This Row],[Total Panjang Pipa Aktual]]-Table3[[#This Row],[Volume
BA MC-0]]</f>
        <v>0</v>
      </c>
      <c r="O374" s="7" t="str">
        <f ca="1">'Database MK'!DE375</f>
        <v>Sudah, OnSchedule</v>
      </c>
      <c r="P374" s="7" t="str">
        <f ca="1">'Database MK'!DI375</f>
        <v>Sudah, Delay</v>
      </c>
      <c r="Q374" s="7" t="str">
        <f ca="1">'Database MK'!DN375</f>
        <v>Sudah, Delay</v>
      </c>
      <c r="R374" s="7" t="str">
        <f ca="1">'Database MK'!DR375</f>
        <v>Sudah, Delay</v>
      </c>
      <c r="S374" s="7" t="str">
        <f ca="1">'Database MK'!EA375</f>
        <v>Sudah, Delay</v>
      </c>
      <c r="T374" s="7" t="str">
        <f ca="1">'Database MK'!EI375</f>
        <v>Belum, Delay</v>
      </c>
      <c r="U374" s="7" t="str">
        <f ca="1">'Database MK'!ET375</f>
        <v>Belum, Delay</v>
      </c>
      <c r="V374" s="7" t="str">
        <f ca="1">'Database MK'!GA375</f>
        <v>Sudah, Delay</v>
      </c>
      <c r="W374" s="7" t="str">
        <f ca="1">'Database MK'!GD375</f>
        <v>Sudah, Delay</v>
      </c>
      <c r="X374" s="7" t="str">
        <f ca="1">'Database MK'!GG375</f>
        <v>Sudah, Delay</v>
      </c>
      <c r="Y374" s="7" t="str">
        <f ca="1">'Database MK'!GK375</f>
        <v>Sudah, Delay</v>
      </c>
      <c r="Z374" s="7" t="str">
        <f ca="1">'Database MK'!HH375</f>
        <v>Belum, Delay</v>
      </c>
      <c r="AA374" s="7" t="str">
        <f ca="1">'Database MK'!HQ375</f>
        <v>Belum, Delay</v>
      </c>
      <c r="AB374" s="7" t="str">
        <f ca="1">'Database MK'!HW375</f>
        <v>Belum, Delay</v>
      </c>
      <c r="AC374" s="7">
        <f>'Database MK'!DA375-'Database MK'!DB375</f>
        <v>17</v>
      </c>
      <c r="AD374" s="7">
        <f>'Database MK'!DA375-'Database MK'!DF375</f>
        <v>-3</v>
      </c>
      <c r="AE374" s="7">
        <f>'Database MK'!DK375-'Database MK'!DL375</f>
        <v>-1</v>
      </c>
      <c r="AF374" s="7">
        <f>'Database MK'!DK375-'Database MK'!DO375</f>
        <v>-46</v>
      </c>
      <c r="AG374" s="7">
        <f>'Database MK'!DU375-'Database MK'!DW375</f>
        <v>-22</v>
      </c>
      <c r="AH374" s="7" t="str">
        <f>IF('Database MK'!EB375="","Belum",'Database MK'!DU375-'Database MK'!EB375)</f>
        <v>Belum</v>
      </c>
      <c r="AI374" s="7" t="str">
        <f>IF('Database MK'!EN375="","Belum",'Database MK'!EL375-'Database MK'!EN375)</f>
        <v>Belum</v>
      </c>
      <c r="AJ374" s="7">
        <f>'Database MK'!FY375-'Database MK'!FZ375</f>
        <v>-15</v>
      </c>
      <c r="AK374" s="7">
        <f>IF('Database MK'!GC375="","Belum",'Database MK'!GB375-'Database MK'!GC375)</f>
        <v>-93</v>
      </c>
      <c r="AL374" s="7">
        <f>IF('Database MK'!GF375="","Belum",'Database MK'!GE375-'Database MK'!GF375)</f>
        <v>-86</v>
      </c>
      <c r="AM374" s="309">
        <f>IF('Database MK'!GJ375="","Belum",'Database MK'!GI375-'Database MK'!GJ375)</f>
        <v>-79</v>
      </c>
      <c r="AN374" s="7" t="str">
        <f>IF('Database MK'!HG375="","Belum",'Database MK'!HF375-'Database MK'!HG375)</f>
        <v>Belum</v>
      </c>
      <c r="AO374" s="7" t="str">
        <f>IF('Database MK'!HP375="","Belum",'Database MK'!HN375-'Database MK'!HP375)</f>
        <v>Belum</v>
      </c>
      <c r="AP374" s="7" t="str">
        <f>IF('Database MK'!HV375="","Belum",'Database MK'!HT375-'Database MK'!HV375)</f>
        <v>Belum</v>
      </c>
    </row>
    <row r="375" spans="2:42" hidden="1" x14ac:dyDescent="0.2">
      <c r="B375" s="7">
        <f>SUBTOTAL(3,$C$4:C375)</f>
        <v>74</v>
      </c>
      <c r="C375" s="299" t="s">
        <v>244</v>
      </c>
      <c r="D375" s="4" t="s">
        <v>2980</v>
      </c>
      <c r="E375" s="4" t="s">
        <v>2981</v>
      </c>
      <c r="F375" s="300">
        <v>46296</v>
      </c>
      <c r="G375" s="4" t="s">
        <v>681</v>
      </c>
      <c r="H375" s="4" t="str">
        <f ca="1">'Database MK'!Q376</f>
        <v>MC-0</v>
      </c>
      <c r="I375" s="24">
        <f>'Database MK'!S376</f>
        <v>0.99999999999999989</v>
      </c>
      <c r="J375" s="24">
        <f>'Database MK'!T376</f>
        <v>7.9008761264391339E-2</v>
      </c>
      <c r="K375" s="603">
        <f>'Database MK'!U376</f>
        <v>-0.92099123873560851</v>
      </c>
      <c r="L375" s="593">
        <f>'Database MK'!V376</f>
        <v>0</v>
      </c>
      <c r="M375" s="593">
        <f>'Database MK'!W376</f>
        <v>0</v>
      </c>
      <c r="N375" s="593">
        <f>Table3[[#This Row],[Total Panjang Pipa Aktual]]-Table3[[#This Row],[Volume
BA MC-0]]</f>
        <v>0</v>
      </c>
      <c r="O375" s="7" t="str">
        <f ca="1">'Database MK'!DE376</f>
        <v>Sudah, OnSchedule</v>
      </c>
      <c r="P375" s="7" t="str">
        <f ca="1">'Database MK'!DI376</f>
        <v>Sudah, Delay</v>
      </c>
      <c r="Q375" s="7" t="str">
        <f ca="1">'Database MK'!DN376</f>
        <v>Sudah, Delay</v>
      </c>
      <c r="R375" s="7" t="str">
        <f ca="1">'Database MK'!DR376</f>
        <v>Sudah, Delay</v>
      </c>
      <c r="S375" s="7" t="str">
        <f ca="1">'Database MK'!EA376</f>
        <v>Sudah, Delay</v>
      </c>
      <c r="T375" s="7" t="str">
        <f ca="1">'Database MK'!EI376</f>
        <v>Belum, Delay</v>
      </c>
      <c r="U375" s="7" t="str">
        <f ca="1">'Database MK'!ET376</f>
        <v>Belum, Delay</v>
      </c>
      <c r="V375" s="7" t="str">
        <f ca="1">'Database MK'!GA376</f>
        <v>Sudah, Delay</v>
      </c>
      <c r="W375" s="7" t="str">
        <f ca="1">'Database MK'!GD376</f>
        <v>Sudah, Delay</v>
      </c>
      <c r="X375" s="7" t="str">
        <f ca="1">'Database MK'!GG376</f>
        <v>Sudah, Delay</v>
      </c>
      <c r="Y375" s="7" t="str">
        <f ca="1">'Database MK'!GK376</f>
        <v>Sudah, Delay</v>
      </c>
      <c r="Z375" s="7" t="str">
        <f ca="1">'Database MK'!HH376</f>
        <v>Belum, Delay</v>
      </c>
      <c r="AA375" s="7" t="str">
        <f ca="1">'Database MK'!HQ376</f>
        <v>Belum, Delay</v>
      </c>
      <c r="AB375" s="7" t="str">
        <f ca="1">'Database MK'!HW376</f>
        <v>Belum, Delay</v>
      </c>
      <c r="AC375" s="7">
        <f>'Database MK'!DA376-'Database MK'!DB376</f>
        <v>13</v>
      </c>
      <c r="AD375" s="7">
        <f>'Database MK'!DA376-'Database MK'!DF376</f>
        <v>-3</v>
      </c>
      <c r="AE375" s="7">
        <f>'Database MK'!DK376-'Database MK'!DL376</f>
        <v>-1</v>
      </c>
      <c r="AF375" s="7">
        <f>'Database MK'!DK376-'Database MK'!DO376</f>
        <v>-46</v>
      </c>
      <c r="AG375" s="7">
        <f>'Database MK'!DU376-'Database MK'!DW376</f>
        <v>-22</v>
      </c>
      <c r="AH375" s="7" t="str">
        <f>IF('Database MK'!EB376="","Belum",'Database MK'!DU376-'Database MK'!EB376)</f>
        <v>Belum</v>
      </c>
      <c r="AI375" s="7" t="str">
        <f>IF('Database MK'!EN376="","Belum",'Database MK'!EL376-'Database MK'!EN376)</f>
        <v>Belum</v>
      </c>
      <c r="AJ375" s="7">
        <f>'Database MK'!FY376-'Database MK'!FZ376</f>
        <v>-15</v>
      </c>
      <c r="AK375" s="7">
        <f>IF('Database MK'!GC376="","Belum",'Database MK'!GB376-'Database MK'!GC376)</f>
        <v>-93</v>
      </c>
      <c r="AL375" s="7">
        <f>IF('Database MK'!GF376="","Belum",'Database MK'!GE376-'Database MK'!GF376)</f>
        <v>-86</v>
      </c>
      <c r="AM375" s="309">
        <f>IF('Database MK'!GJ376="","Belum",'Database MK'!GI376-'Database MK'!GJ376)</f>
        <v>-82</v>
      </c>
      <c r="AN375" s="7" t="str">
        <f>IF('Database MK'!HG376="","Belum",'Database MK'!HF376-'Database MK'!HG376)</f>
        <v>Belum</v>
      </c>
      <c r="AO375" s="7" t="str">
        <f>IF('Database MK'!HP376="","Belum",'Database MK'!HN376-'Database MK'!HP376)</f>
        <v>Belum</v>
      </c>
      <c r="AP375" s="7" t="str">
        <f>IF('Database MK'!HV376="","Belum",'Database MK'!HT376-'Database MK'!HV376)</f>
        <v>Belum</v>
      </c>
    </row>
    <row r="376" spans="2:42" hidden="1" x14ac:dyDescent="0.2">
      <c r="B376" s="7">
        <f>SUBTOTAL(3,$C$4:C376)</f>
        <v>74</v>
      </c>
      <c r="C376" s="299" t="s">
        <v>244</v>
      </c>
      <c r="D376" s="4" t="s">
        <v>2988</v>
      </c>
      <c r="E376" s="4" t="s">
        <v>2989</v>
      </c>
      <c r="F376" s="300">
        <v>46296</v>
      </c>
      <c r="G376" s="4" t="s">
        <v>681</v>
      </c>
      <c r="H376" s="4" t="str">
        <f>'Database MK'!Q377</f>
        <v>BATAL / CANCEL</v>
      </c>
      <c r="I376" s="24">
        <f>'Database MK'!S377</f>
        <v>1</v>
      </c>
      <c r="J376" s="24">
        <f>'Database MK'!T377</f>
        <v>8.503043894049904E-2</v>
      </c>
      <c r="K376" s="603">
        <f>'Database MK'!U377</f>
        <v>-0.914969561059501</v>
      </c>
      <c r="L376" s="593">
        <f>'Database MK'!V377</f>
        <v>0</v>
      </c>
      <c r="M376" s="593">
        <f>'Database MK'!W377</f>
        <v>0</v>
      </c>
      <c r="N376" s="593">
        <f>Table3[[#This Row],[Total Panjang Pipa Aktual]]-Table3[[#This Row],[Volume
BA MC-0]]</f>
        <v>0</v>
      </c>
      <c r="O376" s="7" t="str">
        <f ca="1">'Database MK'!DE377</f>
        <v>Sudah, OnSchedule</v>
      </c>
      <c r="P376" s="7" t="str">
        <f ca="1">'Database MK'!DI377</f>
        <v>Sudah, Delay</v>
      </c>
      <c r="Q376" s="7" t="str">
        <f ca="1">'Database MK'!DN377</f>
        <v>Sudah, Delay</v>
      </c>
      <c r="R376" s="7" t="str">
        <f ca="1">'Database MK'!DR377</f>
        <v>Sudah, Delay</v>
      </c>
      <c r="S376" s="7" t="str">
        <f ca="1">'Database MK'!EA377</f>
        <v>Sudah, Delay</v>
      </c>
      <c r="T376" s="7" t="str">
        <f ca="1">'Database MK'!EI377</f>
        <v>Belum, Delay</v>
      </c>
      <c r="U376" s="7" t="str">
        <f ca="1">'Database MK'!ET377</f>
        <v>Belum, Delay</v>
      </c>
      <c r="V376" s="7" t="str">
        <f ca="1">'Database MK'!GA377</f>
        <v>Sudah, Delay</v>
      </c>
      <c r="W376" s="7" t="str">
        <f ca="1">'Database MK'!GD377</f>
        <v>Sudah, Delay</v>
      </c>
      <c r="X376" s="7" t="str">
        <f ca="1">'Database MK'!GG377</f>
        <v>Sudah, Delay</v>
      </c>
      <c r="Y376" s="7" t="str">
        <f ca="1">'Database MK'!GK377</f>
        <v>Sudah, Delay</v>
      </c>
      <c r="Z376" s="7" t="str">
        <f ca="1">'Database MK'!HH377</f>
        <v>Belum, Delay</v>
      </c>
      <c r="AA376" s="7" t="str">
        <f ca="1">'Database MK'!HQ377</f>
        <v>Belum, Delay</v>
      </c>
      <c r="AB376" s="7" t="str">
        <f ca="1">'Database MK'!HW377</f>
        <v>Belum, Delay</v>
      </c>
      <c r="AC376" s="7">
        <f>'Database MK'!DA377-'Database MK'!DB377</f>
        <v>13</v>
      </c>
      <c r="AD376" s="7">
        <f>'Database MK'!DA377-'Database MK'!DF377</f>
        <v>-65</v>
      </c>
      <c r="AE376" s="7">
        <f>'Database MK'!DK377-'Database MK'!DL377</f>
        <v>-12</v>
      </c>
      <c r="AF376" s="7">
        <f>'Database MK'!DK377-'Database MK'!DO377</f>
        <v>-36</v>
      </c>
      <c r="AG376" s="7">
        <f>'Database MK'!DU377-'Database MK'!DW377</f>
        <v>-33</v>
      </c>
      <c r="AH376" s="7" t="str">
        <f>IF('Database MK'!EB377="","Belum",'Database MK'!DU377-'Database MK'!EB377)</f>
        <v>Belum</v>
      </c>
      <c r="AI376" s="7" t="str">
        <f>IF('Database MK'!EN377="","Belum",'Database MK'!EL377-'Database MK'!EN377)</f>
        <v>Belum</v>
      </c>
      <c r="AJ376" s="7">
        <f>'Database MK'!FY377-'Database MK'!FZ377</f>
        <v>-15</v>
      </c>
      <c r="AK376" s="7">
        <f>IF('Database MK'!GC377="","Belum",'Database MK'!GB377-'Database MK'!GC377)</f>
        <v>-93</v>
      </c>
      <c r="AL376" s="7">
        <f>IF('Database MK'!GF377="","Belum",'Database MK'!GE377-'Database MK'!GF377)</f>
        <v>-86</v>
      </c>
      <c r="AM376" s="309">
        <f>IF('Database MK'!GJ377="","Belum",'Database MK'!GI377-'Database MK'!GJ377)</f>
        <v>-78</v>
      </c>
      <c r="AN376" s="7" t="str">
        <f>IF('Database MK'!HG377="","Belum",'Database MK'!HF377-'Database MK'!HG377)</f>
        <v>Belum</v>
      </c>
      <c r="AO376" s="7" t="str">
        <f>IF('Database MK'!HP377="","Belum",'Database MK'!HN377-'Database MK'!HP377)</f>
        <v>Belum</v>
      </c>
      <c r="AP376" s="7" t="str">
        <f>IF('Database MK'!HV377="","Belum",'Database MK'!HT377-'Database MK'!HV377)</f>
        <v>Belum</v>
      </c>
    </row>
    <row r="377" spans="2:42" hidden="1" x14ac:dyDescent="0.2">
      <c r="B377" s="7">
        <f>SUBTOTAL(3,$C$4:C377)</f>
        <v>74</v>
      </c>
      <c r="C377" s="299" t="s">
        <v>244</v>
      </c>
      <c r="D377" s="4" t="s">
        <v>2995</v>
      </c>
      <c r="E377" s="4" t="s">
        <v>2996</v>
      </c>
      <c r="F377" s="300">
        <v>46296</v>
      </c>
      <c r="G377" s="4" t="s">
        <v>681</v>
      </c>
      <c r="H377" s="4" t="str">
        <f>'Database MK'!Q378</f>
        <v>BATAL / CANCEL</v>
      </c>
      <c r="I377" s="24">
        <f>'Database MK'!S378</f>
        <v>1</v>
      </c>
      <c r="J377" s="24">
        <f>'Database MK'!T378</f>
        <v>7.6200840245465626E-2</v>
      </c>
      <c r="K377" s="603">
        <f>'Database MK'!U378</f>
        <v>-0.92379915975453442</v>
      </c>
      <c r="L377" s="593">
        <f>'Database MK'!V378</f>
        <v>0</v>
      </c>
      <c r="M377" s="593">
        <f>'Database MK'!W378</f>
        <v>0</v>
      </c>
      <c r="N377" s="593">
        <f>Table3[[#This Row],[Total Panjang Pipa Aktual]]-Table3[[#This Row],[Volume
BA MC-0]]</f>
        <v>0</v>
      </c>
      <c r="O377" s="7" t="str">
        <f ca="1">'Database MK'!DE378</f>
        <v>Sudah, OnSchedule</v>
      </c>
      <c r="P377" s="7" t="str">
        <f ca="1">'Database MK'!DI378</f>
        <v>Sudah, Delay</v>
      </c>
      <c r="Q377" s="7" t="str">
        <f ca="1">'Database MK'!DN378</f>
        <v>Sudah, Delay</v>
      </c>
      <c r="R377" s="7" t="str">
        <f ca="1">'Database MK'!DR378</f>
        <v>Sudah, Delay</v>
      </c>
      <c r="S377" s="7" t="str">
        <f ca="1">'Database MK'!EA378</f>
        <v>Sudah, Delay</v>
      </c>
      <c r="T377" s="7" t="str">
        <f ca="1">'Database MK'!EI378</f>
        <v>Belum, Delay</v>
      </c>
      <c r="U377" s="7" t="str">
        <f ca="1">'Database MK'!ET378</f>
        <v>Belum, Delay</v>
      </c>
      <c r="V377" s="7" t="str">
        <f ca="1">'Database MK'!GA378</f>
        <v>Sudah, Delay</v>
      </c>
      <c r="W377" s="7" t="str">
        <f ca="1">'Database MK'!GD378</f>
        <v>Sudah, Delay</v>
      </c>
      <c r="X377" s="7" t="str">
        <f ca="1">'Database MK'!GG378</f>
        <v>Sudah, Delay</v>
      </c>
      <c r="Y377" s="7" t="str">
        <f ca="1">'Database MK'!GK378</f>
        <v>Sudah, Delay</v>
      </c>
      <c r="Z377" s="7" t="str">
        <f ca="1">'Database MK'!HH378</f>
        <v>Belum, Delay</v>
      </c>
      <c r="AA377" s="7" t="str">
        <f ca="1">'Database MK'!HQ378</f>
        <v>Belum, Delay</v>
      </c>
      <c r="AB377" s="7" t="str">
        <f ca="1">'Database MK'!HW378</f>
        <v>Belum, Delay</v>
      </c>
      <c r="AC377" s="7">
        <f>'Database MK'!DA378-'Database MK'!DB378</f>
        <v>13</v>
      </c>
      <c r="AD377" s="7">
        <f>'Database MK'!DA378-'Database MK'!DF378</f>
        <v>-15</v>
      </c>
      <c r="AE377" s="7">
        <f>'Database MK'!DK378-'Database MK'!DL378</f>
        <v>-1</v>
      </c>
      <c r="AF377" s="7">
        <f>'Database MK'!DK378-'Database MK'!DO378</f>
        <v>-67</v>
      </c>
      <c r="AG377" s="7">
        <f>'Database MK'!DU378-'Database MK'!DW378</f>
        <v>-22</v>
      </c>
      <c r="AH377" s="7" t="str">
        <f>IF('Database MK'!EB378="","Belum",'Database MK'!DU378-'Database MK'!EB378)</f>
        <v>Belum</v>
      </c>
      <c r="AI377" s="7" t="str">
        <f>IF('Database MK'!EN378="","Belum",'Database MK'!EL378-'Database MK'!EN378)</f>
        <v>Belum</v>
      </c>
      <c r="AJ377" s="7">
        <f>'Database MK'!FY378-'Database MK'!FZ378</f>
        <v>-15</v>
      </c>
      <c r="AK377" s="7">
        <f>IF('Database MK'!GC378="","Belum",'Database MK'!GB378-'Database MK'!GC378)</f>
        <v>-93</v>
      </c>
      <c r="AL377" s="7">
        <f>IF('Database MK'!GF378="","Belum",'Database MK'!GE378-'Database MK'!GF378)</f>
        <v>-86</v>
      </c>
      <c r="AM377" s="309">
        <f>IF('Database MK'!GJ378="","Belum",'Database MK'!GI378-'Database MK'!GJ378)</f>
        <v>-78</v>
      </c>
      <c r="AN377" s="7" t="str">
        <f>IF('Database MK'!HG378="","Belum",'Database MK'!HF378-'Database MK'!HG378)</f>
        <v>Belum</v>
      </c>
      <c r="AO377" s="7" t="str">
        <f>IF('Database MK'!HP378="","Belum",'Database MK'!HN378-'Database MK'!HP378)</f>
        <v>Belum</v>
      </c>
      <c r="AP377" s="7" t="str">
        <f>IF('Database MK'!HV378="","Belum",'Database MK'!HT378-'Database MK'!HV378)</f>
        <v>Belum</v>
      </c>
    </row>
    <row r="378" spans="2:42" hidden="1" x14ac:dyDescent="0.2">
      <c r="B378" s="7">
        <f>SUBTOTAL(3,$C$4:C378)</f>
        <v>74</v>
      </c>
      <c r="C378" s="299" t="s">
        <v>244</v>
      </c>
      <c r="D378" s="4" t="s">
        <v>3002</v>
      </c>
      <c r="E378" s="4" t="s">
        <v>3003</v>
      </c>
      <c r="F378" s="300">
        <v>46296</v>
      </c>
      <c r="G378" s="4" t="s">
        <v>681</v>
      </c>
      <c r="H378" s="4" t="str">
        <f ca="1">'Database MK'!Q379</f>
        <v>MC-0</v>
      </c>
      <c r="I378" s="24">
        <f>'Database MK'!S379</f>
        <v>1.0000000000000002</v>
      </c>
      <c r="J378" s="24">
        <f>'Database MK'!T379</f>
        <v>7.7136899085555363E-2</v>
      </c>
      <c r="K378" s="603">
        <f>'Database MK'!U379</f>
        <v>-0.9228631009144449</v>
      </c>
      <c r="L378" s="593">
        <f>'Database MK'!V379</f>
        <v>1657.2</v>
      </c>
      <c r="M378" s="593">
        <f>'Database MK'!W379</f>
        <v>0</v>
      </c>
      <c r="N378" s="593">
        <f>Table3[[#This Row],[Total Panjang Pipa Aktual]]-Table3[[#This Row],[Volume
BA MC-0]]</f>
        <v>-1657.2</v>
      </c>
      <c r="O378" s="7" t="str">
        <f ca="1">'Database MK'!DE379</f>
        <v>Sudah, OnSchedule</v>
      </c>
      <c r="P378" s="7" t="str">
        <f ca="1">'Database MK'!DI379</f>
        <v>Sudah, Delay</v>
      </c>
      <c r="Q378" s="7" t="str">
        <f ca="1">'Database MK'!DN379</f>
        <v>Sudah, Delay</v>
      </c>
      <c r="R378" s="7" t="str">
        <f ca="1">'Database MK'!DR379</f>
        <v>Sudah, Delay</v>
      </c>
      <c r="S378" s="7" t="str">
        <f ca="1">'Database MK'!EA379</f>
        <v>Sudah, Delay</v>
      </c>
      <c r="T378" s="7" t="str">
        <f ca="1">'Database MK'!EI379</f>
        <v>Belum, Delay</v>
      </c>
      <c r="U378" s="7" t="str">
        <f ca="1">'Database MK'!ET379</f>
        <v>Belum, Delay</v>
      </c>
      <c r="V378" s="7" t="str">
        <f ca="1">'Database MK'!GA379</f>
        <v>Sudah, Delay</v>
      </c>
      <c r="W378" s="7" t="str">
        <f ca="1">'Database MK'!GD379</f>
        <v>Sudah, Delay</v>
      </c>
      <c r="X378" s="7" t="str">
        <f ca="1">'Database MK'!GG379</f>
        <v>Sudah, Delay</v>
      </c>
      <c r="Y378" s="7" t="str">
        <f ca="1">'Database MK'!GK379</f>
        <v>Sudah, Delay</v>
      </c>
      <c r="Z378" s="7" t="str">
        <f ca="1">'Database MK'!HH379</f>
        <v>Belum, Delay</v>
      </c>
      <c r="AA378" s="7" t="str">
        <f ca="1">'Database MK'!HQ379</f>
        <v>Belum, Delay</v>
      </c>
      <c r="AB378" s="7" t="str">
        <f ca="1">'Database MK'!HW379</f>
        <v>Belum, Delay</v>
      </c>
      <c r="AC378" s="7">
        <f>'Database MK'!DA379-'Database MK'!DB379</f>
        <v>11</v>
      </c>
      <c r="AD378" s="7">
        <f>'Database MK'!DA379-'Database MK'!DF379</f>
        <v>-71</v>
      </c>
      <c r="AE378" s="7">
        <f>'Database MK'!DK379-'Database MK'!DL379</f>
        <v>-15</v>
      </c>
      <c r="AF378" s="7">
        <f>'Database MK'!DK379-'Database MK'!DO379</f>
        <v>-44</v>
      </c>
      <c r="AG378" s="7">
        <f>'Database MK'!DU379-'Database MK'!DW379</f>
        <v>-36</v>
      </c>
      <c r="AH378" s="7" t="str">
        <f>IF('Database MK'!EB379="","Belum",'Database MK'!DU379-'Database MK'!EB379)</f>
        <v>Belum</v>
      </c>
      <c r="AI378" s="7" t="str">
        <f>IF('Database MK'!EN379="","Belum",'Database MK'!EL379-'Database MK'!EN379)</f>
        <v>Belum</v>
      </c>
      <c r="AJ378" s="7">
        <f>'Database MK'!FY379-'Database MK'!FZ379</f>
        <v>-15</v>
      </c>
      <c r="AK378" s="7">
        <f>IF('Database MK'!GC379="","Belum",'Database MK'!GB379-'Database MK'!GC379)</f>
        <v>-64</v>
      </c>
      <c r="AL378" s="7">
        <f>IF('Database MK'!GF379="","Belum",'Database MK'!GE379-'Database MK'!GF379)</f>
        <v>-57</v>
      </c>
      <c r="AM378" s="309">
        <f>IF('Database MK'!GJ379="","Belum",'Database MK'!GI379-'Database MK'!GJ379)</f>
        <v>-52</v>
      </c>
      <c r="AN378" s="7" t="str">
        <f>IF('Database MK'!HG379="","Belum",'Database MK'!HF379-'Database MK'!HG379)</f>
        <v>Belum</v>
      </c>
      <c r="AO378" s="7" t="str">
        <f>IF('Database MK'!HP379="","Belum",'Database MK'!HN379-'Database MK'!HP379)</f>
        <v>Belum</v>
      </c>
      <c r="AP378" s="7" t="str">
        <f>IF('Database MK'!HV379="","Belum",'Database MK'!HT379-'Database MK'!HV379)</f>
        <v>Belum</v>
      </c>
    </row>
    <row r="379" spans="2:42" hidden="1" x14ac:dyDescent="0.2">
      <c r="B379" s="7">
        <f>SUBTOTAL(3,$C$4:C379)</f>
        <v>74</v>
      </c>
      <c r="C379" s="299" t="s">
        <v>244</v>
      </c>
      <c r="D379" s="4" t="s">
        <v>3010</v>
      </c>
      <c r="E379" s="4" t="s">
        <v>3011</v>
      </c>
      <c r="F379" s="300">
        <v>46296</v>
      </c>
      <c r="G379" s="4" t="s">
        <v>681</v>
      </c>
      <c r="H379" s="4" t="str">
        <f ca="1">'Database MK'!Q380</f>
        <v>MC-0</v>
      </c>
      <c r="I379" s="24">
        <f>'Database MK'!S380</f>
        <v>1</v>
      </c>
      <c r="J379" s="24">
        <f>'Database MK'!T380</f>
        <v>9.6480548826325369E-2</v>
      </c>
      <c r="K379" s="603">
        <f>'Database MK'!U380</f>
        <v>-0.9035194511736746</v>
      </c>
      <c r="L379" s="593">
        <f>'Database MK'!V380</f>
        <v>0</v>
      </c>
      <c r="M379" s="593">
        <f>'Database MK'!W380</f>
        <v>0</v>
      </c>
      <c r="N379" s="593">
        <f>Table3[[#This Row],[Total Panjang Pipa Aktual]]-Table3[[#This Row],[Volume
BA MC-0]]</f>
        <v>0</v>
      </c>
      <c r="O379" s="7" t="str">
        <f ca="1">'Database MK'!DE380</f>
        <v>Sudah, OnSchedule</v>
      </c>
      <c r="P379" s="7" t="str">
        <f ca="1">'Database MK'!DI380</f>
        <v>Sudah, Delay</v>
      </c>
      <c r="Q379" s="7" t="str">
        <f ca="1">'Database MK'!DN380</f>
        <v>Sudah, Delay</v>
      </c>
      <c r="R379" s="7" t="str">
        <f ca="1">'Database MK'!DR380</f>
        <v>Sudah, Delay</v>
      </c>
      <c r="S379" s="7" t="str">
        <f ca="1">'Database MK'!EA380</f>
        <v>Sudah, Delay</v>
      </c>
      <c r="T379" s="7" t="str">
        <f ca="1">'Database MK'!EI380</f>
        <v>Belum, Delay</v>
      </c>
      <c r="U379" s="7" t="str">
        <f ca="1">'Database MK'!ET380</f>
        <v>Belum, Delay</v>
      </c>
      <c r="V379" s="7" t="str">
        <f ca="1">'Database MK'!GA380</f>
        <v>Sudah, Delay</v>
      </c>
      <c r="W379" s="7" t="str">
        <f ca="1">'Database MK'!GD380</f>
        <v>Sudah, Delay</v>
      </c>
      <c r="X379" s="7" t="str">
        <f ca="1">'Database MK'!GG380</f>
        <v>Sudah, Delay</v>
      </c>
      <c r="Y379" s="7" t="str">
        <f ca="1">'Database MK'!GK380</f>
        <v>Sudah, Delay</v>
      </c>
      <c r="Z379" s="7" t="str">
        <f ca="1">'Database MK'!HH380</f>
        <v>Belum, Delay</v>
      </c>
      <c r="AA379" s="7" t="str">
        <f ca="1">'Database MK'!HQ380</f>
        <v>Belum, Delay</v>
      </c>
      <c r="AB379" s="7" t="str">
        <f ca="1">'Database MK'!HW380</f>
        <v>Belum, Delay</v>
      </c>
      <c r="AC379" s="7">
        <f>'Database MK'!DA380-'Database MK'!DB380</f>
        <v>11</v>
      </c>
      <c r="AD379" s="7">
        <f>'Database MK'!DA380-'Database MK'!DF380</f>
        <v>-5</v>
      </c>
      <c r="AE379" s="7">
        <f>'Database MK'!DK380-'Database MK'!DL380</f>
        <v>-2</v>
      </c>
      <c r="AF379" s="7">
        <f>'Database MK'!DK380-'Database MK'!DO380</f>
        <v>-40</v>
      </c>
      <c r="AG379" s="7">
        <f>'Database MK'!DU380-'Database MK'!DW380</f>
        <v>-23</v>
      </c>
      <c r="AH379" s="7" t="str">
        <f>IF('Database MK'!EB380="","Belum",'Database MK'!DU380-'Database MK'!EB380)</f>
        <v>Belum</v>
      </c>
      <c r="AI379" s="7" t="str">
        <f>IF('Database MK'!EN380="","Belum",'Database MK'!EL380-'Database MK'!EN380)</f>
        <v>Belum</v>
      </c>
      <c r="AJ379" s="7">
        <f>'Database MK'!FY380-'Database MK'!FZ380</f>
        <v>-15</v>
      </c>
      <c r="AK379" s="7">
        <f>IF('Database MK'!GC380="","Belum",'Database MK'!GB380-'Database MK'!GC380)</f>
        <v>-93</v>
      </c>
      <c r="AL379" s="7">
        <f>IF('Database MK'!GF380="","Belum",'Database MK'!GE380-'Database MK'!GF380)</f>
        <v>-86</v>
      </c>
      <c r="AM379" s="309">
        <f>IF('Database MK'!GJ380="","Belum",'Database MK'!GI380-'Database MK'!GJ380)</f>
        <v>-80</v>
      </c>
      <c r="AN379" s="7" t="str">
        <f>IF('Database MK'!HG380="","Belum",'Database MK'!HF380-'Database MK'!HG380)</f>
        <v>Belum</v>
      </c>
      <c r="AO379" s="7" t="str">
        <f>IF('Database MK'!HP380="","Belum",'Database MK'!HN380-'Database MK'!HP380)</f>
        <v>Belum</v>
      </c>
      <c r="AP379" s="7" t="str">
        <f>IF('Database MK'!HV380="","Belum",'Database MK'!HT380-'Database MK'!HV380)</f>
        <v>Belum</v>
      </c>
    </row>
    <row r="380" spans="2:42" hidden="1" x14ac:dyDescent="0.2">
      <c r="B380" s="7">
        <f>SUBTOTAL(3,$C$4:C380)</f>
        <v>74</v>
      </c>
      <c r="C380" s="299" t="s">
        <v>244</v>
      </c>
      <c r="D380" s="4" t="s">
        <v>3018</v>
      </c>
      <c r="E380" s="4" t="s">
        <v>3019</v>
      </c>
      <c r="F380" s="300">
        <v>46296</v>
      </c>
      <c r="G380" s="4" t="s">
        <v>681</v>
      </c>
      <c r="H380" s="4" t="str">
        <f ca="1">'Database MK'!Q381</f>
        <v>MC-0</v>
      </c>
      <c r="I380" s="24">
        <f>'Database MK'!S381</f>
        <v>1</v>
      </c>
      <c r="J380" s="24">
        <f>'Database MK'!T381</f>
        <v>7.153502659820235E-2</v>
      </c>
      <c r="K380" s="603">
        <f>'Database MK'!U381</f>
        <v>-0.92846497340179768</v>
      </c>
      <c r="L380" s="593">
        <f>'Database MK'!V381</f>
        <v>0</v>
      </c>
      <c r="M380" s="593">
        <f>'Database MK'!W381</f>
        <v>0</v>
      </c>
      <c r="N380" s="593">
        <f>Table3[[#This Row],[Total Panjang Pipa Aktual]]-Table3[[#This Row],[Volume
BA MC-0]]</f>
        <v>0</v>
      </c>
      <c r="O380" s="7" t="str">
        <f ca="1">'Database MK'!DE381</f>
        <v>Sudah, OnSchedule</v>
      </c>
      <c r="P380" s="7" t="str">
        <f ca="1">'Database MK'!DI381</f>
        <v>Sudah, Delay</v>
      </c>
      <c r="Q380" s="7" t="str">
        <f ca="1">'Database MK'!DN381</f>
        <v>Sudah, Delay</v>
      </c>
      <c r="R380" s="7" t="str">
        <f ca="1">'Database MK'!DR381</f>
        <v>Sudah, Delay</v>
      </c>
      <c r="S380" s="7" t="str">
        <f ca="1">'Database MK'!EA381</f>
        <v>Sudah, Delay</v>
      </c>
      <c r="T380" s="7" t="str">
        <f ca="1">'Database MK'!EI381</f>
        <v>Belum, Delay</v>
      </c>
      <c r="U380" s="7" t="str">
        <f ca="1">'Database MK'!ET381</f>
        <v>Belum, Delay</v>
      </c>
      <c r="V380" s="7" t="str">
        <f ca="1">'Database MK'!GA381</f>
        <v>Sudah, Delay</v>
      </c>
      <c r="W380" s="7" t="str">
        <f ca="1">'Database MK'!GD381</f>
        <v>Sudah, Delay</v>
      </c>
      <c r="X380" s="7" t="str">
        <f ca="1">'Database MK'!GG381</f>
        <v>Sudah, Delay</v>
      </c>
      <c r="Y380" s="7" t="str">
        <f ca="1">'Database MK'!GK381</f>
        <v>Sudah, Delay</v>
      </c>
      <c r="Z380" s="7" t="str">
        <f ca="1">'Database MK'!HH381</f>
        <v>Belum, Delay</v>
      </c>
      <c r="AA380" s="7" t="str">
        <f ca="1">'Database MK'!HQ381</f>
        <v>Belum, Delay</v>
      </c>
      <c r="AB380" s="7" t="str">
        <f ca="1">'Database MK'!HW381</f>
        <v>Belum, Delay</v>
      </c>
      <c r="AC380" s="7">
        <f>'Database MK'!DA381-'Database MK'!DB381</f>
        <v>11</v>
      </c>
      <c r="AD380" s="7">
        <f>'Database MK'!DA381-'Database MK'!DF381</f>
        <v>-15</v>
      </c>
      <c r="AE380" s="7">
        <f>'Database MK'!DK381-'Database MK'!DL381</f>
        <v>-2</v>
      </c>
      <c r="AF380" s="7">
        <f>'Database MK'!DK381-'Database MK'!DO381</f>
        <v>-40</v>
      </c>
      <c r="AG380" s="7">
        <f>'Database MK'!DU381-'Database MK'!DW381</f>
        <v>-23</v>
      </c>
      <c r="AH380" s="7" t="str">
        <f>IF('Database MK'!EB381="","Belum",'Database MK'!DU381-'Database MK'!EB381)</f>
        <v>Belum</v>
      </c>
      <c r="AI380" s="7" t="str">
        <f>IF('Database MK'!EN381="","Belum",'Database MK'!EL381-'Database MK'!EN381)</f>
        <v>Belum</v>
      </c>
      <c r="AJ380" s="7">
        <f>'Database MK'!FY381-'Database MK'!FZ381</f>
        <v>-15</v>
      </c>
      <c r="AK380" s="7">
        <f>IF('Database MK'!GC381="","Belum",'Database MK'!GB381-'Database MK'!GC381)</f>
        <v>-93</v>
      </c>
      <c r="AL380" s="7">
        <f>IF('Database MK'!GF381="","Belum",'Database MK'!GE381-'Database MK'!GF381)</f>
        <v>-86</v>
      </c>
      <c r="AM380" s="309">
        <f>IF('Database MK'!GJ381="","Belum",'Database MK'!GI381-'Database MK'!GJ381)</f>
        <v>-80</v>
      </c>
      <c r="AN380" s="7" t="str">
        <f>IF('Database MK'!HG381="","Belum",'Database MK'!HF381-'Database MK'!HG381)</f>
        <v>Belum</v>
      </c>
      <c r="AO380" s="7" t="str">
        <f>IF('Database MK'!HP381="","Belum",'Database MK'!HN381-'Database MK'!HP381)</f>
        <v>Belum</v>
      </c>
      <c r="AP380" s="7" t="str">
        <f>IF('Database MK'!HV381="","Belum",'Database MK'!HT381-'Database MK'!HV381)</f>
        <v>Belum</v>
      </c>
    </row>
    <row r="381" spans="2:42" hidden="1" x14ac:dyDescent="0.2">
      <c r="B381" s="7">
        <f>SUBTOTAL(3,$C$4:C381)</f>
        <v>74</v>
      </c>
      <c r="C381" s="299" t="s">
        <v>244</v>
      </c>
      <c r="D381" s="4" t="s">
        <v>3025</v>
      </c>
      <c r="E381" s="4" t="s">
        <v>3026</v>
      </c>
      <c r="F381" s="300">
        <v>46296</v>
      </c>
      <c r="G381" s="4" t="s">
        <v>681</v>
      </c>
      <c r="H381" s="4" t="str">
        <f ca="1">'Database MK'!Q382</f>
        <v>MC-0</v>
      </c>
      <c r="I381" s="24">
        <f>'Database MK'!S382</f>
        <v>1</v>
      </c>
      <c r="J381" s="24">
        <f>'Database MK'!T382</f>
        <v>8.4169498952616439E-2</v>
      </c>
      <c r="K381" s="603">
        <f>'Database MK'!U382</f>
        <v>-0.91583050104738351</v>
      </c>
      <c r="L381" s="593">
        <f>'Database MK'!V382</f>
        <v>0</v>
      </c>
      <c r="M381" s="593">
        <f>'Database MK'!W382</f>
        <v>0</v>
      </c>
      <c r="N381" s="593">
        <f>Table3[[#This Row],[Total Panjang Pipa Aktual]]-Table3[[#This Row],[Volume
BA MC-0]]</f>
        <v>0</v>
      </c>
      <c r="O381" s="7" t="str">
        <f ca="1">'Database MK'!DE382</f>
        <v>Sudah, OnSchedule</v>
      </c>
      <c r="P381" s="7" t="str">
        <f ca="1">'Database MK'!DI382</f>
        <v>Sudah, Delay</v>
      </c>
      <c r="Q381" s="7" t="str">
        <f ca="1">'Database MK'!DN382</f>
        <v>Sudah, Delay</v>
      </c>
      <c r="R381" s="7" t="str">
        <f ca="1">'Database MK'!DR382</f>
        <v>Sudah, Delay</v>
      </c>
      <c r="S381" s="7" t="str">
        <f ca="1">'Database MK'!EA382</f>
        <v>Sudah, Delay</v>
      </c>
      <c r="T381" s="7" t="str">
        <f ca="1">'Database MK'!EI382</f>
        <v>Belum, Delay</v>
      </c>
      <c r="U381" s="7" t="str">
        <f ca="1">'Database MK'!ET382</f>
        <v>Belum, Delay</v>
      </c>
      <c r="V381" s="7" t="str">
        <f ca="1">'Database MK'!GA382</f>
        <v>Sudah, Delay</v>
      </c>
      <c r="W381" s="7" t="str">
        <f ca="1">'Database MK'!GD382</f>
        <v>Sudah, Delay</v>
      </c>
      <c r="X381" s="7" t="str">
        <f ca="1">'Database MK'!GG382</f>
        <v>Sudah, Delay</v>
      </c>
      <c r="Y381" s="7" t="str">
        <f ca="1">'Database MK'!GK382</f>
        <v>Sudah, Delay</v>
      </c>
      <c r="Z381" s="7" t="str">
        <f ca="1">'Database MK'!HH382</f>
        <v>Belum, Delay</v>
      </c>
      <c r="AA381" s="7" t="str">
        <f ca="1">'Database MK'!HQ382</f>
        <v>Belum, Delay</v>
      </c>
      <c r="AB381" s="7" t="str">
        <f ca="1">'Database MK'!HW382</f>
        <v>Belum, Delay</v>
      </c>
      <c r="AC381" s="7">
        <f>'Database MK'!DA382-'Database MK'!DB382</f>
        <v>11</v>
      </c>
      <c r="AD381" s="7">
        <f>'Database MK'!DA382-'Database MK'!DF382</f>
        <v>-15</v>
      </c>
      <c r="AE381" s="7">
        <f>'Database MK'!DK382-'Database MK'!DL382</f>
        <v>-2</v>
      </c>
      <c r="AF381" s="7">
        <f>'Database MK'!DK382-'Database MK'!DO382</f>
        <v>-40</v>
      </c>
      <c r="AG381" s="7">
        <f>'Database MK'!DU382-'Database MK'!DW382</f>
        <v>-23</v>
      </c>
      <c r="AH381" s="7" t="str">
        <f>IF('Database MK'!EB382="","Belum",'Database MK'!DU382-'Database MK'!EB382)</f>
        <v>Belum</v>
      </c>
      <c r="AI381" s="7" t="str">
        <f>IF('Database MK'!EN382="","Belum",'Database MK'!EL382-'Database MK'!EN382)</f>
        <v>Belum</v>
      </c>
      <c r="AJ381" s="7">
        <f>'Database MK'!FY382-'Database MK'!FZ382</f>
        <v>-15</v>
      </c>
      <c r="AK381" s="7">
        <f>IF('Database MK'!GC382="","Belum",'Database MK'!GB382-'Database MK'!GC382)</f>
        <v>-93</v>
      </c>
      <c r="AL381" s="7">
        <f>IF('Database MK'!GF382="","Belum",'Database MK'!GE382-'Database MK'!GF382)</f>
        <v>-86</v>
      </c>
      <c r="AM381" s="309">
        <f>IF('Database MK'!GJ382="","Belum",'Database MK'!GI382-'Database MK'!GJ382)</f>
        <v>-80</v>
      </c>
      <c r="AN381" s="7" t="str">
        <f>IF('Database MK'!HG382="","Belum",'Database MK'!HF382-'Database MK'!HG382)</f>
        <v>Belum</v>
      </c>
      <c r="AO381" s="7" t="str">
        <f>IF('Database MK'!HP382="","Belum",'Database MK'!HN382-'Database MK'!HP382)</f>
        <v>Belum</v>
      </c>
      <c r="AP381" s="7" t="str">
        <f>IF('Database MK'!HV382="","Belum",'Database MK'!HT382-'Database MK'!HV382)</f>
        <v>Belum</v>
      </c>
    </row>
    <row r="382" spans="2:42" hidden="1" x14ac:dyDescent="0.2">
      <c r="B382" s="7">
        <f>SUBTOTAL(3,$C$4:C382)</f>
        <v>74</v>
      </c>
      <c r="C382" s="299" t="s">
        <v>244</v>
      </c>
      <c r="D382" s="4" t="s">
        <v>3033</v>
      </c>
      <c r="E382" s="4" t="s">
        <v>3034</v>
      </c>
      <c r="F382" s="300">
        <v>46296</v>
      </c>
      <c r="G382" s="4" t="s">
        <v>681</v>
      </c>
      <c r="H382" s="4" t="str">
        <f ca="1">'Database MK'!Q383</f>
        <v>MC-0</v>
      </c>
      <c r="I382" s="24">
        <f>'Database MK'!S383</f>
        <v>0.99999999999999989</v>
      </c>
      <c r="J382" s="24">
        <f>'Database MK'!T383</f>
        <v>0.11716259472088428</v>
      </c>
      <c r="K382" s="603">
        <f>'Database MK'!U383</f>
        <v>-0.88283740527911558</v>
      </c>
      <c r="L382" s="593">
        <f>'Database MK'!V383</f>
        <v>0</v>
      </c>
      <c r="M382" s="593">
        <f>'Database MK'!W383</f>
        <v>0</v>
      </c>
      <c r="N382" s="593">
        <f>Table3[[#This Row],[Total Panjang Pipa Aktual]]-Table3[[#This Row],[Volume
BA MC-0]]</f>
        <v>0</v>
      </c>
      <c r="O382" s="7" t="str">
        <f ca="1">'Database MK'!DE383</f>
        <v>Sudah, OnSchedule</v>
      </c>
      <c r="P382" s="7" t="str">
        <f ca="1">'Database MK'!DI383</f>
        <v>Sudah, OnSchedule</v>
      </c>
      <c r="Q382" s="7" t="str">
        <f ca="1">'Database MK'!DN383</f>
        <v>Sudah, OnSchedule</v>
      </c>
      <c r="R382" s="7" t="str">
        <f ca="1">'Database MK'!DR383</f>
        <v>Sudah, Delay</v>
      </c>
      <c r="S382" s="7" t="str">
        <f ca="1">'Database MK'!EA383</f>
        <v>Sudah, OnSchedule</v>
      </c>
      <c r="T382" s="7" t="str">
        <f ca="1">'Database MK'!EI383</f>
        <v>Belum, Delay</v>
      </c>
      <c r="U382" s="7" t="str">
        <f ca="1">'Database MK'!ET383</f>
        <v>Belum, Delay</v>
      </c>
      <c r="V382" s="7" t="str">
        <f ca="1">'Database MK'!GA383</f>
        <v>Sudah, Delay</v>
      </c>
      <c r="W382" s="7" t="str">
        <f ca="1">'Database MK'!GD383</f>
        <v>Sudah, Delay</v>
      </c>
      <c r="X382" s="7" t="str">
        <f ca="1">'Database MK'!GG383</f>
        <v>Sudah, Delay</v>
      </c>
      <c r="Y382" s="7" t="str">
        <f ca="1">'Database MK'!GK383</f>
        <v>Sudah, Delay</v>
      </c>
      <c r="Z382" s="7" t="str">
        <f ca="1">'Database MK'!HH383</f>
        <v>Belum, Delay</v>
      </c>
      <c r="AA382" s="7" t="str">
        <f ca="1">'Database MK'!HQ383</f>
        <v>Belum, Delay</v>
      </c>
      <c r="AB382" s="7" t="str">
        <f ca="1">'Database MK'!HW383</f>
        <v>Belum, Delay</v>
      </c>
      <c r="AC382" s="7">
        <f>'Database MK'!DA383-'Database MK'!DB383</f>
        <v>32</v>
      </c>
      <c r="AD382" s="7">
        <f>'Database MK'!DA383-'Database MK'!DF383</f>
        <v>20</v>
      </c>
      <c r="AE382" s="7">
        <f>'Database MK'!DK383-'Database MK'!DL383</f>
        <v>33</v>
      </c>
      <c r="AF382" s="7">
        <f>'Database MK'!DK383-'Database MK'!DO383</f>
        <v>-32</v>
      </c>
      <c r="AG382" s="7">
        <f>'Database MK'!DU383-'Database MK'!DW383</f>
        <v>12</v>
      </c>
      <c r="AH382" s="7" t="str">
        <f>IF('Database MK'!EB383="","Belum",'Database MK'!DU383-'Database MK'!EB383)</f>
        <v>Belum</v>
      </c>
      <c r="AI382" s="7" t="str">
        <f>IF('Database MK'!EN383="","Belum",'Database MK'!EL383-'Database MK'!EN383)</f>
        <v>Belum</v>
      </c>
      <c r="AJ382" s="7">
        <f>'Database MK'!FY383-'Database MK'!FZ383</f>
        <v>-53</v>
      </c>
      <c r="AK382" s="7">
        <f>IF('Database MK'!GC383="","Belum",'Database MK'!GB383-'Database MK'!GC383)</f>
        <v>-58</v>
      </c>
      <c r="AL382" s="7">
        <f>IF('Database MK'!GF383="","Belum",'Database MK'!GE383-'Database MK'!GF383)</f>
        <v>-51</v>
      </c>
      <c r="AM382" s="309">
        <f>IF('Database MK'!GJ383="","Belum",'Database MK'!GI383-'Database MK'!GJ383)</f>
        <v>-51</v>
      </c>
      <c r="AN382" s="7" t="str">
        <f>IF('Database MK'!HG383="","Belum",'Database MK'!HF383-'Database MK'!HG383)</f>
        <v>Belum</v>
      </c>
      <c r="AO382" s="7" t="str">
        <f>IF('Database MK'!HP383="","Belum",'Database MK'!HN383-'Database MK'!HP383)</f>
        <v>Belum</v>
      </c>
      <c r="AP382" s="7" t="str">
        <f>IF('Database MK'!HV383="","Belum",'Database MK'!HT383-'Database MK'!HV383)</f>
        <v>Belum</v>
      </c>
    </row>
    <row r="383" spans="2:42" hidden="1" x14ac:dyDescent="0.2">
      <c r="B383" s="7">
        <f>SUBTOTAL(3,$C$4:C383)</f>
        <v>74</v>
      </c>
      <c r="C383" s="299" t="s">
        <v>244</v>
      </c>
      <c r="D383" s="4" t="s">
        <v>3040</v>
      </c>
      <c r="E383" s="4" t="s">
        <v>3041</v>
      </c>
      <c r="F383" s="300">
        <v>46296</v>
      </c>
      <c r="G383" s="4" t="s">
        <v>681</v>
      </c>
      <c r="H383" s="4" t="str">
        <f ca="1">'Database MK'!Q384</f>
        <v>MC-0</v>
      </c>
      <c r="I383" s="24">
        <f>'Database MK'!S384</f>
        <v>0.69329078764374474</v>
      </c>
      <c r="J383" s="24">
        <f>'Database MK'!T384</f>
        <v>2.7231387721057921E-2</v>
      </c>
      <c r="K383" s="603">
        <f>'Database MK'!U384</f>
        <v>-0.66605939992268681</v>
      </c>
      <c r="L383" s="593">
        <f>'Database MK'!V384</f>
        <v>0</v>
      </c>
      <c r="M383" s="593">
        <f>'Database MK'!W384</f>
        <v>0</v>
      </c>
      <c r="N383" s="593">
        <f>Table3[[#This Row],[Total Panjang Pipa Aktual]]-Table3[[#This Row],[Volume
BA MC-0]]</f>
        <v>0</v>
      </c>
      <c r="O383" s="7" t="str">
        <f ca="1">'Database MK'!DE384</f>
        <v>Sudah, OnSchedule</v>
      </c>
      <c r="P383" s="7" t="str">
        <f ca="1">'Database MK'!DI384</f>
        <v>Sudah, OnSchedule</v>
      </c>
      <c r="Q383" s="7" t="str">
        <f ca="1">'Database MK'!DN384</f>
        <v>Sudah, OnSchedule</v>
      </c>
      <c r="R383" s="7" t="str">
        <f ca="1">'Database MK'!DR384</f>
        <v>Sudah, Delay</v>
      </c>
      <c r="S383" s="7" t="str">
        <f ca="1">'Database MK'!EA384</f>
        <v>Sudah, OnSchedule</v>
      </c>
      <c r="T383" s="7" t="str">
        <f ca="1">'Database MK'!EI384</f>
        <v>Belum, Delay</v>
      </c>
      <c r="U383" s="7" t="str">
        <f ca="1">'Database MK'!ET384</f>
        <v>Belum, Delay</v>
      </c>
      <c r="V383" s="7" t="str">
        <f ca="1">'Database MK'!GA384</f>
        <v>Sudah, Delay</v>
      </c>
      <c r="W383" s="7" t="str">
        <f ca="1">'Database MK'!GD384</f>
        <v>Sudah, Delay</v>
      </c>
      <c r="X383" s="7" t="str">
        <f ca="1">'Database MK'!GG384</f>
        <v>Sudah, Delay</v>
      </c>
      <c r="Y383" s="7" t="str">
        <f ca="1">'Database MK'!GK384</f>
        <v>Sudah, Delay</v>
      </c>
      <c r="Z383" s="7" t="str">
        <f ca="1">'Database MK'!HH384</f>
        <v>Belum, OnSchedule</v>
      </c>
      <c r="AA383" s="7" t="str">
        <f ca="1">'Database MK'!HQ384</f>
        <v>Belum, OnSchedule</v>
      </c>
      <c r="AB383" s="7" t="str">
        <f ca="1">'Database MK'!HW384</f>
        <v>Belum, OnSchedule</v>
      </c>
      <c r="AC383" s="7">
        <f>'Database MK'!DA384-'Database MK'!DB384</f>
        <v>33</v>
      </c>
      <c r="AD383" s="7">
        <f>'Database MK'!DA384-'Database MK'!DF384</f>
        <v>20</v>
      </c>
      <c r="AE383" s="7">
        <f>'Database MK'!DK384-'Database MK'!DL384</f>
        <v>33</v>
      </c>
      <c r="AF383" s="7">
        <f>'Database MK'!DK384-'Database MK'!DO384</f>
        <v>-3</v>
      </c>
      <c r="AG383" s="7">
        <f>'Database MK'!DU384-'Database MK'!DW384</f>
        <v>12</v>
      </c>
      <c r="AH383" s="7" t="str">
        <f>IF('Database MK'!EB384="","Belum",'Database MK'!DU384-'Database MK'!EB384)</f>
        <v>Belum</v>
      </c>
      <c r="AI383" s="7" t="str">
        <f>IF('Database MK'!EN384="","Belum",'Database MK'!EL384-'Database MK'!EN384)</f>
        <v>Belum</v>
      </c>
      <c r="AJ383" s="7">
        <f>'Database MK'!FY384-'Database MK'!FZ384</f>
        <v>-53</v>
      </c>
      <c r="AK383" s="7">
        <f>IF('Database MK'!GC384="","Belum",'Database MK'!GB384-'Database MK'!GC384)</f>
        <v>-30</v>
      </c>
      <c r="AL383" s="7">
        <f>IF('Database MK'!GF384="","Belum",'Database MK'!GE384-'Database MK'!GF384)</f>
        <v>-23</v>
      </c>
      <c r="AM383" s="309">
        <f>IF('Database MK'!GJ384="","Belum",'Database MK'!GI384-'Database MK'!GJ384)</f>
        <v>-23</v>
      </c>
      <c r="AN383" s="7" t="str">
        <f>IF('Database MK'!HG384="","Belum",'Database MK'!HF384-'Database MK'!HG384)</f>
        <v>Belum</v>
      </c>
      <c r="AO383" s="7" t="str">
        <f>IF('Database MK'!HP384="","Belum",'Database MK'!HN384-'Database MK'!HP384)</f>
        <v>Belum</v>
      </c>
      <c r="AP383" s="7" t="str">
        <f>IF('Database MK'!HV384="","Belum",'Database MK'!HT384-'Database MK'!HV384)</f>
        <v>Belum</v>
      </c>
    </row>
    <row r="384" spans="2:42" hidden="1" x14ac:dyDescent="0.2">
      <c r="B384" s="7">
        <f>SUBTOTAL(3,$C$4:C384)</f>
        <v>74</v>
      </c>
      <c r="C384" s="299" t="s">
        <v>244</v>
      </c>
      <c r="D384" s="4" t="s">
        <v>3047</v>
      </c>
      <c r="E384" s="4" t="s">
        <v>3048</v>
      </c>
      <c r="F384" s="300">
        <v>46296</v>
      </c>
      <c r="G384" s="4" t="s">
        <v>681</v>
      </c>
      <c r="H384" s="4" t="str">
        <f ca="1">'Database MK'!Q385</f>
        <v>DPPP</v>
      </c>
      <c r="I384" s="24">
        <f>'Database MK'!S385</f>
        <v>1</v>
      </c>
      <c r="J384" s="24">
        <f>'Database MK'!T385</f>
        <v>1</v>
      </c>
      <c r="K384" s="603">
        <f>'Database MK'!U385</f>
        <v>0</v>
      </c>
      <c r="L384" s="593">
        <f>'Database MK'!V385</f>
        <v>40</v>
      </c>
      <c r="M384" s="593">
        <f>'Database MK'!W385</f>
        <v>40</v>
      </c>
      <c r="N384" s="593">
        <f>Table3[[#This Row],[Total Panjang Pipa Aktual]]-Table3[[#This Row],[Volume
BA MC-0]]</f>
        <v>0</v>
      </c>
      <c r="O384" s="7" t="str">
        <f ca="1">'Database MK'!DE385</f>
        <v>Sudah, OnSchedule</v>
      </c>
      <c r="P384" s="7" t="str">
        <f ca="1">'Database MK'!DI385</f>
        <v>Sudah, OnSchedule</v>
      </c>
      <c r="Q384" s="7" t="str">
        <f ca="1">'Database MK'!DN385</f>
        <v>Sudah, OnSchedule</v>
      </c>
      <c r="R384" s="7" t="str">
        <f ca="1">'Database MK'!DR385</f>
        <v>Sudah, Delay</v>
      </c>
      <c r="S384" s="7" t="str">
        <f ca="1">'Database MK'!EA385</f>
        <v>Sudah, OnSchedule</v>
      </c>
      <c r="T384" s="7" t="str">
        <f ca="1">'Database MK'!EI385</f>
        <v>Belum, Delay</v>
      </c>
      <c r="U384" s="7" t="str">
        <f ca="1">'Database MK'!ET385</f>
        <v>Belum, Delay</v>
      </c>
      <c r="V384" s="7" t="str">
        <f ca="1">'Database MK'!GA385</f>
        <v>Sudah, Delay</v>
      </c>
      <c r="W384" s="7" t="str">
        <f ca="1">'Database MK'!GD385</f>
        <v>Sudah, OnSchedule</v>
      </c>
      <c r="X384" s="7" t="str">
        <f ca="1">'Database MK'!GG385</f>
        <v>Sudah, OnSchedule</v>
      </c>
      <c r="Y384" s="7" t="str">
        <f ca="1">'Database MK'!GK385</f>
        <v>Sudah, OnSchedule</v>
      </c>
      <c r="Z384" s="7" t="str">
        <f ca="1">'Database MK'!HH385</f>
        <v>Sudah, OnSchedule</v>
      </c>
      <c r="AA384" s="7" t="str">
        <f ca="1">'Database MK'!HQ385</f>
        <v>Sudah, OnSchedule</v>
      </c>
      <c r="AB384" s="7" t="str">
        <f ca="1">'Database MK'!HW385</f>
        <v>Sudah, OnSchedule</v>
      </c>
      <c r="AC384" s="7">
        <f>'Database MK'!DA385-'Database MK'!DB385</f>
        <v>33</v>
      </c>
      <c r="AD384" s="7">
        <f>'Database MK'!DA385-'Database MK'!DF385</f>
        <v>20</v>
      </c>
      <c r="AE384" s="7">
        <f>'Database MK'!DK385-'Database MK'!DL385</f>
        <v>33</v>
      </c>
      <c r="AF384" s="7">
        <f>'Database MK'!DK385-'Database MK'!DO385</f>
        <v>-1</v>
      </c>
      <c r="AG384" s="7">
        <f>'Database MK'!DU385-'Database MK'!DW385</f>
        <v>12</v>
      </c>
      <c r="AH384" s="7" t="str">
        <f>IF('Database MK'!EB385="","Belum",'Database MK'!DU385-'Database MK'!EB385)</f>
        <v>Belum</v>
      </c>
      <c r="AI384" s="7" t="str">
        <f>IF('Database MK'!EN385="","Belum",'Database MK'!EL385-'Database MK'!EN385)</f>
        <v>Belum</v>
      </c>
      <c r="AJ384" s="7">
        <f>'Database MK'!FY385-'Database MK'!FZ385</f>
        <v>-53</v>
      </c>
      <c r="AK384" s="7">
        <f>IF('Database MK'!GC385="","Belum",'Database MK'!GB385-'Database MK'!GC385)</f>
        <v>17</v>
      </c>
      <c r="AL384" s="7">
        <f>IF('Database MK'!GF385="","Belum",'Database MK'!GE385-'Database MK'!GF385)</f>
        <v>26</v>
      </c>
      <c r="AM384" s="309">
        <f>IF('Database MK'!GJ385="","Belum",'Database MK'!GI385-'Database MK'!GJ385)</f>
        <v>37</v>
      </c>
      <c r="AN384" s="7">
        <f>IF('Database MK'!HG385="","Belum",'Database MK'!HF385-'Database MK'!HG385)</f>
        <v>52</v>
      </c>
      <c r="AO384" s="7">
        <f>IF('Database MK'!HP385="","Belum",'Database MK'!HN385-'Database MK'!HP385)</f>
        <v>55</v>
      </c>
      <c r="AP384" s="7">
        <f>IF('Database MK'!HV385="","Belum",'Database MK'!HT385-'Database MK'!HV385)</f>
        <v>53</v>
      </c>
    </row>
    <row r="385" spans="2:42" hidden="1" x14ac:dyDescent="0.2">
      <c r="B385" s="7">
        <f>SUBTOTAL(3,$C$4:C385)</f>
        <v>74</v>
      </c>
      <c r="C385" s="299" t="s">
        <v>244</v>
      </c>
      <c r="D385" s="4" t="s">
        <v>3054</v>
      </c>
      <c r="E385" s="4" t="s">
        <v>3055</v>
      </c>
      <c r="F385" s="300">
        <v>46296</v>
      </c>
      <c r="G385" s="4" t="s">
        <v>681</v>
      </c>
      <c r="H385" s="4" t="str">
        <f ca="1">'Database MK'!Q386</f>
        <v>MC-0</v>
      </c>
      <c r="I385" s="24">
        <f>'Database MK'!S386</f>
        <v>1</v>
      </c>
      <c r="J385" s="24">
        <f>'Database MK'!T386</f>
        <v>6.0628976551524404E-2</v>
      </c>
      <c r="K385" s="603">
        <f>'Database MK'!U386</f>
        <v>-0.93937102344847556</v>
      </c>
      <c r="L385" s="593">
        <f>'Database MK'!V386</f>
        <v>0</v>
      </c>
      <c r="M385" s="593">
        <f>'Database MK'!W386</f>
        <v>0</v>
      </c>
      <c r="N385" s="593">
        <f>Table3[[#This Row],[Total Panjang Pipa Aktual]]-Table3[[#This Row],[Volume
BA MC-0]]</f>
        <v>0</v>
      </c>
      <c r="O385" s="7" t="str">
        <f ca="1">'Database MK'!DE386</f>
        <v>Sudah, OnSchedule</v>
      </c>
      <c r="P385" s="7" t="str">
        <f ca="1">'Database MK'!DI386</f>
        <v>Sudah, OnSchedule</v>
      </c>
      <c r="Q385" s="7" t="str">
        <f ca="1">'Database MK'!DN386</f>
        <v>Sudah, OnSchedule</v>
      </c>
      <c r="R385" s="7" t="str">
        <f ca="1">'Database MK'!DR386</f>
        <v>Sudah, Delay</v>
      </c>
      <c r="S385" s="7" t="str">
        <f ca="1">'Database MK'!EA386</f>
        <v>Sudah, OnSchedule</v>
      </c>
      <c r="T385" s="7" t="str">
        <f ca="1">'Database MK'!EI386</f>
        <v>Belum, Delay</v>
      </c>
      <c r="U385" s="7" t="str">
        <f ca="1">'Database MK'!ET386</f>
        <v>Belum, Delay</v>
      </c>
      <c r="V385" s="7" t="str">
        <f ca="1">'Database MK'!GA386</f>
        <v>Sudah, Delay</v>
      </c>
      <c r="W385" s="7" t="str">
        <f ca="1">'Database MK'!GD386</f>
        <v>Sudah, Delay</v>
      </c>
      <c r="X385" s="7" t="str">
        <f ca="1">'Database MK'!GG386</f>
        <v>Sudah, Delay</v>
      </c>
      <c r="Y385" s="7" t="str">
        <f ca="1">'Database MK'!GK386</f>
        <v>Sudah, Delay</v>
      </c>
      <c r="Z385" s="7" t="str">
        <f ca="1">'Database MK'!HH386</f>
        <v>Belum, Delay</v>
      </c>
      <c r="AA385" s="7" t="str">
        <f ca="1">'Database MK'!HQ386</f>
        <v>Belum, Delay</v>
      </c>
      <c r="AB385" s="7" t="str">
        <f ca="1">'Database MK'!HW386</f>
        <v>Belum, Delay</v>
      </c>
      <c r="AC385" s="7">
        <f>'Database MK'!DA386-'Database MK'!DB386</f>
        <v>30</v>
      </c>
      <c r="AD385" s="7">
        <f>'Database MK'!DA386-'Database MK'!DF386</f>
        <v>6</v>
      </c>
      <c r="AE385" s="7">
        <f>'Database MK'!DK386-'Database MK'!DL386</f>
        <v>33</v>
      </c>
      <c r="AF385" s="7">
        <f>'Database MK'!DK386-'Database MK'!DO386</f>
        <v>-1</v>
      </c>
      <c r="AG385" s="7">
        <f>'Database MK'!DU386-'Database MK'!DW386</f>
        <v>12</v>
      </c>
      <c r="AH385" s="7" t="str">
        <f>IF('Database MK'!EB386="","Belum",'Database MK'!DU386-'Database MK'!EB386)</f>
        <v>Belum</v>
      </c>
      <c r="AI385" s="7" t="str">
        <f>IF('Database MK'!EN386="","Belum",'Database MK'!EL386-'Database MK'!EN386)</f>
        <v>Belum</v>
      </c>
      <c r="AJ385" s="7">
        <f>'Database MK'!FY386-'Database MK'!FZ386</f>
        <v>-53</v>
      </c>
      <c r="AK385" s="7">
        <f>IF('Database MK'!GC386="","Belum",'Database MK'!GB386-'Database MK'!GC386)</f>
        <v>-58</v>
      </c>
      <c r="AL385" s="7">
        <f>IF('Database MK'!GF386="","Belum",'Database MK'!GE386-'Database MK'!GF386)</f>
        <v>-51</v>
      </c>
      <c r="AM385" s="309">
        <f>IF('Database MK'!GJ386="","Belum",'Database MK'!GI386-'Database MK'!GJ386)</f>
        <v>-43</v>
      </c>
      <c r="AN385" s="7" t="str">
        <f>IF('Database MK'!HG386="","Belum",'Database MK'!HF386-'Database MK'!HG386)</f>
        <v>Belum</v>
      </c>
      <c r="AO385" s="7" t="str">
        <f>IF('Database MK'!HP386="","Belum",'Database MK'!HN386-'Database MK'!HP386)</f>
        <v>Belum</v>
      </c>
      <c r="AP385" s="7" t="str">
        <f>IF('Database MK'!HV386="","Belum",'Database MK'!HT386-'Database MK'!HV386)</f>
        <v>Belum</v>
      </c>
    </row>
    <row r="386" spans="2:42" hidden="1" x14ac:dyDescent="0.2">
      <c r="B386" s="7">
        <f>SUBTOTAL(3,$C$4:C386)</f>
        <v>74</v>
      </c>
      <c r="C386" s="299" t="s">
        <v>244</v>
      </c>
      <c r="D386" s="4" t="s">
        <v>3061</v>
      </c>
      <c r="E386" s="4" t="s">
        <v>3062</v>
      </c>
      <c r="F386" s="300">
        <v>46296</v>
      </c>
      <c r="G386" s="4" t="s">
        <v>681</v>
      </c>
      <c r="H386" s="4" t="str">
        <f ca="1">'Database MK'!Q387</f>
        <v>MC-0</v>
      </c>
      <c r="I386" s="24">
        <f>'Database MK'!S387</f>
        <v>9.4579611358418858E-2</v>
      </c>
      <c r="J386" s="24">
        <f>'Database MK'!T387</f>
        <v>6.0830533914355708E-2</v>
      </c>
      <c r="K386" s="603">
        <f>'Database MK'!U387</f>
        <v>-3.374907744406315E-2</v>
      </c>
      <c r="L386" s="593">
        <f>'Database MK'!V387</f>
        <v>3221</v>
      </c>
      <c r="M386" s="593">
        <f>'Database MK'!W387</f>
        <v>0</v>
      </c>
      <c r="N386" s="593">
        <f>Table3[[#This Row],[Total Panjang Pipa Aktual]]-Table3[[#This Row],[Volume
BA MC-0]]</f>
        <v>-3221</v>
      </c>
      <c r="O386" s="7" t="str">
        <f ca="1">'Database MK'!DE387</f>
        <v>Sudah, OnSchedule</v>
      </c>
      <c r="P386" s="7" t="str">
        <f ca="1">'Database MK'!DI387</f>
        <v>Sudah, OnSchedule</v>
      </c>
      <c r="Q386" s="7" t="str">
        <f ca="1">'Database MK'!DN387</f>
        <v>Sudah, OnSchedule</v>
      </c>
      <c r="R386" s="7" t="str">
        <f ca="1">'Database MK'!DR387</f>
        <v>Sudah, OnSchedule</v>
      </c>
      <c r="S386" s="7" t="str">
        <f ca="1">'Database MK'!EA387</f>
        <v>Sudah, OnSchedule</v>
      </c>
      <c r="T386" s="7" t="str">
        <f ca="1">'Database MK'!EI387</f>
        <v>Belum, Delay</v>
      </c>
      <c r="U386" s="7" t="str">
        <f ca="1">'Database MK'!ET387</f>
        <v>Belum, OnSchedule</v>
      </c>
      <c r="V386" s="7" t="str">
        <f ca="1">'Database MK'!GA387</f>
        <v>Sudah, OnSchedule</v>
      </c>
      <c r="W386" s="7" t="str">
        <f ca="1">'Database MK'!GD387</f>
        <v>Sudah, OnSchedule</v>
      </c>
      <c r="X386" s="7" t="str">
        <f ca="1">'Database MK'!GG387</f>
        <v>Sudah, OnSchedule</v>
      </c>
      <c r="Y386" s="7" t="str">
        <f ca="1">'Database MK'!GK387</f>
        <v>Sudah, OnSchedule</v>
      </c>
      <c r="Z386" s="7" t="str">
        <f ca="1">'Database MK'!HH387</f>
        <v>Belum, OnSchedule</v>
      </c>
      <c r="AA386" s="7" t="str">
        <f ca="1">'Database MK'!HQ387</f>
        <v>Belum, OnSchedule</v>
      </c>
      <c r="AB386" s="7" t="str">
        <f ca="1">'Database MK'!HW387</f>
        <v>Belum, OnSchedule</v>
      </c>
      <c r="AC386" s="7">
        <f>'Database MK'!DA387-'Database MK'!DB387</f>
        <v>44</v>
      </c>
      <c r="AD386" s="7">
        <f>'Database MK'!DA387-'Database MK'!DF387</f>
        <v>19</v>
      </c>
      <c r="AE386" s="7">
        <f>'Database MK'!DK387-'Database MK'!DL387</f>
        <v>82</v>
      </c>
      <c r="AF386" s="7">
        <f>'Database MK'!DK387-'Database MK'!DO387</f>
        <v>52</v>
      </c>
      <c r="AG386" s="7">
        <f>'Database MK'!DU387-'Database MK'!DW387</f>
        <v>26</v>
      </c>
      <c r="AH386" s="7" t="str">
        <f>IF('Database MK'!EB387="","Belum",'Database MK'!DU387-'Database MK'!EB387)</f>
        <v>Belum</v>
      </c>
      <c r="AI386" s="7" t="str">
        <f>IF('Database MK'!EN387="","Belum",'Database MK'!EL387-'Database MK'!EN387)</f>
        <v>Belum</v>
      </c>
      <c r="AJ386" s="7">
        <f>'Database MK'!FY387-'Database MK'!FZ387</f>
        <v>81</v>
      </c>
      <c r="AK386" s="7">
        <f>IF('Database MK'!GC387="","Belum",'Database MK'!GB387-'Database MK'!GC387)</f>
        <v>34</v>
      </c>
      <c r="AL386" s="7">
        <f>IF('Database MK'!GF387="","Belum",'Database MK'!GE387-'Database MK'!GF387)</f>
        <v>41</v>
      </c>
      <c r="AM386" s="309">
        <f>IF('Database MK'!GJ387="","Belum",'Database MK'!GI387-'Database MK'!GJ387)</f>
        <v>53</v>
      </c>
      <c r="AN386" s="7" t="str">
        <f>IF('Database MK'!HG387="","Belum",'Database MK'!HF387-'Database MK'!HG387)</f>
        <v>Belum</v>
      </c>
      <c r="AO386" s="7" t="str">
        <f>IF('Database MK'!HP387="","Belum",'Database MK'!HN387-'Database MK'!HP387)</f>
        <v>Belum</v>
      </c>
      <c r="AP386" s="7" t="str">
        <f>IF('Database MK'!HV387="","Belum",'Database MK'!HT387-'Database MK'!HV387)</f>
        <v>Belum</v>
      </c>
    </row>
    <row r="387" spans="2:42" hidden="1" x14ac:dyDescent="0.2">
      <c r="B387" s="7">
        <f>SUBTOTAL(3,$C$4:C387)</f>
        <v>74</v>
      </c>
      <c r="C387" s="299" t="s">
        <v>244</v>
      </c>
      <c r="D387" s="4" t="s">
        <v>3069</v>
      </c>
      <c r="E387" s="4" t="s">
        <v>3070</v>
      </c>
      <c r="F387" s="300">
        <v>46296</v>
      </c>
      <c r="G387" s="4" t="s">
        <v>681</v>
      </c>
      <c r="H387" s="4" t="str">
        <f ca="1">'Database MK'!Q388</f>
        <v>MC-0</v>
      </c>
      <c r="I387" s="24">
        <f>'Database MK'!S388</f>
        <v>0.32637466882622607</v>
      </c>
      <c r="J387" s="24">
        <f>'Database MK'!T388</f>
        <v>0.12904974827076862</v>
      </c>
      <c r="K387" s="603">
        <f>'Database MK'!U388</f>
        <v>-0.19732492055545744</v>
      </c>
      <c r="L387" s="593">
        <f>'Database MK'!V388</f>
        <v>0</v>
      </c>
      <c r="M387" s="593">
        <f>'Database MK'!W388</f>
        <v>0</v>
      </c>
      <c r="N387" s="593">
        <f>Table3[[#This Row],[Total Panjang Pipa Aktual]]-Table3[[#This Row],[Volume
BA MC-0]]</f>
        <v>0</v>
      </c>
      <c r="O387" s="7" t="str">
        <f ca="1">'Database MK'!DE388</f>
        <v>Sudah, OnSchedule</v>
      </c>
      <c r="P387" s="7" t="str">
        <f ca="1">'Database MK'!DI388</f>
        <v>Sudah, OnSchedule</v>
      </c>
      <c r="Q387" s="7" t="str">
        <f ca="1">'Database MK'!DN388</f>
        <v>Sudah, OnSchedule</v>
      </c>
      <c r="R387" s="7" t="str">
        <f ca="1">'Database MK'!DR388</f>
        <v>Sudah, OnSchedule</v>
      </c>
      <c r="S387" s="7" t="str">
        <f ca="1">'Database MK'!EA388</f>
        <v>Sudah, OnSchedule</v>
      </c>
      <c r="T387" s="7" t="str">
        <f ca="1">'Database MK'!EI388</f>
        <v>Belum, Delay</v>
      </c>
      <c r="U387" s="7" t="str">
        <f ca="1">'Database MK'!ET388</f>
        <v>Belum, Delay</v>
      </c>
      <c r="V387" s="7" t="str">
        <f ca="1">'Database MK'!GA388</f>
        <v>Sudah, OnSchedule</v>
      </c>
      <c r="W387" s="7" t="str">
        <f ca="1">'Database MK'!GD388</f>
        <v>Sudah, OnSchedule</v>
      </c>
      <c r="X387" s="7" t="str">
        <f ca="1">'Database MK'!GG388</f>
        <v>Sudah, OnSchedule</v>
      </c>
      <c r="Y387" s="7" t="str">
        <f ca="1">'Database MK'!GK388</f>
        <v>Sudah, OnSchedule</v>
      </c>
      <c r="Z387" s="7" t="str">
        <f ca="1">'Database MK'!HH388</f>
        <v>Belum, OnSchedule</v>
      </c>
      <c r="AA387" s="7" t="str">
        <f ca="1">'Database MK'!HQ388</f>
        <v>Belum, OnSchedule</v>
      </c>
      <c r="AB387" s="7" t="str">
        <f ca="1">'Database MK'!HW388</f>
        <v>Belum, OnSchedule</v>
      </c>
      <c r="AC387" s="7">
        <f>'Database MK'!DA388-'Database MK'!DB388</f>
        <v>20</v>
      </c>
      <c r="AD387" s="7">
        <f>'Database MK'!DA388-'Database MK'!DF388</f>
        <v>5</v>
      </c>
      <c r="AE387" s="7">
        <f>'Database MK'!DK388-'Database MK'!DL388</f>
        <v>89</v>
      </c>
      <c r="AF387" s="7">
        <f>'Database MK'!DK388-'Database MK'!DO388</f>
        <v>62</v>
      </c>
      <c r="AG387" s="7">
        <f>'Database MK'!DU388-'Database MK'!DW388</f>
        <v>33</v>
      </c>
      <c r="AH387" s="7" t="str">
        <f>IF('Database MK'!EB388="","Belum",'Database MK'!DU388-'Database MK'!EB388)</f>
        <v>Belum</v>
      </c>
      <c r="AI387" s="7" t="str">
        <f>IF('Database MK'!EN388="","Belum",'Database MK'!EL388-'Database MK'!EN388)</f>
        <v>Belum</v>
      </c>
      <c r="AJ387" s="7">
        <f>'Database MK'!FY388-'Database MK'!FZ388</f>
        <v>10</v>
      </c>
      <c r="AK387" s="7">
        <f>IF('Database MK'!GC388="","Belum",'Database MK'!GB388-'Database MK'!GC388)</f>
        <v>5</v>
      </c>
      <c r="AL387" s="7">
        <f>IF('Database MK'!GF388="","Belum",'Database MK'!GE388-'Database MK'!GF388)</f>
        <v>12</v>
      </c>
      <c r="AM387" s="309">
        <f>IF('Database MK'!GJ388="","Belum",'Database MK'!GI388-'Database MK'!GJ388)</f>
        <v>12</v>
      </c>
      <c r="AN387" s="7" t="str">
        <f>IF('Database MK'!HG388="","Belum",'Database MK'!HF388-'Database MK'!HG388)</f>
        <v>Belum</v>
      </c>
      <c r="AO387" s="7" t="str">
        <f>IF('Database MK'!HP388="","Belum",'Database MK'!HN388-'Database MK'!HP388)</f>
        <v>Belum</v>
      </c>
      <c r="AP387" s="7" t="str">
        <f>IF('Database MK'!HV388="","Belum",'Database MK'!HT388-'Database MK'!HV388)</f>
        <v>Belum</v>
      </c>
    </row>
    <row r="388" spans="2:42" hidden="1" x14ac:dyDescent="0.2">
      <c r="B388" s="7">
        <f>SUBTOTAL(3,$C$4:C388)</f>
        <v>74</v>
      </c>
      <c r="C388" s="299" t="s">
        <v>244</v>
      </c>
      <c r="D388" s="4" t="s">
        <v>3076</v>
      </c>
      <c r="E388" s="4" t="s">
        <v>3077</v>
      </c>
      <c r="F388" s="300">
        <v>46296</v>
      </c>
      <c r="G388" s="4" t="s">
        <v>681</v>
      </c>
      <c r="H388" s="4" t="str">
        <f ca="1">'Database MK'!Q389</f>
        <v>Proses Konstruksi</v>
      </c>
      <c r="I388" s="24">
        <f>'Database MK'!S389</f>
        <v>0.10881717946488725</v>
      </c>
      <c r="J388" s="24">
        <f>'Database MK'!T389</f>
        <v>7.0217485883365294E-2</v>
      </c>
      <c r="K388" s="603">
        <f>'Database MK'!U389</f>
        <v>-3.859969358152196E-2</v>
      </c>
      <c r="L388" s="593">
        <f>'Database MK'!V389</f>
        <v>904</v>
      </c>
      <c r="M388" s="593">
        <f>'Database MK'!W389</f>
        <v>600</v>
      </c>
      <c r="N388" s="593">
        <f>Table3[[#This Row],[Total Panjang Pipa Aktual]]-Table3[[#This Row],[Volume
BA MC-0]]</f>
        <v>-304</v>
      </c>
      <c r="O388" s="7" t="str">
        <f ca="1">'Database MK'!DE389</f>
        <v>Sudah, OnSchedule</v>
      </c>
      <c r="P388" s="7" t="str">
        <f ca="1">'Database MK'!DI389</f>
        <v>Sudah, OnSchedule</v>
      </c>
      <c r="Q388" s="7" t="str">
        <f ca="1">'Database MK'!DN389</f>
        <v>Sudah, OnSchedule</v>
      </c>
      <c r="R388" s="7" t="str">
        <f ca="1">'Database MK'!DR389</f>
        <v>Sudah, OnSchedule</v>
      </c>
      <c r="S388" s="7" t="str">
        <f ca="1">'Database MK'!EA389</f>
        <v>Sudah, OnSchedule</v>
      </c>
      <c r="T388" s="7" t="str">
        <f ca="1">'Database MK'!EI389</f>
        <v>Sudah, Delay</v>
      </c>
      <c r="U388" s="7" t="str">
        <f ca="1">'Database MK'!ET389</f>
        <v>Belum, OnSchedule</v>
      </c>
      <c r="V388" s="7" t="str">
        <f ca="1">'Database MK'!GA389</f>
        <v>Sudah, OnSchedule</v>
      </c>
      <c r="W388" s="7" t="str">
        <f ca="1">'Database MK'!GD389</f>
        <v>Sudah, OnSchedule</v>
      </c>
      <c r="X388" s="7" t="str">
        <f ca="1">'Database MK'!GG389</f>
        <v>Sudah, OnSchedule</v>
      </c>
      <c r="Y388" s="7" t="str">
        <f ca="1">'Database MK'!GK389</f>
        <v>Sudah, OnSchedule</v>
      </c>
      <c r="Z388" s="7" t="str">
        <f ca="1">'Database MK'!HH389</f>
        <v>Belum, OnSchedule</v>
      </c>
      <c r="AA388" s="7" t="str">
        <f ca="1">'Database MK'!HQ389</f>
        <v>Belum, OnSchedule</v>
      </c>
      <c r="AB388" s="7" t="str">
        <f ca="1">'Database MK'!HW389</f>
        <v>Belum, OnSchedule</v>
      </c>
      <c r="AC388" s="7">
        <f>'Database MK'!DA389-'Database MK'!DB389</f>
        <v>19</v>
      </c>
      <c r="AD388" s="7">
        <f>'Database MK'!DA389-'Database MK'!DF389</f>
        <v>13</v>
      </c>
      <c r="AE388" s="7">
        <f>'Database MK'!DK389-'Database MK'!DL389</f>
        <v>89</v>
      </c>
      <c r="AF388" s="7">
        <f>'Database MK'!DK389-'Database MK'!DO389</f>
        <v>58</v>
      </c>
      <c r="AG388" s="7">
        <f>'Database MK'!DU389-'Database MK'!DW389</f>
        <v>33</v>
      </c>
      <c r="AH388" s="7">
        <f>IF('Database MK'!EB389="","Belum",'Database MK'!DU389-'Database MK'!EB389)</f>
        <v>-75</v>
      </c>
      <c r="AI388" s="7" t="str">
        <f>IF('Database MK'!EN389="","Belum",'Database MK'!EL389-'Database MK'!EN389)</f>
        <v>Belum</v>
      </c>
      <c r="AJ388" s="7">
        <f>'Database MK'!FY389-'Database MK'!FZ389</f>
        <v>10</v>
      </c>
      <c r="AK388" s="7">
        <f>IF('Database MK'!GC389="","Belum",'Database MK'!GB389-'Database MK'!GC389)</f>
        <v>33</v>
      </c>
      <c r="AL388" s="7">
        <f>IF('Database MK'!GF389="","Belum",'Database MK'!GE389-'Database MK'!GF389)</f>
        <v>40</v>
      </c>
      <c r="AM388" s="309">
        <f>IF('Database MK'!GJ389="","Belum",'Database MK'!GI389-'Database MK'!GJ389)</f>
        <v>45</v>
      </c>
      <c r="AN388" s="7" t="str">
        <f>IF('Database MK'!HG389="","Belum",'Database MK'!HF389-'Database MK'!HG389)</f>
        <v>Belum</v>
      </c>
      <c r="AO388" s="7" t="str">
        <f>IF('Database MK'!HP389="","Belum",'Database MK'!HN389-'Database MK'!HP389)</f>
        <v>Belum</v>
      </c>
      <c r="AP388" s="7" t="str">
        <f>IF('Database MK'!HV389="","Belum",'Database MK'!HT389-'Database MK'!HV389)</f>
        <v>Belum</v>
      </c>
    </row>
    <row r="389" spans="2:42" hidden="1" x14ac:dyDescent="0.2">
      <c r="B389" s="7">
        <f>SUBTOTAL(3,$C$4:C389)</f>
        <v>74</v>
      </c>
      <c r="C389" s="299" t="s">
        <v>244</v>
      </c>
      <c r="D389" s="4" t="s">
        <v>3083</v>
      </c>
      <c r="E389" s="4" t="s">
        <v>3084</v>
      </c>
      <c r="F389" s="300">
        <v>46296</v>
      </c>
      <c r="G389" s="4" t="s">
        <v>681</v>
      </c>
      <c r="H389" s="4" t="str">
        <f ca="1">'Database MK'!Q390</f>
        <v>DPPP</v>
      </c>
      <c r="I389" s="24">
        <f>'Database MK'!S390</f>
        <v>0.22723468597189175</v>
      </c>
      <c r="J389" s="24">
        <f>'Database MK'!T390</f>
        <v>1</v>
      </c>
      <c r="K389" s="603">
        <f>'Database MK'!U390</f>
        <v>0.77276531402810822</v>
      </c>
      <c r="L389" s="593">
        <f>'Database MK'!V390</f>
        <v>125.7</v>
      </c>
      <c r="M389" s="593">
        <f>'Database MK'!W390</f>
        <v>125.7</v>
      </c>
      <c r="N389" s="593">
        <f>Table3[[#This Row],[Total Panjang Pipa Aktual]]-Table3[[#This Row],[Volume
BA MC-0]]</f>
        <v>0</v>
      </c>
      <c r="O389" s="7" t="str">
        <f ca="1">'Database MK'!DE390</f>
        <v>Sudah, OnSchedule</v>
      </c>
      <c r="P389" s="7" t="str">
        <f ca="1">'Database MK'!DI390</f>
        <v>Sudah, OnSchedule</v>
      </c>
      <c r="Q389" s="7" t="str">
        <f ca="1">'Database MK'!DN390</f>
        <v>Sudah, OnSchedule</v>
      </c>
      <c r="R389" s="7" t="str">
        <f ca="1">'Database MK'!DR390</f>
        <v>Sudah, OnSchedule</v>
      </c>
      <c r="S389" s="7" t="str">
        <f ca="1">'Database MK'!EA390</f>
        <v>Sudah, OnSchedule</v>
      </c>
      <c r="T389" s="7" t="str">
        <f ca="1">'Database MK'!EI390</f>
        <v>Belum, Delay</v>
      </c>
      <c r="U389" s="7" t="str">
        <f ca="1">'Database MK'!ET390</f>
        <v>Belum, Delay</v>
      </c>
      <c r="V389" s="7" t="str">
        <f ca="1">'Database MK'!GA390</f>
        <v>Sudah, OnSchedule</v>
      </c>
      <c r="W389" s="7" t="str">
        <f ca="1">'Database MK'!GD390</f>
        <v>Sudah, OnSchedule</v>
      </c>
      <c r="X389" s="7" t="str">
        <f ca="1">'Database MK'!GG390</f>
        <v>Sudah, OnSchedule</v>
      </c>
      <c r="Y389" s="7" t="str">
        <f ca="1">'Database MK'!GK390</f>
        <v>Sudah, OnSchedule</v>
      </c>
      <c r="Z389" s="7" t="str">
        <f ca="1">'Database MK'!HH390</f>
        <v>Sudah, OnSchedule</v>
      </c>
      <c r="AA389" s="7" t="str">
        <f ca="1">'Database MK'!HQ390</f>
        <v>Sudah, OnSchedule</v>
      </c>
      <c r="AB389" s="7" t="str">
        <f ca="1">'Database MK'!HW390</f>
        <v>Sudah, OnSchedule</v>
      </c>
      <c r="AC389" s="7">
        <f>'Database MK'!DA390-'Database MK'!DB390</f>
        <v>19</v>
      </c>
      <c r="AD389" s="7">
        <f>'Database MK'!DA390-'Database MK'!DF390</f>
        <v>5</v>
      </c>
      <c r="AE389" s="7">
        <f>'Database MK'!DK390-'Database MK'!DL390</f>
        <v>89</v>
      </c>
      <c r="AF389" s="7">
        <f>'Database MK'!DK390-'Database MK'!DO390</f>
        <v>83</v>
      </c>
      <c r="AG389" s="7">
        <f>'Database MK'!DU390-'Database MK'!DW390</f>
        <v>33</v>
      </c>
      <c r="AH389" s="7" t="str">
        <f>IF('Database MK'!EB390="","Belum",'Database MK'!DU390-'Database MK'!EB390)</f>
        <v>Belum</v>
      </c>
      <c r="AI389" s="7" t="str">
        <f>IF('Database MK'!EN390="","Belum",'Database MK'!EL390-'Database MK'!EN390)</f>
        <v>Belum</v>
      </c>
      <c r="AJ389" s="7">
        <f>'Database MK'!FY390-'Database MK'!FZ390</f>
        <v>81</v>
      </c>
      <c r="AK389" s="7">
        <f>IF('Database MK'!GC390="","Belum",'Database MK'!GB390-'Database MK'!GC390)</f>
        <v>80</v>
      </c>
      <c r="AL389" s="7">
        <f>IF('Database MK'!GF390="","Belum",'Database MK'!GE390-'Database MK'!GF390)</f>
        <v>89</v>
      </c>
      <c r="AM389" s="309">
        <f>IF('Database MK'!GJ390="","Belum",'Database MK'!GI390-'Database MK'!GJ390)</f>
        <v>100</v>
      </c>
      <c r="AN389" s="7">
        <f>IF('Database MK'!HG390="","Belum",'Database MK'!HF390-'Database MK'!HG390)</f>
        <v>115</v>
      </c>
      <c r="AO389" s="7">
        <f>IF('Database MK'!HP390="","Belum",'Database MK'!HN390-'Database MK'!HP390)</f>
        <v>120</v>
      </c>
      <c r="AP389" s="7">
        <f>IF('Database MK'!HV390="","Belum",'Database MK'!HT390-'Database MK'!HV390)</f>
        <v>114</v>
      </c>
    </row>
    <row r="390" spans="2:42" hidden="1" x14ac:dyDescent="0.2">
      <c r="B390" s="7">
        <f>SUBTOTAL(3,$C$4:C390)</f>
        <v>74</v>
      </c>
      <c r="C390" s="299" t="s">
        <v>244</v>
      </c>
      <c r="D390" s="4" t="s">
        <v>3091</v>
      </c>
      <c r="E390" s="4" t="s">
        <v>3092</v>
      </c>
      <c r="F390" s="300">
        <v>46296</v>
      </c>
      <c r="G390" s="4" t="s">
        <v>681</v>
      </c>
      <c r="H390" s="4" t="str">
        <f ca="1">'Database MK'!Q391</f>
        <v>Tes Com</v>
      </c>
      <c r="I390" s="24">
        <f>'Database MK'!S391</f>
        <v>0.20078602218742031</v>
      </c>
      <c r="J390" s="24">
        <f>'Database MK'!T391</f>
        <v>0.80543103783815784</v>
      </c>
      <c r="K390" s="603">
        <f>'Database MK'!U391</f>
        <v>0.60464501565073747</v>
      </c>
      <c r="L390" s="593">
        <f>'Database MK'!V391</f>
        <v>561</v>
      </c>
      <c r="M390" s="593">
        <f>'Database MK'!W391</f>
        <v>424</v>
      </c>
      <c r="N390" s="593">
        <f>Table3[[#This Row],[Total Panjang Pipa Aktual]]-Table3[[#This Row],[Volume
BA MC-0]]</f>
        <v>-137</v>
      </c>
      <c r="O390" s="7" t="str">
        <f ca="1">'Database MK'!DE391</f>
        <v>Sudah, OnSchedule</v>
      </c>
      <c r="P390" s="7" t="str">
        <f ca="1">'Database MK'!DI391</f>
        <v>Sudah, Delay</v>
      </c>
      <c r="Q390" s="7" t="str">
        <f ca="1">'Database MK'!DN391</f>
        <v>Sudah, OnSchedule</v>
      </c>
      <c r="R390" s="7" t="str">
        <f ca="1">'Database MK'!DR391</f>
        <v>Sudah, OnSchedule</v>
      </c>
      <c r="S390" s="7" t="str">
        <f ca="1">'Database MK'!EA391</f>
        <v>Sudah, OnSchedule</v>
      </c>
      <c r="T390" s="7" t="str">
        <f ca="1">'Database MK'!EI391</f>
        <v>Belum, Delay</v>
      </c>
      <c r="U390" s="7" t="str">
        <f ca="1">'Database MK'!ET391</f>
        <v>Belum, Delay</v>
      </c>
      <c r="V390" s="7" t="str">
        <f ca="1">'Database MK'!GA391</f>
        <v>Sudah, OnSchedule</v>
      </c>
      <c r="W390" s="7" t="str">
        <f ca="1">'Database MK'!GD391</f>
        <v>Sudah, OnSchedule</v>
      </c>
      <c r="X390" s="7" t="str">
        <f ca="1">'Database MK'!GG391</f>
        <v>Sudah, OnSchedule</v>
      </c>
      <c r="Y390" s="7" t="str">
        <f ca="1">'Database MK'!GK391</f>
        <v>Sudah, OnSchedule</v>
      </c>
      <c r="Z390" s="7" t="str">
        <f ca="1">'Database MK'!HH391</f>
        <v>Sudah, OnSchedule</v>
      </c>
      <c r="AA390" s="7" t="str">
        <f ca="1">'Database MK'!HQ391</f>
        <v>Belum, OnSchedule</v>
      </c>
      <c r="AB390" s="7" t="str">
        <f ca="1">'Database MK'!HW391</f>
        <v>Belum, OnSchedule</v>
      </c>
      <c r="AC390" s="7">
        <f>'Database MK'!DA391-'Database MK'!DB391</f>
        <v>12</v>
      </c>
      <c r="AD390" s="7">
        <f>'Database MK'!DA391-'Database MK'!DF391</f>
        <v>-3</v>
      </c>
      <c r="AE390" s="7">
        <f>'Database MK'!DK391-'Database MK'!DL391</f>
        <v>86</v>
      </c>
      <c r="AF390" s="7">
        <f>'Database MK'!DK391-'Database MK'!DO391</f>
        <v>62</v>
      </c>
      <c r="AG390" s="7">
        <f>'Database MK'!DU391-'Database MK'!DW391</f>
        <v>30</v>
      </c>
      <c r="AH390" s="7" t="str">
        <f>IF('Database MK'!EB391="","Belum",'Database MK'!DU391-'Database MK'!EB391)</f>
        <v>Belum</v>
      </c>
      <c r="AI390" s="7" t="str">
        <f>IF('Database MK'!EN391="","Belum",'Database MK'!EL391-'Database MK'!EN391)</f>
        <v>Belum</v>
      </c>
      <c r="AJ390" s="7">
        <f>'Database MK'!FY391-'Database MK'!FZ391</f>
        <v>10</v>
      </c>
      <c r="AK390" s="7">
        <f>IF('Database MK'!GC391="","Belum",'Database MK'!GB391-'Database MK'!GC391)</f>
        <v>34</v>
      </c>
      <c r="AL390" s="7">
        <f>IF('Database MK'!GF391="","Belum",'Database MK'!GE391-'Database MK'!GF391)</f>
        <v>41</v>
      </c>
      <c r="AM390" s="309">
        <f>IF('Database MK'!GJ391="","Belum",'Database MK'!GI391-'Database MK'!GJ391)</f>
        <v>53</v>
      </c>
      <c r="AN390" s="7">
        <f>IF('Database MK'!HG391="","Belum",'Database MK'!HF391-'Database MK'!HG391)</f>
        <v>76</v>
      </c>
      <c r="AO390" s="7" t="str">
        <f>IF('Database MK'!HP391="","Belum",'Database MK'!HN391-'Database MK'!HP391)</f>
        <v>Belum</v>
      </c>
      <c r="AP390" s="7" t="str">
        <f>IF('Database MK'!HV391="","Belum",'Database MK'!HT391-'Database MK'!HV391)</f>
        <v>Belum</v>
      </c>
    </row>
    <row r="391" spans="2:42" hidden="1" x14ac:dyDescent="0.2">
      <c r="B391" s="7">
        <f>SUBTOTAL(3,$C$4:C391)</f>
        <v>74</v>
      </c>
      <c r="C391" s="299" t="s">
        <v>244</v>
      </c>
      <c r="D391" s="4" t="s">
        <v>3099</v>
      </c>
      <c r="E391" s="4" t="s">
        <v>3100</v>
      </c>
      <c r="F391" s="300">
        <v>46296</v>
      </c>
      <c r="G391" s="4" t="s">
        <v>681</v>
      </c>
      <c r="H391" s="4" t="str">
        <f ca="1">'Database MK'!Q392</f>
        <v>Flushing</v>
      </c>
      <c r="I391" s="24">
        <f>'Database MK'!S392</f>
        <v>0.1465019780499352</v>
      </c>
      <c r="J391" s="24">
        <f>'Database MK'!T392</f>
        <v>0.64173716829218808</v>
      </c>
      <c r="K391" s="603">
        <f>'Database MK'!U392</f>
        <v>0.49523519024225288</v>
      </c>
      <c r="L391" s="593">
        <f>'Database MK'!V392</f>
        <v>687.8</v>
      </c>
      <c r="M391" s="593">
        <f>'Database MK'!W392</f>
        <v>400</v>
      </c>
      <c r="N391" s="593">
        <f>Table3[[#This Row],[Total Panjang Pipa Aktual]]-Table3[[#This Row],[Volume
BA MC-0]]</f>
        <v>-287.79999999999995</v>
      </c>
      <c r="O391" s="7" t="str">
        <f ca="1">'Database MK'!DE392</f>
        <v>Sudah, OnSchedule</v>
      </c>
      <c r="P391" s="7" t="str">
        <f ca="1">'Database MK'!DI392</f>
        <v>Sudah, OnSchedule</v>
      </c>
      <c r="Q391" s="7" t="str">
        <f ca="1">'Database MK'!DN392</f>
        <v>Sudah, OnSchedule</v>
      </c>
      <c r="R391" s="7" t="str">
        <f ca="1">'Database MK'!DR392</f>
        <v>Sudah, OnSchedule</v>
      </c>
      <c r="S391" s="7" t="str">
        <f ca="1">'Database MK'!EA392</f>
        <v>Sudah, OnSchedule</v>
      </c>
      <c r="T391" s="7" t="str">
        <f ca="1">'Database MK'!EI392</f>
        <v>Belum, Delay</v>
      </c>
      <c r="U391" s="7" t="str">
        <f ca="1">'Database MK'!ET392</f>
        <v>Belum, OnSchedule</v>
      </c>
      <c r="V391" s="7" t="str">
        <f ca="1">'Database MK'!GA392</f>
        <v>Sudah, OnSchedule</v>
      </c>
      <c r="W391" s="7" t="str">
        <f ca="1">'Database MK'!GD392</f>
        <v>Sudah, OnSchedule</v>
      </c>
      <c r="X391" s="7" t="str">
        <f ca="1">'Database MK'!GG392</f>
        <v>Sudah, OnSchedule</v>
      </c>
      <c r="Y391" s="7" t="str">
        <f ca="1">'Database MK'!GK392</f>
        <v>Sudah, OnSchedule</v>
      </c>
      <c r="Z391" s="7" t="str">
        <f ca="1">'Database MK'!HH392</f>
        <v>Belum, OnSchedule</v>
      </c>
      <c r="AA391" s="7" t="str">
        <f ca="1">'Database MK'!HQ392</f>
        <v>Belum, OnSchedule</v>
      </c>
      <c r="AB391" s="7" t="str">
        <f ca="1">'Database MK'!HW392</f>
        <v>Belum, OnSchedule</v>
      </c>
      <c r="AC391" s="7">
        <f>'Database MK'!DA392-'Database MK'!DB392</f>
        <v>26</v>
      </c>
      <c r="AD391" s="7">
        <f>'Database MK'!DA392-'Database MK'!DF392</f>
        <v>12</v>
      </c>
      <c r="AE391" s="7">
        <f>'Database MK'!DK392-'Database MK'!DL392</f>
        <v>107</v>
      </c>
      <c r="AF391" s="7">
        <f>'Database MK'!DK392-'Database MK'!DO392</f>
        <v>86</v>
      </c>
      <c r="AG391" s="7">
        <f>'Database MK'!DU392-'Database MK'!DW392</f>
        <v>51</v>
      </c>
      <c r="AH391" s="7" t="str">
        <f>IF('Database MK'!EB392="","Belum",'Database MK'!DU392-'Database MK'!EB392)</f>
        <v>Belum</v>
      </c>
      <c r="AI391" s="7" t="str">
        <f>IF('Database MK'!EN392="","Belum",'Database MK'!EL392-'Database MK'!EN392)</f>
        <v>Belum</v>
      </c>
      <c r="AJ391" s="7">
        <f>'Database MK'!FY392-'Database MK'!FZ392</f>
        <v>38</v>
      </c>
      <c r="AK391" s="7">
        <f>IF('Database MK'!GC392="","Belum",'Database MK'!GB392-'Database MK'!GC392)</f>
        <v>61</v>
      </c>
      <c r="AL391" s="7">
        <f>IF('Database MK'!GF392="","Belum",'Database MK'!GE392-'Database MK'!GF392)</f>
        <v>68</v>
      </c>
      <c r="AM391" s="309">
        <f>IF('Database MK'!GJ392="","Belum",'Database MK'!GI392-'Database MK'!GJ392)</f>
        <v>67</v>
      </c>
      <c r="AN391" s="7" t="str">
        <f>IF('Database MK'!HG392="","Belum",'Database MK'!HF392-'Database MK'!HG392)</f>
        <v>Belum</v>
      </c>
      <c r="AO391" s="7" t="str">
        <f>IF('Database MK'!HP392="","Belum",'Database MK'!HN392-'Database MK'!HP392)</f>
        <v>Belum</v>
      </c>
      <c r="AP391" s="7" t="str">
        <f>IF('Database MK'!HV392="","Belum",'Database MK'!HT392-'Database MK'!HV392)</f>
        <v>Belum</v>
      </c>
    </row>
    <row r="392" spans="2:42" hidden="1" x14ac:dyDescent="0.2">
      <c r="B392" s="7">
        <f>SUBTOTAL(3,$C$4:C392)</f>
        <v>74</v>
      </c>
      <c r="C392" s="299" t="s">
        <v>244</v>
      </c>
      <c r="D392" s="4" t="s">
        <v>3107</v>
      </c>
      <c r="E392" s="4" t="s">
        <v>3108</v>
      </c>
      <c r="F392" s="300">
        <v>46296</v>
      </c>
      <c r="G392" s="4" t="s">
        <v>681</v>
      </c>
      <c r="H392" s="4" t="str">
        <f ca="1">'Database MK'!Q393</f>
        <v>MC-0</v>
      </c>
      <c r="I392" s="24">
        <f>'Database MK'!S393</f>
        <v>8.4092443927610616E-2</v>
      </c>
      <c r="J392" s="24">
        <f>'Database MK'!T393</f>
        <v>4.1778354660031783E-2</v>
      </c>
      <c r="K392" s="603">
        <f>'Database MK'!U393</f>
        <v>-4.2314089267578833E-2</v>
      </c>
      <c r="L392" s="593">
        <f>'Database MK'!V393</f>
        <v>0</v>
      </c>
      <c r="M392" s="593">
        <f>'Database MK'!W393</f>
        <v>0</v>
      </c>
      <c r="N392" s="593">
        <f>Table3[[#This Row],[Total Panjang Pipa Aktual]]-Table3[[#This Row],[Volume
BA MC-0]]</f>
        <v>0</v>
      </c>
      <c r="O392" s="7" t="str">
        <f ca="1">'Database MK'!DE393</f>
        <v>Sudah, OnSchedule</v>
      </c>
      <c r="P392" s="7" t="str">
        <f ca="1">'Database MK'!DI393</f>
        <v>Sudah, OnSchedule</v>
      </c>
      <c r="Q392" s="7" t="str">
        <f ca="1">'Database MK'!DN393</f>
        <v>Sudah, OnSchedule</v>
      </c>
      <c r="R392" s="7" t="str">
        <f ca="1">'Database MK'!DR393</f>
        <v>Sudah, OnSchedule</v>
      </c>
      <c r="S392" s="7" t="str">
        <f ca="1">'Database MK'!EA393</f>
        <v>Sudah, OnSchedule</v>
      </c>
      <c r="T392" s="7" t="str">
        <f ca="1">'Database MK'!EI393</f>
        <v>Sudah, Delay</v>
      </c>
      <c r="U392" s="7" t="str">
        <f ca="1">'Database MK'!ET393</f>
        <v>Belum, OnSchedule</v>
      </c>
      <c r="V392" s="7" t="str">
        <f ca="1">'Database MK'!GA393</f>
        <v>Sudah, OnSchedule</v>
      </c>
      <c r="W392" s="7" t="str">
        <f ca="1">'Database MK'!GD393</f>
        <v>Sudah, OnSchedule</v>
      </c>
      <c r="X392" s="7" t="str">
        <f ca="1">'Database MK'!GG393</f>
        <v>Sudah, OnSchedule</v>
      </c>
      <c r="Y392" s="7" t="str">
        <f ca="1">'Database MK'!GK393</f>
        <v>Sudah, OnSchedule</v>
      </c>
      <c r="Z392" s="7" t="str">
        <f ca="1">'Database MK'!HH393</f>
        <v>Belum, OnSchedule</v>
      </c>
      <c r="AA392" s="7" t="str">
        <f ca="1">'Database MK'!HQ393</f>
        <v>Belum, OnSchedule</v>
      </c>
      <c r="AB392" s="7" t="str">
        <f ca="1">'Database MK'!HW393</f>
        <v>Belum, OnSchedule</v>
      </c>
      <c r="AC392" s="7">
        <f>'Database MK'!DA393-'Database MK'!DB393</f>
        <v>26</v>
      </c>
      <c r="AD392" s="7">
        <f>'Database MK'!DA393-'Database MK'!DF393</f>
        <v>13</v>
      </c>
      <c r="AE392" s="7">
        <f>'Database MK'!DK393-'Database MK'!DL393</f>
        <v>107</v>
      </c>
      <c r="AF392" s="7">
        <f>'Database MK'!DK393-'Database MK'!DO393</f>
        <v>59</v>
      </c>
      <c r="AG392" s="7">
        <f>'Database MK'!DU393-'Database MK'!DW393</f>
        <v>51</v>
      </c>
      <c r="AH392" s="7">
        <f>IF('Database MK'!EB393="","Belum",'Database MK'!DU393-'Database MK'!EB393)</f>
        <v>-44.291666666664241</v>
      </c>
      <c r="AI392" s="7" t="str">
        <f>IF('Database MK'!EN393="","Belum",'Database MK'!EL393-'Database MK'!EN393)</f>
        <v>Belum</v>
      </c>
      <c r="AJ392" s="7">
        <f>'Database MK'!FY393-'Database MK'!FZ393</f>
        <v>38</v>
      </c>
      <c r="AK392" s="7">
        <f>IF('Database MK'!GC393="","Belum",'Database MK'!GB393-'Database MK'!GC393)</f>
        <v>33</v>
      </c>
      <c r="AL392" s="7">
        <f>IF('Database MK'!GF393="","Belum",'Database MK'!GE393-'Database MK'!GF393)</f>
        <v>40</v>
      </c>
      <c r="AM392" s="309">
        <f>IF('Database MK'!GJ393="","Belum",'Database MK'!GI393-'Database MK'!GJ393)</f>
        <v>40</v>
      </c>
      <c r="AN392" s="7" t="str">
        <f>IF('Database MK'!HG393="","Belum",'Database MK'!HF393-'Database MK'!HG393)</f>
        <v>Belum</v>
      </c>
      <c r="AO392" s="7" t="str">
        <f>IF('Database MK'!HP393="","Belum",'Database MK'!HN393-'Database MK'!HP393)</f>
        <v>Belum</v>
      </c>
      <c r="AP392" s="7" t="str">
        <f>IF('Database MK'!HV393="","Belum",'Database MK'!HT393-'Database MK'!HV393)</f>
        <v>Belum</v>
      </c>
    </row>
    <row r="393" spans="2:42" hidden="1" x14ac:dyDescent="0.2">
      <c r="B393" s="7">
        <f>SUBTOTAL(3,$C$4:C393)</f>
        <v>74</v>
      </c>
      <c r="C393" s="299" t="s">
        <v>244</v>
      </c>
      <c r="D393" s="4" t="s">
        <v>3116</v>
      </c>
      <c r="E393" s="4" t="s">
        <v>3117</v>
      </c>
      <c r="F393" s="300">
        <v>46296</v>
      </c>
      <c r="G393" s="4" t="s">
        <v>681</v>
      </c>
      <c r="H393" s="4" t="str">
        <f ca="1">'Database MK'!Q394</f>
        <v>Proses Konstruksi</v>
      </c>
      <c r="I393" s="24">
        <f>'Database MK'!S394</f>
        <v>3.1063812437797416E-2</v>
      </c>
      <c r="J393" s="24">
        <f>'Database MK'!T394</f>
        <v>3.1673950572868724E-2</v>
      </c>
      <c r="K393" s="603">
        <f>'Database MK'!U394</f>
        <v>6.1013813507130796E-4</v>
      </c>
      <c r="L393" s="593">
        <f>'Database MK'!V394</f>
        <v>561</v>
      </c>
      <c r="M393" s="593">
        <f>'Database MK'!W394</f>
        <v>575</v>
      </c>
      <c r="N393" s="593">
        <f>Table3[[#This Row],[Total Panjang Pipa Aktual]]-Table3[[#This Row],[Volume
BA MC-0]]</f>
        <v>14</v>
      </c>
      <c r="O393" s="7" t="str">
        <f ca="1">'Database MK'!DE394</f>
        <v>Sudah, OnSchedule</v>
      </c>
      <c r="P393" s="7" t="str">
        <f ca="1">'Database MK'!DI394</f>
        <v>Sudah, OnSchedule</v>
      </c>
      <c r="Q393" s="7" t="str">
        <f ca="1">'Database MK'!DN394</f>
        <v>Sudah, OnSchedule</v>
      </c>
      <c r="R393" s="7" t="str">
        <f ca="1">'Database MK'!DR394</f>
        <v>Sudah, OnSchedule</v>
      </c>
      <c r="S393" s="7" t="str">
        <f ca="1">'Database MK'!EA394</f>
        <v>Sudah, OnSchedule</v>
      </c>
      <c r="T393" s="7" t="str">
        <f ca="1">'Database MK'!EI394</f>
        <v>Belum, Delay</v>
      </c>
      <c r="U393" s="7" t="str">
        <f ca="1">'Database MK'!ET394</f>
        <v>Belum, OnSchedule</v>
      </c>
      <c r="V393" s="7" t="str">
        <f ca="1">'Database MK'!GA394</f>
        <v>Sudah, OnSchedule</v>
      </c>
      <c r="W393" s="7" t="str">
        <f ca="1">'Database MK'!GD394</f>
        <v>Sudah, OnSchedule</v>
      </c>
      <c r="X393" s="7" t="str">
        <f ca="1">'Database MK'!GG394</f>
        <v>Sudah, OnSchedule</v>
      </c>
      <c r="Y393" s="7" t="str">
        <f ca="1">'Database MK'!GK394</f>
        <v>Sudah, OnSchedule</v>
      </c>
      <c r="Z393" s="7" t="str">
        <f ca="1">'Database MK'!HH394</f>
        <v>Belum, OnSchedule</v>
      </c>
      <c r="AA393" s="7" t="str">
        <f ca="1">'Database MK'!HQ394</f>
        <v>Belum, OnSchedule</v>
      </c>
      <c r="AB393" s="7" t="str">
        <f ca="1">'Database MK'!HW394</f>
        <v>Belum, OnSchedule</v>
      </c>
      <c r="AC393" s="7">
        <f>'Database MK'!DA394-'Database MK'!DB394</f>
        <v>79</v>
      </c>
      <c r="AD393" s="7">
        <f>'Database MK'!DA394-'Database MK'!DF394</f>
        <v>65</v>
      </c>
      <c r="AE393" s="7">
        <f>'Database MK'!DK394-'Database MK'!DL394</f>
        <v>111</v>
      </c>
      <c r="AF393" s="7">
        <f>'Database MK'!DK394-'Database MK'!DO394</f>
        <v>86.708333333335759</v>
      </c>
      <c r="AG393" s="7">
        <f>'Database MK'!DU394-'Database MK'!DW394</f>
        <v>55</v>
      </c>
      <c r="AH393" s="7" t="str">
        <f>IF('Database MK'!EB394="","Belum",'Database MK'!DU394-'Database MK'!EB394)</f>
        <v>Belum</v>
      </c>
      <c r="AI393" s="7" t="str">
        <f>IF('Database MK'!EN394="","Belum",'Database MK'!EL394-'Database MK'!EN394)</f>
        <v>Belum</v>
      </c>
      <c r="AJ393" s="7">
        <f>'Database MK'!FY394-'Database MK'!FZ394</f>
        <v>38</v>
      </c>
      <c r="AK393" s="7">
        <f>IF('Database MK'!GC394="","Belum",'Database MK'!GB394-'Database MK'!GC394)</f>
        <v>62</v>
      </c>
      <c r="AL393" s="7">
        <f>IF('Database MK'!GF394="","Belum",'Database MK'!GE394-'Database MK'!GF394)</f>
        <v>117</v>
      </c>
      <c r="AM393" s="309">
        <f>IF('Database MK'!GJ394="","Belum",'Database MK'!GI394-'Database MK'!GJ394)</f>
        <v>128</v>
      </c>
      <c r="AN393" s="7" t="str">
        <f>IF('Database MK'!HG394="","Belum",'Database MK'!HF394-'Database MK'!HG394)</f>
        <v>Belum</v>
      </c>
      <c r="AO393" s="7" t="str">
        <f>IF('Database MK'!HP394="","Belum",'Database MK'!HN394-'Database MK'!HP394)</f>
        <v>Belum</v>
      </c>
      <c r="AP393" s="7" t="str">
        <f>IF('Database MK'!HV394="","Belum",'Database MK'!HT394-'Database MK'!HV394)</f>
        <v>Belum</v>
      </c>
    </row>
    <row r="394" spans="2:42" hidden="1" x14ac:dyDescent="0.2">
      <c r="B394" s="7">
        <f>SUBTOTAL(3,$C$4:C394)</f>
        <v>74</v>
      </c>
      <c r="C394" s="299" t="s">
        <v>673</v>
      </c>
      <c r="D394" s="4" t="s">
        <v>3124</v>
      </c>
      <c r="E394" s="4" t="s">
        <v>3125</v>
      </c>
      <c r="F394" s="300">
        <v>46296</v>
      </c>
      <c r="G394" s="4" t="s">
        <v>247</v>
      </c>
      <c r="H394" s="4" t="str">
        <f ca="1">'Database MK'!Q395</f>
        <v>MC-0</v>
      </c>
      <c r="I394" s="24">
        <f>'Database MK'!S395</f>
        <v>0.46886593825489786</v>
      </c>
      <c r="J394" s="24">
        <f>'Database MK'!T395</f>
        <v>0.12862186531129272</v>
      </c>
      <c r="K394" s="603">
        <f>'Database MK'!U395</f>
        <v>-0.34024407294360515</v>
      </c>
      <c r="L394" s="593">
        <f>'Database MK'!V395</f>
        <v>2085</v>
      </c>
      <c r="M394" s="593">
        <f>'Database MK'!W395</f>
        <v>0</v>
      </c>
      <c r="N394" s="593">
        <f>Table3[[#This Row],[Total Panjang Pipa Aktual]]-Table3[[#This Row],[Volume
BA MC-0]]</f>
        <v>-2085</v>
      </c>
      <c r="O394" s="7" t="str">
        <f ca="1">'Database MK'!DE395</f>
        <v>Sudah, Delay</v>
      </c>
      <c r="P394" s="7" t="str">
        <f ca="1">'Database MK'!DI395</f>
        <v>Sudah, Delay</v>
      </c>
      <c r="Q394" s="7" t="str">
        <f ca="1">'Database MK'!DN395</f>
        <v>Sudah, OnSchedule</v>
      </c>
      <c r="R394" s="7" t="str">
        <f ca="1">'Database MK'!DR395</f>
        <v>Sudah, Delay</v>
      </c>
      <c r="S394" s="7" t="str">
        <f ca="1">'Database MK'!EA395</f>
        <v>Sudah, Delay</v>
      </c>
      <c r="T394" s="7" t="str">
        <f ca="1">'Database MK'!EI395</f>
        <v>Belum, Delay</v>
      </c>
      <c r="U394" s="7" t="str">
        <f ca="1">'Database MK'!ET395</f>
        <v>Belum, OnSchedule</v>
      </c>
      <c r="V394" s="7" t="str">
        <f ca="1">'Database MK'!GA395</f>
        <v>Sudah, OnSchedule</v>
      </c>
      <c r="W394" s="7" t="str">
        <f ca="1">'Database MK'!GD395</f>
        <v>Sudah, OnSchedule</v>
      </c>
      <c r="X394" s="7" t="str">
        <f ca="1">'Database MK'!GG395</f>
        <v>Sudah, OnSchedule</v>
      </c>
      <c r="Y394" s="7" t="str">
        <f ca="1">'Database MK'!GK395</f>
        <v>Sudah, OnSchedule</v>
      </c>
      <c r="Z394" s="7" t="str">
        <f ca="1">'Database MK'!HH395</f>
        <v>Belum, OnSchedule</v>
      </c>
      <c r="AA394" s="7" t="str">
        <f ca="1">'Database MK'!HQ395</f>
        <v>Belum, OnSchedule</v>
      </c>
      <c r="AB394" s="7" t="str">
        <f ca="1">'Database MK'!HW395</f>
        <v>Belum, OnSchedule</v>
      </c>
      <c r="AC394" s="7">
        <f>'Database MK'!DA395-'Database MK'!DB395</f>
        <v>-11</v>
      </c>
      <c r="AD394" s="7">
        <f>'Database MK'!DA395-'Database MK'!DF395</f>
        <v>-37</v>
      </c>
      <c r="AE394" s="7">
        <f>'Database MK'!DK395-'Database MK'!DL395</f>
        <v>27</v>
      </c>
      <c r="AF394" s="7">
        <f>'Database MK'!DK395-'Database MK'!DO395</f>
        <v>-9</v>
      </c>
      <c r="AG394" s="7">
        <f>'Database MK'!DU395-'Database MK'!DW395</f>
        <v>-22</v>
      </c>
      <c r="AH394" s="7" t="str">
        <f>IF('Database MK'!EB395="","Belum",'Database MK'!DU395-'Database MK'!EB395)</f>
        <v>Belum</v>
      </c>
      <c r="AI394" s="7" t="str">
        <f>IF('Database MK'!EN395="","Belum",'Database MK'!EL395-'Database MK'!EN395)</f>
        <v>Belum</v>
      </c>
      <c r="AJ394" s="7">
        <f>'Database MK'!FY395-'Database MK'!FZ395</f>
        <v>3</v>
      </c>
      <c r="AK394" s="7">
        <f>IF('Database MK'!GC395="","Belum",'Database MK'!GB395-'Database MK'!GC395)</f>
        <v>0</v>
      </c>
      <c r="AL394" s="7">
        <f>IF('Database MK'!GF395="","Belum",'Database MK'!GE395-'Database MK'!GF395)</f>
        <v>3</v>
      </c>
      <c r="AM394" s="309">
        <f>IF('Database MK'!GJ395="","Belum",'Database MK'!GI395-'Database MK'!GJ395)</f>
        <v>10</v>
      </c>
      <c r="AN394" s="7" t="str">
        <f>IF('Database MK'!HG395="","Belum",'Database MK'!HF395-'Database MK'!HG395)</f>
        <v>Belum</v>
      </c>
      <c r="AO394" s="7" t="str">
        <f>IF('Database MK'!HP395="","Belum",'Database MK'!HN395-'Database MK'!HP395)</f>
        <v>Belum</v>
      </c>
      <c r="AP394" s="7" t="str">
        <f>IF('Database MK'!HV395="","Belum",'Database MK'!HT395-'Database MK'!HV395)</f>
        <v>Belum</v>
      </c>
    </row>
    <row r="395" spans="2:42" hidden="1" x14ac:dyDescent="0.2">
      <c r="B395" s="7">
        <f>SUBTOTAL(3,$C$4:C395)</f>
        <v>74</v>
      </c>
      <c r="C395" s="299" t="s">
        <v>673</v>
      </c>
      <c r="D395" s="4" t="s">
        <v>3132</v>
      </c>
      <c r="E395" s="4" t="s">
        <v>3133</v>
      </c>
      <c r="F395" s="300">
        <v>46296</v>
      </c>
      <c r="G395" s="4" t="s">
        <v>247</v>
      </c>
      <c r="H395" s="4" t="str">
        <f ca="1">'Database MK'!Q396</f>
        <v>MC-0</v>
      </c>
      <c r="I395" s="24">
        <f>'Database MK'!S396</f>
        <v>0.5265408298373444</v>
      </c>
      <c r="J395" s="24">
        <f>'Database MK'!T396</f>
        <v>0.16487993116643279</v>
      </c>
      <c r="K395" s="603">
        <f>'Database MK'!U396</f>
        <v>-0.36166089867091161</v>
      </c>
      <c r="L395" s="593">
        <f>'Database MK'!V396</f>
        <v>2605</v>
      </c>
      <c r="M395" s="593">
        <f>'Database MK'!W396</f>
        <v>0</v>
      </c>
      <c r="N395" s="593">
        <f>Table3[[#This Row],[Total Panjang Pipa Aktual]]-Table3[[#This Row],[Volume
BA MC-0]]</f>
        <v>-2605</v>
      </c>
      <c r="O395" s="7" t="str">
        <f ca="1">'Database MK'!DE396</f>
        <v>Sudah, OnSchedule</v>
      </c>
      <c r="P395" s="7" t="str">
        <f ca="1">'Database MK'!DI396</f>
        <v>Sudah, Delay</v>
      </c>
      <c r="Q395" s="7" t="str">
        <f ca="1">'Database MK'!DN396</f>
        <v>Sudah, OnSchedule</v>
      </c>
      <c r="R395" s="7" t="str">
        <f ca="1">'Database MK'!DR396</f>
        <v>Sudah, Delay</v>
      </c>
      <c r="S395" s="7" t="str">
        <f ca="1">'Database MK'!EA396</f>
        <v>Sudah, OnSchedule</v>
      </c>
      <c r="T395" s="7" t="str">
        <f ca="1">'Database MK'!EI396</f>
        <v>Belum, Delay</v>
      </c>
      <c r="U395" s="7" t="str">
        <f ca="1">'Database MK'!ET396</f>
        <v>Belum, OnSchedule</v>
      </c>
      <c r="V395" s="7" t="str">
        <f ca="1">'Database MK'!GA396</f>
        <v>Sudah, OnSchedule</v>
      </c>
      <c r="W395" s="7" t="str">
        <f ca="1">'Database MK'!GD396</f>
        <v>Sudah, OnSchedule</v>
      </c>
      <c r="X395" s="7" t="str">
        <f ca="1">'Database MK'!GG396</f>
        <v>Sudah, OnSchedule</v>
      </c>
      <c r="Y395" s="7" t="str">
        <f ca="1">'Database MK'!GK396</f>
        <v>Sudah, OnSchedule</v>
      </c>
      <c r="Z395" s="7" t="str">
        <f ca="1">'Database MK'!HH396</f>
        <v>Belum, OnSchedule</v>
      </c>
      <c r="AA395" s="7" t="str">
        <f ca="1">'Database MK'!HQ396</f>
        <v>Belum, OnSchedule</v>
      </c>
      <c r="AB395" s="7" t="str">
        <f ca="1">'Database MK'!HW396</f>
        <v>Belum, OnSchedule</v>
      </c>
      <c r="AC395" s="7">
        <f>'Database MK'!DA396-'Database MK'!DB396</f>
        <v>9</v>
      </c>
      <c r="AD395" s="7">
        <f>'Database MK'!DA396-'Database MK'!DF396</f>
        <v>-37</v>
      </c>
      <c r="AE395" s="7">
        <f>'Database MK'!DK396-'Database MK'!DL396</f>
        <v>27</v>
      </c>
      <c r="AF395" s="7">
        <f>'Database MK'!DK396-'Database MK'!DO396</f>
        <v>-2</v>
      </c>
      <c r="AG395" s="7">
        <f>'Database MK'!DU396-'Database MK'!DW396</f>
        <v>207</v>
      </c>
      <c r="AH395" s="7" t="str">
        <f>IF('Database MK'!EB396="","Belum",'Database MK'!DU396-'Database MK'!EB396)</f>
        <v>Belum</v>
      </c>
      <c r="AI395" s="7" t="str">
        <f>IF('Database MK'!EN396="","Belum",'Database MK'!EL396-'Database MK'!EN396)</f>
        <v>Belum</v>
      </c>
      <c r="AJ395" s="7">
        <f>'Database MK'!FY396-'Database MK'!FZ396</f>
        <v>3</v>
      </c>
      <c r="AK395" s="7">
        <f>IF('Database MK'!GC396="","Belum",'Database MK'!GB396-'Database MK'!GC396)</f>
        <v>0</v>
      </c>
      <c r="AL395" s="7">
        <f>IF('Database MK'!GF396="","Belum",'Database MK'!GE396-'Database MK'!GF396)</f>
        <v>3</v>
      </c>
      <c r="AM395" s="309">
        <f>IF('Database MK'!GJ396="","Belum",'Database MK'!GI396-'Database MK'!GJ396)</f>
        <v>10</v>
      </c>
      <c r="AN395" s="7" t="str">
        <f>IF('Database MK'!HG396="","Belum",'Database MK'!HF396-'Database MK'!HG396)</f>
        <v>Belum</v>
      </c>
      <c r="AO395" s="7" t="str">
        <f>IF('Database MK'!HP396="","Belum",'Database MK'!HN396-'Database MK'!HP396)</f>
        <v>Belum</v>
      </c>
      <c r="AP395" s="7" t="str">
        <f>IF('Database MK'!HV396="","Belum",'Database MK'!HT396-'Database MK'!HV396)</f>
        <v>Belum</v>
      </c>
    </row>
    <row r="396" spans="2:42" hidden="1" x14ac:dyDescent="0.2">
      <c r="B396" s="7">
        <f>SUBTOTAL(3,$C$4:C396)</f>
        <v>74</v>
      </c>
      <c r="C396" s="299" t="s">
        <v>673</v>
      </c>
      <c r="D396" s="4" t="s">
        <v>3139</v>
      </c>
      <c r="E396" s="4" t="s">
        <v>3140</v>
      </c>
      <c r="F396" s="300">
        <v>46296</v>
      </c>
      <c r="G396" s="4" t="s">
        <v>247</v>
      </c>
      <c r="H396" s="4" t="str">
        <f ca="1">'Database MK'!Q397</f>
        <v>MC-0</v>
      </c>
      <c r="I396" s="24">
        <f>'Database MK'!S397</f>
        <v>0.33362000456964735</v>
      </c>
      <c r="J396" s="24">
        <f>'Database MK'!T397</f>
        <v>5.3361333072521541E-2</v>
      </c>
      <c r="K396" s="603">
        <f>'Database MK'!U397</f>
        <v>-0.2802586714971258</v>
      </c>
      <c r="L396" s="593">
        <f>'Database MK'!V397</f>
        <v>9769</v>
      </c>
      <c r="M396" s="593">
        <f>'Database MK'!W397</f>
        <v>0</v>
      </c>
      <c r="N396" s="593">
        <f>Table3[[#This Row],[Total Panjang Pipa Aktual]]-Table3[[#This Row],[Volume
BA MC-0]]</f>
        <v>-9769</v>
      </c>
      <c r="O396" s="7" t="str">
        <f ca="1">'Database MK'!DE397</f>
        <v>Sudah, OnSchedule</v>
      </c>
      <c r="P396" s="7" t="str">
        <f ca="1">'Database MK'!DI397</f>
        <v>Sudah, Delay</v>
      </c>
      <c r="Q396" s="7" t="str">
        <f ca="1">'Database MK'!DN397</f>
        <v>Sudah, OnSchedule</v>
      </c>
      <c r="R396" s="7" t="str">
        <f ca="1">'Database MK'!DR397</f>
        <v>Sudah, OnSchedule</v>
      </c>
      <c r="S396" s="7" t="str">
        <f ca="1">'Database MK'!EA397</f>
        <v>Sudah, Delay</v>
      </c>
      <c r="T396" s="7" t="str">
        <f ca="1">'Database MK'!EI397</f>
        <v>Belum, Delay</v>
      </c>
      <c r="U396" s="7" t="str">
        <f ca="1">'Database MK'!ET397</f>
        <v>Belum, OnSchedule</v>
      </c>
      <c r="V396" s="7" t="str">
        <f ca="1">'Database MK'!GA397</f>
        <v>Sudah, OnSchedule</v>
      </c>
      <c r="W396" s="7" t="str">
        <f ca="1">'Database MK'!GD397</f>
        <v>Sudah, OnSchedule</v>
      </c>
      <c r="X396" s="7" t="str">
        <f ca="1">'Database MK'!GG397</f>
        <v>Sudah, OnSchedule</v>
      </c>
      <c r="Y396" s="7" t="str">
        <f ca="1">'Database MK'!GK397</f>
        <v>Sudah, OnSchedule</v>
      </c>
      <c r="Z396" s="7" t="str">
        <f ca="1">'Database MK'!HH397</f>
        <v>Belum, OnSchedule</v>
      </c>
      <c r="AA396" s="7" t="str">
        <f ca="1">'Database MK'!HQ397</f>
        <v>Belum, OnSchedule</v>
      </c>
      <c r="AB396" s="7" t="str">
        <f ca="1">'Database MK'!HW397</f>
        <v>Belum, OnSchedule</v>
      </c>
      <c r="AC396" s="7">
        <f>'Database MK'!DA397-'Database MK'!DB397</f>
        <v>13</v>
      </c>
      <c r="AD396" s="7">
        <f>'Database MK'!DA397-'Database MK'!DF397</f>
        <v>-9</v>
      </c>
      <c r="AE396" s="7">
        <f>'Database MK'!DK397-'Database MK'!DL397</f>
        <v>26</v>
      </c>
      <c r="AF396" s="7">
        <f>'Database MK'!DK397-'Database MK'!DO397</f>
        <v>20</v>
      </c>
      <c r="AG396" s="7">
        <f>'Database MK'!DU397-'Database MK'!DW397</f>
        <v>-44</v>
      </c>
      <c r="AH396" s="7" t="str">
        <f>IF('Database MK'!EB397="","Belum",'Database MK'!DU397-'Database MK'!EB397)</f>
        <v>Belum</v>
      </c>
      <c r="AI396" s="7" t="str">
        <f>IF('Database MK'!EN397="","Belum",'Database MK'!EL397-'Database MK'!EN397)</f>
        <v>Belum</v>
      </c>
      <c r="AJ396" s="7">
        <f>'Database MK'!FY397-'Database MK'!FZ397</f>
        <v>3</v>
      </c>
      <c r="AK396" s="7">
        <f>IF('Database MK'!GC397="","Belum",'Database MK'!GB397-'Database MK'!GC397)</f>
        <v>12</v>
      </c>
      <c r="AL396" s="7">
        <f>IF('Database MK'!GF397="","Belum",'Database MK'!GE397-'Database MK'!GF397)</f>
        <v>17</v>
      </c>
      <c r="AM396" s="309">
        <f>IF('Database MK'!GJ397="","Belum",'Database MK'!GI397-'Database MK'!GJ397)</f>
        <v>26</v>
      </c>
      <c r="AN396" s="7" t="str">
        <f>IF('Database MK'!HG397="","Belum",'Database MK'!HF397-'Database MK'!HG397)</f>
        <v>Belum</v>
      </c>
      <c r="AO396" s="7" t="str">
        <f>IF('Database MK'!HP397="","Belum",'Database MK'!HN397-'Database MK'!HP397)</f>
        <v>Belum</v>
      </c>
      <c r="AP396" s="7" t="str">
        <f>IF('Database MK'!HV397="","Belum",'Database MK'!HT397-'Database MK'!HV397)</f>
        <v>Belum</v>
      </c>
    </row>
    <row r="397" spans="2:42" hidden="1" x14ac:dyDescent="0.2">
      <c r="B397" s="7">
        <f>SUBTOTAL(3,$C$4:C397)</f>
        <v>74</v>
      </c>
      <c r="C397" s="299" t="s">
        <v>673</v>
      </c>
      <c r="D397" s="4" t="s">
        <v>3147</v>
      </c>
      <c r="E397" s="4" t="s">
        <v>3148</v>
      </c>
      <c r="F397" s="300">
        <v>46296</v>
      </c>
      <c r="G397" s="4" t="s">
        <v>247</v>
      </c>
      <c r="H397" s="4" t="str">
        <f ca="1">'Database MK'!Q398</f>
        <v>MC-0</v>
      </c>
      <c r="I397" s="24">
        <f>'Database MK'!S398</f>
        <v>0.34157022815993948</v>
      </c>
      <c r="J397" s="24">
        <f>'Database MK'!T398</f>
        <v>5.7464528373133802E-2</v>
      </c>
      <c r="K397" s="603">
        <f>'Database MK'!U398</f>
        <v>-0.28410569978680567</v>
      </c>
      <c r="L397" s="593">
        <f>'Database MK'!V398</f>
        <v>7894</v>
      </c>
      <c r="M397" s="593">
        <f>'Database MK'!W398</f>
        <v>0</v>
      </c>
      <c r="N397" s="593">
        <f>Table3[[#This Row],[Total Panjang Pipa Aktual]]-Table3[[#This Row],[Volume
BA MC-0]]</f>
        <v>-7894</v>
      </c>
      <c r="O397" s="7" t="str">
        <f ca="1">'Database MK'!DE398</f>
        <v>Sudah, OnSchedule</v>
      </c>
      <c r="P397" s="7" t="str">
        <f ca="1">'Database MK'!DI398</f>
        <v>Sudah, OnSchedule</v>
      </c>
      <c r="Q397" s="7" t="str">
        <f ca="1">'Database MK'!DN398</f>
        <v>Sudah, OnSchedule</v>
      </c>
      <c r="R397" s="7" t="str">
        <f ca="1">'Database MK'!DR398</f>
        <v>Sudah, OnSchedule</v>
      </c>
      <c r="S397" s="7" t="str">
        <f ca="1">'Database MK'!EA398</f>
        <v>Sudah, Delay</v>
      </c>
      <c r="T397" s="7" t="str">
        <f ca="1">'Database MK'!EI398</f>
        <v>Belum, Delay</v>
      </c>
      <c r="U397" s="7" t="str">
        <f ca="1">'Database MK'!ET398</f>
        <v>Belum, OnSchedule</v>
      </c>
      <c r="V397" s="7" t="str">
        <f ca="1">'Database MK'!GA398</f>
        <v>Sudah, OnSchedule</v>
      </c>
      <c r="W397" s="7" t="str">
        <f ca="1">'Database MK'!GD398</f>
        <v>Sudah, OnSchedule</v>
      </c>
      <c r="X397" s="7" t="str">
        <f ca="1">'Database MK'!GG398</f>
        <v>Sudah, OnSchedule</v>
      </c>
      <c r="Y397" s="7" t="str">
        <f ca="1">'Database MK'!GK398</f>
        <v>Sudah, OnSchedule</v>
      </c>
      <c r="Z397" s="7" t="str">
        <f ca="1">'Database MK'!HH398</f>
        <v>Belum, OnSchedule</v>
      </c>
      <c r="AA397" s="7" t="str">
        <f ca="1">'Database MK'!HQ398</f>
        <v>Belum, OnSchedule</v>
      </c>
      <c r="AB397" s="7" t="str">
        <f ca="1">'Database MK'!HW398</f>
        <v>Belum, OnSchedule</v>
      </c>
      <c r="AC397" s="7">
        <f>'Database MK'!DA398-'Database MK'!DB398</f>
        <v>13</v>
      </c>
      <c r="AD397" s="7">
        <f>'Database MK'!DA398-'Database MK'!DF398</f>
        <v>6</v>
      </c>
      <c r="AE397" s="7">
        <f>'Database MK'!DK398-'Database MK'!DL398</f>
        <v>26</v>
      </c>
      <c r="AF397" s="7">
        <f>'Database MK'!DK398-'Database MK'!DO398</f>
        <v>20</v>
      </c>
      <c r="AG397" s="7">
        <f>'Database MK'!DU398-'Database MK'!DW398</f>
        <v>-46</v>
      </c>
      <c r="AH397" s="7" t="str">
        <f>IF('Database MK'!EB398="","Belum",'Database MK'!DU398-'Database MK'!EB398)</f>
        <v>Belum</v>
      </c>
      <c r="AI397" s="7" t="str">
        <f>IF('Database MK'!EN398="","Belum",'Database MK'!EL398-'Database MK'!EN398)</f>
        <v>Belum</v>
      </c>
      <c r="AJ397" s="7">
        <f>'Database MK'!FY398-'Database MK'!FZ398</f>
        <v>3</v>
      </c>
      <c r="AK397" s="7">
        <f>IF('Database MK'!GC398="","Belum",'Database MK'!GB398-'Database MK'!GC398)</f>
        <v>12</v>
      </c>
      <c r="AL397" s="7">
        <f>IF('Database MK'!GF398="","Belum",'Database MK'!GE398-'Database MK'!GF398)</f>
        <v>17</v>
      </c>
      <c r="AM397" s="309">
        <f>IF('Database MK'!GJ398="","Belum",'Database MK'!GI398-'Database MK'!GJ398)</f>
        <v>25</v>
      </c>
      <c r="AN397" s="7" t="str">
        <f>IF('Database MK'!HG398="","Belum",'Database MK'!HF398-'Database MK'!HG398)</f>
        <v>Belum</v>
      </c>
      <c r="AO397" s="7" t="str">
        <f>IF('Database MK'!HP398="","Belum",'Database MK'!HN398-'Database MK'!HP398)</f>
        <v>Belum</v>
      </c>
      <c r="AP397" s="7" t="str">
        <f>IF('Database MK'!HV398="","Belum",'Database MK'!HT398-'Database MK'!HV398)</f>
        <v>Belum</v>
      </c>
    </row>
    <row r="398" spans="2:42" hidden="1" x14ac:dyDescent="0.2">
      <c r="B398" s="7">
        <f>SUBTOTAL(3,$C$4:C398)</f>
        <v>74</v>
      </c>
      <c r="C398" s="299" t="s">
        <v>673</v>
      </c>
      <c r="D398" s="4" t="s">
        <v>3154</v>
      </c>
      <c r="E398" s="4" t="s">
        <v>3155</v>
      </c>
      <c r="F398" s="300">
        <v>46296</v>
      </c>
      <c r="G398" s="4" t="s">
        <v>247</v>
      </c>
      <c r="H398" s="4" t="str">
        <f ca="1">'Database MK'!Q399</f>
        <v>MC-0</v>
      </c>
      <c r="I398" s="24">
        <f>'Database MK'!S399</f>
        <v>0.34739587254109383</v>
      </c>
      <c r="J398" s="24">
        <f>'Database MK'!T399</f>
        <v>6.6669854061332731E-2</v>
      </c>
      <c r="K398" s="603">
        <f>'Database MK'!U399</f>
        <v>-0.28072601847976109</v>
      </c>
      <c r="L398" s="593">
        <f>'Database MK'!V399</f>
        <v>13728</v>
      </c>
      <c r="M398" s="593">
        <f>'Database MK'!W399</f>
        <v>0</v>
      </c>
      <c r="N398" s="593">
        <f>Table3[[#This Row],[Total Panjang Pipa Aktual]]-Table3[[#This Row],[Volume
BA MC-0]]</f>
        <v>-13728</v>
      </c>
      <c r="O398" s="7" t="str">
        <f ca="1">'Database MK'!DE399</f>
        <v>Sudah, OnSchedule</v>
      </c>
      <c r="P398" s="7" t="str">
        <f ca="1">'Database MK'!DI399</f>
        <v>Sudah, OnSchedule</v>
      </c>
      <c r="Q398" s="7" t="str">
        <f ca="1">'Database MK'!DN399</f>
        <v>Sudah, OnSchedule</v>
      </c>
      <c r="R398" s="7" t="str">
        <f ca="1">'Database MK'!DR399</f>
        <v>Sudah, OnSchedule</v>
      </c>
      <c r="S398" s="7" t="str">
        <f ca="1">'Database MK'!EA399</f>
        <v>Sudah, Delay</v>
      </c>
      <c r="T398" s="7" t="str">
        <f ca="1">'Database MK'!EI399</f>
        <v>Belum, Delay</v>
      </c>
      <c r="U398" s="7" t="str">
        <f ca="1">'Database MK'!ET399</f>
        <v>Belum, OnSchedule</v>
      </c>
      <c r="V398" s="7" t="str">
        <f ca="1">'Database MK'!GA399</f>
        <v>Sudah, OnSchedule</v>
      </c>
      <c r="W398" s="7" t="str">
        <f ca="1">'Database MK'!GD399</f>
        <v>Sudah, OnSchedule</v>
      </c>
      <c r="X398" s="7" t="str">
        <f ca="1">'Database MK'!GG399</f>
        <v>Sudah, OnSchedule</v>
      </c>
      <c r="Y398" s="7" t="str">
        <f ca="1">'Database MK'!GK399</f>
        <v>Sudah, OnSchedule</v>
      </c>
      <c r="Z398" s="7" t="str">
        <f ca="1">'Database MK'!HH399</f>
        <v>Belum, OnSchedule</v>
      </c>
      <c r="AA398" s="7" t="str">
        <f ca="1">'Database MK'!HQ399</f>
        <v>Belum, OnSchedule</v>
      </c>
      <c r="AB398" s="7" t="str">
        <f ca="1">'Database MK'!HW399</f>
        <v>Belum, OnSchedule</v>
      </c>
      <c r="AC398" s="7">
        <f>'Database MK'!DA399-'Database MK'!DB399</f>
        <v>13</v>
      </c>
      <c r="AD398" s="7">
        <f>'Database MK'!DA399-'Database MK'!DF399</f>
        <v>6</v>
      </c>
      <c r="AE398" s="7">
        <f>'Database MK'!DK399-'Database MK'!DL399</f>
        <v>26</v>
      </c>
      <c r="AF398" s="7">
        <f>'Database MK'!DK399-'Database MK'!DO399</f>
        <v>20</v>
      </c>
      <c r="AG398" s="7">
        <f>'Database MK'!DU399-'Database MK'!DW399</f>
        <v>-47</v>
      </c>
      <c r="AH398" s="7" t="str">
        <f>IF('Database MK'!EB399="","Belum",'Database MK'!DU399-'Database MK'!EB399)</f>
        <v>Belum</v>
      </c>
      <c r="AI398" s="7" t="str">
        <f>IF('Database MK'!EN399="","Belum",'Database MK'!EL399-'Database MK'!EN399)</f>
        <v>Belum</v>
      </c>
      <c r="AJ398" s="7">
        <f>'Database MK'!FY399-'Database MK'!FZ399</f>
        <v>3</v>
      </c>
      <c r="AK398" s="7">
        <f>IF('Database MK'!GC399="","Belum",'Database MK'!GB399-'Database MK'!GC399)</f>
        <v>12</v>
      </c>
      <c r="AL398" s="7">
        <f>IF('Database MK'!GF399="","Belum",'Database MK'!GE399-'Database MK'!GF399)</f>
        <v>17</v>
      </c>
      <c r="AM398" s="309">
        <f>IF('Database MK'!GJ399="","Belum",'Database MK'!GI399-'Database MK'!GJ399)</f>
        <v>23</v>
      </c>
      <c r="AN398" s="7" t="str">
        <f>IF('Database MK'!HG399="","Belum",'Database MK'!HF399-'Database MK'!HG399)</f>
        <v>Belum</v>
      </c>
      <c r="AO398" s="7" t="str">
        <f>IF('Database MK'!HP399="","Belum",'Database MK'!HN399-'Database MK'!HP399)</f>
        <v>Belum</v>
      </c>
      <c r="AP398" s="7" t="str">
        <f>IF('Database MK'!HV399="","Belum",'Database MK'!HT399-'Database MK'!HV399)</f>
        <v>Belum</v>
      </c>
    </row>
    <row r="399" spans="2:42" hidden="1" x14ac:dyDescent="0.2">
      <c r="B399" s="7">
        <f>SUBTOTAL(3,$C$4:C399)</f>
        <v>74</v>
      </c>
      <c r="C399" s="299" t="s">
        <v>673</v>
      </c>
      <c r="D399" s="4" t="s">
        <v>3161</v>
      </c>
      <c r="E399" s="4" t="s">
        <v>3162</v>
      </c>
      <c r="F399" s="300">
        <v>46296</v>
      </c>
      <c r="G399" s="4" t="s">
        <v>247</v>
      </c>
      <c r="H399" s="4" t="str">
        <f ca="1">'Database MK'!Q400</f>
        <v>MC-0</v>
      </c>
      <c r="I399" s="24">
        <f>'Database MK'!S400</f>
        <v>0.32610961255784043</v>
      </c>
      <c r="J399" s="24">
        <f>'Database MK'!T400</f>
        <v>4.0680281090952231E-2</v>
      </c>
      <c r="K399" s="603">
        <f>'Database MK'!U400</f>
        <v>-0.2854293314668882</v>
      </c>
      <c r="L399" s="593">
        <f>'Database MK'!V400</f>
        <v>14406</v>
      </c>
      <c r="M399" s="593">
        <f>'Database MK'!W400</f>
        <v>0</v>
      </c>
      <c r="N399" s="593">
        <f>Table3[[#This Row],[Total Panjang Pipa Aktual]]-Table3[[#This Row],[Volume
BA MC-0]]</f>
        <v>-14406</v>
      </c>
      <c r="O399" s="7" t="str">
        <f ca="1">'Database MK'!DE400</f>
        <v>Sudah, OnSchedule</v>
      </c>
      <c r="P399" s="7" t="str">
        <f ca="1">'Database MK'!DI400</f>
        <v>Sudah, OnSchedule</v>
      </c>
      <c r="Q399" s="7" t="str">
        <f ca="1">'Database MK'!DN400</f>
        <v>Sudah, OnSchedule</v>
      </c>
      <c r="R399" s="7" t="str">
        <f ca="1">'Database MK'!DR400</f>
        <v>Sudah, Delay</v>
      </c>
      <c r="S399" s="7" t="str">
        <f ca="1">'Database MK'!EA400</f>
        <v>Sudah, Delay</v>
      </c>
      <c r="T399" s="7" t="str">
        <f ca="1">'Database MK'!EI400</f>
        <v>Belum, Delay</v>
      </c>
      <c r="U399" s="7" t="str">
        <f ca="1">'Database MK'!ET400</f>
        <v>Belum, OnSchedule</v>
      </c>
      <c r="V399" s="7" t="str">
        <f ca="1">'Database MK'!GA400</f>
        <v>Sudah, OnSchedule</v>
      </c>
      <c r="W399" s="7" t="str">
        <f ca="1">'Database MK'!GD400</f>
        <v>Sudah, OnSchedule</v>
      </c>
      <c r="X399" s="7" t="str">
        <f ca="1">'Database MK'!GG400</f>
        <v>Sudah, OnSchedule</v>
      </c>
      <c r="Y399" s="7" t="str">
        <f ca="1">'Database MK'!GK400</f>
        <v>Sudah, OnSchedule</v>
      </c>
      <c r="Z399" s="7" t="str">
        <f ca="1">'Database MK'!HH400</f>
        <v>Belum, OnSchedule</v>
      </c>
      <c r="AA399" s="7" t="str">
        <f ca="1">'Database MK'!HQ400</f>
        <v>Belum, OnSchedule</v>
      </c>
      <c r="AB399" s="7" t="str">
        <f ca="1">'Database MK'!HW400</f>
        <v>Belum, OnSchedule</v>
      </c>
      <c r="AC399" s="7">
        <f>'Database MK'!DA400-'Database MK'!DB400</f>
        <v>12</v>
      </c>
      <c r="AD399" s="7">
        <f>'Database MK'!DA400-'Database MK'!DF400</f>
        <v>6</v>
      </c>
      <c r="AE399" s="7">
        <f>'Database MK'!DK400-'Database MK'!DL400</f>
        <v>27</v>
      </c>
      <c r="AF399" s="7">
        <f>'Database MK'!DK400-'Database MK'!DO400</f>
        <v>-5</v>
      </c>
      <c r="AG399" s="7">
        <f>'Database MK'!DU400-'Database MK'!DW400</f>
        <v>-46</v>
      </c>
      <c r="AH399" s="7" t="str">
        <f>IF('Database MK'!EB400="","Belum",'Database MK'!DU400-'Database MK'!EB400)</f>
        <v>Belum</v>
      </c>
      <c r="AI399" s="7" t="str">
        <f>IF('Database MK'!EN400="","Belum",'Database MK'!EL400-'Database MK'!EN400)</f>
        <v>Belum</v>
      </c>
      <c r="AJ399" s="7">
        <f>'Database MK'!FY400-'Database MK'!FZ400</f>
        <v>3</v>
      </c>
      <c r="AK399" s="7">
        <f>IF('Database MK'!GC400="","Belum",'Database MK'!GB400-'Database MK'!GC400)</f>
        <v>0</v>
      </c>
      <c r="AL399" s="7">
        <f>IF('Database MK'!GF400="","Belum",'Database MK'!GE400-'Database MK'!GF400)</f>
        <v>3</v>
      </c>
      <c r="AM399" s="309">
        <f>IF('Database MK'!GJ400="","Belum",'Database MK'!GI400-'Database MK'!GJ400)</f>
        <v>8</v>
      </c>
      <c r="AN399" s="7" t="str">
        <f>IF('Database MK'!HG400="","Belum",'Database MK'!HF400-'Database MK'!HG400)</f>
        <v>Belum</v>
      </c>
      <c r="AO399" s="7" t="str">
        <f>IF('Database MK'!HP400="","Belum",'Database MK'!HN400-'Database MK'!HP400)</f>
        <v>Belum</v>
      </c>
      <c r="AP399" s="7" t="str">
        <f>IF('Database MK'!HV400="","Belum",'Database MK'!HT400-'Database MK'!HV400)</f>
        <v>Belum</v>
      </c>
    </row>
    <row r="400" spans="2:42" hidden="1" x14ac:dyDescent="0.2">
      <c r="B400" s="7">
        <f>SUBTOTAL(3,$C$4:C400)</f>
        <v>74</v>
      </c>
      <c r="C400" s="299" t="s">
        <v>673</v>
      </c>
      <c r="D400" s="4" t="s">
        <v>3168</v>
      </c>
      <c r="E400" s="4" t="s">
        <v>3169</v>
      </c>
      <c r="F400" s="300">
        <v>46296</v>
      </c>
      <c r="G400" s="4" t="s">
        <v>247</v>
      </c>
      <c r="H400" s="4" t="str">
        <f ca="1">'Database MK'!Q401</f>
        <v>MC-0</v>
      </c>
      <c r="I400" s="24">
        <f>'Database MK'!S401</f>
        <v>0.33327063404289681</v>
      </c>
      <c r="J400" s="24">
        <f>'Database MK'!T401</f>
        <v>6.0321888780529846E-2</v>
      </c>
      <c r="K400" s="603">
        <f>'Database MK'!U401</f>
        <v>-0.27294874526236695</v>
      </c>
      <c r="L400" s="593">
        <f>'Database MK'!V401</f>
        <v>20086</v>
      </c>
      <c r="M400" s="593">
        <f>'Database MK'!W401</f>
        <v>0</v>
      </c>
      <c r="N400" s="593">
        <f>Table3[[#This Row],[Total Panjang Pipa Aktual]]-Table3[[#This Row],[Volume
BA MC-0]]</f>
        <v>-20086</v>
      </c>
      <c r="O400" s="7" t="str">
        <f ca="1">'Database MK'!DE401</f>
        <v>Sudah, OnSchedule</v>
      </c>
      <c r="P400" s="7" t="str">
        <f ca="1">'Database MK'!DI401</f>
        <v>Sudah, OnSchedule</v>
      </c>
      <c r="Q400" s="7" t="str">
        <f ca="1">'Database MK'!DN401</f>
        <v>Sudah, OnSchedule</v>
      </c>
      <c r="R400" s="7" t="str">
        <f ca="1">'Database MK'!DR401</f>
        <v>Sudah, Delay</v>
      </c>
      <c r="S400" s="7" t="str">
        <f ca="1">'Database MK'!EA401</f>
        <v>Sudah, Delay</v>
      </c>
      <c r="T400" s="7" t="str">
        <f ca="1">'Database MK'!EI401</f>
        <v>Belum, Delay</v>
      </c>
      <c r="U400" s="7" t="str">
        <f ca="1">'Database MK'!ET401</f>
        <v>Belum, OnSchedule</v>
      </c>
      <c r="V400" s="7" t="str">
        <f ca="1">'Database MK'!GA401</f>
        <v>Sudah, OnSchedule</v>
      </c>
      <c r="W400" s="7" t="str">
        <f ca="1">'Database MK'!GD401</f>
        <v>Sudah, OnSchedule</v>
      </c>
      <c r="X400" s="7" t="str">
        <f ca="1">'Database MK'!GG401</f>
        <v>Sudah, OnSchedule</v>
      </c>
      <c r="Y400" s="7" t="str">
        <f ca="1">'Database MK'!GK401</f>
        <v>Sudah, Delay</v>
      </c>
      <c r="Z400" s="7" t="str">
        <f ca="1">'Database MK'!HH401</f>
        <v>Belum, OnSchedule</v>
      </c>
      <c r="AA400" s="7" t="str">
        <f ca="1">'Database MK'!HQ401</f>
        <v>Belum, OnSchedule</v>
      </c>
      <c r="AB400" s="7" t="str">
        <f ca="1">'Database MK'!HW401</f>
        <v>Belum, OnSchedule</v>
      </c>
      <c r="AC400" s="7">
        <f>'Database MK'!DA401-'Database MK'!DB401</f>
        <v>12</v>
      </c>
      <c r="AD400" s="7">
        <f>'Database MK'!DA401-'Database MK'!DF401</f>
        <v>174</v>
      </c>
      <c r="AE400" s="7">
        <f>'Database MK'!DK401-'Database MK'!DL401</f>
        <v>27</v>
      </c>
      <c r="AF400" s="7">
        <f>'Database MK'!DK401-'Database MK'!DO401</f>
        <v>-3</v>
      </c>
      <c r="AG400" s="7">
        <f>'Database MK'!DU401-'Database MK'!DW401</f>
        <v>-47</v>
      </c>
      <c r="AH400" s="7" t="str">
        <f>IF('Database MK'!EB401="","Belum",'Database MK'!DU401-'Database MK'!EB401)</f>
        <v>Belum</v>
      </c>
      <c r="AI400" s="7" t="str">
        <f>IF('Database MK'!EN401="","Belum",'Database MK'!EL401-'Database MK'!EN401)</f>
        <v>Belum</v>
      </c>
      <c r="AJ400" s="7">
        <f>'Database MK'!FY401-'Database MK'!FZ401</f>
        <v>3</v>
      </c>
      <c r="AK400" s="7">
        <f>IF('Database MK'!GC401="","Belum",'Database MK'!GB401-'Database MK'!GC401)</f>
        <v>0</v>
      </c>
      <c r="AL400" s="7">
        <f>IF('Database MK'!GF401="","Belum",'Database MK'!GE401-'Database MK'!GF401)</f>
        <v>3</v>
      </c>
      <c r="AM400" s="309">
        <f>IF('Database MK'!GJ401="","Belum",'Database MK'!GI401-'Database MK'!GJ401)</f>
        <v>-5</v>
      </c>
      <c r="AN400" s="7" t="str">
        <f>IF('Database MK'!HG401="","Belum",'Database MK'!HF401-'Database MK'!HG401)</f>
        <v>Belum</v>
      </c>
      <c r="AO400" s="7" t="str">
        <f>IF('Database MK'!HP401="","Belum",'Database MK'!HN401-'Database MK'!HP401)</f>
        <v>Belum</v>
      </c>
      <c r="AP400" s="7" t="str">
        <f>IF('Database MK'!HV401="","Belum",'Database MK'!HT401-'Database MK'!HV401)</f>
        <v>Belum</v>
      </c>
    </row>
    <row r="401" spans="2:42" hidden="1" x14ac:dyDescent="0.2">
      <c r="B401" s="7">
        <f>SUBTOTAL(3,$C$4:C401)</f>
        <v>74</v>
      </c>
      <c r="C401" s="299" t="s">
        <v>673</v>
      </c>
      <c r="D401" s="4" t="s">
        <v>3174</v>
      </c>
      <c r="E401" s="4" t="s">
        <v>3175</v>
      </c>
      <c r="F401" s="300">
        <v>46296</v>
      </c>
      <c r="G401" s="4" t="s">
        <v>247</v>
      </c>
      <c r="H401" s="4" t="str">
        <f ca="1">'Database MK'!Q402</f>
        <v>MC-0</v>
      </c>
      <c r="I401" s="24">
        <f>'Database MK'!S402</f>
        <v>0.33700956063199156</v>
      </c>
      <c r="J401" s="24">
        <f>'Database MK'!T402</f>
        <v>4.7365829645743242E-2</v>
      </c>
      <c r="K401" s="603">
        <f>'Database MK'!U402</f>
        <v>-0.28964373098624829</v>
      </c>
      <c r="L401" s="593">
        <f>'Database MK'!V402</f>
        <v>5785</v>
      </c>
      <c r="M401" s="593">
        <f>'Database MK'!W402</f>
        <v>0</v>
      </c>
      <c r="N401" s="593">
        <f>Table3[[#This Row],[Total Panjang Pipa Aktual]]-Table3[[#This Row],[Volume
BA MC-0]]</f>
        <v>-5785</v>
      </c>
      <c r="O401" s="7" t="str">
        <f ca="1">'Database MK'!DE402</f>
        <v>Sudah, OnSchedule</v>
      </c>
      <c r="P401" s="7" t="str">
        <f ca="1">'Database MK'!DI402</f>
        <v>Sudah, Delay</v>
      </c>
      <c r="Q401" s="7" t="str">
        <f ca="1">'Database MK'!DN402</f>
        <v>Sudah, OnSchedule</v>
      </c>
      <c r="R401" s="7" t="str">
        <f ca="1">'Database MK'!DR402</f>
        <v>Sudah, Delay</v>
      </c>
      <c r="S401" s="7" t="str">
        <f ca="1">'Database MK'!EA402</f>
        <v>Sudah, Delay</v>
      </c>
      <c r="T401" s="7" t="str">
        <f ca="1">'Database MK'!EI402</f>
        <v>Sudah, Delay</v>
      </c>
      <c r="U401" s="7" t="str">
        <f ca="1">'Database MK'!ET402</f>
        <v>Belum, OnSchedule</v>
      </c>
      <c r="V401" s="7" t="str">
        <f ca="1">'Database MK'!GA402</f>
        <v>Sudah, OnSchedule</v>
      </c>
      <c r="W401" s="7" t="str">
        <f ca="1">'Database MK'!GD402</f>
        <v>Sudah, Delay</v>
      </c>
      <c r="X401" s="7" t="str">
        <f ca="1">'Database MK'!GG402</f>
        <v>Sudah, OnSchedule</v>
      </c>
      <c r="Y401" s="7" t="str">
        <f ca="1">'Database MK'!GK402</f>
        <v>Sudah, OnSchedule</v>
      </c>
      <c r="Z401" s="7" t="str">
        <f ca="1">'Database MK'!HH402</f>
        <v>Belum, OnSchedule</v>
      </c>
      <c r="AA401" s="7" t="str">
        <f ca="1">'Database MK'!HQ402</f>
        <v>Belum, OnSchedule</v>
      </c>
      <c r="AB401" s="7" t="str">
        <f ca="1">'Database MK'!HW402</f>
        <v>Belum, OnSchedule</v>
      </c>
      <c r="AC401" s="7">
        <f>'Database MK'!DA402-'Database MK'!DB402</f>
        <v>12</v>
      </c>
      <c r="AD401" s="7">
        <f>'Database MK'!DA402-'Database MK'!DF402</f>
        <v>-9</v>
      </c>
      <c r="AE401" s="7">
        <f>'Database MK'!DK402-'Database MK'!DL402</f>
        <v>27</v>
      </c>
      <c r="AF401" s="7">
        <f>'Database MK'!DK402-'Database MK'!DO402</f>
        <v>-9</v>
      </c>
      <c r="AG401" s="7">
        <f>'Database MK'!DU402-'Database MK'!DW402</f>
        <v>-44</v>
      </c>
      <c r="AH401" s="7">
        <f>IF('Database MK'!EB402="","Belum",'Database MK'!DU402-'Database MK'!EB402)</f>
        <v>-148</v>
      </c>
      <c r="AI401" s="7" t="str">
        <f>IF('Database MK'!EN402="","Belum",'Database MK'!EL402-'Database MK'!EN402)</f>
        <v>Belum</v>
      </c>
      <c r="AJ401" s="7">
        <f>'Database MK'!FY402-'Database MK'!FZ402</f>
        <v>3</v>
      </c>
      <c r="AK401" s="7">
        <f>IF('Database MK'!GC402="","Belum",'Database MK'!GB402-'Database MK'!GC402)</f>
        <v>-7</v>
      </c>
      <c r="AL401" s="7">
        <f>IF('Database MK'!GF402="","Belum",'Database MK'!GE402-'Database MK'!GF402)</f>
        <v>0</v>
      </c>
      <c r="AM401" s="309">
        <f>IF('Database MK'!GJ402="","Belum",'Database MK'!GI402-'Database MK'!GJ402)</f>
        <v>11</v>
      </c>
      <c r="AN401" s="7" t="str">
        <f>IF('Database MK'!HG402="","Belum",'Database MK'!HF402-'Database MK'!HG402)</f>
        <v>Belum</v>
      </c>
      <c r="AO401" s="7" t="str">
        <f>IF('Database MK'!HP402="","Belum",'Database MK'!HN402-'Database MK'!HP402)</f>
        <v>Belum</v>
      </c>
      <c r="AP401" s="7" t="str">
        <f>IF('Database MK'!HV402="","Belum",'Database MK'!HT402-'Database MK'!HV402)</f>
        <v>Belum</v>
      </c>
    </row>
    <row r="402" spans="2:42" hidden="1" x14ac:dyDescent="0.2">
      <c r="B402" s="7">
        <f>SUBTOTAL(3,$C$4:C402)</f>
        <v>74</v>
      </c>
      <c r="C402" s="299" t="s">
        <v>673</v>
      </c>
      <c r="D402" s="4" t="s">
        <v>3183</v>
      </c>
      <c r="E402" s="4" t="s">
        <v>3184</v>
      </c>
      <c r="F402" s="300">
        <v>46296</v>
      </c>
      <c r="G402" s="4" t="s">
        <v>247</v>
      </c>
      <c r="H402" s="4" t="str">
        <f ca="1">'Database MK'!Q403</f>
        <v>MC-0</v>
      </c>
      <c r="I402" s="24">
        <f>'Database MK'!S403</f>
        <v>0.33991062415344858</v>
      </c>
      <c r="J402" s="24">
        <f>'Database MK'!T403</f>
        <v>4.6381993497782201E-2</v>
      </c>
      <c r="K402" s="603">
        <f>'Database MK'!U403</f>
        <v>-0.29352863065566637</v>
      </c>
      <c r="L402" s="593">
        <f>'Database MK'!V403</f>
        <v>12646</v>
      </c>
      <c r="M402" s="593">
        <f>'Database MK'!W403</f>
        <v>0</v>
      </c>
      <c r="N402" s="593">
        <f>Table3[[#This Row],[Total Panjang Pipa Aktual]]-Table3[[#This Row],[Volume
BA MC-0]]</f>
        <v>-12646</v>
      </c>
      <c r="O402" s="7" t="str">
        <f ca="1">'Database MK'!DE403</f>
        <v>Sudah, OnSchedule</v>
      </c>
      <c r="P402" s="7" t="str">
        <f ca="1">'Database MK'!DI403</f>
        <v>Sudah, Delay</v>
      </c>
      <c r="Q402" s="7" t="str">
        <f ca="1">'Database MK'!DN403</f>
        <v>Sudah, OnSchedule</v>
      </c>
      <c r="R402" s="7" t="str">
        <f ca="1">'Database MK'!DR403</f>
        <v>Sudah, Delay</v>
      </c>
      <c r="S402" s="7" t="str">
        <f ca="1">'Database MK'!EA403</f>
        <v>Sudah, Delay</v>
      </c>
      <c r="T402" s="7" t="str">
        <f ca="1">'Database MK'!EI403</f>
        <v>Belum, Delay</v>
      </c>
      <c r="U402" s="7" t="str">
        <f ca="1">'Database MK'!ET403</f>
        <v>Belum, OnSchedule</v>
      </c>
      <c r="V402" s="7" t="str">
        <f ca="1">'Database MK'!GA403</f>
        <v>Sudah, OnSchedule</v>
      </c>
      <c r="W402" s="7" t="str">
        <f ca="1">'Database MK'!GD403</f>
        <v>Sudah, OnSchedule</v>
      </c>
      <c r="X402" s="7" t="str">
        <f ca="1">'Database MK'!GG403</f>
        <v>Sudah, OnSchedule</v>
      </c>
      <c r="Y402" s="7" t="str">
        <f ca="1">'Database MK'!GK403</f>
        <v>Sudah, OnSchedule</v>
      </c>
      <c r="Z402" s="7" t="str">
        <f ca="1">'Database MK'!HH403</f>
        <v>Belum, OnSchedule</v>
      </c>
      <c r="AA402" s="7" t="str">
        <f ca="1">'Database MK'!HQ403</f>
        <v>Belum, OnSchedule</v>
      </c>
      <c r="AB402" s="7" t="str">
        <f ca="1">'Database MK'!HW403</f>
        <v>Belum, OnSchedule</v>
      </c>
      <c r="AC402" s="7">
        <f>'Database MK'!DA403-'Database MK'!DB403</f>
        <v>12</v>
      </c>
      <c r="AD402" s="7">
        <f>'Database MK'!DA403-'Database MK'!DF403</f>
        <v>-9</v>
      </c>
      <c r="AE402" s="7">
        <f>'Database MK'!DK403-'Database MK'!DL403</f>
        <v>27</v>
      </c>
      <c r="AF402" s="7">
        <f>'Database MK'!DK403-'Database MK'!DO403</f>
        <v>-5</v>
      </c>
      <c r="AG402" s="7">
        <f>'Database MK'!DU403-'Database MK'!DW403</f>
        <v>-45</v>
      </c>
      <c r="AH402" s="7" t="str">
        <f>IF('Database MK'!EB403="","Belum",'Database MK'!DU403-'Database MK'!EB403)</f>
        <v>Belum</v>
      </c>
      <c r="AI402" s="7" t="str">
        <f>IF('Database MK'!EN403="","Belum",'Database MK'!EL403-'Database MK'!EN403)</f>
        <v>Belum</v>
      </c>
      <c r="AJ402" s="7">
        <f>'Database MK'!FY403-'Database MK'!FZ403</f>
        <v>3</v>
      </c>
      <c r="AK402" s="7">
        <f>IF('Database MK'!GC403="","Belum",'Database MK'!GB403-'Database MK'!GC403)</f>
        <v>0</v>
      </c>
      <c r="AL402" s="7">
        <f>IF('Database MK'!GF403="","Belum",'Database MK'!GE403-'Database MK'!GF403)</f>
        <v>3</v>
      </c>
      <c r="AM402" s="309">
        <f>IF('Database MK'!GJ403="","Belum",'Database MK'!GI403-'Database MK'!GJ403)</f>
        <v>12</v>
      </c>
      <c r="AN402" s="7" t="str">
        <f>IF('Database MK'!HG403="","Belum",'Database MK'!HF403-'Database MK'!HG403)</f>
        <v>Belum</v>
      </c>
      <c r="AO402" s="7" t="str">
        <f>IF('Database MK'!HP403="","Belum",'Database MK'!HN403-'Database MK'!HP403)</f>
        <v>Belum</v>
      </c>
      <c r="AP402" s="7" t="str">
        <f>IF('Database MK'!HV403="","Belum",'Database MK'!HT403-'Database MK'!HV403)</f>
        <v>Belum</v>
      </c>
    </row>
    <row r="403" spans="2:42" hidden="1" x14ac:dyDescent="0.2">
      <c r="B403" s="7">
        <f>SUBTOTAL(3,$C$4:C403)</f>
        <v>74</v>
      </c>
      <c r="C403" s="299" t="s">
        <v>673</v>
      </c>
      <c r="D403" s="4" t="s">
        <v>3189</v>
      </c>
      <c r="E403" s="4" t="s">
        <v>3190</v>
      </c>
      <c r="F403" s="300">
        <v>46296</v>
      </c>
      <c r="G403" s="4" t="s">
        <v>247</v>
      </c>
      <c r="H403" s="4" t="str">
        <f ca="1">'Database MK'!Q404</f>
        <v>Proses Konstruksi</v>
      </c>
      <c r="I403" s="24">
        <f>'Database MK'!S404</f>
        <v>0.33324982257486152</v>
      </c>
      <c r="J403" s="24">
        <f>'Database MK'!T404</f>
        <v>3.6729739544493309E-2</v>
      </c>
      <c r="K403" s="603">
        <f>'Database MK'!U404</f>
        <v>-0.2965200830303682</v>
      </c>
      <c r="L403" s="593">
        <f>'Database MK'!V404</f>
        <v>5754</v>
      </c>
      <c r="M403" s="593">
        <f>'Database MK'!W404</f>
        <v>1341</v>
      </c>
      <c r="N403" s="593">
        <f>Table3[[#This Row],[Total Panjang Pipa Aktual]]-Table3[[#This Row],[Volume
BA MC-0]]</f>
        <v>-4413</v>
      </c>
      <c r="O403" s="7" t="str">
        <f ca="1">'Database MK'!DE404</f>
        <v>Sudah, OnSchedule</v>
      </c>
      <c r="P403" s="7" t="str">
        <f ca="1">'Database MK'!DI404</f>
        <v>Sudah, Delay</v>
      </c>
      <c r="Q403" s="7" t="str">
        <f ca="1">'Database MK'!DN404</f>
        <v>Sudah, OnSchedule</v>
      </c>
      <c r="R403" s="7" t="str">
        <f ca="1">'Database MK'!DR404</f>
        <v>Sudah, Delay</v>
      </c>
      <c r="S403" s="7" t="str">
        <f ca="1">'Database MK'!EA404</f>
        <v>Sudah, Delay</v>
      </c>
      <c r="T403" s="7" t="str">
        <f ca="1">'Database MK'!EI404</f>
        <v>Belum, Delay</v>
      </c>
      <c r="U403" s="7" t="str">
        <f ca="1">'Database MK'!ET404</f>
        <v>Belum, OnSchedule</v>
      </c>
      <c r="V403" s="7" t="str">
        <f ca="1">'Database MK'!GA404</f>
        <v>Sudah, OnSchedule</v>
      </c>
      <c r="W403" s="7" t="str">
        <f ca="1">'Database MK'!GD404</f>
        <v>Sudah, OnSchedule</v>
      </c>
      <c r="X403" s="7" t="str">
        <f ca="1">'Database MK'!GG404</f>
        <v>Sudah, OnSchedule</v>
      </c>
      <c r="Y403" s="7" t="str">
        <f ca="1">'Database MK'!GK404</f>
        <v>Sudah, OnSchedule</v>
      </c>
      <c r="Z403" s="7" t="str">
        <f ca="1">'Database MK'!HH404</f>
        <v>Belum, OnSchedule</v>
      </c>
      <c r="AA403" s="7" t="str">
        <f ca="1">'Database MK'!HQ404</f>
        <v>Belum, OnSchedule</v>
      </c>
      <c r="AB403" s="7" t="str">
        <f ca="1">'Database MK'!HW404</f>
        <v>Belum, OnSchedule</v>
      </c>
      <c r="AC403" s="7">
        <f>'Database MK'!DA404-'Database MK'!DB404</f>
        <v>12</v>
      </c>
      <c r="AD403" s="7">
        <f>'Database MK'!DA404-'Database MK'!DF404</f>
        <v>-9</v>
      </c>
      <c r="AE403" s="7">
        <f>'Database MK'!DK404-'Database MK'!DL404</f>
        <v>26</v>
      </c>
      <c r="AF403" s="7">
        <f>'Database MK'!DK404-'Database MK'!DO404</f>
        <v>-9</v>
      </c>
      <c r="AG403" s="7">
        <f>'Database MK'!DU404-'Database MK'!DW404</f>
        <v>-45</v>
      </c>
      <c r="AH403" s="7" t="str">
        <f>IF('Database MK'!EB404="","Belum",'Database MK'!DU404-'Database MK'!EB404)</f>
        <v>Belum</v>
      </c>
      <c r="AI403" s="7" t="str">
        <f>IF('Database MK'!EN404="","Belum",'Database MK'!EL404-'Database MK'!EN404)</f>
        <v>Belum</v>
      </c>
      <c r="AJ403" s="7">
        <f>'Database MK'!FY404-'Database MK'!FZ404</f>
        <v>3</v>
      </c>
      <c r="AK403" s="7">
        <f>IF('Database MK'!GC404="","Belum",'Database MK'!GB404-'Database MK'!GC404)</f>
        <v>0</v>
      </c>
      <c r="AL403" s="7">
        <f>IF('Database MK'!GF404="","Belum",'Database MK'!GE404-'Database MK'!GF404)</f>
        <v>3</v>
      </c>
      <c r="AM403" s="309">
        <f>IF('Database MK'!GJ404="","Belum",'Database MK'!GI404-'Database MK'!GJ404)</f>
        <v>9</v>
      </c>
      <c r="AN403" s="7" t="str">
        <f>IF('Database MK'!HG404="","Belum",'Database MK'!HF404-'Database MK'!HG404)</f>
        <v>Belum</v>
      </c>
      <c r="AO403" s="7" t="str">
        <f>IF('Database MK'!HP404="","Belum",'Database MK'!HN404-'Database MK'!HP404)</f>
        <v>Belum</v>
      </c>
      <c r="AP403" s="7" t="str">
        <f>IF('Database MK'!HV404="","Belum",'Database MK'!HT404-'Database MK'!HV404)</f>
        <v>Belum</v>
      </c>
    </row>
    <row r="404" spans="2:42" hidden="1" x14ac:dyDescent="0.2">
      <c r="B404" s="7">
        <f>SUBTOTAL(3,$C$4:C404)</f>
        <v>74</v>
      </c>
      <c r="C404" s="299" t="s">
        <v>673</v>
      </c>
      <c r="D404" s="4" t="s">
        <v>3196</v>
      </c>
      <c r="E404" s="4" t="s">
        <v>3197</v>
      </c>
      <c r="F404" s="300">
        <v>46296</v>
      </c>
      <c r="G404" s="4" t="s">
        <v>247</v>
      </c>
      <c r="H404" s="4" t="str">
        <f ca="1">'Database MK'!Q405</f>
        <v>MC-0</v>
      </c>
      <c r="I404" s="24">
        <f>'Database MK'!S405</f>
        <v>0.32103377949660505</v>
      </c>
      <c r="J404" s="24">
        <f>'Database MK'!T405</f>
        <v>3.146827828948813E-2</v>
      </c>
      <c r="K404" s="603">
        <f>'Database MK'!U405</f>
        <v>-0.28956550120711694</v>
      </c>
      <c r="L404" s="593">
        <f>'Database MK'!V405</f>
        <v>3945</v>
      </c>
      <c r="M404" s="593">
        <f>'Database MK'!W405</f>
        <v>0</v>
      </c>
      <c r="N404" s="593">
        <f>Table3[[#This Row],[Total Panjang Pipa Aktual]]-Table3[[#This Row],[Volume
BA MC-0]]</f>
        <v>-3945</v>
      </c>
      <c r="O404" s="7" t="str">
        <f ca="1">'Database MK'!DE405</f>
        <v>Sudah, OnSchedule</v>
      </c>
      <c r="P404" s="7" t="str">
        <f ca="1">'Database MK'!DI405</f>
        <v>Sudah, Delay</v>
      </c>
      <c r="Q404" s="7" t="str">
        <f ca="1">'Database MK'!DN405</f>
        <v>Sudah, OnSchedule</v>
      </c>
      <c r="R404" s="7" t="str">
        <f ca="1">'Database MK'!DR405</f>
        <v>Sudah, Delay</v>
      </c>
      <c r="S404" s="7" t="str">
        <f ca="1">'Database MK'!EA405</f>
        <v>Sudah, Delay</v>
      </c>
      <c r="T404" s="7" t="str">
        <f ca="1">'Database MK'!EI405</f>
        <v>Belum, Delay</v>
      </c>
      <c r="U404" s="7" t="str">
        <f ca="1">'Database MK'!ET405</f>
        <v>Belum, OnSchedule</v>
      </c>
      <c r="V404" s="7" t="str">
        <f ca="1">'Database MK'!GA405</f>
        <v>Sudah, OnSchedule</v>
      </c>
      <c r="W404" s="7" t="str">
        <f ca="1">'Database MK'!GD405</f>
        <v>Sudah, OnSchedule</v>
      </c>
      <c r="X404" s="7" t="str">
        <f ca="1">'Database MK'!GG405</f>
        <v>Sudah, OnSchedule</v>
      </c>
      <c r="Y404" s="7" t="str">
        <f ca="1">'Database MK'!GK405</f>
        <v>Sudah, OnSchedule</v>
      </c>
      <c r="Z404" s="7" t="str">
        <f ca="1">'Database MK'!HH405</f>
        <v>Belum, OnSchedule</v>
      </c>
      <c r="AA404" s="7" t="str">
        <f ca="1">'Database MK'!HQ405</f>
        <v>Belum, OnSchedule</v>
      </c>
      <c r="AB404" s="7" t="str">
        <f ca="1">'Database MK'!HW405</f>
        <v>Belum, OnSchedule</v>
      </c>
      <c r="AC404" s="7">
        <f>'Database MK'!DA405-'Database MK'!DB405</f>
        <v>12</v>
      </c>
      <c r="AD404" s="7">
        <f>'Database MK'!DA405-'Database MK'!DF405</f>
        <v>-9</v>
      </c>
      <c r="AE404" s="7">
        <f>'Database MK'!DK405-'Database MK'!DL405</f>
        <v>26</v>
      </c>
      <c r="AF404" s="7">
        <f>'Database MK'!DK405-'Database MK'!DO405</f>
        <v>-9</v>
      </c>
      <c r="AG404" s="7">
        <f>'Database MK'!DU405-'Database MK'!DW405</f>
        <v>-46</v>
      </c>
      <c r="AH404" s="7" t="str">
        <f>IF('Database MK'!EB405="","Belum",'Database MK'!DU405-'Database MK'!EB405)</f>
        <v>Belum</v>
      </c>
      <c r="AI404" s="7" t="str">
        <f>IF('Database MK'!EN405="","Belum",'Database MK'!EL405-'Database MK'!EN405)</f>
        <v>Belum</v>
      </c>
      <c r="AJ404" s="7">
        <f>'Database MK'!FY405-'Database MK'!FZ405</f>
        <v>3</v>
      </c>
      <c r="AK404" s="7">
        <f>IF('Database MK'!GC405="","Belum",'Database MK'!GB405-'Database MK'!GC405)</f>
        <v>0</v>
      </c>
      <c r="AL404" s="7">
        <f>IF('Database MK'!GF405="","Belum",'Database MK'!GE405-'Database MK'!GF405)</f>
        <v>3</v>
      </c>
      <c r="AM404" s="309">
        <f>IF('Database MK'!GJ405="","Belum",'Database MK'!GI405-'Database MK'!GJ405)</f>
        <v>9</v>
      </c>
      <c r="AN404" s="7" t="str">
        <f>IF('Database MK'!HG405="","Belum",'Database MK'!HF405-'Database MK'!HG405)</f>
        <v>Belum</v>
      </c>
      <c r="AO404" s="7" t="str">
        <f>IF('Database MK'!HP405="","Belum",'Database MK'!HN405-'Database MK'!HP405)</f>
        <v>Belum</v>
      </c>
      <c r="AP404" s="7" t="str">
        <f>IF('Database MK'!HV405="","Belum",'Database MK'!HT405-'Database MK'!HV405)</f>
        <v>Belum</v>
      </c>
    </row>
    <row r="405" spans="2:42" hidden="1" x14ac:dyDescent="0.2">
      <c r="B405" s="7">
        <f>SUBTOTAL(3,$C$4:C405)</f>
        <v>74</v>
      </c>
      <c r="C405" s="299" t="s">
        <v>673</v>
      </c>
      <c r="D405" s="4" t="s">
        <v>3203</v>
      </c>
      <c r="E405" s="4" t="s">
        <v>3204</v>
      </c>
      <c r="F405" s="300">
        <v>46296</v>
      </c>
      <c r="G405" s="4" t="s">
        <v>247</v>
      </c>
      <c r="H405" s="4" t="str">
        <f ca="1">'Database MK'!Q406</f>
        <v>Proses Konstruksi</v>
      </c>
      <c r="I405" s="24">
        <f>'Database MK'!S406</f>
        <v>0.33568313776418129</v>
      </c>
      <c r="J405" s="24">
        <f>'Database MK'!T406</f>
        <v>4.1984247750694821E-2</v>
      </c>
      <c r="K405" s="603">
        <f>'Database MK'!U406</f>
        <v>-0.29369889001348648</v>
      </c>
      <c r="L405" s="593">
        <f>'Database MK'!V406</f>
        <v>43800</v>
      </c>
      <c r="M405" s="593">
        <f>'Database MK'!W406</f>
        <v>300</v>
      </c>
      <c r="N405" s="593">
        <f>Table3[[#This Row],[Total Panjang Pipa Aktual]]-Table3[[#This Row],[Volume
BA MC-0]]</f>
        <v>-43500</v>
      </c>
      <c r="O405" s="7" t="str">
        <f ca="1">'Database MK'!DE406</f>
        <v>Sudah, OnSchedule</v>
      </c>
      <c r="P405" s="7" t="str">
        <f ca="1">'Database MK'!DI406</f>
        <v>Sudah, Delay</v>
      </c>
      <c r="Q405" s="7" t="str">
        <f ca="1">'Database MK'!DN406</f>
        <v>Sudah, OnSchedule</v>
      </c>
      <c r="R405" s="7" t="str">
        <f ca="1">'Database MK'!DR406</f>
        <v>Sudah, OnSchedule</v>
      </c>
      <c r="S405" s="7" t="str">
        <f ca="1">'Database MK'!EA406</f>
        <v>Sudah, Delay</v>
      </c>
      <c r="T405" s="7" t="str">
        <f ca="1">'Database MK'!EI406</f>
        <v>Belum, Delay</v>
      </c>
      <c r="U405" s="7" t="str">
        <f ca="1">'Database MK'!ET406</f>
        <v>Belum, OnSchedule</v>
      </c>
      <c r="V405" s="7" t="str">
        <f ca="1">'Database MK'!GA406</f>
        <v>Sudah, OnSchedule</v>
      </c>
      <c r="W405" s="7" t="str">
        <f ca="1">'Database MK'!GD406</f>
        <v>Sudah, OnSchedule</v>
      </c>
      <c r="X405" s="7" t="str">
        <f ca="1">'Database MK'!GG406</f>
        <v>Sudah, OnSchedule</v>
      </c>
      <c r="Y405" s="7" t="str">
        <f ca="1">'Database MK'!GK406</f>
        <v>Sudah, OnSchedule</v>
      </c>
      <c r="Z405" s="7" t="str">
        <f ca="1">'Database MK'!HH406</f>
        <v>Belum, OnSchedule</v>
      </c>
      <c r="AA405" s="7" t="str">
        <f ca="1">'Database MK'!HQ406</f>
        <v>Belum, OnSchedule</v>
      </c>
      <c r="AB405" s="7" t="str">
        <f ca="1">'Database MK'!HW406</f>
        <v>Belum, OnSchedule</v>
      </c>
      <c r="AC405" s="7">
        <f>'Database MK'!DA406-'Database MK'!DB406</f>
        <v>12</v>
      </c>
      <c r="AD405" s="7">
        <f>'Database MK'!DA406-'Database MK'!DF406</f>
        <v>-9</v>
      </c>
      <c r="AE405" s="7">
        <f>'Database MK'!DK406-'Database MK'!DL406</f>
        <v>26</v>
      </c>
      <c r="AF405" s="7">
        <f>'Database MK'!DK406-'Database MK'!DO406</f>
        <v>20</v>
      </c>
      <c r="AG405" s="7">
        <f>'Database MK'!DU406-'Database MK'!DW406</f>
        <v>-45</v>
      </c>
      <c r="AH405" s="7" t="str">
        <f>IF('Database MK'!EB406="","Belum",'Database MK'!DU406-'Database MK'!EB406)</f>
        <v>Belum</v>
      </c>
      <c r="AI405" s="7" t="str">
        <f>IF('Database MK'!EN406="","Belum",'Database MK'!EL406-'Database MK'!EN406)</f>
        <v>Belum</v>
      </c>
      <c r="AJ405" s="7">
        <f>'Database MK'!FY406-'Database MK'!FZ406</f>
        <v>3</v>
      </c>
      <c r="AK405" s="7">
        <f>IF('Database MK'!GC406="","Belum",'Database MK'!GB406-'Database MK'!GC406)</f>
        <v>12</v>
      </c>
      <c r="AL405" s="7">
        <f>IF('Database MK'!GF406="","Belum",'Database MK'!GE406-'Database MK'!GF406)</f>
        <v>17</v>
      </c>
      <c r="AM405" s="309">
        <f>IF('Database MK'!GJ406="","Belum",'Database MK'!GI406-'Database MK'!GJ406)</f>
        <v>20</v>
      </c>
      <c r="AN405" s="7" t="str">
        <f>IF('Database MK'!HG406="","Belum",'Database MK'!HF406-'Database MK'!HG406)</f>
        <v>Belum</v>
      </c>
      <c r="AO405" s="7" t="str">
        <f>IF('Database MK'!HP406="","Belum",'Database MK'!HN406-'Database MK'!HP406)</f>
        <v>Belum</v>
      </c>
      <c r="AP405" s="7" t="str">
        <f>IF('Database MK'!HV406="","Belum",'Database MK'!HT406-'Database MK'!HV406)</f>
        <v>Belum</v>
      </c>
    </row>
    <row r="406" spans="2:42" hidden="1" x14ac:dyDescent="0.2">
      <c r="B406" s="7">
        <f>SUBTOTAL(3,$C$4:C406)</f>
        <v>74</v>
      </c>
      <c r="C406" s="299" t="s">
        <v>673</v>
      </c>
      <c r="D406" s="4" t="s">
        <v>3212</v>
      </c>
      <c r="E406" s="4" t="s">
        <v>3213</v>
      </c>
      <c r="F406" s="300">
        <v>46296</v>
      </c>
      <c r="G406" s="4" t="s">
        <v>247</v>
      </c>
      <c r="H406" s="4" t="str">
        <f ca="1">'Database MK'!Q407</f>
        <v>MC-0</v>
      </c>
      <c r="I406" s="24">
        <f>'Database MK'!S407</f>
        <v>0.34552838577289324</v>
      </c>
      <c r="J406" s="24">
        <f>'Database MK'!T407</f>
        <v>2.952176489507299E-2</v>
      </c>
      <c r="K406" s="603">
        <f>'Database MK'!U407</f>
        <v>-0.31600662087782028</v>
      </c>
      <c r="L406" s="593">
        <f>'Database MK'!V407</f>
        <v>39185</v>
      </c>
      <c r="M406" s="593">
        <f>'Database MK'!W407</f>
        <v>0</v>
      </c>
      <c r="N406" s="593">
        <f>Table3[[#This Row],[Total Panjang Pipa Aktual]]-Table3[[#This Row],[Volume
BA MC-0]]</f>
        <v>-39185</v>
      </c>
      <c r="O406" s="7" t="str">
        <f ca="1">'Database MK'!DE407</f>
        <v>Sudah, OnSchedule</v>
      </c>
      <c r="P406" s="7" t="str">
        <f ca="1">'Database MK'!DI407</f>
        <v>Sudah, Delay</v>
      </c>
      <c r="Q406" s="7" t="str">
        <f ca="1">'Database MK'!DN407</f>
        <v>Sudah, OnSchedule</v>
      </c>
      <c r="R406" s="7" t="str">
        <f ca="1">'Database MK'!DR407</f>
        <v>Sudah, Delay</v>
      </c>
      <c r="S406" s="7" t="str">
        <f ca="1">'Database MK'!EA407</f>
        <v>Sudah, Delay</v>
      </c>
      <c r="T406" s="7" t="str">
        <f ca="1">'Database MK'!EI407</f>
        <v>Belum, Delay</v>
      </c>
      <c r="U406" s="7" t="str">
        <f ca="1">'Database MK'!ET407</f>
        <v>Belum, OnSchedule</v>
      </c>
      <c r="V406" s="7" t="str">
        <f ca="1">'Database MK'!GA407</f>
        <v>Sudah, OnSchedule</v>
      </c>
      <c r="W406" s="7" t="str">
        <f ca="1">'Database MK'!GD407</f>
        <v>Sudah, Delay</v>
      </c>
      <c r="X406" s="7" t="str">
        <f ca="1">'Database MK'!GG407</f>
        <v>Sudah, Delay</v>
      </c>
      <c r="Y406" s="7" t="str">
        <f ca="1">'Database MK'!GK407</f>
        <v>Sudah, Delay</v>
      </c>
      <c r="Z406" s="7" t="str">
        <f ca="1">'Database MK'!HH407</f>
        <v>Belum, OnSchedule</v>
      </c>
      <c r="AA406" s="7" t="str">
        <f ca="1">'Database MK'!HQ407</f>
        <v>Belum, OnSchedule</v>
      </c>
      <c r="AB406" s="7" t="str">
        <f ca="1">'Database MK'!HW407</f>
        <v>Belum, OnSchedule</v>
      </c>
      <c r="AC406" s="7">
        <f>'Database MK'!DA407-'Database MK'!DB407</f>
        <v>82</v>
      </c>
      <c r="AD406" s="7">
        <f>'Database MK'!DA407-'Database MK'!DF407</f>
        <v>-51</v>
      </c>
      <c r="AE406" s="7">
        <f>'Database MK'!DK407-'Database MK'!DL407</f>
        <v>33</v>
      </c>
      <c r="AF406" s="7">
        <f>'Database MK'!DK407-'Database MK'!DO407</f>
        <v>-5</v>
      </c>
      <c r="AG406" s="7">
        <f>'Database MK'!DU407-'Database MK'!DW407</f>
        <v>-37</v>
      </c>
      <c r="AH406" s="7" t="str">
        <f>IF('Database MK'!EB407="","Belum",'Database MK'!DU407-'Database MK'!EB407)</f>
        <v>Belum</v>
      </c>
      <c r="AI406" s="7" t="str">
        <f>IF('Database MK'!EN407="","Belum",'Database MK'!EL407-'Database MK'!EN407)</f>
        <v>Belum</v>
      </c>
      <c r="AJ406" s="7">
        <f>'Database MK'!FY407-'Database MK'!FZ407</f>
        <v>19</v>
      </c>
      <c r="AK406" s="7">
        <f>IF('Database MK'!GC407="","Belum",'Database MK'!GB407-'Database MK'!GC407)</f>
        <v>-29</v>
      </c>
      <c r="AL406" s="7">
        <f>IF('Database MK'!GF407="","Belum",'Database MK'!GE407-'Database MK'!GF407)</f>
        <v>-22</v>
      </c>
      <c r="AM406" s="309">
        <f>IF('Database MK'!GJ407="","Belum",'Database MK'!GI407-'Database MK'!GJ407)</f>
        <v>-25</v>
      </c>
      <c r="AN406" s="7" t="str">
        <f>IF('Database MK'!HG407="","Belum",'Database MK'!HF407-'Database MK'!HG407)</f>
        <v>Belum</v>
      </c>
      <c r="AO406" s="7" t="str">
        <f>IF('Database MK'!HP407="","Belum",'Database MK'!HN407-'Database MK'!HP407)</f>
        <v>Belum</v>
      </c>
      <c r="AP406" s="7" t="str">
        <f>IF('Database MK'!HV407="","Belum",'Database MK'!HT407-'Database MK'!HV407)</f>
        <v>Belum</v>
      </c>
    </row>
    <row r="407" spans="2:42" hidden="1" x14ac:dyDescent="0.2">
      <c r="B407" s="7">
        <f>SUBTOTAL(3,$C$4:C407)</f>
        <v>74</v>
      </c>
      <c r="C407" s="299" t="s">
        <v>673</v>
      </c>
      <c r="D407" s="4" t="s">
        <v>3219</v>
      </c>
      <c r="E407" s="4" t="s">
        <v>3220</v>
      </c>
      <c r="F407" s="300">
        <v>46296</v>
      </c>
      <c r="G407" s="4" t="s">
        <v>681</v>
      </c>
      <c r="H407" s="4" t="str">
        <f ca="1">'Database MK'!Q408</f>
        <v>Proses Konstruksi</v>
      </c>
      <c r="I407" s="24">
        <f>'Database MK'!S408</f>
        <v>1</v>
      </c>
      <c r="J407" s="24">
        <f>'Database MK'!T408</f>
        <v>7.6566628893159544E-2</v>
      </c>
      <c r="K407" s="603">
        <f>'Database MK'!U408</f>
        <v>-0.92343337110684043</v>
      </c>
      <c r="L407" s="593">
        <f>'Database MK'!V408</f>
        <v>700</v>
      </c>
      <c r="M407" s="593">
        <f>'Database MK'!W408</f>
        <v>245</v>
      </c>
      <c r="N407" s="593">
        <f>Table3[[#This Row],[Total Panjang Pipa Aktual]]-Table3[[#This Row],[Volume
BA MC-0]]</f>
        <v>-455</v>
      </c>
      <c r="O407" s="7" t="str">
        <f ca="1">'Database MK'!DE408</f>
        <v>Sudah, OnSchedule</v>
      </c>
      <c r="P407" s="7" t="str">
        <f ca="1">'Database MK'!DI408</f>
        <v>Sudah, OnSchedule</v>
      </c>
      <c r="Q407" s="7" t="str">
        <f ca="1">'Database MK'!DN408</f>
        <v>Sudah, Delay</v>
      </c>
      <c r="R407" s="7" t="str">
        <f ca="1">'Database MK'!DR408</f>
        <v>Sudah, Delay</v>
      </c>
      <c r="S407" s="7" t="str">
        <f ca="1">'Database MK'!EA408</f>
        <v>Sudah, Delay</v>
      </c>
      <c r="T407" s="7" t="str">
        <f ca="1">'Database MK'!EI408</f>
        <v>Belum, Delay</v>
      </c>
      <c r="U407" s="7" t="str">
        <f ca="1">'Database MK'!ET408</f>
        <v>Belum, Delay</v>
      </c>
      <c r="V407" s="7" t="str">
        <f ca="1">'Database MK'!GA408</f>
        <v>Sudah, Delay</v>
      </c>
      <c r="W407" s="7" t="str">
        <f ca="1">'Database MK'!GD408</f>
        <v>Sudah, Delay</v>
      </c>
      <c r="X407" s="7" t="str">
        <f ca="1">'Database MK'!GG408</f>
        <v>Sudah, Delay</v>
      </c>
      <c r="Y407" s="7" t="str">
        <f ca="1">'Database MK'!GK408</f>
        <v>Sudah, Delay</v>
      </c>
      <c r="Z407" s="7" t="str">
        <f ca="1">'Database MK'!HH408</f>
        <v>Belum, Delay</v>
      </c>
      <c r="AA407" s="7" t="str">
        <f ca="1">'Database MK'!HQ408</f>
        <v>Belum, Delay</v>
      </c>
      <c r="AB407" s="7" t="str">
        <f ca="1">'Database MK'!HW408</f>
        <v>Belum, Delay</v>
      </c>
      <c r="AC407" s="7">
        <f>'Database MK'!DA408-'Database MK'!DB408</f>
        <v>33</v>
      </c>
      <c r="AD407" s="7">
        <f>'Database MK'!DA408-'Database MK'!DF408</f>
        <v>12</v>
      </c>
      <c r="AE407" s="7">
        <f>'Database MK'!DK408-'Database MK'!DL408</f>
        <v>-2</v>
      </c>
      <c r="AF407" s="7">
        <f>'Database MK'!DK408-'Database MK'!DO408</f>
        <v>-39</v>
      </c>
      <c r="AG407" s="7">
        <f>'Database MK'!DU408-'Database MK'!DW408</f>
        <v>-23</v>
      </c>
      <c r="AH407" s="7" t="str">
        <f>IF('Database MK'!EB408="","Belum",'Database MK'!DU408-'Database MK'!EB408)</f>
        <v>Belum</v>
      </c>
      <c r="AI407" s="7" t="str">
        <f>IF('Database MK'!EN408="","Belum",'Database MK'!EL408-'Database MK'!EN408)</f>
        <v>Belum</v>
      </c>
      <c r="AJ407" s="7">
        <f>'Database MK'!FY408-'Database MK'!FZ408</f>
        <v>-16</v>
      </c>
      <c r="AK407" s="7">
        <f>IF('Database MK'!GC408="","Belum",'Database MK'!GB408-'Database MK'!GC408)</f>
        <v>-64</v>
      </c>
      <c r="AL407" s="7">
        <f>IF('Database MK'!GF408="","Belum",'Database MK'!GE408-'Database MK'!GF408)</f>
        <v>-57</v>
      </c>
      <c r="AM407" s="309">
        <f>IF('Database MK'!GJ408="","Belum",'Database MK'!GI408-'Database MK'!GJ408)</f>
        <v>-51</v>
      </c>
      <c r="AN407" s="7" t="str">
        <f>IF('Database MK'!HG408="","Belum",'Database MK'!HF408-'Database MK'!HG408)</f>
        <v>Belum</v>
      </c>
      <c r="AO407" s="7" t="str">
        <f>IF('Database MK'!HP408="","Belum",'Database MK'!HN408-'Database MK'!HP408)</f>
        <v>Belum</v>
      </c>
      <c r="AP407" s="7" t="str">
        <f>IF('Database MK'!HV408="","Belum",'Database MK'!HT408-'Database MK'!HV408)</f>
        <v>Belum</v>
      </c>
    </row>
    <row r="408" spans="2:42" hidden="1" x14ac:dyDescent="0.2">
      <c r="B408" s="7">
        <f>SUBTOTAL(3,$C$4:C408)</f>
        <v>74</v>
      </c>
      <c r="C408" s="299" t="s">
        <v>673</v>
      </c>
      <c r="D408" s="4" t="s">
        <v>3226</v>
      </c>
      <c r="E408" s="4" t="s">
        <v>3227</v>
      </c>
      <c r="F408" s="300">
        <v>46296</v>
      </c>
      <c r="G408" s="4" t="s">
        <v>681</v>
      </c>
      <c r="H408" s="4" t="str">
        <f ca="1">'Database MK'!Q409</f>
        <v>MC-0</v>
      </c>
      <c r="I408" s="24">
        <f>'Database MK'!S409</f>
        <v>0.97533688297294308</v>
      </c>
      <c r="J408" s="24">
        <f>'Database MK'!T409</f>
        <v>4.2447185219438258E-2</v>
      </c>
      <c r="K408" s="603">
        <f>'Database MK'!U409</f>
        <v>-0.93288969775350483</v>
      </c>
      <c r="L408" s="593">
        <f>'Database MK'!V409</f>
        <v>2537</v>
      </c>
      <c r="M408" s="593">
        <f>'Database MK'!W409</f>
        <v>0</v>
      </c>
      <c r="N408" s="593">
        <f>Table3[[#This Row],[Total Panjang Pipa Aktual]]-Table3[[#This Row],[Volume
BA MC-0]]</f>
        <v>-2537</v>
      </c>
      <c r="O408" s="7" t="str">
        <f ca="1">'Database MK'!DE409</f>
        <v>Sudah, OnSchedule</v>
      </c>
      <c r="P408" s="7" t="str">
        <f ca="1">'Database MK'!DI409</f>
        <v>Sudah, OnSchedule</v>
      </c>
      <c r="Q408" s="7" t="str">
        <f ca="1">'Database MK'!DN409</f>
        <v>Sudah, Delay</v>
      </c>
      <c r="R408" s="7" t="str">
        <f ca="1">'Database MK'!DR409</f>
        <v>Sudah, Delay</v>
      </c>
      <c r="S408" s="7" t="str">
        <f ca="1">'Database MK'!EA409</f>
        <v>Sudah, Delay</v>
      </c>
      <c r="T408" s="7" t="str">
        <f ca="1">'Database MK'!EI409</f>
        <v>Belum, Delay</v>
      </c>
      <c r="U408" s="7" t="str">
        <f ca="1">'Database MK'!ET409</f>
        <v>Belum, Delay</v>
      </c>
      <c r="V408" s="7" t="str">
        <f ca="1">'Database MK'!GA409</f>
        <v>Sudah, Delay</v>
      </c>
      <c r="W408" s="7" t="str">
        <f ca="1">'Database MK'!GD409</f>
        <v>Sudah, Delay</v>
      </c>
      <c r="X408" s="7" t="str">
        <f ca="1">'Database MK'!GG409</f>
        <v>Sudah, Delay</v>
      </c>
      <c r="Y408" s="7" t="str">
        <f ca="1">'Database MK'!GK409</f>
        <v>Sudah, Delay</v>
      </c>
      <c r="Z408" s="7" t="str">
        <f ca="1">'Database MK'!HH409</f>
        <v>Belum, Delay</v>
      </c>
      <c r="AA408" s="7" t="str">
        <f ca="1">'Database MK'!HQ409</f>
        <v>Belum, OnSchedule</v>
      </c>
      <c r="AB408" s="7" t="str">
        <f ca="1">'Database MK'!HW409</f>
        <v>Belum, OnSchedule</v>
      </c>
      <c r="AC408" s="7">
        <f>'Database MK'!DA409-'Database MK'!DB409</f>
        <v>33</v>
      </c>
      <c r="AD408" s="7">
        <f>'Database MK'!DA409-'Database MK'!DF409</f>
        <v>12</v>
      </c>
      <c r="AE408" s="7">
        <f>'Database MK'!DK409-'Database MK'!DL409</f>
        <v>-2</v>
      </c>
      <c r="AF408" s="7">
        <f>'Database MK'!DK409-'Database MK'!DO409</f>
        <v>-38</v>
      </c>
      <c r="AG408" s="7">
        <f>'Database MK'!DU409-'Database MK'!DW409</f>
        <v>-23</v>
      </c>
      <c r="AH408" s="7" t="str">
        <f>IF('Database MK'!EB409="","Belum",'Database MK'!DU409-'Database MK'!EB409)</f>
        <v>Belum</v>
      </c>
      <c r="AI408" s="7" t="str">
        <f>IF('Database MK'!EN409="","Belum",'Database MK'!EL409-'Database MK'!EN409)</f>
        <v>Belum</v>
      </c>
      <c r="AJ408" s="7">
        <f>'Database MK'!FY409-'Database MK'!FZ409</f>
        <v>-16</v>
      </c>
      <c r="AK408" s="7">
        <f>IF('Database MK'!GC409="","Belum",'Database MK'!GB409-'Database MK'!GC409)</f>
        <v>-65</v>
      </c>
      <c r="AL408" s="7">
        <f>IF('Database MK'!GF409="","Belum",'Database MK'!GE409-'Database MK'!GF409)</f>
        <v>-58</v>
      </c>
      <c r="AM408" s="309">
        <f>IF('Database MK'!GJ409="","Belum",'Database MK'!GI409-'Database MK'!GJ409)</f>
        <v>-61</v>
      </c>
      <c r="AN408" s="7" t="str">
        <f>IF('Database MK'!HG409="","Belum",'Database MK'!HF409-'Database MK'!HG409)</f>
        <v>Belum</v>
      </c>
      <c r="AO408" s="7" t="str">
        <f>IF('Database MK'!HP409="","Belum",'Database MK'!HN409-'Database MK'!HP409)</f>
        <v>Belum</v>
      </c>
      <c r="AP408" s="7" t="str">
        <f>IF('Database MK'!HV409="","Belum",'Database MK'!HT409-'Database MK'!HV409)</f>
        <v>Belum</v>
      </c>
    </row>
    <row r="409" spans="2:42" hidden="1" x14ac:dyDescent="0.2">
      <c r="B409" s="7">
        <f>SUBTOTAL(3,$C$4:C409)</f>
        <v>74</v>
      </c>
      <c r="C409" s="299" t="s">
        <v>673</v>
      </c>
      <c r="D409" s="4" t="s">
        <v>3231</v>
      </c>
      <c r="E409" s="4" t="s">
        <v>3232</v>
      </c>
      <c r="F409" s="300">
        <v>46296</v>
      </c>
      <c r="G409" s="4" t="s">
        <v>681</v>
      </c>
      <c r="H409" s="4" t="str">
        <f ca="1">'Database MK'!Q410</f>
        <v>MC-0</v>
      </c>
      <c r="I409" s="24">
        <f>'Database MK'!S410</f>
        <v>1</v>
      </c>
      <c r="J409" s="24">
        <f>'Database MK'!T410</f>
        <v>4.7137621610179044E-2</v>
      </c>
      <c r="K409" s="603">
        <f>'Database MK'!U410</f>
        <v>-0.95286237838982091</v>
      </c>
      <c r="L409" s="593">
        <f>'Database MK'!V410</f>
        <v>200</v>
      </c>
      <c r="M409" s="593">
        <f>'Database MK'!W410</f>
        <v>0</v>
      </c>
      <c r="N409" s="593">
        <f>Table3[[#This Row],[Total Panjang Pipa Aktual]]-Table3[[#This Row],[Volume
BA MC-0]]</f>
        <v>-200</v>
      </c>
      <c r="O409" s="7" t="str">
        <f ca="1">'Database MK'!DE410</f>
        <v>Sudah, OnSchedule</v>
      </c>
      <c r="P409" s="7" t="str">
        <f ca="1">'Database MK'!DI410</f>
        <v>Sudah, Delay</v>
      </c>
      <c r="Q409" s="7" t="str">
        <f ca="1">'Database MK'!DN410</f>
        <v>Sudah, Delay</v>
      </c>
      <c r="R409" s="7" t="str">
        <f ca="1">'Database MK'!DR410</f>
        <v>Sudah, Delay</v>
      </c>
      <c r="S409" s="7" t="str">
        <f ca="1">'Database MK'!EA410</f>
        <v>Sudah, Delay</v>
      </c>
      <c r="T409" s="7" t="str">
        <f ca="1">'Database MK'!EI410</f>
        <v>Belum, Delay</v>
      </c>
      <c r="U409" s="7" t="str">
        <f ca="1">'Database MK'!ET410</f>
        <v>Belum, Delay</v>
      </c>
      <c r="V409" s="7" t="str">
        <f ca="1">'Database MK'!GA410</f>
        <v>Sudah, Delay</v>
      </c>
      <c r="W409" s="7" t="str">
        <f ca="1">'Database MK'!GD410</f>
        <v>Sudah, Delay</v>
      </c>
      <c r="X409" s="7" t="str">
        <f ca="1">'Database MK'!GG410</f>
        <v>Sudah, Delay</v>
      </c>
      <c r="Y409" s="7" t="str">
        <f ca="1">'Database MK'!GK410</f>
        <v>Sudah, Delay</v>
      </c>
      <c r="Z409" s="7" t="str">
        <f ca="1">'Database MK'!HH410</f>
        <v>Belum, Delay</v>
      </c>
      <c r="AA409" s="7" t="str">
        <f ca="1">'Database MK'!HQ410</f>
        <v>Belum, Delay</v>
      </c>
      <c r="AB409" s="7" t="str">
        <f ca="1">'Database MK'!HW410</f>
        <v>Belum, Delay</v>
      </c>
      <c r="AC409" s="7">
        <f>'Database MK'!DA410-'Database MK'!DB410</f>
        <v>33</v>
      </c>
      <c r="AD409" s="7">
        <f>'Database MK'!DA410-'Database MK'!DF410</f>
        <v>-58</v>
      </c>
      <c r="AE409" s="7">
        <f>'Database MK'!DK410-'Database MK'!DL410</f>
        <v>-12</v>
      </c>
      <c r="AF409" s="7">
        <f>'Database MK'!DK410-'Database MK'!DO410</f>
        <v>-40</v>
      </c>
      <c r="AG409" s="7">
        <f>'Database MK'!DU410-'Database MK'!DW410</f>
        <v>-33</v>
      </c>
      <c r="AH409" s="7" t="str">
        <f>IF('Database MK'!EB410="","Belum",'Database MK'!DU410-'Database MK'!EB410)</f>
        <v>Belum</v>
      </c>
      <c r="AI409" s="7" t="str">
        <f>IF('Database MK'!EN410="","Belum",'Database MK'!EL410-'Database MK'!EN410)</f>
        <v>Belum</v>
      </c>
      <c r="AJ409" s="7">
        <f>'Database MK'!FY410-'Database MK'!FZ410</f>
        <v>-16</v>
      </c>
      <c r="AK409" s="7">
        <f>IF('Database MK'!GC410="","Belum",'Database MK'!GB410-'Database MK'!GC410)</f>
        <v>-64</v>
      </c>
      <c r="AL409" s="7">
        <f>IF('Database MK'!GF410="","Belum",'Database MK'!GE410-'Database MK'!GF410)</f>
        <v>-57</v>
      </c>
      <c r="AM409" s="309">
        <f>IF('Database MK'!GJ410="","Belum",'Database MK'!GI410-'Database MK'!GJ410)</f>
        <v>-58</v>
      </c>
      <c r="AN409" s="7" t="str">
        <f>IF('Database MK'!HG410="","Belum",'Database MK'!HF410-'Database MK'!HG410)</f>
        <v>Belum</v>
      </c>
      <c r="AO409" s="7" t="str">
        <f>IF('Database MK'!HP410="","Belum",'Database MK'!HN410-'Database MK'!HP410)</f>
        <v>Belum</v>
      </c>
      <c r="AP409" s="7" t="str">
        <f>IF('Database MK'!HV410="","Belum",'Database MK'!HT410-'Database MK'!HV410)</f>
        <v>Belum</v>
      </c>
    </row>
    <row r="410" spans="2:42" hidden="1" x14ac:dyDescent="0.2">
      <c r="B410" s="7">
        <f>SUBTOTAL(3,$C$4:C410)</f>
        <v>74</v>
      </c>
      <c r="C410" s="299" t="s">
        <v>673</v>
      </c>
      <c r="D410" s="4" t="s">
        <v>3238</v>
      </c>
      <c r="E410" s="4" t="s">
        <v>3239</v>
      </c>
      <c r="F410" s="300">
        <v>46296</v>
      </c>
      <c r="G410" s="4" t="s">
        <v>681</v>
      </c>
      <c r="H410" s="4" t="str">
        <f ca="1">'Database MK'!Q411</f>
        <v>MC-0</v>
      </c>
      <c r="I410" s="24">
        <f>'Database MK'!S411</f>
        <v>1.0000000000000002</v>
      </c>
      <c r="J410" s="24">
        <f>'Database MK'!T411</f>
        <v>7.0040116318261833E-2</v>
      </c>
      <c r="K410" s="603">
        <f>'Database MK'!U411</f>
        <v>-0.92995988368173843</v>
      </c>
      <c r="L410" s="593">
        <f>'Database MK'!V411</f>
        <v>45</v>
      </c>
      <c r="M410" s="593">
        <f>'Database MK'!W411</f>
        <v>0</v>
      </c>
      <c r="N410" s="593">
        <f>Table3[[#This Row],[Total Panjang Pipa Aktual]]-Table3[[#This Row],[Volume
BA MC-0]]</f>
        <v>-45</v>
      </c>
      <c r="O410" s="7" t="str">
        <f ca="1">'Database MK'!DE411</f>
        <v>Sudah, OnSchedule</v>
      </c>
      <c r="P410" s="7" t="str">
        <f ca="1">'Database MK'!DI411</f>
        <v>Sudah, OnSchedule</v>
      </c>
      <c r="Q410" s="7" t="str">
        <f ca="1">'Database MK'!DN411</f>
        <v>Sudah, OnSchedule</v>
      </c>
      <c r="R410" s="7" t="str">
        <f ca="1">'Database MK'!DR411</f>
        <v>Sudah, Delay</v>
      </c>
      <c r="S410" s="7" t="str">
        <f ca="1">'Database MK'!EA411</f>
        <v>Sudah, OnSchedule</v>
      </c>
      <c r="T410" s="7" t="str">
        <f ca="1">'Database MK'!EI411</f>
        <v>Belum, Delay</v>
      </c>
      <c r="U410" s="7" t="str">
        <f ca="1">'Database MK'!ET411</f>
        <v>Belum, Delay</v>
      </c>
      <c r="V410" s="7" t="str">
        <f ca="1">'Database MK'!GA411</f>
        <v>Sudah, Delay</v>
      </c>
      <c r="W410" s="7" t="str">
        <f ca="1">'Database MK'!GD411</f>
        <v>Sudah, Delay</v>
      </c>
      <c r="X410" s="7" t="str">
        <f ca="1">'Database MK'!GG411</f>
        <v>Sudah, Delay</v>
      </c>
      <c r="Y410" s="7" t="str">
        <f ca="1">'Database MK'!GK411</f>
        <v>Sudah, Delay</v>
      </c>
      <c r="Z410" s="7" t="str">
        <f ca="1">'Database MK'!HH411</f>
        <v>Belum, Delay</v>
      </c>
      <c r="AA410" s="7" t="str">
        <f ca="1">'Database MK'!HQ411</f>
        <v>Belum, Delay</v>
      </c>
      <c r="AB410" s="7" t="str">
        <f ca="1">'Database MK'!HW411</f>
        <v>Belum, Delay</v>
      </c>
      <c r="AC410" s="7">
        <f>'Database MK'!DA411-'Database MK'!DB411</f>
        <v>33</v>
      </c>
      <c r="AD410" s="7">
        <f>'Database MK'!DA411-'Database MK'!DF411</f>
        <v>12</v>
      </c>
      <c r="AE410" s="7">
        <f>'Database MK'!DK411-'Database MK'!DL411</f>
        <v>52</v>
      </c>
      <c r="AF410" s="7">
        <f>'Database MK'!DK411-'Database MK'!DO411</f>
        <v>-38</v>
      </c>
      <c r="AG410" s="7">
        <f>'Database MK'!DU411-'Database MK'!DW411</f>
        <v>17</v>
      </c>
      <c r="AH410" s="7" t="str">
        <f>IF('Database MK'!EB411="","Belum",'Database MK'!DU411-'Database MK'!EB411)</f>
        <v>Belum</v>
      </c>
      <c r="AI410" s="7" t="str">
        <f>IF('Database MK'!EN411="","Belum",'Database MK'!EL411-'Database MK'!EN411)</f>
        <v>Belum</v>
      </c>
      <c r="AJ410" s="7">
        <f>'Database MK'!FY411-'Database MK'!FZ411</f>
        <v>-16</v>
      </c>
      <c r="AK410" s="7">
        <f>IF('Database MK'!GC411="","Belum",'Database MK'!GB411-'Database MK'!GC411)</f>
        <v>-65</v>
      </c>
      <c r="AL410" s="7">
        <f>IF('Database MK'!GF411="","Belum",'Database MK'!GE411-'Database MK'!GF411)</f>
        <v>-58</v>
      </c>
      <c r="AM410" s="309">
        <f>IF('Database MK'!GJ411="","Belum",'Database MK'!GI411-'Database MK'!GJ411)</f>
        <v>-61</v>
      </c>
      <c r="AN410" s="7" t="str">
        <f>IF('Database MK'!HG411="","Belum",'Database MK'!HF411-'Database MK'!HG411)</f>
        <v>Belum</v>
      </c>
      <c r="AO410" s="7" t="str">
        <f>IF('Database MK'!HP411="","Belum",'Database MK'!HN411-'Database MK'!HP411)</f>
        <v>Belum</v>
      </c>
      <c r="AP410" s="7" t="str">
        <f>IF('Database MK'!HV411="","Belum",'Database MK'!HT411-'Database MK'!HV411)</f>
        <v>Belum</v>
      </c>
    </row>
    <row r="411" spans="2:42" hidden="1" x14ac:dyDescent="0.2">
      <c r="B411" s="7">
        <f>SUBTOTAL(3,$C$4:C411)</f>
        <v>74</v>
      </c>
      <c r="C411" s="299" t="s">
        <v>673</v>
      </c>
      <c r="D411" s="4" t="s">
        <v>3245</v>
      </c>
      <c r="E411" s="4" t="s">
        <v>3246</v>
      </c>
      <c r="F411" s="300">
        <v>46296</v>
      </c>
      <c r="G411" s="4" t="s">
        <v>681</v>
      </c>
      <c r="H411" s="4" t="str">
        <f ca="1">'Database MK'!Q412</f>
        <v>MC-0</v>
      </c>
      <c r="I411" s="24">
        <f>'Database MK'!S412</f>
        <v>0.99999999999999989</v>
      </c>
      <c r="J411" s="24">
        <f>'Database MK'!T412</f>
        <v>6.4726640330908455E-2</v>
      </c>
      <c r="K411" s="603">
        <f>'Database MK'!U412</f>
        <v>-0.93527335966909142</v>
      </c>
      <c r="L411" s="593">
        <f>'Database MK'!V412</f>
        <v>40</v>
      </c>
      <c r="M411" s="593">
        <f>'Database MK'!W412</f>
        <v>0</v>
      </c>
      <c r="N411" s="593">
        <f>Table3[[#This Row],[Total Panjang Pipa Aktual]]-Table3[[#This Row],[Volume
BA MC-0]]</f>
        <v>-40</v>
      </c>
      <c r="O411" s="7" t="str">
        <f ca="1">'Database MK'!DE412</f>
        <v>Sudah, OnSchedule</v>
      </c>
      <c r="P411" s="7" t="str">
        <f ca="1">'Database MK'!DI412</f>
        <v>Sudah, OnSchedule</v>
      </c>
      <c r="Q411" s="7" t="str">
        <f ca="1">'Database MK'!DN412</f>
        <v>Sudah, OnSchedule</v>
      </c>
      <c r="R411" s="7" t="str">
        <f ca="1">'Database MK'!DR412</f>
        <v>Sudah, Delay</v>
      </c>
      <c r="S411" s="7" t="str">
        <f ca="1">'Database MK'!EA412</f>
        <v>Sudah, OnSchedule</v>
      </c>
      <c r="T411" s="7" t="str">
        <f ca="1">'Database MK'!EI412</f>
        <v>Belum, Delay</v>
      </c>
      <c r="U411" s="7" t="str">
        <f ca="1">'Database MK'!ET412</f>
        <v>Belum, Delay</v>
      </c>
      <c r="V411" s="7" t="str">
        <f ca="1">'Database MK'!GA412</f>
        <v>Sudah, Delay</v>
      </c>
      <c r="W411" s="7" t="str">
        <f ca="1">'Database MK'!GD412</f>
        <v>Sudah, Delay</v>
      </c>
      <c r="X411" s="7" t="str">
        <f ca="1">'Database MK'!GG412</f>
        <v>Sudah, Delay</v>
      </c>
      <c r="Y411" s="7" t="str">
        <f ca="1">'Database MK'!GK412</f>
        <v>Sudah, Delay</v>
      </c>
      <c r="Z411" s="7" t="str">
        <f ca="1">'Database MK'!HH412</f>
        <v>Belum, Delay</v>
      </c>
      <c r="AA411" s="7" t="str">
        <f ca="1">'Database MK'!HQ412</f>
        <v>Belum, Delay</v>
      </c>
      <c r="AB411" s="7" t="str">
        <f ca="1">'Database MK'!HW412</f>
        <v>Belum, Delay</v>
      </c>
      <c r="AC411" s="7">
        <f>'Database MK'!DA412-'Database MK'!DB412</f>
        <v>33</v>
      </c>
      <c r="AD411" s="7">
        <f>'Database MK'!DA412-'Database MK'!DF412</f>
        <v>12</v>
      </c>
      <c r="AE411" s="7">
        <f>'Database MK'!DK412-'Database MK'!DL412</f>
        <v>52</v>
      </c>
      <c r="AF411" s="7">
        <f>'Database MK'!DK412-'Database MK'!DO412</f>
        <v>-38</v>
      </c>
      <c r="AG411" s="7">
        <f>'Database MK'!DU412-'Database MK'!DW412</f>
        <v>17</v>
      </c>
      <c r="AH411" s="7" t="str">
        <f>IF('Database MK'!EB412="","Belum",'Database MK'!DU412-'Database MK'!EB412)</f>
        <v>Belum</v>
      </c>
      <c r="AI411" s="7" t="str">
        <f>IF('Database MK'!EN412="","Belum",'Database MK'!EL412-'Database MK'!EN412)</f>
        <v>Belum</v>
      </c>
      <c r="AJ411" s="7">
        <f>'Database MK'!FY412-'Database MK'!FZ412</f>
        <v>-16</v>
      </c>
      <c r="AK411" s="7">
        <f>IF('Database MK'!GC412="","Belum",'Database MK'!GB412-'Database MK'!GC412)</f>
        <v>-65</v>
      </c>
      <c r="AL411" s="7">
        <f>IF('Database MK'!GF412="","Belum",'Database MK'!GE412-'Database MK'!GF412)</f>
        <v>-58</v>
      </c>
      <c r="AM411" s="309">
        <f>IF('Database MK'!GJ412="","Belum",'Database MK'!GI412-'Database MK'!GJ412)</f>
        <v>-61</v>
      </c>
      <c r="AN411" s="7" t="str">
        <f>IF('Database MK'!HG412="","Belum",'Database MK'!HF412-'Database MK'!HG412)</f>
        <v>Belum</v>
      </c>
      <c r="AO411" s="7" t="str">
        <f>IF('Database MK'!HP412="","Belum",'Database MK'!HN412-'Database MK'!HP412)</f>
        <v>Belum</v>
      </c>
      <c r="AP411" s="7" t="str">
        <f>IF('Database MK'!HV412="","Belum",'Database MK'!HT412-'Database MK'!HV412)</f>
        <v>Belum</v>
      </c>
    </row>
    <row r="412" spans="2:42" hidden="1" x14ac:dyDescent="0.2">
      <c r="B412" s="7">
        <f>SUBTOTAL(3,$C$4:C412)</f>
        <v>74</v>
      </c>
      <c r="C412" s="299" t="s">
        <v>673</v>
      </c>
      <c r="D412" s="4" t="s">
        <v>3252</v>
      </c>
      <c r="E412" s="4" t="s">
        <v>3253</v>
      </c>
      <c r="F412" s="300">
        <v>46296</v>
      </c>
      <c r="G412" s="4" t="s">
        <v>681</v>
      </c>
      <c r="H412" s="4" t="str">
        <f ca="1">'Database MK'!Q413</f>
        <v>MC-0</v>
      </c>
      <c r="I412" s="24">
        <f>'Database MK'!S413</f>
        <v>1</v>
      </c>
      <c r="J412" s="24">
        <f>'Database MK'!T413</f>
        <v>4.1940195174131965E-2</v>
      </c>
      <c r="K412" s="603">
        <f>'Database MK'!U413</f>
        <v>-0.95805980482586806</v>
      </c>
      <c r="L412" s="593">
        <f>'Database MK'!V413</f>
        <v>125</v>
      </c>
      <c r="M412" s="593">
        <f>'Database MK'!W413</f>
        <v>0</v>
      </c>
      <c r="N412" s="593">
        <f>Table3[[#This Row],[Total Panjang Pipa Aktual]]-Table3[[#This Row],[Volume
BA MC-0]]</f>
        <v>-125</v>
      </c>
      <c r="O412" s="7" t="str">
        <f ca="1">'Database MK'!DE413</f>
        <v>Sudah, OnSchedule</v>
      </c>
      <c r="P412" s="7" t="str">
        <f ca="1">'Database MK'!DI413</f>
        <v>Sudah, OnSchedule</v>
      </c>
      <c r="Q412" s="7" t="str">
        <f ca="1">'Database MK'!DN413</f>
        <v>Sudah, OnSchedule</v>
      </c>
      <c r="R412" s="7" t="str">
        <f ca="1">'Database MK'!DR413</f>
        <v>Sudah, Delay</v>
      </c>
      <c r="S412" s="7" t="str">
        <f ca="1">'Database MK'!EA413</f>
        <v>Sudah, OnSchedule</v>
      </c>
      <c r="T412" s="7" t="str">
        <f ca="1">'Database MK'!EI413</f>
        <v>Belum, Delay</v>
      </c>
      <c r="U412" s="7" t="str">
        <f ca="1">'Database MK'!ET413</f>
        <v>Belum, Delay</v>
      </c>
      <c r="V412" s="7" t="str">
        <f ca="1">'Database MK'!GA413</f>
        <v>Sudah, Delay</v>
      </c>
      <c r="W412" s="7" t="str">
        <f ca="1">'Database MK'!GD413</f>
        <v>Sudah, Delay</v>
      </c>
      <c r="X412" s="7" t="str">
        <f ca="1">'Database MK'!GG413</f>
        <v>Sudah, Delay</v>
      </c>
      <c r="Y412" s="7" t="str">
        <f ca="1">'Database MK'!GK413</f>
        <v>Sudah, Delay</v>
      </c>
      <c r="Z412" s="7" t="str">
        <f ca="1">'Database MK'!HH413</f>
        <v>Belum, Delay</v>
      </c>
      <c r="AA412" s="7" t="str">
        <f ca="1">'Database MK'!HQ413</f>
        <v>Belum, Delay</v>
      </c>
      <c r="AB412" s="7" t="str">
        <f ca="1">'Database MK'!HW413</f>
        <v>Belum, Delay</v>
      </c>
      <c r="AC412" s="7">
        <f>'Database MK'!DA413-'Database MK'!DB413</f>
        <v>33</v>
      </c>
      <c r="AD412" s="7">
        <f>'Database MK'!DA413-'Database MK'!DF413</f>
        <v>12</v>
      </c>
      <c r="AE412" s="7">
        <f>'Database MK'!DK413-'Database MK'!DL413</f>
        <v>52</v>
      </c>
      <c r="AF412" s="7">
        <f>'Database MK'!DK413-'Database MK'!DO413</f>
        <v>-36</v>
      </c>
      <c r="AG412" s="7">
        <f>'Database MK'!DU413-'Database MK'!DW413</f>
        <v>31</v>
      </c>
      <c r="AH412" s="7" t="str">
        <f>IF('Database MK'!EB413="","Belum",'Database MK'!DU413-'Database MK'!EB413)</f>
        <v>Belum</v>
      </c>
      <c r="AI412" s="7" t="str">
        <f>IF('Database MK'!EN413="","Belum",'Database MK'!EL413-'Database MK'!EN413)</f>
        <v>Belum</v>
      </c>
      <c r="AJ412" s="7">
        <f>'Database MK'!FY413-'Database MK'!FZ413</f>
        <v>-16</v>
      </c>
      <c r="AK412" s="7">
        <f>IF('Database MK'!GC413="","Belum",'Database MK'!GB413-'Database MK'!GC413)</f>
        <v>-64</v>
      </c>
      <c r="AL412" s="7">
        <f>IF('Database MK'!GF413="","Belum",'Database MK'!GE413-'Database MK'!GF413)</f>
        <v>-57</v>
      </c>
      <c r="AM412" s="309">
        <f>IF('Database MK'!GJ413="","Belum",'Database MK'!GI413-'Database MK'!GJ413)</f>
        <v>-52</v>
      </c>
      <c r="AN412" s="7" t="str">
        <f>IF('Database MK'!HG413="","Belum",'Database MK'!HF413-'Database MK'!HG413)</f>
        <v>Belum</v>
      </c>
      <c r="AO412" s="7" t="str">
        <f>IF('Database MK'!HP413="","Belum",'Database MK'!HN413-'Database MK'!HP413)</f>
        <v>Belum</v>
      </c>
      <c r="AP412" s="7" t="str">
        <f>IF('Database MK'!HV413="","Belum",'Database MK'!HT413-'Database MK'!HV413)</f>
        <v>Belum</v>
      </c>
    </row>
    <row r="413" spans="2:42" hidden="1" x14ac:dyDescent="0.2">
      <c r="B413" s="7">
        <f>SUBTOTAL(3,$C$4:C413)</f>
        <v>74</v>
      </c>
      <c r="C413" s="299" t="s">
        <v>673</v>
      </c>
      <c r="D413" s="4" t="s">
        <v>3259</v>
      </c>
      <c r="E413" s="4" t="s">
        <v>3260</v>
      </c>
      <c r="F413" s="300">
        <v>46296</v>
      </c>
      <c r="G413" s="4" t="s">
        <v>681</v>
      </c>
      <c r="H413" s="4" t="str">
        <f ca="1">'Database MK'!Q414</f>
        <v>MC-0</v>
      </c>
      <c r="I413" s="24">
        <f>'Database MK'!S414</f>
        <v>1.0000000000000002</v>
      </c>
      <c r="J413" s="24">
        <f>'Database MK'!T414</f>
        <v>7.5533980138542248E-2</v>
      </c>
      <c r="K413" s="603">
        <f>'Database MK'!U414</f>
        <v>-0.92446601986145793</v>
      </c>
      <c r="L413" s="593">
        <f>'Database MK'!V414</f>
        <v>24</v>
      </c>
      <c r="M413" s="593">
        <f>'Database MK'!W414</f>
        <v>0</v>
      </c>
      <c r="N413" s="593">
        <f>Table3[[#This Row],[Total Panjang Pipa Aktual]]-Table3[[#This Row],[Volume
BA MC-0]]</f>
        <v>-24</v>
      </c>
      <c r="O413" s="7" t="str">
        <f ca="1">'Database MK'!DE414</f>
        <v>Sudah, OnSchedule</v>
      </c>
      <c r="P413" s="7" t="str">
        <f ca="1">'Database MK'!DI414</f>
        <v>Sudah, OnSchedule</v>
      </c>
      <c r="Q413" s="7" t="str">
        <f ca="1">'Database MK'!DN414</f>
        <v>Sudah, OnSchedule</v>
      </c>
      <c r="R413" s="7" t="str">
        <f ca="1">'Database MK'!DR414</f>
        <v>Sudah, Delay</v>
      </c>
      <c r="S413" s="7" t="str">
        <f ca="1">'Database MK'!EA414</f>
        <v>Sudah, OnSchedule</v>
      </c>
      <c r="T413" s="7" t="str">
        <f ca="1">'Database MK'!EI414</f>
        <v>Belum, Delay</v>
      </c>
      <c r="U413" s="7" t="str">
        <f ca="1">'Database MK'!ET414</f>
        <v>Belum, Delay</v>
      </c>
      <c r="V413" s="7" t="str">
        <f ca="1">'Database MK'!GA414</f>
        <v>Sudah, Delay</v>
      </c>
      <c r="W413" s="7" t="str">
        <f ca="1">'Database MK'!GD414</f>
        <v>Sudah, Delay</v>
      </c>
      <c r="X413" s="7" t="str">
        <f ca="1">'Database MK'!GG414</f>
        <v>Sudah, Delay</v>
      </c>
      <c r="Y413" s="7" t="str">
        <f ca="1">'Database MK'!GK414</f>
        <v>Sudah, Delay</v>
      </c>
      <c r="Z413" s="7" t="str">
        <f ca="1">'Database MK'!HH414</f>
        <v>Belum, Delay</v>
      </c>
      <c r="AA413" s="7" t="str">
        <f ca="1">'Database MK'!HQ414</f>
        <v>Belum, Delay</v>
      </c>
      <c r="AB413" s="7" t="str">
        <f ca="1">'Database MK'!HW414</f>
        <v>Belum, Delay</v>
      </c>
      <c r="AC413" s="7">
        <f>'Database MK'!DA414-'Database MK'!DB414</f>
        <v>33</v>
      </c>
      <c r="AD413" s="7">
        <f>'Database MK'!DA414-'Database MK'!DF414</f>
        <v>12</v>
      </c>
      <c r="AE413" s="7">
        <f>'Database MK'!DK414-'Database MK'!DL414</f>
        <v>52</v>
      </c>
      <c r="AF413" s="7">
        <f>'Database MK'!DK414-'Database MK'!DO414</f>
        <v>-39</v>
      </c>
      <c r="AG413" s="7">
        <f>'Database MK'!DU414-'Database MK'!DW414</f>
        <v>31</v>
      </c>
      <c r="AH413" s="7" t="str">
        <f>IF('Database MK'!EB414="","Belum",'Database MK'!DU414-'Database MK'!EB414)</f>
        <v>Belum</v>
      </c>
      <c r="AI413" s="7" t="str">
        <f>IF('Database MK'!EN414="","Belum",'Database MK'!EL414-'Database MK'!EN414)</f>
        <v>Belum</v>
      </c>
      <c r="AJ413" s="7">
        <f>'Database MK'!FY414-'Database MK'!FZ414</f>
        <v>-16</v>
      </c>
      <c r="AK413" s="7">
        <f>IF('Database MK'!GC414="","Belum",'Database MK'!GB414-'Database MK'!GC414)</f>
        <v>-64</v>
      </c>
      <c r="AL413" s="7">
        <f>IF('Database MK'!GF414="","Belum",'Database MK'!GE414-'Database MK'!GF414)</f>
        <v>-57</v>
      </c>
      <c r="AM413" s="309">
        <f>IF('Database MK'!GJ414="","Belum",'Database MK'!GI414-'Database MK'!GJ414)</f>
        <v>-58</v>
      </c>
      <c r="AN413" s="7" t="str">
        <f>IF('Database MK'!HG414="","Belum",'Database MK'!HF414-'Database MK'!HG414)</f>
        <v>Belum</v>
      </c>
      <c r="AO413" s="7" t="str">
        <f>IF('Database MK'!HP414="","Belum",'Database MK'!HN414-'Database MK'!HP414)</f>
        <v>Belum</v>
      </c>
      <c r="AP413" s="7" t="str">
        <f>IF('Database MK'!HV414="","Belum",'Database MK'!HT414-'Database MK'!HV414)</f>
        <v>Belum</v>
      </c>
    </row>
    <row r="414" spans="2:42" hidden="1" x14ac:dyDescent="0.2">
      <c r="B414" s="7">
        <f>SUBTOTAL(3,$C$4:C414)</f>
        <v>74</v>
      </c>
      <c r="C414" s="299" t="s">
        <v>673</v>
      </c>
      <c r="D414" s="4" t="s">
        <v>3266</v>
      </c>
      <c r="E414" s="4" t="s">
        <v>3267</v>
      </c>
      <c r="F414" s="300">
        <v>46296</v>
      </c>
      <c r="G414" s="4" t="s">
        <v>681</v>
      </c>
      <c r="H414" s="4" t="str">
        <f ca="1">'Database MK'!Q415</f>
        <v>MC-0</v>
      </c>
      <c r="I414" s="24">
        <f>'Database MK'!S415</f>
        <v>1.0000000000000002</v>
      </c>
      <c r="J414" s="24">
        <f>'Database MK'!T415</f>
        <v>8.3643828111728685E-2</v>
      </c>
      <c r="K414" s="603">
        <f>'Database MK'!U415</f>
        <v>-0.91635617188827156</v>
      </c>
      <c r="L414" s="593">
        <f>'Database MK'!V415</f>
        <v>944</v>
      </c>
      <c r="M414" s="593">
        <f>'Database MK'!W415</f>
        <v>0</v>
      </c>
      <c r="N414" s="593">
        <f>Table3[[#This Row],[Total Panjang Pipa Aktual]]-Table3[[#This Row],[Volume
BA MC-0]]</f>
        <v>-944</v>
      </c>
      <c r="O414" s="7" t="str">
        <f ca="1">'Database MK'!DE415</f>
        <v>Sudah, OnSchedule</v>
      </c>
      <c r="P414" s="7" t="str">
        <f ca="1">'Database MK'!DI415</f>
        <v>Sudah, Delay</v>
      </c>
      <c r="Q414" s="7" t="str">
        <f ca="1">'Database MK'!DN415</f>
        <v>Sudah, OnSchedule</v>
      </c>
      <c r="R414" s="7" t="str">
        <f ca="1">'Database MK'!DR415</f>
        <v>Sudah, Delay</v>
      </c>
      <c r="S414" s="7" t="str">
        <f ca="1">'Database MK'!EA415</f>
        <v>Sudah, OnSchedule</v>
      </c>
      <c r="T414" s="7" t="str">
        <f ca="1">'Database MK'!EI415</f>
        <v>Belum, Delay</v>
      </c>
      <c r="U414" s="7" t="str">
        <f ca="1">'Database MK'!ET415</f>
        <v>Belum, Delay</v>
      </c>
      <c r="V414" s="7" t="str">
        <f ca="1">'Database MK'!GA415</f>
        <v>Sudah, OnSchedule</v>
      </c>
      <c r="W414" s="7" t="str">
        <f ca="1">'Database MK'!GD415</f>
        <v>Sudah, Delay</v>
      </c>
      <c r="X414" s="7" t="str">
        <f ca="1">'Database MK'!GG415</f>
        <v>Sudah, Delay</v>
      </c>
      <c r="Y414" s="7" t="str">
        <f ca="1">'Database MK'!GK415</f>
        <v>Sudah, Delay</v>
      </c>
      <c r="Z414" s="7" t="str">
        <f ca="1">'Database MK'!HH415</f>
        <v>Belum, Delay</v>
      </c>
      <c r="AA414" s="7" t="str">
        <f ca="1">'Database MK'!HQ415</f>
        <v>Belum, Delay</v>
      </c>
      <c r="AB414" s="7" t="str">
        <f ca="1">'Database MK'!HW415</f>
        <v>Belum, Delay</v>
      </c>
      <c r="AC414" s="7">
        <f>'Database MK'!DA415-'Database MK'!DB415</f>
        <v>45</v>
      </c>
      <c r="AD414" s="7">
        <f>'Database MK'!DA415-'Database MK'!DF415</f>
        <v>-30</v>
      </c>
      <c r="AE414" s="7">
        <f>'Database MK'!DK415-'Database MK'!DL415</f>
        <v>24</v>
      </c>
      <c r="AF414" s="7">
        <f>'Database MK'!DK415-'Database MK'!DO415</f>
        <v>-3</v>
      </c>
      <c r="AG414" s="7">
        <f>'Database MK'!DU415-'Database MK'!DW415</f>
        <v>2</v>
      </c>
      <c r="AH414" s="7" t="str">
        <f>IF('Database MK'!EB415="","Belum",'Database MK'!DU415-'Database MK'!EB415)</f>
        <v>Belum</v>
      </c>
      <c r="AI414" s="7" t="str">
        <f>IF('Database MK'!EN415="","Belum",'Database MK'!EL415-'Database MK'!EN415)</f>
        <v>Belum</v>
      </c>
      <c r="AJ414" s="7">
        <f>'Database MK'!FY415-'Database MK'!FZ415</f>
        <v>19</v>
      </c>
      <c r="AK414" s="7">
        <f>IF('Database MK'!GC415="","Belum",'Database MK'!GB415-'Database MK'!GC415)</f>
        <v>-30</v>
      </c>
      <c r="AL414" s="7">
        <f>IF('Database MK'!GF415="","Belum",'Database MK'!GE415-'Database MK'!GF415)</f>
        <v>-23</v>
      </c>
      <c r="AM414" s="309">
        <f>IF('Database MK'!GJ415="","Belum",'Database MK'!GI415-'Database MK'!GJ415)</f>
        <v>-26</v>
      </c>
      <c r="AN414" s="7" t="str">
        <f>IF('Database MK'!HG415="","Belum",'Database MK'!HF415-'Database MK'!HG415)</f>
        <v>Belum</v>
      </c>
      <c r="AO414" s="7" t="str">
        <f>IF('Database MK'!HP415="","Belum",'Database MK'!HN415-'Database MK'!HP415)</f>
        <v>Belum</v>
      </c>
      <c r="AP414" s="7" t="str">
        <f>IF('Database MK'!HV415="","Belum",'Database MK'!HT415-'Database MK'!HV415)</f>
        <v>Belum</v>
      </c>
    </row>
    <row r="415" spans="2:42" hidden="1" x14ac:dyDescent="0.2">
      <c r="B415" s="7">
        <f>SUBTOTAL(3,$C$4:C415)</f>
        <v>74</v>
      </c>
      <c r="C415" s="299" t="s">
        <v>673</v>
      </c>
      <c r="D415" s="4" t="s">
        <v>3273</v>
      </c>
      <c r="E415" s="4" t="s">
        <v>3274</v>
      </c>
      <c r="F415" s="300">
        <v>46296</v>
      </c>
      <c r="G415" s="4" t="s">
        <v>681</v>
      </c>
      <c r="H415" s="4" t="str">
        <f ca="1">'Database MK'!Q416</f>
        <v>MC-0</v>
      </c>
      <c r="I415" s="24">
        <f>'Database MK'!S416</f>
        <v>1</v>
      </c>
      <c r="J415" s="24">
        <f>'Database MK'!T416</f>
        <v>5.7263566708738917E-2</v>
      </c>
      <c r="K415" s="603">
        <f>'Database MK'!U416</f>
        <v>-0.94273643329126111</v>
      </c>
      <c r="L415" s="593">
        <f>'Database MK'!V416</f>
        <v>120</v>
      </c>
      <c r="M415" s="593">
        <f>'Database MK'!W416</f>
        <v>0</v>
      </c>
      <c r="N415" s="593">
        <f>Table3[[#This Row],[Total Panjang Pipa Aktual]]-Table3[[#This Row],[Volume
BA MC-0]]</f>
        <v>-120</v>
      </c>
      <c r="O415" s="7" t="str">
        <f ca="1">'Database MK'!DE416</f>
        <v>Sudah, OnSchedule</v>
      </c>
      <c r="P415" s="7" t="str">
        <f ca="1">'Database MK'!DI416</f>
        <v>Sudah, OnSchedule</v>
      </c>
      <c r="Q415" s="7" t="str">
        <f ca="1">'Database MK'!DN416</f>
        <v>Sudah, OnSchedule</v>
      </c>
      <c r="R415" s="7" t="str">
        <f ca="1">'Database MK'!DR416</f>
        <v>Sudah, Delay</v>
      </c>
      <c r="S415" s="7" t="str">
        <f ca="1">'Database MK'!EA416</f>
        <v>Sudah, OnSchedule</v>
      </c>
      <c r="T415" s="7" t="str">
        <f ca="1">'Database MK'!EI416</f>
        <v>Sudah, Delay</v>
      </c>
      <c r="U415" s="7" t="str">
        <f ca="1">'Database MK'!ET416</f>
        <v>Belum, Delay</v>
      </c>
      <c r="V415" s="7" t="str">
        <f ca="1">'Database MK'!GA416</f>
        <v>Sudah, OnSchedule</v>
      </c>
      <c r="W415" s="7" t="str">
        <f ca="1">'Database MK'!GD416</f>
        <v>Sudah, Delay</v>
      </c>
      <c r="X415" s="7" t="str">
        <f ca="1">'Database MK'!GG416</f>
        <v>Sudah, Delay</v>
      </c>
      <c r="Y415" s="7" t="str">
        <f ca="1">'Database MK'!GK416</f>
        <v>Sudah, Delay</v>
      </c>
      <c r="Z415" s="7" t="str">
        <f ca="1">'Database MK'!HH416</f>
        <v>Belum, Delay</v>
      </c>
      <c r="AA415" s="7" t="str">
        <f ca="1">'Database MK'!HQ416</f>
        <v>Belum, Delay</v>
      </c>
      <c r="AB415" s="7" t="str">
        <f ca="1">'Database MK'!HW416</f>
        <v>Belum, Delay</v>
      </c>
      <c r="AC415" s="7">
        <f>'Database MK'!DA416-'Database MK'!DB416</f>
        <v>27</v>
      </c>
      <c r="AD415" s="7">
        <f>'Database MK'!DA416-'Database MK'!DF416</f>
        <v>18</v>
      </c>
      <c r="AE415" s="7">
        <f>'Database MK'!DK416-'Database MK'!DL416</f>
        <v>39</v>
      </c>
      <c r="AF415" s="7">
        <f>'Database MK'!DK416-'Database MK'!DO416</f>
        <v>-5</v>
      </c>
      <c r="AG415" s="7">
        <f>'Database MK'!DU416-'Database MK'!DW416</f>
        <v>18</v>
      </c>
      <c r="AH415" s="7">
        <f>IF('Database MK'!EB416="","Belum",'Database MK'!DU416-'Database MK'!EB416)</f>
        <v>-68</v>
      </c>
      <c r="AI415" s="7" t="str">
        <f>IF('Database MK'!EN416="","Belum",'Database MK'!EL416-'Database MK'!EN416)</f>
        <v>Belum</v>
      </c>
      <c r="AJ415" s="7">
        <f>'Database MK'!FY416-'Database MK'!FZ416</f>
        <v>19</v>
      </c>
      <c r="AK415" s="7">
        <f>IF('Database MK'!GC416="","Belum",'Database MK'!GB416-'Database MK'!GC416)</f>
        <v>-29</v>
      </c>
      <c r="AL415" s="7">
        <f>IF('Database MK'!GF416="","Belum",'Database MK'!GE416-'Database MK'!GF416)</f>
        <v>-22</v>
      </c>
      <c r="AM415" s="309">
        <f>IF('Database MK'!GJ416="","Belum",'Database MK'!GI416-'Database MK'!GJ416)</f>
        <v>-22</v>
      </c>
      <c r="AN415" s="7" t="str">
        <f>IF('Database MK'!HG416="","Belum",'Database MK'!HF416-'Database MK'!HG416)</f>
        <v>Belum</v>
      </c>
      <c r="AO415" s="7" t="str">
        <f>IF('Database MK'!HP416="","Belum",'Database MK'!HN416-'Database MK'!HP416)</f>
        <v>Belum</v>
      </c>
      <c r="AP415" s="7" t="str">
        <f>IF('Database MK'!HV416="","Belum",'Database MK'!HT416-'Database MK'!HV416)</f>
        <v>Belum</v>
      </c>
    </row>
    <row r="416" spans="2:42" hidden="1" x14ac:dyDescent="0.2">
      <c r="B416" s="7">
        <f>SUBTOTAL(3,$C$4:C416)</f>
        <v>74</v>
      </c>
      <c r="C416" s="301" t="s">
        <v>673</v>
      </c>
      <c r="D416" s="77" t="s">
        <v>3282</v>
      </c>
      <c r="E416" s="77" t="s">
        <v>3283</v>
      </c>
      <c r="F416" s="302">
        <v>46296</v>
      </c>
      <c r="G416" s="77" t="s">
        <v>681</v>
      </c>
      <c r="H416" s="77" t="str">
        <f>'Database MK'!Q417</f>
        <v>BATAL / CANCEL</v>
      </c>
      <c r="I416" s="604">
        <f>'Database MK'!S417</f>
        <v>0.97550275320650259</v>
      </c>
      <c r="J416" s="604">
        <f>'Database MK'!T417</f>
        <v>3.404228569779516E-2</v>
      </c>
      <c r="K416" s="605">
        <f>'Database MK'!U417</f>
        <v>-0.94146046750870749</v>
      </c>
      <c r="L416" s="594">
        <f>'Database MK'!V417</f>
        <v>0</v>
      </c>
      <c r="M416" s="594">
        <f>'Database MK'!W417</f>
        <v>0</v>
      </c>
      <c r="N416" s="594">
        <f>Table3[[#This Row],[Total Panjang Pipa Aktual]]-Table3[[#This Row],[Volume
BA MC-0]]</f>
        <v>0</v>
      </c>
      <c r="O416" s="7" t="str">
        <f ca="1">'Database MK'!DE417</f>
        <v>Sudah, OnSchedule</v>
      </c>
      <c r="P416" s="7" t="str">
        <f ca="1">'Database MK'!DI417</f>
        <v>Sudah, OnSchedule</v>
      </c>
      <c r="Q416" s="7" t="str">
        <f ca="1">'Database MK'!DN417</f>
        <v>Sudah, OnSchedule</v>
      </c>
      <c r="R416" s="7" t="str">
        <f ca="1">'Database MK'!DR417</f>
        <v>Sudah, Delay</v>
      </c>
      <c r="S416" s="7" t="str">
        <f ca="1">'Database MK'!EA417</f>
        <v>Sudah, OnSchedule</v>
      </c>
      <c r="T416" s="7" t="str">
        <f ca="1">'Database MK'!EI417</f>
        <v>Belum, Delay</v>
      </c>
      <c r="U416" s="7" t="str">
        <f ca="1">'Database MK'!ET417</f>
        <v>Belum, Delay</v>
      </c>
      <c r="V416" s="7" t="str">
        <f ca="1">'Database MK'!GA417</f>
        <v>Sudah, OnSchedule</v>
      </c>
      <c r="W416" s="7" t="str">
        <f ca="1">'Database MK'!GD417</f>
        <v>Sudah, Delay</v>
      </c>
      <c r="X416" s="7" t="str">
        <f ca="1">'Database MK'!GG417</f>
        <v>Sudah, Delay</v>
      </c>
      <c r="Y416" s="7" t="str">
        <f ca="1">'Database MK'!GK417</f>
        <v>Sudah, Delay</v>
      </c>
      <c r="Z416" s="7" t="str">
        <f ca="1">'Database MK'!HH417</f>
        <v>Belum, Delay</v>
      </c>
      <c r="AA416" s="7" t="str">
        <f ca="1">'Database MK'!HQ417</f>
        <v>Belum, OnSchedule</v>
      </c>
      <c r="AB416" s="7" t="str">
        <f ca="1">'Database MK'!HW417</f>
        <v>Belum, OnSchedule</v>
      </c>
      <c r="AJ416" s="7">
        <f>'Database MK'!FY417-'Database MK'!FZ417</f>
        <v>19</v>
      </c>
    </row>
    <row r="417" spans="2:42" hidden="1" x14ac:dyDescent="0.2">
      <c r="B417" s="7">
        <f>SUBTOTAL(3,$C$4:C417)</f>
        <v>74</v>
      </c>
      <c r="C417" s="299" t="s">
        <v>673</v>
      </c>
      <c r="D417" s="4" t="s">
        <v>3288</v>
      </c>
      <c r="E417" s="4" t="s">
        <v>3289</v>
      </c>
      <c r="F417" s="300">
        <v>46296</v>
      </c>
      <c r="G417" s="4" t="s">
        <v>681</v>
      </c>
      <c r="H417" s="4" t="str">
        <f ca="1">'Database MK'!Q418</f>
        <v>Proses Konstruksi</v>
      </c>
      <c r="I417" s="24">
        <f>'Database MK'!S418</f>
        <v>1</v>
      </c>
      <c r="J417" s="24">
        <f>'Database MK'!T418</f>
        <v>0.20958863388260862</v>
      </c>
      <c r="K417" s="603">
        <f>'Database MK'!U418</f>
        <v>-0.79041136611739138</v>
      </c>
      <c r="L417" s="593">
        <f>'Database MK'!V418</f>
        <v>692</v>
      </c>
      <c r="M417" s="593">
        <f>'Database MK'!W418</f>
        <v>525</v>
      </c>
      <c r="N417" s="593">
        <f>Table3[[#This Row],[Total Panjang Pipa Aktual]]-Table3[[#This Row],[Volume
BA MC-0]]</f>
        <v>-167</v>
      </c>
      <c r="O417" s="7" t="str">
        <f ca="1">'Database MK'!DE418</f>
        <v>Sudah, OnSchedule</v>
      </c>
      <c r="P417" s="7" t="str">
        <f ca="1">'Database MK'!DI418</f>
        <v>Sudah, OnSchedule</v>
      </c>
      <c r="Q417" s="7" t="str">
        <f ca="1">'Database MK'!DN418</f>
        <v>Sudah, OnSchedule</v>
      </c>
      <c r="R417" s="7" t="str">
        <f ca="1">'Database MK'!DR418</f>
        <v>Sudah, OnSchedule</v>
      </c>
      <c r="S417" s="7" t="str">
        <f ca="1">'Database MK'!EA418</f>
        <v>Sudah, OnSchedule</v>
      </c>
      <c r="T417" s="7" t="str">
        <f ca="1">'Database MK'!EI418</f>
        <v>Belum, Delay</v>
      </c>
      <c r="U417" s="7" t="str">
        <f ca="1">'Database MK'!ET418</f>
        <v>Belum, Delay</v>
      </c>
      <c r="V417" s="7" t="str">
        <f ca="1">'Database MK'!GA418</f>
        <v>Sudah, OnSchedule</v>
      </c>
      <c r="W417" s="7" t="str">
        <f ca="1">'Database MK'!GD418</f>
        <v>Sudah, OnSchedule</v>
      </c>
      <c r="X417" s="7" t="str">
        <f ca="1">'Database MK'!GG418</f>
        <v>Sudah, OnSchedule</v>
      </c>
      <c r="Y417" s="7" t="str">
        <f ca="1">'Database MK'!GK418</f>
        <v>Sudah, Delay</v>
      </c>
      <c r="Z417" s="7" t="str">
        <f ca="1">'Database MK'!HH418</f>
        <v>Belum, Delay</v>
      </c>
      <c r="AA417" s="7" t="str">
        <f ca="1">'Database MK'!HQ418</f>
        <v>Belum, Delay</v>
      </c>
      <c r="AB417" s="7" t="str">
        <f ca="1">'Database MK'!HW418</f>
        <v>Belum, Delay</v>
      </c>
      <c r="AC417" s="7">
        <f>'Database MK'!DA418-'Database MK'!DB418</f>
        <v>40</v>
      </c>
      <c r="AD417" s="7">
        <f>'Database MK'!DA418-'Database MK'!DF418</f>
        <v>23</v>
      </c>
      <c r="AE417" s="7">
        <f>'Database MK'!DK418-'Database MK'!DL418</f>
        <v>82</v>
      </c>
      <c r="AF417" s="7">
        <f>'Database MK'!DK418-'Database MK'!DO418</f>
        <v>80</v>
      </c>
      <c r="AG417" s="7">
        <f>'Database MK'!DU418-'Database MK'!DW418</f>
        <v>61</v>
      </c>
      <c r="AH417" s="7" t="str">
        <f>IF('Database MK'!EB418="","Belum",'Database MK'!DU418-'Database MK'!EB418)</f>
        <v>Belum</v>
      </c>
      <c r="AI417" s="7" t="str">
        <f>IF('Database MK'!EN418="","Belum",'Database MK'!EL418-'Database MK'!EN418)</f>
        <v>Belum</v>
      </c>
      <c r="AJ417" s="7">
        <f>'Database MK'!FY418-'Database MK'!FZ418</f>
        <v>19</v>
      </c>
      <c r="AK417" s="7">
        <f>IF('Database MK'!GC418="","Belum",'Database MK'!GB418-'Database MK'!GC418)</f>
        <v>75</v>
      </c>
      <c r="AL417" s="7">
        <f>IF('Database MK'!GF418="","Belum",'Database MK'!GE418-'Database MK'!GF418)</f>
        <v>82</v>
      </c>
      <c r="AM417" s="309">
        <f>IF('Database MK'!GJ418="","Belum",'Database MK'!GI418-'Database MK'!GJ418)</f>
        <v>-17</v>
      </c>
      <c r="AN417" s="7" t="str">
        <f>IF('Database MK'!HG418="","Belum",'Database MK'!HF418-'Database MK'!HG418)</f>
        <v>Belum</v>
      </c>
      <c r="AO417" s="7" t="str">
        <f>IF('Database MK'!HP418="","Belum",'Database MK'!HN418-'Database MK'!HP418)</f>
        <v>Belum</v>
      </c>
      <c r="AP417" s="7" t="str">
        <f>IF('Database MK'!HV418="","Belum",'Database MK'!HT418-'Database MK'!HV418)</f>
        <v>Belum</v>
      </c>
    </row>
    <row r="418" spans="2:42" hidden="1" x14ac:dyDescent="0.2">
      <c r="B418" s="7">
        <f>SUBTOTAL(3,$C$4:C418)</f>
        <v>74</v>
      </c>
      <c r="C418" s="299" t="s">
        <v>673</v>
      </c>
      <c r="D418" s="4" t="s">
        <v>3296</v>
      </c>
      <c r="E418" s="4" t="s">
        <v>3297</v>
      </c>
      <c r="F418" s="300">
        <v>46296</v>
      </c>
      <c r="G418" s="4" t="s">
        <v>681</v>
      </c>
      <c r="H418" s="4" t="str">
        <f ca="1">'Database MK'!Q419</f>
        <v>Proses Konstruksi</v>
      </c>
      <c r="I418" s="24">
        <f>'Database MK'!S419</f>
        <v>1</v>
      </c>
      <c r="J418" s="24">
        <f>'Database MK'!T419</f>
        <v>4.3210389105987596E-2</v>
      </c>
      <c r="K418" s="603">
        <f>'Database MK'!U419</f>
        <v>-0.95678961089401238</v>
      </c>
      <c r="L418" s="593">
        <f>'Database MK'!V419</f>
        <v>1882</v>
      </c>
      <c r="M418" s="593">
        <f>'Database MK'!W419</f>
        <v>1436</v>
      </c>
      <c r="N418" s="593">
        <f>Table3[[#This Row],[Total Panjang Pipa Aktual]]-Table3[[#This Row],[Volume
BA MC-0]]</f>
        <v>-446</v>
      </c>
      <c r="O418" s="7" t="str">
        <f ca="1">'Database MK'!DE419</f>
        <v>Sudah, OnSchedule</v>
      </c>
      <c r="P418" s="7" t="str">
        <f ca="1">'Database MK'!DI419</f>
        <v>Sudah, Delay</v>
      </c>
      <c r="Q418" s="7" t="str">
        <f ca="1">'Database MK'!DN419</f>
        <v>Sudah, OnSchedule</v>
      </c>
      <c r="R418" s="7" t="str">
        <f ca="1">'Database MK'!DR419</f>
        <v>Sudah, OnSchedule</v>
      </c>
      <c r="S418" s="7" t="str">
        <f ca="1">'Database MK'!EA419</f>
        <v>Sudah, OnSchedule</v>
      </c>
      <c r="T418" s="7" t="str">
        <f ca="1">'Database MK'!EI419</f>
        <v>Sudah, Delay</v>
      </c>
      <c r="U418" s="7" t="str">
        <f ca="1">'Database MK'!ET419</f>
        <v>Belum, Delay</v>
      </c>
      <c r="V418" s="7" t="str">
        <f ca="1">'Database MK'!GA419</f>
        <v>Sudah, OnSchedule</v>
      </c>
      <c r="W418" s="7" t="str">
        <f ca="1">'Database MK'!GD419</f>
        <v>Sudah, OnSchedule</v>
      </c>
      <c r="X418" s="7" t="str">
        <f ca="1">'Database MK'!GG419</f>
        <v>Sudah, OnSchedule</v>
      </c>
      <c r="Y418" s="7" t="str">
        <f ca="1">'Database MK'!GK419</f>
        <v>Sudah, OnSchedule</v>
      </c>
      <c r="Z418" s="7" t="str">
        <f ca="1">'Database MK'!HH419</f>
        <v>Belum, OnSchedule</v>
      </c>
      <c r="AA418" s="7" t="str">
        <f ca="1">'Database MK'!HQ419</f>
        <v>Belum, OnSchedule</v>
      </c>
      <c r="AB418" s="7" t="str">
        <f ca="1">'Database MK'!HW419</f>
        <v>Belum, OnSchedule</v>
      </c>
      <c r="AC418" s="7">
        <f>'Database MK'!DA419-'Database MK'!DB419</f>
        <v>46</v>
      </c>
      <c r="AD418" s="7">
        <f>'Database MK'!DA419-'Database MK'!DF419</f>
        <v>-2</v>
      </c>
      <c r="AE418" s="7">
        <f>'Database MK'!DK419-'Database MK'!DL419</f>
        <v>52</v>
      </c>
      <c r="AF418" s="7">
        <f>'Database MK'!DK419-'Database MK'!DO419</f>
        <v>24</v>
      </c>
      <c r="AG418" s="7">
        <f>'Database MK'!DU419-'Database MK'!DW419</f>
        <v>32</v>
      </c>
      <c r="AH418" s="7">
        <f>IF('Database MK'!EB419="","Belum",'Database MK'!DU419-'Database MK'!EB419)</f>
        <v>-73</v>
      </c>
      <c r="AI418" s="7" t="str">
        <f>IF('Database MK'!EN419="","Belum",'Database MK'!EL419-'Database MK'!EN419)</f>
        <v>Belum</v>
      </c>
      <c r="AJ418" s="7">
        <f>'Database MK'!FY419-'Database MK'!FZ419</f>
        <v>31</v>
      </c>
      <c r="AK418" s="7">
        <f>IF('Database MK'!GC419="","Belum",'Database MK'!GB419-'Database MK'!GC419)</f>
        <v>24</v>
      </c>
      <c r="AL418" s="7">
        <f>IF('Database MK'!GF419="","Belum",'Database MK'!GE419-'Database MK'!GF419)</f>
        <v>28</v>
      </c>
      <c r="AM418" s="309">
        <f>IF('Database MK'!GJ419="","Belum",'Database MK'!GI419-'Database MK'!GJ419)</f>
        <v>40</v>
      </c>
      <c r="AN418" s="7" t="str">
        <f>IF('Database MK'!HG419="","Belum",'Database MK'!HF419-'Database MK'!HG419)</f>
        <v>Belum</v>
      </c>
      <c r="AO418" s="7" t="str">
        <f>IF('Database MK'!HP419="","Belum",'Database MK'!HN419-'Database MK'!HP419)</f>
        <v>Belum</v>
      </c>
      <c r="AP418" s="7" t="str">
        <f>IF('Database MK'!HV419="","Belum",'Database MK'!HT419-'Database MK'!HV419)</f>
        <v>Belum</v>
      </c>
    </row>
    <row r="419" spans="2:42" hidden="1" x14ac:dyDescent="0.2">
      <c r="B419" s="7">
        <f>SUBTOTAL(3,$C$4:C419)</f>
        <v>74</v>
      </c>
      <c r="C419" s="299" t="s">
        <v>673</v>
      </c>
      <c r="D419" s="4" t="s">
        <v>3304</v>
      </c>
      <c r="E419" s="4" t="s">
        <v>3305</v>
      </c>
      <c r="F419" s="300">
        <v>46296</v>
      </c>
      <c r="G419" s="4" t="s">
        <v>681</v>
      </c>
      <c r="H419" s="4" t="str">
        <f ca="1">'Database MK'!Q420</f>
        <v>MC-0</v>
      </c>
      <c r="I419" s="24">
        <f>'Database MK'!S420</f>
        <v>0.96427389049471135</v>
      </c>
      <c r="J419" s="24">
        <f>'Database MK'!T420</f>
        <v>0.1196633523377062</v>
      </c>
      <c r="K419" s="603">
        <f>'Database MK'!U420</f>
        <v>-0.84461053815700515</v>
      </c>
      <c r="L419" s="593">
        <f>'Database MK'!V420</f>
        <v>453</v>
      </c>
      <c r="M419" s="593">
        <f>'Database MK'!W420</f>
        <v>0</v>
      </c>
      <c r="N419" s="593">
        <f>Table3[[#This Row],[Total Panjang Pipa Aktual]]-Table3[[#This Row],[Volume
BA MC-0]]</f>
        <v>-453</v>
      </c>
      <c r="O419" s="7" t="str">
        <f ca="1">'Database MK'!DE420</f>
        <v>Sudah, OnSchedule</v>
      </c>
      <c r="P419" s="7" t="str">
        <f ca="1">'Database MK'!DI420</f>
        <v>Sudah, OnSchedule</v>
      </c>
      <c r="Q419" s="7" t="str">
        <f ca="1">'Database MK'!DN420</f>
        <v>Sudah, OnSchedule</v>
      </c>
      <c r="R419" s="7" t="str">
        <f ca="1">'Database MK'!DR420</f>
        <v>Sudah, OnSchedule</v>
      </c>
      <c r="S419" s="7" t="str">
        <f ca="1">'Database MK'!EA420</f>
        <v>Sudah, OnSchedule</v>
      </c>
      <c r="T419" s="7" t="str">
        <f ca="1">'Database MK'!EI420</f>
        <v>Sudah, Delay</v>
      </c>
      <c r="U419" s="7" t="str">
        <f ca="1">'Database MK'!ET420</f>
        <v>Belum, Delay</v>
      </c>
      <c r="V419" s="7" t="str">
        <f ca="1">'Database MK'!GA420</f>
        <v>Sudah, OnSchedule</v>
      </c>
      <c r="W419" s="7" t="str">
        <f ca="1">'Database MK'!GD420</f>
        <v>Sudah, OnSchedule</v>
      </c>
      <c r="X419" s="7" t="str">
        <f ca="1">'Database MK'!GG420</f>
        <v>Sudah, OnSchedule</v>
      </c>
      <c r="Y419" s="7" t="str">
        <f ca="1">'Database MK'!GK420</f>
        <v>Sudah, OnSchedule</v>
      </c>
      <c r="Z419" s="7" t="str">
        <f ca="1">'Database MK'!HH420</f>
        <v>Belum, Delay</v>
      </c>
      <c r="AA419" s="7" t="str">
        <f ca="1">'Database MK'!HQ420</f>
        <v>Belum, OnSchedule</v>
      </c>
      <c r="AB419" s="7" t="str">
        <f ca="1">'Database MK'!HW420</f>
        <v>Belum, OnSchedule</v>
      </c>
      <c r="AC419" s="7">
        <f>'Database MK'!DA420-'Database MK'!DB420</f>
        <v>46</v>
      </c>
      <c r="AD419" s="7">
        <f>'Database MK'!DA420-'Database MK'!DF420</f>
        <v>34</v>
      </c>
      <c r="AE419" s="7">
        <f>'Database MK'!DK420-'Database MK'!DL420</f>
        <v>54</v>
      </c>
      <c r="AF419" s="7">
        <f>'Database MK'!DK420-'Database MK'!DO420</f>
        <v>27</v>
      </c>
      <c r="AG419" s="7">
        <f>'Database MK'!DU420-'Database MK'!DW420</f>
        <v>32</v>
      </c>
      <c r="AH419" s="7">
        <f>IF('Database MK'!EB420="","Belum",'Database MK'!DU420-'Database MK'!EB420)</f>
        <v>-72</v>
      </c>
      <c r="AI419" s="7" t="str">
        <f>IF('Database MK'!EN420="","Belum",'Database MK'!EL420-'Database MK'!EN420)</f>
        <v>Belum</v>
      </c>
      <c r="AJ419" s="7">
        <f>'Database MK'!FY420-'Database MK'!FZ420</f>
        <v>31</v>
      </c>
      <c r="AK419" s="7">
        <f>IF('Database MK'!GC420="","Belum",'Database MK'!GB420-'Database MK'!GC420)</f>
        <v>24</v>
      </c>
      <c r="AL419" s="7">
        <f>IF('Database MK'!GF420="","Belum",'Database MK'!GE420-'Database MK'!GF420)</f>
        <v>28</v>
      </c>
      <c r="AM419" s="309">
        <f>IF('Database MK'!GJ420="","Belum",'Database MK'!GI420-'Database MK'!GJ420)</f>
        <v>41</v>
      </c>
      <c r="AN419" s="7" t="str">
        <f>IF('Database MK'!HG420="","Belum",'Database MK'!HF420-'Database MK'!HG420)</f>
        <v>Belum</v>
      </c>
      <c r="AO419" s="7" t="str">
        <f>IF('Database MK'!HP420="","Belum",'Database MK'!HN420-'Database MK'!HP420)</f>
        <v>Belum</v>
      </c>
      <c r="AP419" s="7" t="str">
        <f>IF('Database MK'!HV420="","Belum",'Database MK'!HT420-'Database MK'!HV420)</f>
        <v>Belum</v>
      </c>
    </row>
    <row r="420" spans="2:42" hidden="1" x14ac:dyDescent="0.2">
      <c r="B420" s="7">
        <f>SUBTOTAL(3,$C$4:C420)</f>
        <v>74</v>
      </c>
      <c r="C420" s="299" t="s">
        <v>673</v>
      </c>
      <c r="D420" s="4" t="s">
        <v>3312</v>
      </c>
      <c r="E420" s="4" t="s">
        <v>3313</v>
      </c>
      <c r="F420" s="300">
        <v>46296</v>
      </c>
      <c r="G420" s="4" t="s">
        <v>681</v>
      </c>
      <c r="H420" s="4" t="str">
        <f ca="1">'Database MK'!Q421</f>
        <v>MC-0</v>
      </c>
      <c r="I420" s="24">
        <f>'Database MK'!S421</f>
        <v>0.96424026568532184</v>
      </c>
      <c r="J420" s="24">
        <f>'Database MK'!T421</f>
        <v>0.1468377290597879</v>
      </c>
      <c r="K420" s="603">
        <f>'Database MK'!U421</f>
        <v>-0.81740253662553397</v>
      </c>
      <c r="L420" s="593">
        <f>'Database MK'!V421</f>
        <v>373</v>
      </c>
      <c r="M420" s="593">
        <f>'Database MK'!W421</f>
        <v>0</v>
      </c>
      <c r="N420" s="593">
        <f>Table3[[#This Row],[Total Panjang Pipa Aktual]]-Table3[[#This Row],[Volume
BA MC-0]]</f>
        <v>-373</v>
      </c>
      <c r="O420" s="7" t="str">
        <f ca="1">'Database MK'!DE421</f>
        <v>Sudah, OnSchedule</v>
      </c>
      <c r="P420" s="7" t="str">
        <f ca="1">'Database MK'!DI421</f>
        <v>Sudah, Delay</v>
      </c>
      <c r="Q420" s="7" t="str">
        <f ca="1">'Database MK'!DN421</f>
        <v>Sudah, OnSchedule</v>
      </c>
      <c r="R420" s="7" t="str">
        <f ca="1">'Database MK'!DR421</f>
        <v>Sudah, OnSchedule</v>
      </c>
      <c r="S420" s="7" t="str">
        <f ca="1">'Database MK'!EA421</f>
        <v>Sudah, OnSchedule</v>
      </c>
      <c r="T420" s="7" t="str">
        <f ca="1">'Database MK'!EI421</f>
        <v>Sudah, Delay</v>
      </c>
      <c r="U420" s="7" t="str">
        <f ca="1">'Database MK'!ET421</f>
        <v>Belum, Delay</v>
      </c>
      <c r="V420" s="7" t="str">
        <f ca="1">'Database MK'!GA421</f>
        <v>Sudah, OnSchedule</v>
      </c>
      <c r="W420" s="7" t="str">
        <f ca="1">'Database MK'!GD421</f>
        <v>Sudah, OnSchedule</v>
      </c>
      <c r="X420" s="7" t="str">
        <f ca="1">'Database MK'!GG421</f>
        <v>Sudah, OnSchedule</v>
      </c>
      <c r="Y420" s="7" t="str">
        <f ca="1">'Database MK'!GK421</f>
        <v>Sudah, OnSchedule</v>
      </c>
      <c r="Z420" s="7" t="str">
        <f ca="1">'Database MK'!HH421</f>
        <v>Belum, Delay</v>
      </c>
      <c r="AA420" s="7" t="str">
        <f ca="1">'Database MK'!HQ421</f>
        <v>Belum, OnSchedule</v>
      </c>
      <c r="AB420" s="7" t="str">
        <f ca="1">'Database MK'!HW421</f>
        <v>Belum, OnSchedule</v>
      </c>
      <c r="AC420" s="7">
        <f>'Database MK'!DA421-'Database MK'!DB421</f>
        <v>16</v>
      </c>
      <c r="AD420" s="7">
        <f>'Database MK'!DA421-'Database MK'!DF421</f>
        <v>-16</v>
      </c>
      <c r="AE420" s="7">
        <f>'Database MK'!DK421-'Database MK'!DL421</f>
        <v>37</v>
      </c>
      <c r="AF420" s="7">
        <f>'Database MK'!DK421-'Database MK'!DO421</f>
        <v>27</v>
      </c>
      <c r="AG420" s="7">
        <f>'Database MK'!DU421-'Database MK'!DW421</f>
        <v>16</v>
      </c>
      <c r="AH420" s="7">
        <f>IF('Database MK'!EB421="","Belum",'Database MK'!DU421-'Database MK'!EB421)</f>
        <v>-73</v>
      </c>
      <c r="AI420" s="7" t="str">
        <f>IF('Database MK'!EN421="","Belum",'Database MK'!EL421-'Database MK'!EN421)</f>
        <v>Belum</v>
      </c>
      <c r="AJ420" s="7">
        <f>'Database MK'!FY421-'Database MK'!FZ421</f>
        <v>31</v>
      </c>
      <c r="AK420" s="7">
        <f>IF('Database MK'!GC421="","Belum",'Database MK'!GB421-'Database MK'!GC421)</f>
        <v>21</v>
      </c>
      <c r="AL420" s="7">
        <f>IF('Database MK'!GF421="","Belum",'Database MK'!GE421-'Database MK'!GF421)</f>
        <v>28</v>
      </c>
      <c r="AM420" s="309">
        <f>IF('Database MK'!GJ421="","Belum",'Database MK'!GI421-'Database MK'!GJ421)</f>
        <v>41</v>
      </c>
      <c r="AN420" s="7" t="str">
        <f>IF('Database MK'!HG421="","Belum",'Database MK'!HF421-'Database MK'!HG421)</f>
        <v>Belum</v>
      </c>
      <c r="AO420" s="7" t="str">
        <f>IF('Database MK'!HP421="","Belum",'Database MK'!HN421-'Database MK'!HP421)</f>
        <v>Belum</v>
      </c>
      <c r="AP420" s="7" t="str">
        <f>IF('Database MK'!HV421="","Belum",'Database MK'!HT421-'Database MK'!HV421)</f>
        <v>Belum</v>
      </c>
    </row>
    <row r="421" spans="2:42" hidden="1" x14ac:dyDescent="0.2">
      <c r="B421" s="7">
        <f>SUBTOTAL(3,$C$4:C421)</f>
        <v>74</v>
      </c>
      <c r="C421" s="299" t="s">
        <v>673</v>
      </c>
      <c r="D421" s="4" t="s">
        <v>3320</v>
      </c>
      <c r="E421" s="4" t="s">
        <v>3321</v>
      </c>
      <c r="F421" s="300">
        <v>46296</v>
      </c>
      <c r="G421" s="4" t="s">
        <v>681</v>
      </c>
      <c r="H421" s="4" t="str">
        <f ca="1">'Database MK'!Q422</f>
        <v>MC-0</v>
      </c>
      <c r="I421" s="24">
        <f>'Database MK'!S422</f>
        <v>0.96425476689605671</v>
      </c>
      <c r="J421" s="24">
        <f>'Database MK'!T422</f>
        <v>6.0287012769838597E-2</v>
      </c>
      <c r="K421" s="603">
        <f>'Database MK'!U422</f>
        <v>-0.9039677541262181</v>
      </c>
      <c r="L421" s="593">
        <f>'Database MK'!V422</f>
        <v>156</v>
      </c>
      <c r="M421" s="593">
        <f>'Database MK'!W422</f>
        <v>0</v>
      </c>
      <c r="N421" s="593">
        <f>Table3[[#This Row],[Total Panjang Pipa Aktual]]-Table3[[#This Row],[Volume
BA MC-0]]</f>
        <v>-156</v>
      </c>
      <c r="O421" s="7" t="str">
        <f ca="1">'Database MK'!DE422</f>
        <v>Sudah, OnSchedule</v>
      </c>
      <c r="P421" s="7" t="str">
        <f ca="1">'Database MK'!DI422</f>
        <v>Sudah, Delay</v>
      </c>
      <c r="Q421" s="7" t="str">
        <f ca="1">'Database MK'!DN422</f>
        <v>Sudah, OnSchedule</v>
      </c>
      <c r="R421" s="7" t="str">
        <f ca="1">'Database MK'!DR422</f>
        <v>Sudah, OnSchedule</v>
      </c>
      <c r="S421" s="7" t="str">
        <f ca="1">'Database MK'!EA422</f>
        <v>Sudah, OnSchedule</v>
      </c>
      <c r="T421" s="7" t="str">
        <f ca="1">'Database MK'!EI422</f>
        <v>Sudah, Delay</v>
      </c>
      <c r="U421" s="7" t="str">
        <f ca="1">'Database MK'!ET422</f>
        <v>Belum, Delay</v>
      </c>
      <c r="V421" s="7" t="str">
        <f ca="1">'Database MK'!GA422</f>
        <v>Sudah, OnSchedule</v>
      </c>
      <c r="W421" s="7" t="str">
        <f ca="1">'Database MK'!GD422</f>
        <v>Sudah, OnSchedule</v>
      </c>
      <c r="X421" s="7" t="str">
        <f ca="1">'Database MK'!GG422</f>
        <v>Sudah, OnSchedule</v>
      </c>
      <c r="Y421" s="7" t="str">
        <f ca="1">'Database MK'!GK422</f>
        <v>Sudah, OnSchedule</v>
      </c>
      <c r="Z421" s="7" t="str">
        <f ca="1">'Database MK'!HH422</f>
        <v>Belum, Delay</v>
      </c>
      <c r="AA421" s="7" t="str">
        <f ca="1">'Database MK'!HQ422</f>
        <v>Belum, OnSchedule</v>
      </c>
      <c r="AB421" s="7" t="str">
        <f ca="1">'Database MK'!HW422</f>
        <v>Belum, OnSchedule</v>
      </c>
      <c r="AC421" s="7">
        <f>'Database MK'!DA422-'Database MK'!DB422</f>
        <v>46</v>
      </c>
      <c r="AD421" s="7">
        <f>'Database MK'!DA422-'Database MK'!DF422</f>
        <v>-16</v>
      </c>
      <c r="AE421" s="7">
        <f>'Database MK'!DK422-'Database MK'!DL422</f>
        <v>37</v>
      </c>
      <c r="AF421" s="7">
        <f>'Database MK'!DK422-'Database MK'!DO422</f>
        <v>23</v>
      </c>
      <c r="AG421" s="7">
        <f>'Database MK'!DU422-'Database MK'!DW422</f>
        <v>17</v>
      </c>
      <c r="AH421" s="7">
        <f>IF('Database MK'!EB422="","Belum",'Database MK'!DU422-'Database MK'!EB422)</f>
        <v>-73</v>
      </c>
      <c r="AI421" s="7" t="str">
        <f>IF('Database MK'!EN422="","Belum",'Database MK'!EL422-'Database MK'!EN422)</f>
        <v>Belum</v>
      </c>
      <c r="AJ421" s="7">
        <f>'Database MK'!FY422-'Database MK'!FZ422</f>
        <v>31</v>
      </c>
      <c r="AK421" s="7">
        <f>IF('Database MK'!GC422="","Belum",'Database MK'!GB422-'Database MK'!GC422)</f>
        <v>24</v>
      </c>
      <c r="AL421" s="7">
        <f>IF('Database MK'!GF422="","Belum",'Database MK'!GE422-'Database MK'!GF422)</f>
        <v>31</v>
      </c>
      <c r="AM421" s="309">
        <f>IF('Database MK'!GJ422="","Belum",'Database MK'!GI422-'Database MK'!GJ422)</f>
        <v>40</v>
      </c>
      <c r="AN421" s="7" t="str">
        <f>IF('Database MK'!HG422="","Belum",'Database MK'!HF422-'Database MK'!HG422)</f>
        <v>Belum</v>
      </c>
      <c r="AO421" s="7" t="str">
        <f>IF('Database MK'!HP422="","Belum",'Database MK'!HN422-'Database MK'!HP422)</f>
        <v>Belum</v>
      </c>
      <c r="AP421" s="7" t="str">
        <f>IF('Database MK'!HV422="","Belum",'Database MK'!HT422-'Database MK'!HV422)</f>
        <v>Belum</v>
      </c>
    </row>
    <row r="422" spans="2:42" hidden="1" x14ac:dyDescent="0.2">
      <c r="B422" s="7">
        <f>SUBTOTAL(3,$C$4:C422)</f>
        <v>74</v>
      </c>
      <c r="C422" s="299" t="s">
        <v>673</v>
      </c>
      <c r="D422" s="4" t="s">
        <v>3328</v>
      </c>
      <c r="E422" s="4" t="s">
        <v>3329</v>
      </c>
      <c r="F422" s="300">
        <v>46296</v>
      </c>
      <c r="G422" s="4" t="s">
        <v>681</v>
      </c>
      <c r="H422" s="4" t="str">
        <f ca="1">'Database MK'!Q423</f>
        <v>MC-0</v>
      </c>
      <c r="I422" s="24">
        <f>'Database MK'!S423</f>
        <v>0.48055833361454336</v>
      </c>
      <c r="J422" s="24">
        <f>'Database MK'!T423</f>
        <v>5.1065306466489539E-2</v>
      </c>
      <c r="K422" s="603">
        <f>'Database MK'!U423</f>
        <v>-0.42949302714805382</v>
      </c>
      <c r="L422" s="593">
        <f>'Database MK'!V423</f>
        <v>1046</v>
      </c>
      <c r="M422" s="593">
        <f>'Database MK'!W423</f>
        <v>0</v>
      </c>
      <c r="N422" s="593">
        <f>Table3[[#This Row],[Total Panjang Pipa Aktual]]-Table3[[#This Row],[Volume
BA MC-0]]</f>
        <v>-1046</v>
      </c>
      <c r="O422" s="7" t="str">
        <f ca="1">'Database MK'!DE423</f>
        <v>Sudah, OnSchedule</v>
      </c>
      <c r="P422" s="7" t="str">
        <f ca="1">'Database MK'!DI423</f>
        <v>Sudah, Delay</v>
      </c>
      <c r="Q422" s="7" t="str">
        <f ca="1">'Database MK'!DN423</f>
        <v>Sudah, OnSchedule</v>
      </c>
      <c r="R422" s="7" t="str">
        <f ca="1">'Database MK'!DR423</f>
        <v>Sudah, OnSchedule</v>
      </c>
      <c r="S422" s="7" t="str">
        <f ca="1">'Database MK'!EA423</f>
        <v>Sudah, OnSchedule</v>
      </c>
      <c r="T422" s="7" t="str">
        <f ca="1">'Database MK'!EI423</f>
        <v>Sudah, Delay</v>
      </c>
      <c r="U422" s="7" t="str">
        <f ca="1">'Database MK'!ET423</f>
        <v>Belum, Delay</v>
      </c>
      <c r="V422" s="7" t="str">
        <f ca="1">'Database MK'!GA423</f>
        <v>Sudah, OnSchedule</v>
      </c>
      <c r="W422" s="7" t="str">
        <f ca="1">'Database MK'!GD423</f>
        <v>Sudah, OnSchedule</v>
      </c>
      <c r="X422" s="7" t="str">
        <f ca="1">'Database MK'!GG423</f>
        <v>Sudah, OnSchedule</v>
      </c>
      <c r="Y422" s="7" t="str">
        <f ca="1">'Database MK'!GK423</f>
        <v>Sudah, OnSchedule</v>
      </c>
      <c r="Z422" s="7" t="str">
        <f ca="1">'Database MK'!HH423</f>
        <v>Belum, OnSchedule</v>
      </c>
      <c r="AA422" s="7" t="str">
        <f ca="1">'Database MK'!HQ423</f>
        <v>Belum, OnSchedule</v>
      </c>
      <c r="AB422" s="7" t="str">
        <f ca="1">'Database MK'!HW423</f>
        <v>Belum, OnSchedule</v>
      </c>
      <c r="AC422" s="7">
        <f>'Database MK'!DA423-'Database MK'!DB423</f>
        <v>16</v>
      </c>
      <c r="AD422" s="7">
        <f>'Database MK'!DA423-'Database MK'!DF423</f>
        <v>-3</v>
      </c>
      <c r="AE422" s="7">
        <f>'Database MK'!DK423-'Database MK'!DL423</f>
        <v>53</v>
      </c>
      <c r="AF422" s="7">
        <f>'Database MK'!DK423-'Database MK'!DO423</f>
        <v>24</v>
      </c>
      <c r="AG422" s="7">
        <f>'Database MK'!DU423-'Database MK'!DW423</f>
        <v>30</v>
      </c>
      <c r="AH422" s="7">
        <f>IF('Database MK'!EB423="","Belum",'Database MK'!DU423-'Database MK'!EB423)</f>
        <v>-73</v>
      </c>
      <c r="AI422" s="7" t="str">
        <f>IF('Database MK'!EN423="","Belum",'Database MK'!EL423-'Database MK'!EN423)</f>
        <v>Belum</v>
      </c>
      <c r="AJ422" s="7">
        <f>'Database MK'!FY423-'Database MK'!FZ423</f>
        <v>31</v>
      </c>
      <c r="AK422" s="7">
        <f>IF('Database MK'!GC423="","Belum",'Database MK'!GB423-'Database MK'!GC423)</f>
        <v>24</v>
      </c>
      <c r="AL422" s="7">
        <f>IF('Database MK'!GF423="","Belum",'Database MK'!GE423-'Database MK'!GF423)</f>
        <v>31</v>
      </c>
      <c r="AM422" s="309">
        <f>IF('Database MK'!GJ423="","Belum",'Database MK'!GI423-'Database MK'!GJ423)</f>
        <v>40</v>
      </c>
      <c r="AN422" s="7" t="str">
        <f>IF('Database MK'!HG423="","Belum",'Database MK'!HF423-'Database MK'!HG423)</f>
        <v>Belum</v>
      </c>
      <c r="AO422" s="7" t="str">
        <f>IF('Database MK'!HP423="","Belum",'Database MK'!HN423-'Database MK'!HP423)</f>
        <v>Belum</v>
      </c>
      <c r="AP422" s="7" t="str">
        <f>IF('Database MK'!HV423="","Belum",'Database MK'!HT423-'Database MK'!HV423)</f>
        <v>Belum</v>
      </c>
    </row>
    <row r="423" spans="2:42" hidden="1" x14ac:dyDescent="0.2">
      <c r="B423" s="7">
        <f>SUBTOTAL(3,$C$4:C423)</f>
        <v>74</v>
      </c>
      <c r="C423" s="299" t="s">
        <v>673</v>
      </c>
      <c r="D423" s="4" t="s">
        <v>3336</v>
      </c>
      <c r="E423" s="4" t="s">
        <v>3337</v>
      </c>
      <c r="F423" s="300">
        <v>46296</v>
      </c>
      <c r="G423" s="4" t="s">
        <v>681</v>
      </c>
      <c r="H423" s="4" t="str">
        <f ca="1">'Database MK'!Q424</f>
        <v>MC-0</v>
      </c>
      <c r="I423" s="24">
        <f>'Database MK'!S424</f>
        <v>0.16392194938458585</v>
      </c>
      <c r="J423" s="24">
        <f>'Database MK'!T424</f>
        <v>6.5695051379593764E-2</v>
      </c>
      <c r="K423" s="603">
        <f>'Database MK'!U424</f>
        <v>-9.8226898004992083E-2</v>
      </c>
      <c r="L423" s="593">
        <f>'Database MK'!V424</f>
        <v>705</v>
      </c>
      <c r="M423" s="593">
        <f>'Database MK'!W424</f>
        <v>0</v>
      </c>
      <c r="N423" s="593">
        <f>Table3[[#This Row],[Total Panjang Pipa Aktual]]-Table3[[#This Row],[Volume
BA MC-0]]</f>
        <v>-705</v>
      </c>
      <c r="O423" s="7" t="str">
        <f ca="1">'Database MK'!DE424</f>
        <v>Sudah, OnSchedule</v>
      </c>
      <c r="P423" s="7" t="str">
        <f ca="1">'Database MK'!DI424</f>
        <v>Sudah, OnSchedule</v>
      </c>
      <c r="Q423" s="7" t="str">
        <f ca="1">'Database MK'!DN424</f>
        <v>Sudah, OnSchedule</v>
      </c>
      <c r="R423" s="7" t="str">
        <f ca="1">'Database MK'!DR424</f>
        <v>Sudah, OnSchedule</v>
      </c>
      <c r="S423" s="7" t="str">
        <f ca="1">'Database MK'!EA424</f>
        <v>Sudah, OnSchedule</v>
      </c>
      <c r="T423" s="7" t="str">
        <f ca="1">'Database MK'!EI424</f>
        <v>Belum, Delay</v>
      </c>
      <c r="U423" s="7" t="str">
        <f ca="1">'Database MK'!ET424</f>
        <v>Belum, OnSchedule</v>
      </c>
      <c r="V423" s="7" t="str">
        <f ca="1">'Database MK'!GA424</f>
        <v>Sudah, OnSchedule</v>
      </c>
      <c r="W423" s="7" t="str">
        <f ca="1">'Database MK'!GD424</f>
        <v>Sudah, OnSchedule</v>
      </c>
      <c r="X423" s="7" t="str">
        <f ca="1">'Database MK'!GG424</f>
        <v>Sudah, OnSchedule</v>
      </c>
      <c r="Y423" s="7" t="str">
        <f ca="1">'Database MK'!GK424</f>
        <v>Sudah, OnSchedule</v>
      </c>
      <c r="Z423" s="7" t="str">
        <f ca="1">'Database MK'!HH424</f>
        <v>Belum, OnSchedule</v>
      </c>
      <c r="AA423" s="7" t="str">
        <f ca="1">'Database MK'!HQ424</f>
        <v>Belum, OnSchedule</v>
      </c>
      <c r="AB423" s="7" t="str">
        <f ca="1">'Database MK'!HW424</f>
        <v>Belum, OnSchedule</v>
      </c>
      <c r="AC423" s="7">
        <f>'Database MK'!DA424-'Database MK'!DB424</f>
        <v>54</v>
      </c>
      <c r="AD423" s="7">
        <f>'Database MK'!DA424-'Database MK'!DF424</f>
        <v>33</v>
      </c>
      <c r="AE423" s="7">
        <f>'Database MK'!DK424-'Database MK'!DL424</f>
        <v>111</v>
      </c>
      <c r="AF423" s="7">
        <f>'Database MK'!DK424-'Database MK'!DO424</f>
        <v>87</v>
      </c>
      <c r="AG423" s="7">
        <f>'Database MK'!DU424-'Database MK'!DW424</f>
        <v>55</v>
      </c>
      <c r="AH423" s="7" t="str">
        <f>IF('Database MK'!EB424="","Belum",'Database MK'!DU424-'Database MK'!EB424)</f>
        <v>Belum</v>
      </c>
      <c r="AI423" s="7" t="str">
        <f>IF('Database MK'!EN424="","Belum",'Database MK'!EL424-'Database MK'!EN424)</f>
        <v>Belum</v>
      </c>
      <c r="AJ423" s="7">
        <f>'Database MK'!FY424-'Database MK'!FZ424</f>
        <v>94</v>
      </c>
      <c r="AK423" s="7">
        <f>IF('Database MK'!GC424="","Belum",'Database MK'!GB424-'Database MK'!GC424)</f>
        <v>84</v>
      </c>
      <c r="AL423" s="7">
        <f>IF('Database MK'!GF424="","Belum",'Database MK'!GE424-'Database MK'!GF424)</f>
        <v>91</v>
      </c>
      <c r="AM423" s="309">
        <f>IF('Database MK'!GJ424="","Belum",'Database MK'!GI424-'Database MK'!GJ424)</f>
        <v>102</v>
      </c>
      <c r="AN423" s="7" t="str">
        <f>IF('Database MK'!HG424="","Belum",'Database MK'!HF424-'Database MK'!HG424)</f>
        <v>Belum</v>
      </c>
      <c r="AO423" s="7" t="str">
        <f>IF('Database MK'!HP424="","Belum",'Database MK'!HN424-'Database MK'!HP424)</f>
        <v>Belum</v>
      </c>
      <c r="AP423" s="7" t="str">
        <f>IF('Database MK'!HV424="","Belum",'Database MK'!HT424-'Database MK'!HV424)</f>
        <v>Belum</v>
      </c>
    </row>
    <row r="424" spans="2:42" hidden="1" x14ac:dyDescent="0.2">
      <c r="B424" s="7">
        <f>SUBTOTAL(3,$C$4:C424)</f>
        <v>74</v>
      </c>
      <c r="C424" s="299" t="s">
        <v>673</v>
      </c>
      <c r="D424" s="4" t="s">
        <v>3343</v>
      </c>
      <c r="E424" s="4" t="s">
        <v>3344</v>
      </c>
      <c r="F424" s="300">
        <v>46296</v>
      </c>
      <c r="G424" s="4" t="s">
        <v>681</v>
      </c>
      <c r="H424" s="4" t="str">
        <f ca="1">'Database MK'!Q425</f>
        <v>MC-0</v>
      </c>
      <c r="I424" s="24">
        <f>'Database MK'!S425</f>
        <v>0.10336377948780713</v>
      </c>
      <c r="J424" s="24">
        <f>'Database MK'!T425</f>
        <v>3.8770119117891348E-2</v>
      </c>
      <c r="K424" s="603">
        <f>'Database MK'!U425</f>
        <v>-6.459366036991579E-2</v>
      </c>
      <c r="L424" s="593">
        <f>'Database MK'!V425</f>
        <v>821</v>
      </c>
      <c r="M424" s="593">
        <f>'Database MK'!W425</f>
        <v>0</v>
      </c>
      <c r="N424" s="593">
        <f>Table3[[#This Row],[Total Panjang Pipa Aktual]]-Table3[[#This Row],[Volume
BA MC-0]]</f>
        <v>-821</v>
      </c>
      <c r="O424" s="7" t="str">
        <f ca="1">'Database MK'!DE425</f>
        <v>Sudah, OnSchedule</v>
      </c>
      <c r="P424" s="7" t="str">
        <f ca="1">'Database MK'!DI425</f>
        <v>Sudah, OnSchedule</v>
      </c>
      <c r="Q424" s="7" t="str">
        <f ca="1">'Database MK'!DN425</f>
        <v>Sudah, OnSchedule</v>
      </c>
      <c r="R424" s="7" t="str">
        <f ca="1">'Database MK'!DR425</f>
        <v>Sudah, OnSchedule</v>
      </c>
      <c r="S424" s="7" t="str">
        <f ca="1">'Database MK'!EA425</f>
        <v>Sudah, OnSchedule</v>
      </c>
      <c r="T424" s="7" t="str">
        <f ca="1">'Database MK'!EI425</f>
        <v>Sudah, Delay</v>
      </c>
      <c r="U424" s="7" t="str">
        <f ca="1">'Database MK'!ET425</f>
        <v>Belum, OnSchedule</v>
      </c>
      <c r="V424" s="7" t="str">
        <f ca="1">'Database MK'!GA425</f>
        <v>Sudah, OnSchedule</v>
      </c>
      <c r="W424" s="7" t="str">
        <f ca="1">'Database MK'!GD425</f>
        <v>Sudah, OnSchedule</v>
      </c>
      <c r="X424" s="7" t="str">
        <f ca="1">'Database MK'!GG425</f>
        <v>Sudah, OnSchedule</v>
      </c>
      <c r="Y424" s="7" t="str">
        <f ca="1">'Database MK'!GK425</f>
        <v>Sudah, OnSchedule</v>
      </c>
      <c r="Z424" s="7" t="str">
        <f ca="1">'Database MK'!HH425</f>
        <v>Belum, OnSchedule</v>
      </c>
      <c r="AA424" s="7" t="str">
        <f ca="1">'Database MK'!HQ425</f>
        <v>Belum, OnSchedule</v>
      </c>
      <c r="AB424" s="7" t="str">
        <f ca="1">'Database MK'!HW425</f>
        <v>Belum, OnSchedule</v>
      </c>
      <c r="AC424" s="7">
        <f>'Database MK'!DA425-'Database MK'!DB425</f>
        <v>44</v>
      </c>
      <c r="AD424" s="7">
        <f>'Database MK'!DA425-'Database MK'!DF425</f>
        <v>26</v>
      </c>
      <c r="AE424" s="7">
        <f>'Database MK'!DK425-'Database MK'!DL425</f>
        <v>115</v>
      </c>
      <c r="AF424" s="7">
        <f>'Database MK'!DK425-'Database MK'!DO425</f>
        <v>87</v>
      </c>
      <c r="AG424" s="7">
        <f>'Database MK'!DU425-'Database MK'!DW425</f>
        <v>346</v>
      </c>
      <c r="AH424" s="7">
        <f>IF('Database MK'!EB425="","Belum",'Database MK'!DU425-'Database MK'!EB425)</f>
        <v>-45</v>
      </c>
      <c r="AI424" s="7" t="str">
        <f>IF('Database MK'!EN425="","Belum",'Database MK'!EL425-'Database MK'!EN425)</f>
        <v>Belum</v>
      </c>
      <c r="AJ424" s="7">
        <f>'Database MK'!FY425-'Database MK'!FZ425</f>
        <v>94</v>
      </c>
      <c r="AK424" s="7">
        <f>IF('Database MK'!GC425="","Belum",'Database MK'!GB425-'Database MK'!GC425)</f>
        <v>84</v>
      </c>
      <c r="AL424" s="7">
        <f>IF('Database MK'!GF425="","Belum",'Database MK'!GE425-'Database MK'!GF425)</f>
        <v>91</v>
      </c>
      <c r="AM424" s="309">
        <f>IF('Database MK'!GJ425="","Belum",'Database MK'!GI425-'Database MK'!GJ425)</f>
        <v>102</v>
      </c>
      <c r="AN424" s="7" t="str">
        <f>IF('Database MK'!HG425="","Belum",'Database MK'!HF425-'Database MK'!HG425)</f>
        <v>Belum</v>
      </c>
      <c r="AO424" s="7" t="str">
        <f>IF('Database MK'!HP425="","Belum",'Database MK'!HN425-'Database MK'!HP425)</f>
        <v>Belum</v>
      </c>
      <c r="AP424" s="7" t="str">
        <f>IF('Database MK'!HV425="","Belum",'Database MK'!HT425-'Database MK'!HV425)</f>
        <v>Belum</v>
      </c>
    </row>
    <row r="425" spans="2:42" hidden="1" x14ac:dyDescent="0.2">
      <c r="B425" s="7">
        <f>SUBTOTAL(3,$C$4:C425)</f>
        <v>74</v>
      </c>
      <c r="C425" s="299" t="s">
        <v>673</v>
      </c>
      <c r="D425" s="4" t="s">
        <v>3350</v>
      </c>
      <c r="E425" s="4" t="s">
        <v>3351</v>
      </c>
      <c r="F425" s="300">
        <v>46296</v>
      </c>
      <c r="G425" s="4" t="s">
        <v>681</v>
      </c>
      <c r="H425" s="4" t="str">
        <f ca="1">'Database MK'!Q426</f>
        <v>MC-0</v>
      </c>
      <c r="I425" s="24">
        <f>'Database MK'!S426</f>
        <v>7.2468356802105713E-2</v>
      </c>
      <c r="J425" s="24">
        <f>'Database MK'!T426</f>
        <v>6.1405842706888036E-2</v>
      </c>
      <c r="K425" s="603">
        <f>'Database MK'!U426</f>
        <v>-1.1062514095217676E-2</v>
      </c>
      <c r="L425" s="593">
        <f>'Database MK'!V426</f>
        <v>1201</v>
      </c>
      <c r="M425" s="593">
        <f>'Database MK'!W426</f>
        <v>0</v>
      </c>
      <c r="N425" s="593">
        <f>Table3[[#This Row],[Total Panjang Pipa Aktual]]-Table3[[#This Row],[Volume
BA MC-0]]</f>
        <v>-1201</v>
      </c>
      <c r="O425" s="7" t="str">
        <f ca="1">'Database MK'!DE426</f>
        <v>Sudah, OnSchedule</v>
      </c>
      <c r="P425" s="7" t="str">
        <f ca="1">'Database MK'!DI426</f>
        <v>Sudah, OnSchedule</v>
      </c>
      <c r="Q425" s="7" t="str">
        <f ca="1">'Database MK'!DN426</f>
        <v>Sudah, OnSchedule</v>
      </c>
      <c r="R425" s="7" t="str">
        <f ca="1">'Database MK'!DR426</f>
        <v>Sudah, OnSchedule</v>
      </c>
      <c r="S425" s="7" t="str">
        <f ca="1">'Database MK'!EA426</f>
        <v>Sudah, OnSchedule</v>
      </c>
      <c r="T425" s="7" t="str">
        <f ca="1">'Database MK'!EI426</f>
        <v>Belum, Delay</v>
      </c>
      <c r="U425" s="7" t="str">
        <f ca="1">'Database MK'!ET426</f>
        <v>Belum, OnSchedule</v>
      </c>
      <c r="V425" s="7" t="str">
        <f ca="1">'Database MK'!GA426</f>
        <v>Sudah, OnSchedule</v>
      </c>
      <c r="W425" s="7" t="str">
        <f ca="1">'Database MK'!GD426</f>
        <v>Sudah, OnSchedule</v>
      </c>
      <c r="X425" s="7" t="str">
        <f ca="1">'Database MK'!GG426</f>
        <v>Sudah, OnSchedule</v>
      </c>
      <c r="Y425" s="7" t="str">
        <f ca="1">'Database MK'!GK426</f>
        <v>Sudah, OnSchedule</v>
      </c>
      <c r="Z425" s="7" t="str">
        <f ca="1">'Database MK'!HH426</f>
        <v>Belum, OnSchedule</v>
      </c>
      <c r="AA425" s="7" t="str">
        <f ca="1">'Database MK'!HQ426</f>
        <v>Belum, OnSchedule</v>
      </c>
      <c r="AB425" s="7" t="str">
        <f ca="1">'Database MK'!HW426</f>
        <v>Belum, OnSchedule</v>
      </c>
      <c r="AC425" s="7">
        <f>'Database MK'!DA426-'Database MK'!DB426</f>
        <v>44</v>
      </c>
      <c r="AD425" s="7">
        <f>'Database MK'!DA426-'Database MK'!DF426</f>
        <v>26</v>
      </c>
      <c r="AE425" s="7">
        <f>'Database MK'!DK426-'Database MK'!DL426</f>
        <v>114</v>
      </c>
      <c r="AF425" s="7">
        <f>'Database MK'!DK426-'Database MK'!DO426</f>
        <v>87</v>
      </c>
      <c r="AG425" s="7">
        <f>'Database MK'!DU426-'Database MK'!DW426</f>
        <v>57</v>
      </c>
      <c r="AH425" s="7" t="str">
        <f>IF('Database MK'!EB426="","Belum",'Database MK'!DU426-'Database MK'!EB426)</f>
        <v>Belum</v>
      </c>
      <c r="AI425" s="7" t="str">
        <f>IF('Database MK'!EN426="","Belum",'Database MK'!EL426-'Database MK'!EN426)</f>
        <v>Belum</v>
      </c>
      <c r="AJ425" s="7">
        <f>'Database MK'!FY426-'Database MK'!FZ426</f>
        <v>94</v>
      </c>
      <c r="AK425" s="7">
        <f>IF('Database MK'!GC426="","Belum",'Database MK'!GB426-'Database MK'!GC426)</f>
        <v>84</v>
      </c>
      <c r="AL425" s="7">
        <f>IF('Database MK'!GF426="","Belum",'Database MK'!GE426-'Database MK'!GF426)</f>
        <v>91</v>
      </c>
      <c r="AM425" s="309">
        <f>IF('Database MK'!GJ426="","Belum",'Database MK'!GI426-'Database MK'!GJ426)</f>
        <v>102</v>
      </c>
      <c r="AN425" s="7" t="str">
        <f>IF('Database MK'!HG426="","Belum",'Database MK'!HF426-'Database MK'!HG426)</f>
        <v>Belum</v>
      </c>
      <c r="AO425" s="7" t="str">
        <f>IF('Database MK'!HP426="","Belum",'Database MK'!HN426-'Database MK'!HP426)</f>
        <v>Belum</v>
      </c>
      <c r="AP425" s="7" t="str">
        <f>IF('Database MK'!HV426="","Belum",'Database MK'!HT426-'Database MK'!HV426)</f>
        <v>Belum</v>
      </c>
    </row>
    <row r="426" spans="2:42" hidden="1" x14ac:dyDescent="0.2">
      <c r="B426" s="7">
        <f>SUBTOTAL(3,$C$4:C426)</f>
        <v>74</v>
      </c>
      <c r="C426" s="299" t="s">
        <v>673</v>
      </c>
      <c r="D426" s="4" t="s">
        <v>3357</v>
      </c>
      <c r="E426" s="4" t="s">
        <v>3358</v>
      </c>
      <c r="F426" s="300">
        <v>46296</v>
      </c>
      <c r="G426" s="4" t="s">
        <v>681</v>
      </c>
      <c r="H426" s="4" t="str">
        <f ca="1">'Database MK'!Q427</f>
        <v>MC-0</v>
      </c>
      <c r="I426" s="24">
        <f>'Database MK'!S427</f>
        <v>0.16514159820410879</v>
      </c>
      <c r="J426" s="24">
        <f>'Database MK'!T427</f>
        <v>6.2840374487592665E-2</v>
      </c>
      <c r="K426" s="603">
        <f>'Database MK'!U427</f>
        <v>-0.10230122371651612</v>
      </c>
      <c r="L426" s="593">
        <f>'Database MK'!V427</f>
        <v>200</v>
      </c>
      <c r="M426" s="593">
        <f>'Database MK'!W427</f>
        <v>0</v>
      </c>
      <c r="N426" s="593">
        <f>Table3[[#This Row],[Total Panjang Pipa Aktual]]-Table3[[#This Row],[Volume
BA MC-0]]</f>
        <v>-200</v>
      </c>
      <c r="O426" s="7" t="str">
        <f ca="1">'Database MK'!DE427</f>
        <v>Sudah, OnSchedule</v>
      </c>
      <c r="P426" s="7" t="str">
        <f ca="1">'Database MK'!DI427</f>
        <v>Sudah, OnSchedule</v>
      </c>
      <c r="Q426" s="7" t="str">
        <f ca="1">'Database MK'!DN427</f>
        <v>Sudah, OnSchedule</v>
      </c>
      <c r="R426" s="7" t="str">
        <f ca="1">'Database MK'!DR427</f>
        <v>Sudah, OnSchedule</v>
      </c>
      <c r="S426" s="7" t="str">
        <f ca="1">'Database MK'!EA427</f>
        <v>Sudah, OnSchedule</v>
      </c>
      <c r="T426" s="7" t="str">
        <f ca="1">'Database MK'!EI427</f>
        <v>Belum, Delay</v>
      </c>
      <c r="U426" s="7" t="str">
        <f ca="1">'Database MK'!ET427</f>
        <v>Belum, OnSchedule</v>
      </c>
      <c r="V426" s="7" t="str">
        <f ca="1">'Database MK'!GA427</f>
        <v>Sudah, OnSchedule</v>
      </c>
      <c r="W426" s="7" t="str">
        <f ca="1">'Database MK'!GD427</f>
        <v>Sudah, OnSchedule</v>
      </c>
      <c r="X426" s="7" t="str">
        <f ca="1">'Database MK'!GG427</f>
        <v>Sudah, OnSchedule</v>
      </c>
      <c r="Y426" s="7" t="str">
        <f ca="1">'Database MK'!GK427</f>
        <v>Sudah, OnSchedule</v>
      </c>
      <c r="Z426" s="7" t="str">
        <f ca="1">'Database MK'!HH427</f>
        <v>Belum, OnSchedule</v>
      </c>
      <c r="AA426" s="7" t="str">
        <f ca="1">'Database MK'!HQ427</f>
        <v>Belum, OnSchedule</v>
      </c>
      <c r="AB426" s="7" t="str">
        <f ca="1">'Database MK'!HW427</f>
        <v>Belum, OnSchedule</v>
      </c>
      <c r="AC426" s="7">
        <f>'Database MK'!DA427-'Database MK'!DB427</f>
        <v>45</v>
      </c>
      <c r="AD426" s="7">
        <f>'Database MK'!DA427-'Database MK'!DF427</f>
        <v>33</v>
      </c>
      <c r="AE426" s="7">
        <f>'Database MK'!DK427-'Database MK'!DL427</f>
        <v>115</v>
      </c>
      <c r="AF426" s="7">
        <f>'Database MK'!DK427-'Database MK'!DO427</f>
        <v>87</v>
      </c>
      <c r="AG426" s="7">
        <f>'Database MK'!DU427-'Database MK'!DW427</f>
        <v>59</v>
      </c>
      <c r="AH426" s="7" t="str">
        <f>IF('Database MK'!EB427="","Belum",'Database MK'!DU427-'Database MK'!EB427)</f>
        <v>Belum</v>
      </c>
      <c r="AI426" s="7" t="str">
        <f>IF('Database MK'!EN427="","Belum",'Database MK'!EL427-'Database MK'!EN427)</f>
        <v>Belum</v>
      </c>
      <c r="AJ426" s="7">
        <f>'Database MK'!FY427-'Database MK'!FZ427</f>
        <v>63</v>
      </c>
      <c r="AK426" s="7">
        <f>IF('Database MK'!GC427="","Belum",'Database MK'!GB427-'Database MK'!GC427)</f>
        <v>62</v>
      </c>
      <c r="AL426" s="7">
        <f>IF('Database MK'!GF427="","Belum",'Database MK'!GE427-'Database MK'!GF427)</f>
        <v>69</v>
      </c>
      <c r="AM426" s="309">
        <f>IF('Database MK'!GJ427="","Belum",'Database MK'!GI427-'Database MK'!GJ427)</f>
        <v>69</v>
      </c>
      <c r="AN426" s="7" t="str">
        <f>IF('Database MK'!HG427="","Belum",'Database MK'!HF427-'Database MK'!HG427)</f>
        <v>Belum</v>
      </c>
      <c r="AO426" s="7" t="str">
        <f>IF('Database MK'!HP427="","Belum",'Database MK'!HN427-'Database MK'!HP427)</f>
        <v>Belum</v>
      </c>
      <c r="AP426" s="7" t="str">
        <f>IF('Database MK'!HV427="","Belum",'Database MK'!HT427-'Database MK'!HV427)</f>
        <v>Belum</v>
      </c>
    </row>
    <row r="427" spans="2:42" hidden="1" x14ac:dyDescent="0.2">
      <c r="B427" s="7">
        <f>SUBTOTAL(3,$C$4:C427)</f>
        <v>74</v>
      </c>
      <c r="C427" s="299" t="s">
        <v>673</v>
      </c>
      <c r="D427" s="4" t="s">
        <v>3364</v>
      </c>
      <c r="E427" s="4" t="s">
        <v>3365</v>
      </c>
      <c r="F427" s="300">
        <v>46296</v>
      </c>
      <c r="G427" s="4" t="s">
        <v>681</v>
      </c>
      <c r="H427" s="4" t="str">
        <f ca="1">'Database MK'!Q428</f>
        <v>MC-0</v>
      </c>
      <c r="I427" s="24">
        <f>'Database MK'!S428</f>
        <v>5.1424374030431014E-2</v>
      </c>
      <c r="J427" s="24">
        <f>'Database MK'!T428</f>
        <v>4.2367597913591917E-2</v>
      </c>
      <c r="K427" s="603">
        <f>'Database MK'!U428</f>
        <v>-9.0567761168390964E-3</v>
      </c>
      <c r="L427" s="593">
        <f>'Database MK'!V428</f>
        <v>1282</v>
      </c>
      <c r="M427" s="593">
        <f>'Database MK'!W428</f>
        <v>0</v>
      </c>
      <c r="N427" s="593">
        <f>Table3[[#This Row],[Total Panjang Pipa Aktual]]-Table3[[#This Row],[Volume
BA MC-0]]</f>
        <v>-1282</v>
      </c>
      <c r="O427" s="7" t="str">
        <f ca="1">'Database MK'!DE428</f>
        <v>Sudah, OnSchedule</v>
      </c>
      <c r="P427" s="7" t="str">
        <f ca="1">'Database MK'!DI428</f>
        <v>Sudah, OnSchedule</v>
      </c>
      <c r="Q427" s="7" t="str">
        <f ca="1">'Database MK'!DN428</f>
        <v>Sudah, OnSchedule</v>
      </c>
      <c r="R427" s="7" t="str">
        <f ca="1">'Database MK'!DR428</f>
        <v>Sudah, OnSchedule</v>
      </c>
      <c r="S427" s="7" t="str">
        <f ca="1">'Database MK'!EA428</f>
        <v>Sudah, OnSchedule</v>
      </c>
      <c r="T427" s="7" t="str">
        <f ca="1">'Database MK'!EI428</f>
        <v>Belum, Delay</v>
      </c>
      <c r="U427" s="7" t="str">
        <f ca="1">'Database MK'!ET428</f>
        <v>Belum, OnSchedule</v>
      </c>
      <c r="V427" s="7" t="str">
        <f ca="1">'Database MK'!GA428</f>
        <v>Sudah, OnSchedule</v>
      </c>
      <c r="W427" s="7" t="str">
        <f ca="1">'Database MK'!GD428</f>
        <v>Sudah, OnSchedule</v>
      </c>
      <c r="X427" s="7" t="str">
        <f ca="1">'Database MK'!GG428</f>
        <v>Sudah, OnSchedule</v>
      </c>
      <c r="Y427" s="7" t="str">
        <f ca="1">'Database MK'!GK428</f>
        <v>Sudah, OnSchedule</v>
      </c>
      <c r="Z427" s="7" t="str">
        <f ca="1">'Database MK'!HH428</f>
        <v>Belum, OnSchedule</v>
      </c>
      <c r="AA427" s="7" t="str">
        <f ca="1">'Database MK'!HQ428</f>
        <v>Belum, OnSchedule</v>
      </c>
      <c r="AB427" s="7" t="str">
        <f ca="1">'Database MK'!HW428</f>
        <v>Belum, OnSchedule</v>
      </c>
      <c r="AC427" s="7">
        <f>'Database MK'!DA428-'Database MK'!DB428</f>
        <v>26</v>
      </c>
      <c r="AD427" s="7">
        <f>'Database MK'!DA428-'Database MK'!DF428</f>
        <v>23</v>
      </c>
      <c r="AE427" s="7">
        <f>'Database MK'!DK428-'Database MK'!DL428</f>
        <v>108</v>
      </c>
      <c r="AF427" s="7">
        <f>'Database MK'!DK428-'Database MK'!DO428</f>
        <v>87</v>
      </c>
      <c r="AG427" s="7">
        <f>'Database MK'!DU428-'Database MK'!DW428</f>
        <v>52</v>
      </c>
      <c r="AH427" s="7" t="str">
        <f>IF('Database MK'!EB428="","Belum",'Database MK'!DU428-'Database MK'!EB428)</f>
        <v>Belum</v>
      </c>
      <c r="AI427" s="7" t="str">
        <f>IF('Database MK'!EN428="","Belum",'Database MK'!EL428-'Database MK'!EN428)</f>
        <v>Belum</v>
      </c>
      <c r="AJ427" s="7">
        <f>'Database MK'!FY428-'Database MK'!FZ428</f>
        <v>63</v>
      </c>
      <c r="AK427" s="7">
        <f>IF('Database MK'!GC428="","Belum",'Database MK'!GB428-'Database MK'!GC428)</f>
        <v>62</v>
      </c>
      <c r="AL427" s="7">
        <f>IF('Database MK'!GF428="","Belum",'Database MK'!GE428-'Database MK'!GF428)</f>
        <v>69</v>
      </c>
      <c r="AM427" s="309">
        <f>IF('Database MK'!GJ428="","Belum",'Database MK'!GI428-'Database MK'!GJ428)</f>
        <v>69</v>
      </c>
      <c r="AN427" s="7" t="str">
        <f>IF('Database MK'!HG428="","Belum",'Database MK'!HF428-'Database MK'!HG428)</f>
        <v>Belum</v>
      </c>
      <c r="AO427" s="7" t="str">
        <f>IF('Database MK'!HP428="","Belum",'Database MK'!HN428-'Database MK'!HP428)</f>
        <v>Belum</v>
      </c>
      <c r="AP427" s="7" t="str">
        <f>IF('Database MK'!HV428="","Belum",'Database MK'!HT428-'Database MK'!HV428)</f>
        <v>Belum</v>
      </c>
    </row>
    <row r="428" spans="2:42" hidden="1" x14ac:dyDescent="0.2">
      <c r="B428" s="7">
        <f>SUBTOTAL(3,$C$4:C428)</f>
        <v>74</v>
      </c>
      <c r="C428" s="299" t="s">
        <v>673</v>
      </c>
      <c r="D428" s="4" t="s">
        <v>3371</v>
      </c>
      <c r="E428" s="4" t="s">
        <v>3372</v>
      </c>
      <c r="F428" s="300">
        <v>46296</v>
      </c>
      <c r="G428" s="4" t="s">
        <v>681</v>
      </c>
      <c r="H428" s="4" t="str">
        <f ca="1">'Database MK'!Q429</f>
        <v>MC-0</v>
      </c>
      <c r="I428" s="24">
        <f>'Database MK'!S429</f>
        <v>5.140280659816869E-2</v>
      </c>
      <c r="J428" s="24">
        <f>'Database MK'!T429</f>
        <v>5.2970065462267395E-2</v>
      </c>
      <c r="K428" s="603">
        <f>'Database MK'!U429</f>
        <v>1.5672588640987042E-3</v>
      </c>
      <c r="L428" s="593">
        <f>'Database MK'!V429</f>
        <v>1041</v>
      </c>
      <c r="M428" s="593">
        <f>'Database MK'!W429</f>
        <v>0</v>
      </c>
      <c r="N428" s="593">
        <f>Table3[[#This Row],[Total Panjang Pipa Aktual]]-Table3[[#This Row],[Volume
BA MC-0]]</f>
        <v>-1041</v>
      </c>
      <c r="O428" s="7" t="str">
        <f ca="1">'Database MK'!DE429</f>
        <v>Sudah, OnSchedule</v>
      </c>
      <c r="P428" s="7" t="str">
        <f ca="1">'Database MK'!DI429</f>
        <v>Sudah, OnSchedule</v>
      </c>
      <c r="Q428" s="7" t="str">
        <f ca="1">'Database MK'!DN429</f>
        <v>Sudah, OnSchedule</v>
      </c>
      <c r="R428" s="7" t="str">
        <f ca="1">'Database MK'!DR429</f>
        <v>Sudah, OnSchedule</v>
      </c>
      <c r="S428" s="7" t="str">
        <f ca="1">'Database MK'!EA429</f>
        <v>Sudah, OnSchedule</v>
      </c>
      <c r="T428" s="7" t="str">
        <f ca="1">'Database MK'!EI429</f>
        <v>Belum, Delay</v>
      </c>
      <c r="U428" s="7" t="str">
        <f ca="1">'Database MK'!ET429</f>
        <v>Belum, OnSchedule</v>
      </c>
      <c r="V428" s="7" t="str">
        <f ca="1">'Database MK'!GA429</f>
        <v>Sudah, OnSchedule</v>
      </c>
      <c r="W428" s="7" t="str">
        <f ca="1">'Database MK'!GD429</f>
        <v>Sudah, OnSchedule</v>
      </c>
      <c r="X428" s="7" t="str">
        <f ca="1">'Database MK'!GG429</f>
        <v>Sudah, OnSchedule</v>
      </c>
      <c r="Y428" s="7" t="str">
        <f ca="1">'Database MK'!GK429</f>
        <v>Sudah, OnSchedule</v>
      </c>
      <c r="Z428" s="7" t="str">
        <f ca="1">'Database MK'!HH429</f>
        <v>Belum, OnSchedule</v>
      </c>
      <c r="AA428" s="7" t="str">
        <f ca="1">'Database MK'!HQ429</f>
        <v>Belum, OnSchedule</v>
      </c>
      <c r="AB428" s="7" t="str">
        <f ca="1">'Database MK'!HW429</f>
        <v>Belum, OnSchedule</v>
      </c>
      <c r="AC428" s="7">
        <f>'Database MK'!DA429-'Database MK'!DB429</f>
        <v>26</v>
      </c>
      <c r="AD428" s="7">
        <f>'Database MK'!DA429-'Database MK'!DF429</f>
        <v>13</v>
      </c>
      <c r="AE428" s="7">
        <f>'Database MK'!DK429-'Database MK'!DL429</f>
        <v>107</v>
      </c>
      <c r="AF428" s="7">
        <f>'Database MK'!DK429-'Database MK'!DO429</f>
        <v>87</v>
      </c>
      <c r="AG428" s="7">
        <f>'Database MK'!DU429-'Database MK'!DW429</f>
        <v>51</v>
      </c>
      <c r="AH428" s="7" t="str">
        <f>IF('Database MK'!EB429="","Belum",'Database MK'!DU429-'Database MK'!EB429)</f>
        <v>Belum</v>
      </c>
      <c r="AI428" s="7" t="str">
        <f>IF('Database MK'!EN429="","Belum",'Database MK'!EL429-'Database MK'!EN429)</f>
        <v>Belum</v>
      </c>
      <c r="AJ428" s="7">
        <f>'Database MK'!FY429-'Database MK'!FZ429</f>
        <v>63</v>
      </c>
      <c r="AK428" s="7">
        <f>IF('Database MK'!GC429="","Belum",'Database MK'!GB429-'Database MK'!GC429)</f>
        <v>62</v>
      </c>
      <c r="AL428" s="7">
        <f>IF('Database MK'!GF429="","Belum",'Database MK'!GE429-'Database MK'!GF429)</f>
        <v>69</v>
      </c>
      <c r="AM428" s="309">
        <f>IF('Database MK'!GJ429="","Belum",'Database MK'!GI429-'Database MK'!GJ429)</f>
        <v>75</v>
      </c>
      <c r="AN428" s="7" t="str">
        <f>IF('Database MK'!HG429="","Belum",'Database MK'!HF429-'Database MK'!HG429)</f>
        <v>Belum</v>
      </c>
      <c r="AO428" s="7" t="str">
        <f>IF('Database MK'!HP429="","Belum",'Database MK'!HN429-'Database MK'!HP429)</f>
        <v>Belum</v>
      </c>
      <c r="AP428" s="7" t="str">
        <f>IF('Database MK'!HV429="","Belum",'Database MK'!HT429-'Database MK'!HV429)</f>
        <v>Belum</v>
      </c>
    </row>
    <row r="429" spans="2:42" hidden="1" x14ac:dyDescent="0.2">
      <c r="B429" s="7">
        <f>SUBTOTAL(3,$C$4:C429)</f>
        <v>74</v>
      </c>
      <c r="C429" s="299" t="s">
        <v>673</v>
      </c>
      <c r="D429" s="4" t="s">
        <v>3378</v>
      </c>
      <c r="E429" s="4" t="s">
        <v>3379</v>
      </c>
      <c r="F429" s="300">
        <v>46296</v>
      </c>
      <c r="G429" s="4" t="s">
        <v>681</v>
      </c>
      <c r="H429" s="4" t="str">
        <f ca="1">'Database MK'!Q430</f>
        <v>MC-0</v>
      </c>
      <c r="I429" s="24">
        <f>'Database MK'!S430</f>
        <v>0.18213866790005873</v>
      </c>
      <c r="J429" s="24">
        <f>'Database MK'!T430</f>
        <v>0.16820436075384093</v>
      </c>
      <c r="K429" s="603">
        <f>'Database MK'!U430</f>
        <v>-1.3934307146217795E-2</v>
      </c>
      <c r="L429" s="593">
        <f>'Database MK'!V430</f>
        <v>106</v>
      </c>
      <c r="M429" s="593">
        <f>'Database MK'!W430</f>
        <v>0</v>
      </c>
      <c r="N429" s="593">
        <f>Table3[[#This Row],[Total Panjang Pipa Aktual]]-Table3[[#This Row],[Volume
BA MC-0]]</f>
        <v>-106</v>
      </c>
      <c r="O429" s="7" t="str">
        <f ca="1">'Database MK'!DE430</f>
        <v>Sudah, OnSchedule</v>
      </c>
      <c r="P429" s="7" t="str">
        <f ca="1">'Database MK'!DI430</f>
        <v>Sudah, OnSchedule</v>
      </c>
      <c r="Q429" s="7" t="str">
        <f ca="1">'Database MK'!DN430</f>
        <v>Sudah, OnSchedule</v>
      </c>
      <c r="R429" s="7" t="str">
        <f ca="1">'Database MK'!DR430</f>
        <v>Sudah, OnSchedule</v>
      </c>
      <c r="S429" s="7" t="str">
        <f ca="1">'Database MK'!EA430</f>
        <v>Sudah, OnSchedule</v>
      </c>
      <c r="T429" s="7" t="str">
        <f ca="1">'Database MK'!EI430</f>
        <v>Belum, Delay</v>
      </c>
      <c r="U429" s="7" t="str">
        <f ca="1">'Database MK'!ET430</f>
        <v>Belum, OnSchedule</v>
      </c>
      <c r="V429" s="7" t="str">
        <f ca="1">'Database MK'!GA430</f>
        <v>Sudah, OnSchedule</v>
      </c>
      <c r="W429" s="7" t="str">
        <f ca="1">'Database MK'!GD430</f>
        <v>Sudah, OnSchedule</v>
      </c>
      <c r="X429" s="7" t="str">
        <f ca="1">'Database MK'!GG430</f>
        <v>Sudah, OnSchedule</v>
      </c>
      <c r="Y429" s="7" t="str">
        <f ca="1">'Database MK'!GK430</f>
        <v>Sudah, OnSchedule</v>
      </c>
      <c r="Z429" s="7" t="str">
        <f ca="1">'Database MK'!HH430</f>
        <v>Belum, OnSchedule</v>
      </c>
      <c r="AA429" s="7" t="str">
        <f ca="1">'Database MK'!HQ430</f>
        <v>Belum, OnSchedule</v>
      </c>
      <c r="AB429" s="7" t="str">
        <f ca="1">'Database MK'!HW430</f>
        <v>Belum, OnSchedule</v>
      </c>
      <c r="AC429" s="7">
        <f>'Database MK'!DA430-'Database MK'!DB430</f>
        <v>26</v>
      </c>
      <c r="AD429" s="7">
        <f>'Database MK'!DA430-'Database MK'!DF430</f>
        <v>23</v>
      </c>
      <c r="AE429" s="7">
        <f>'Database MK'!DK430-'Database MK'!DL430</f>
        <v>108</v>
      </c>
      <c r="AF429" s="7">
        <f>'Database MK'!DK430-'Database MK'!DO430</f>
        <v>90</v>
      </c>
      <c r="AG429" s="7">
        <f>'Database MK'!DU430-'Database MK'!DW430</f>
        <v>52</v>
      </c>
      <c r="AH429" s="7" t="str">
        <f>IF('Database MK'!EB430="","Belum",'Database MK'!DU430-'Database MK'!EB430)</f>
        <v>Belum</v>
      </c>
      <c r="AI429" s="7" t="str">
        <f>IF('Database MK'!EN430="","Belum",'Database MK'!EL430-'Database MK'!EN430)</f>
        <v>Belum</v>
      </c>
      <c r="AJ429" s="7">
        <f>'Database MK'!FY430-'Database MK'!FZ430</f>
        <v>63</v>
      </c>
      <c r="AK429" s="7">
        <f>IF('Database MK'!GC430="","Belum",'Database MK'!GB430-'Database MK'!GC430)</f>
        <v>62</v>
      </c>
      <c r="AL429" s="7">
        <f>IF('Database MK'!GF430="","Belum",'Database MK'!GE430-'Database MK'!GF430)</f>
        <v>69</v>
      </c>
      <c r="AM429" s="309">
        <f>IF('Database MK'!GJ430="","Belum",'Database MK'!GI430-'Database MK'!GJ430)</f>
        <v>75</v>
      </c>
      <c r="AN429" s="7" t="str">
        <f>IF('Database MK'!HG430="","Belum",'Database MK'!HF430-'Database MK'!HG430)</f>
        <v>Belum</v>
      </c>
      <c r="AO429" s="7" t="str">
        <f>IF('Database MK'!HP430="","Belum",'Database MK'!HN430-'Database MK'!HP430)</f>
        <v>Belum</v>
      </c>
      <c r="AP429" s="7" t="str">
        <f>IF('Database MK'!HV430="","Belum",'Database MK'!HT430-'Database MK'!HV430)</f>
        <v>Belum</v>
      </c>
    </row>
    <row r="430" spans="2:42" hidden="1" x14ac:dyDescent="0.2">
      <c r="B430" s="7">
        <f>SUBTOTAL(3,$C$4:C430)</f>
        <v>74</v>
      </c>
      <c r="C430" s="299" t="s">
        <v>673</v>
      </c>
      <c r="D430" s="4" t="s">
        <v>3384</v>
      </c>
      <c r="E430" s="4" t="s">
        <v>3385</v>
      </c>
      <c r="F430" s="300">
        <v>46296</v>
      </c>
      <c r="G430" s="4" t="s">
        <v>681</v>
      </c>
      <c r="H430" s="4" t="str">
        <f ca="1">'Database MK'!Q431</f>
        <v>MC-0</v>
      </c>
      <c r="I430" s="24">
        <f>'Database MK'!S431</f>
        <v>0.40361415020812474</v>
      </c>
      <c r="J430" s="24">
        <f>'Database MK'!T431</f>
        <v>0.13820611539474972</v>
      </c>
      <c r="K430" s="603">
        <f>'Database MK'!U431</f>
        <v>-0.26540803481337505</v>
      </c>
      <c r="L430" s="593">
        <f>'Database MK'!V431</f>
        <v>15</v>
      </c>
      <c r="M430" s="593">
        <f>'Database MK'!W431</f>
        <v>0</v>
      </c>
      <c r="N430" s="593">
        <f>Table3[[#This Row],[Total Panjang Pipa Aktual]]-Table3[[#This Row],[Volume
BA MC-0]]</f>
        <v>-15</v>
      </c>
      <c r="O430" s="7" t="str">
        <f ca="1">'Database MK'!DE431</f>
        <v>Sudah, OnSchedule</v>
      </c>
      <c r="P430" s="7" t="str">
        <f ca="1">'Database MK'!DI431</f>
        <v>Sudah, OnSchedule</v>
      </c>
      <c r="Q430" s="7" t="str">
        <f ca="1">'Database MK'!DN431</f>
        <v>Sudah, OnSchedule</v>
      </c>
      <c r="R430" s="7" t="str">
        <f ca="1">'Database MK'!DR431</f>
        <v>Sudah, OnSchedule</v>
      </c>
      <c r="S430" s="7" t="str">
        <f ca="1">'Database MK'!EA431</f>
        <v>Sudah, OnSchedule</v>
      </c>
      <c r="T430" s="7" t="str">
        <f ca="1">'Database MK'!EI431</f>
        <v>Belum, Delay</v>
      </c>
      <c r="U430" s="7" t="str">
        <f ca="1">'Database MK'!ET431</f>
        <v>Belum, OnSchedule</v>
      </c>
      <c r="V430" s="7" t="str">
        <f ca="1">'Database MK'!GA431</f>
        <v>Sudah, OnSchedule</v>
      </c>
      <c r="W430" s="7" t="str">
        <f ca="1">'Database MK'!GD431</f>
        <v>Sudah, OnSchedule</v>
      </c>
      <c r="X430" s="7" t="str">
        <f ca="1">'Database MK'!GG431</f>
        <v>Sudah, OnSchedule</v>
      </c>
      <c r="Y430" s="7" t="str">
        <f ca="1">'Database MK'!GK431</f>
        <v>Sudah, OnSchedule</v>
      </c>
      <c r="Z430" s="7" t="str">
        <f ca="1">'Database MK'!HH431</f>
        <v>Belum, OnSchedule</v>
      </c>
      <c r="AA430" s="7" t="str">
        <f ca="1">'Database MK'!HQ431</f>
        <v>Belum, OnSchedule</v>
      </c>
      <c r="AB430" s="7" t="str">
        <f ca="1">'Database MK'!HW431</f>
        <v>Belum, OnSchedule</v>
      </c>
      <c r="AC430" s="7">
        <f>'Database MK'!DA431-'Database MK'!DB431</f>
        <v>26</v>
      </c>
      <c r="AD430" s="7">
        <f>'Database MK'!DA431-'Database MK'!DF431</f>
        <v>12</v>
      </c>
      <c r="AE430" s="7">
        <f>'Database MK'!DK431-'Database MK'!DL431</f>
        <v>107</v>
      </c>
      <c r="AF430" s="7">
        <f>'Database MK'!DK431-'Database MK'!DO431</f>
        <v>87</v>
      </c>
      <c r="AG430" s="7">
        <f>'Database MK'!DU431-'Database MK'!DW431</f>
        <v>51</v>
      </c>
      <c r="AH430" s="7" t="str">
        <f>IF('Database MK'!EB431="","Belum",'Database MK'!DU431-'Database MK'!EB431)</f>
        <v>Belum</v>
      </c>
      <c r="AI430" s="7" t="str">
        <f>IF('Database MK'!EN431="","Belum",'Database MK'!EL431-'Database MK'!EN431)</f>
        <v>Belum</v>
      </c>
      <c r="AJ430" s="7">
        <f>'Database MK'!FY431-'Database MK'!FZ431</f>
        <v>63</v>
      </c>
      <c r="AK430" s="7">
        <f>IF('Database MK'!GC431="","Belum",'Database MK'!GB431-'Database MK'!GC431)</f>
        <v>62</v>
      </c>
      <c r="AL430" s="7">
        <f>IF('Database MK'!GF431="","Belum",'Database MK'!GE431-'Database MK'!GF431)</f>
        <v>69</v>
      </c>
      <c r="AM430" s="309">
        <f>IF('Database MK'!GJ431="","Belum",'Database MK'!GI431-'Database MK'!GJ431)</f>
        <v>69</v>
      </c>
      <c r="AN430" s="7" t="str">
        <f>IF('Database MK'!HG431="","Belum",'Database MK'!HF431-'Database MK'!HG431)</f>
        <v>Belum</v>
      </c>
      <c r="AO430" s="7" t="str">
        <f>IF('Database MK'!HP431="","Belum",'Database MK'!HN431-'Database MK'!HP431)</f>
        <v>Belum</v>
      </c>
      <c r="AP430" s="7" t="str">
        <f>IF('Database MK'!HV431="","Belum",'Database MK'!HT431-'Database MK'!HV431)</f>
        <v>Belum</v>
      </c>
    </row>
    <row r="431" spans="2:42" hidden="1" x14ac:dyDescent="0.2">
      <c r="B431" s="7">
        <f>SUBTOTAL(3,$C$4:C431)</f>
        <v>74</v>
      </c>
      <c r="C431" s="299" t="s">
        <v>673</v>
      </c>
      <c r="D431" s="4" t="s">
        <v>3391</v>
      </c>
      <c r="E431" s="4" t="s">
        <v>3392</v>
      </c>
      <c r="F431" s="300">
        <v>46296</v>
      </c>
      <c r="G431" s="4" t="s">
        <v>681</v>
      </c>
      <c r="H431" s="4" t="str">
        <f ca="1">'Database MK'!Q432</f>
        <v>Persiapan</v>
      </c>
      <c r="I431" s="24">
        <f>'Database MK'!S432</f>
        <v>0</v>
      </c>
      <c r="J431" s="24">
        <f>'Database MK'!T432</f>
        <v>0</v>
      </c>
      <c r="K431" s="603">
        <f>'Database MK'!U432</f>
        <v>0</v>
      </c>
      <c r="L431" s="593">
        <f>'Database MK'!V432</f>
        <v>0</v>
      </c>
      <c r="M431" s="593">
        <f>'Database MK'!W432</f>
        <v>0</v>
      </c>
      <c r="N431" s="593">
        <f>Table3[[#This Row],[Total Panjang Pipa Aktual]]-Table3[[#This Row],[Volume
BA MC-0]]</f>
        <v>0</v>
      </c>
      <c r="O431" s="7" t="str">
        <f ca="1">'Database MK'!DE432</f>
        <v>Belum, Delay</v>
      </c>
      <c r="P431" s="7" t="str">
        <f ca="1">'Database MK'!DI432</f>
        <v>Belum, Delay</v>
      </c>
      <c r="Q431" s="7" t="str">
        <f ca="1">'Database MK'!DN432</f>
        <v>Belum, Delay</v>
      </c>
      <c r="R431" s="7" t="str">
        <f ca="1">'Database MK'!DR432</f>
        <v>Belum, Delay</v>
      </c>
      <c r="S431" s="7" t="str">
        <f ca="1">'Database MK'!EA432</f>
        <v>Belum, Delay</v>
      </c>
      <c r="T431" s="7" t="str">
        <f ca="1">'Database MK'!EI432</f>
        <v>Belum, Delay</v>
      </c>
      <c r="U431" s="7" t="str">
        <f ca="1">'Database MK'!ET432</f>
        <v>Belum, Delay</v>
      </c>
      <c r="V431" s="7" t="str">
        <f ca="1">'Database MK'!GA432</f>
        <v>Belum, Delay</v>
      </c>
      <c r="W431" s="7" t="str">
        <f ca="1">'Database MK'!GD432</f>
        <v>Belum, Delay</v>
      </c>
      <c r="X431" s="7" t="str">
        <f ca="1">'Database MK'!GG432</f>
        <v>Belum, Delay</v>
      </c>
      <c r="Y431" s="7" t="str">
        <f ca="1">'Database MK'!GK432</f>
        <v>Belum, Delay</v>
      </c>
      <c r="Z431" s="7" t="str">
        <f ca="1">'Database MK'!HH432</f>
        <v>Belum, Delay</v>
      </c>
      <c r="AA431" s="7" t="str">
        <f ca="1">'Database MK'!HQ432</f>
        <v>Belum, Delay</v>
      </c>
      <c r="AB431" s="7" t="str">
        <f ca="1">'Database MK'!HW432</f>
        <v>Belum, Delay</v>
      </c>
      <c r="AC431" s="7">
        <f>'Database MK'!DA432-'Database MK'!DB432</f>
        <v>0</v>
      </c>
      <c r="AD431" s="7">
        <f>'Database MK'!DA432-'Database MK'!DF432</f>
        <v>0</v>
      </c>
      <c r="AE431" s="7">
        <f>'Database MK'!DK432-'Database MK'!DL432</f>
        <v>0</v>
      </c>
      <c r="AF431" s="7">
        <f>'Database MK'!DK432-'Database MK'!DO432</f>
        <v>0</v>
      </c>
      <c r="AG431" s="7">
        <f>'Database MK'!DU432-'Database MK'!DW432</f>
        <v>0</v>
      </c>
      <c r="AH431" s="7" t="str">
        <f>IF('Database MK'!EB432="","Belum",'Database MK'!DU432-'Database MK'!EB432)</f>
        <v>Belum</v>
      </c>
      <c r="AI431" s="7" t="str">
        <f>IF('Database MK'!EN432="","Belum",'Database MK'!EL432-'Database MK'!EN432)</f>
        <v>Belum</v>
      </c>
      <c r="AJ431" s="7">
        <f>'Database MK'!FY432-'Database MK'!FZ432</f>
        <v>0</v>
      </c>
      <c r="AK431" s="7" t="str">
        <f>IF('Database MK'!GC432="","Belum",'Database MK'!GB432-'Database MK'!GC432)</f>
        <v>Belum</v>
      </c>
      <c r="AL431" s="7" t="str">
        <f>IF('Database MK'!GF432="","Belum",'Database MK'!GE432-'Database MK'!GF432)</f>
        <v>Belum</v>
      </c>
      <c r="AM431" s="309" t="str">
        <f>IF('Database MK'!GJ432="","Belum",'Database MK'!GI432-'Database MK'!GJ432)</f>
        <v>Belum</v>
      </c>
      <c r="AN431" s="7" t="str">
        <f>IF('Database MK'!HG432="","Belum",'Database MK'!HF432-'Database MK'!HG432)</f>
        <v>Belum</v>
      </c>
      <c r="AO431" s="7" t="str">
        <f>IF('Database MK'!HP432="","Belum",'Database MK'!HN432-'Database MK'!HP432)</f>
        <v>Belum</v>
      </c>
      <c r="AP431" s="7" t="str">
        <f>IF('Database MK'!HV432="","Belum",'Database MK'!HT432-'Database MK'!HV432)</f>
        <v>Belum</v>
      </c>
    </row>
    <row r="432" spans="2:42" hidden="1" x14ac:dyDescent="0.2">
      <c r="B432" s="7">
        <f>SUBTOTAL(3,$C$4:C432)</f>
        <v>74</v>
      </c>
      <c r="C432" s="299" t="s">
        <v>673</v>
      </c>
      <c r="D432" s="4" t="s">
        <v>3393</v>
      </c>
      <c r="E432" s="4" t="s">
        <v>3394</v>
      </c>
      <c r="F432" s="300">
        <v>46296</v>
      </c>
      <c r="G432" s="4" t="s">
        <v>681</v>
      </c>
      <c r="H432" s="4" t="str">
        <f ca="1">'Database MK'!Q433</f>
        <v>Persiapan</v>
      </c>
      <c r="I432" s="24">
        <f>'Database MK'!S433</f>
        <v>0</v>
      </c>
      <c r="J432" s="24">
        <f>'Database MK'!T433</f>
        <v>0</v>
      </c>
      <c r="K432" s="603">
        <f>'Database MK'!U433</f>
        <v>0</v>
      </c>
      <c r="L432" s="593">
        <f>'Database MK'!V433</f>
        <v>0</v>
      </c>
      <c r="M432" s="593">
        <f>'Database MK'!W433</f>
        <v>0</v>
      </c>
      <c r="N432" s="593">
        <f>Table3[[#This Row],[Total Panjang Pipa Aktual]]-Table3[[#This Row],[Volume
BA MC-0]]</f>
        <v>0</v>
      </c>
      <c r="O432" s="7" t="str">
        <f ca="1">'Database MK'!DE433</f>
        <v>Belum, Delay</v>
      </c>
      <c r="P432" s="7" t="str">
        <f ca="1">'Database MK'!DI433</f>
        <v>Belum, Delay</v>
      </c>
      <c r="Q432" s="7" t="str">
        <f ca="1">'Database MK'!DN433</f>
        <v>Belum, Delay</v>
      </c>
      <c r="R432" s="7" t="str">
        <f ca="1">'Database MK'!DR433</f>
        <v>Belum, Delay</v>
      </c>
      <c r="S432" s="7" t="str">
        <f ca="1">'Database MK'!EA433</f>
        <v>Belum, Delay</v>
      </c>
      <c r="T432" s="7" t="str">
        <f ca="1">'Database MK'!EI433</f>
        <v>Belum, Delay</v>
      </c>
      <c r="U432" s="7" t="str">
        <f ca="1">'Database MK'!ET433</f>
        <v>Belum, Delay</v>
      </c>
      <c r="V432" s="7" t="str">
        <f ca="1">'Database MK'!GA433</f>
        <v>Belum, Delay</v>
      </c>
      <c r="W432" s="7" t="str">
        <f ca="1">'Database MK'!GD433</f>
        <v>Belum, Delay</v>
      </c>
      <c r="X432" s="7" t="str">
        <f ca="1">'Database MK'!GG433</f>
        <v>Belum, Delay</v>
      </c>
      <c r="Y432" s="7" t="str">
        <f ca="1">'Database MK'!GK433</f>
        <v>Belum, Delay</v>
      </c>
      <c r="Z432" s="7" t="str">
        <f ca="1">'Database MK'!HH433</f>
        <v>Belum, Delay</v>
      </c>
      <c r="AA432" s="7" t="str">
        <f ca="1">'Database MK'!HQ433</f>
        <v>Belum, Delay</v>
      </c>
      <c r="AB432" s="7" t="str">
        <f ca="1">'Database MK'!HW433</f>
        <v>Belum, Delay</v>
      </c>
      <c r="AC432" s="7">
        <f>'Database MK'!DA433-'Database MK'!DB433</f>
        <v>0</v>
      </c>
      <c r="AD432" s="7">
        <f>'Database MK'!DA433-'Database MK'!DF433</f>
        <v>0</v>
      </c>
      <c r="AE432" s="7">
        <f>'Database MK'!DK433-'Database MK'!DL433</f>
        <v>0</v>
      </c>
      <c r="AF432" s="7">
        <f>'Database MK'!DK433-'Database MK'!DO433</f>
        <v>0</v>
      </c>
      <c r="AG432" s="7">
        <f>'Database MK'!DU433-'Database MK'!DW433</f>
        <v>0</v>
      </c>
      <c r="AH432" s="7" t="str">
        <f>IF('Database MK'!EB433="","Belum",'Database MK'!DU433-'Database MK'!EB433)</f>
        <v>Belum</v>
      </c>
      <c r="AI432" s="7" t="str">
        <f>IF('Database MK'!EN433="","Belum",'Database MK'!EL433-'Database MK'!EN433)</f>
        <v>Belum</v>
      </c>
      <c r="AJ432" s="7">
        <f>'Database MK'!FY433-'Database MK'!FZ433</f>
        <v>0</v>
      </c>
      <c r="AK432" s="7" t="str">
        <f>IF('Database MK'!GC433="","Belum",'Database MK'!GB433-'Database MK'!GC433)</f>
        <v>Belum</v>
      </c>
      <c r="AL432" s="7" t="str">
        <f>IF('Database MK'!GF433="","Belum",'Database MK'!GE433-'Database MK'!GF433)</f>
        <v>Belum</v>
      </c>
      <c r="AM432" s="309" t="str">
        <f>IF('Database MK'!GJ433="","Belum",'Database MK'!GI433-'Database MK'!GJ433)</f>
        <v>Belum</v>
      </c>
      <c r="AN432" s="7" t="str">
        <f>IF('Database MK'!HG433="","Belum",'Database MK'!HF433-'Database MK'!HG433)</f>
        <v>Belum</v>
      </c>
      <c r="AO432" s="7" t="str">
        <f>IF('Database MK'!HP433="","Belum",'Database MK'!HN433-'Database MK'!HP433)</f>
        <v>Belum</v>
      </c>
      <c r="AP432" s="7" t="str">
        <f>IF('Database MK'!HV433="","Belum",'Database MK'!HT433-'Database MK'!HV433)</f>
        <v>Belum</v>
      </c>
    </row>
    <row r="433" spans="2:42" hidden="1" x14ac:dyDescent="0.2">
      <c r="B433" s="7">
        <f>SUBTOTAL(3,$C$4:C433)</f>
        <v>74</v>
      </c>
      <c r="C433" s="299" t="s">
        <v>673</v>
      </c>
      <c r="D433" s="4" t="s">
        <v>3395</v>
      </c>
      <c r="E433" s="4" t="s">
        <v>3396</v>
      </c>
      <c r="F433" s="300">
        <v>46296</v>
      </c>
      <c r="G433" s="4" t="s">
        <v>681</v>
      </c>
      <c r="H433" s="4" t="str">
        <f ca="1">'Database MK'!Q434</f>
        <v>Persiapan</v>
      </c>
      <c r="I433" s="24">
        <f>'Database MK'!S434</f>
        <v>0</v>
      </c>
      <c r="J433" s="24">
        <f>'Database MK'!T434</f>
        <v>0</v>
      </c>
      <c r="K433" s="603">
        <f>'Database MK'!U434</f>
        <v>0</v>
      </c>
      <c r="L433" s="593">
        <f>'Database MK'!V434</f>
        <v>0</v>
      </c>
      <c r="M433" s="593">
        <f>'Database MK'!W434</f>
        <v>0</v>
      </c>
      <c r="N433" s="593">
        <f>Table3[[#This Row],[Total Panjang Pipa Aktual]]-Table3[[#This Row],[Volume
BA MC-0]]</f>
        <v>0</v>
      </c>
      <c r="O433" s="7" t="str">
        <f ca="1">'Database MK'!DE434</f>
        <v>Belum, Delay</v>
      </c>
      <c r="P433" s="7" t="str">
        <f ca="1">'Database MK'!DI434</f>
        <v>Belum, Delay</v>
      </c>
      <c r="Q433" s="7" t="str">
        <f ca="1">'Database MK'!DN434</f>
        <v>Belum, Delay</v>
      </c>
      <c r="R433" s="7" t="str">
        <f ca="1">'Database MK'!DR434</f>
        <v>Belum, Delay</v>
      </c>
      <c r="S433" s="7" t="str">
        <f ca="1">'Database MK'!EA434</f>
        <v>Belum, Delay</v>
      </c>
      <c r="T433" s="7" t="str">
        <f ca="1">'Database MK'!EI434</f>
        <v>Belum, Delay</v>
      </c>
      <c r="U433" s="7" t="str">
        <f ca="1">'Database MK'!ET434</f>
        <v>Belum, Delay</v>
      </c>
      <c r="V433" s="7" t="str">
        <f ca="1">'Database MK'!GA434</f>
        <v>Belum, Delay</v>
      </c>
      <c r="W433" s="7" t="str">
        <f ca="1">'Database MK'!GD434</f>
        <v>Belum, Delay</v>
      </c>
      <c r="X433" s="7" t="str">
        <f ca="1">'Database MK'!GG434</f>
        <v>Belum, Delay</v>
      </c>
      <c r="Y433" s="7" t="str">
        <f ca="1">'Database MK'!GK434</f>
        <v>Belum, Delay</v>
      </c>
      <c r="Z433" s="7" t="str">
        <f ca="1">'Database MK'!HH434</f>
        <v>Belum, Delay</v>
      </c>
      <c r="AA433" s="7" t="str">
        <f ca="1">'Database MK'!HQ434</f>
        <v>Belum, Delay</v>
      </c>
      <c r="AB433" s="7" t="str">
        <f ca="1">'Database MK'!HW434</f>
        <v>Belum, Delay</v>
      </c>
      <c r="AC433" s="7">
        <f>'Database MK'!DA434-'Database MK'!DB434</f>
        <v>0</v>
      </c>
      <c r="AD433" s="7">
        <f>'Database MK'!DA434-'Database MK'!DF434</f>
        <v>0</v>
      </c>
      <c r="AE433" s="7">
        <f>'Database MK'!DK434-'Database MK'!DL434</f>
        <v>0</v>
      </c>
      <c r="AF433" s="7">
        <f>'Database MK'!DK434-'Database MK'!DO434</f>
        <v>0</v>
      </c>
      <c r="AG433" s="7">
        <f>'Database MK'!DU434-'Database MK'!DW434</f>
        <v>0</v>
      </c>
      <c r="AH433" s="7" t="str">
        <f>IF('Database MK'!EB434="","Belum",'Database MK'!DU434-'Database MK'!EB434)</f>
        <v>Belum</v>
      </c>
      <c r="AI433" s="7" t="str">
        <f>IF('Database MK'!EN434="","Belum",'Database MK'!EL434-'Database MK'!EN434)</f>
        <v>Belum</v>
      </c>
      <c r="AJ433" s="7">
        <f>'Database MK'!FY434-'Database MK'!FZ434</f>
        <v>0</v>
      </c>
      <c r="AK433" s="7" t="str">
        <f>IF('Database MK'!GC434="","Belum",'Database MK'!GB434-'Database MK'!GC434)</f>
        <v>Belum</v>
      </c>
      <c r="AL433" s="7" t="str">
        <f>IF('Database MK'!GF434="","Belum",'Database MK'!GE434-'Database MK'!GF434)</f>
        <v>Belum</v>
      </c>
      <c r="AM433" s="309" t="str">
        <f>IF('Database MK'!GJ434="","Belum",'Database MK'!GI434-'Database MK'!GJ434)</f>
        <v>Belum</v>
      </c>
      <c r="AN433" s="7" t="str">
        <f>IF('Database MK'!HG434="","Belum",'Database MK'!HF434-'Database MK'!HG434)</f>
        <v>Belum</v>
      </c>
      <c r="AO433" s="7" t="str">
        <f>IF('Database MK'!HP434="","Belum",'Database MK'!HN434-'Database MK'!HP434)</f>
        <v>Belum</v>
      </c>
      <c r="AP433" s="7" t="str">
        <f>IF('Database MK'!HV434="","Belum",'Database MK'!HT434-'Database MK'!HV434)</f>
        <v>Belum</v>
      </c>
    </row>
    <row r="434" spans="2:42" hidden="1" x14ac:dyDescent="0.2">
      <c r="B434" s="7">
        <f>SUBTOTAL(3,$C$4:C434)</f>
        <v>74</v>
      </c>
      <c r="C434" s="299" t="s">
        <v>629</v>
      </c>
      <c r="D434" s="4" t="s">
        <v>3397</v>
      </c>
      <c r="E434" s="4" t="s">
        <v>3398</v>
      </c>
      <c r="F434" s="300">
        <v>46296</v>
      </c>
      <c r="G434" s="4" t="s">
        <v>681</v>
      </c>
      <c r="H434" s="4" t="str">
        <f ca="1">'Database MK'!Q435</f>
        <v>Tes Com</v>
      </c>
      <c r="I434" s="24">
        <f>'Database MK'!S435</f>
        <v>0.99999999999999989</v>
      </c>
      <c r="J434" s="24">
        <f>'Database MK'!T435</f>
        <v>8.0256272879410812E-2</v>
      </c>
      <c r="K434" s="603">
        <f>'Database MK'!U435</f>
        <v>-0.91974372712058905</v>
      </c>
      <c r="L434" s="593">
        <f>'Database MK'!V435</f>
        <v>1756.6</v>
      </c>
      <c r="M434" s="593">
        <f>'Database MK'!W435</f>
        <v>1941.4</v>
      </c>
      <c r="N434" s="593">
        <f>Table3[[#This Row],[Total Panjang Pipa Aktual]]-Table3[[#This Row],[Volume
BA MC-0]]</f>
        <v>184.80000000000018</v>
      </c>
      <c r="O434" s="7" t="str">
        <f ca="1">'Database MK'!DE435</f>
        <v>Sudah, OnSchedule</v>
      </c>
      <c r="P434" s="7" t="str">
        <f ca="1">'Database MK'!DI435</f>
        <v>Sudah, OnSchedule</v>
      </c>
      <c r="Q434" s="7" t="str">
        <f ca="1">'Database MK'!DN435</f>
        <v>Sudah, OnSchedule</v>
      </c>
      <c r="R434" s="7" t="str">
        <f ca="1">'Database MK'!DR435</f>
        <v>Sudah, OnSchedule</v>
      </c>
      <c r="S434" s="7" t="str">
        <f ca="1">'Database MK'!EA435</f>
        <v>Sudah, OnSchedule</v>
      </c>
      <c r="T434" s="7" t="str">
        <f ca="1">'Database MK'!EI435</f>
        <v>Sudah, Delay</v>
      </c>
      <c r="U434" s="7" t="str">
        <f ca="1">'Database MK'!ET435</f>
        <v>Belum, Delay</v>
      </c>
      <c r="V434" s="7" t="str">
        <f ca="1">'Database MK'!GA435</f>
        <v>Sudah, OnSchedule</v>
      </c>
      <c r="W434" s="7" t="str">
        <f ca="1">'Database MK'!GD435</f>
        <v>Sudah, OnSchedule</v>
      </c>
      <c r="X434" s="7" t="str">
        <f ca="1">'Database MK'!GG435</f>
        <v>Sudah, OnSchedule</v>
      </c>
      <c r="Y434" s="7" t="str">
        <f ca="1">'Database MK'!GK435</f>
        <v>Sudah, OnSchedule</v>
      </c>
      <c r="Z434" s="7" t="str">
        <f ca="1">'Database MK'!HH435</f>
        <v>Sudah, OnSchedule</v>
      </c>
      <c r="AA434" s="7" t="str">
        <f ca="1">'Database MK'!HQ435</f>
        <v>Belum, Delay</v>
      </c>
      <c r="AB434" s="7" t="str">
        <f ca="1">'Database MK'!HW435</f>
        <v>Belum, Delay</v>
      </c>
      <c r="AC434" s="7">
        <f>'Database MK'!DA435-'Database MK'!DB435</f>
        <v>25</v>
      </c>
      <c r="AD434" s="7">
        <f>'Database MK'!DA435-'Database MK'!DF435</f>
        <v>6</v>
      </c>
      <c r="AE434" s="7">
        <f>'Database MK'!DK435-'Database MK'!DL435</f>
        <v>41</v>
      </c>
      <c r="AF434" s="7">
        <f>'Database MK'!DK435-'Database MK'!DO435</f>
        <v>20</v>
      </c>
      <c r="AG434" s="7">
        <f>'Database MK'!DU435-'Database MK'!DW435</f>
        <v>20</v>
      </c>
      <c r="AH434" s="7">
        <f>IF('Database MK'!EB435="","Belum",'Database MK'!DU435-'Database MK'!EB435)</f>
        <v>-46</v>
      </c>
      <c r="AI434" s="7" t="str">
        <f>IF('Database MK'!EN435="","Belum",'Database MK'!EL435-'Database MK'!EN435)</f>
        <v>Belum</v>
      </c>
      <c r="AJ434" s="7">
        <f>'Database MK'!FY435-'Database MK'!FZ435</f>
        <v>73</v>
      </c>
      <c r="AK434" s="7">
        <f>IF('Database MK'!GC435="","Belum",'Database MK'!GB435-'Database MK'!GC435)</f>
        <v>45</v>
      </c>
      <c r="AL434" s="7">
        <f>IF('Database MK'!GF435="","Belum",'Database MK'!GE435-'Database MK'!GF435)</f>
        <v>52</v>
      </c>
      <c r="AM434" s="309">
        <f>IF('Database MK'!GJ435="","Belum",'Database MK'!GI435-'Database MK'!GJ435)</f>
        <v>61</v>
      </c>
      <c r="AN434" s="7">
        <f>IF('Database MK'!HG435="","Belum",'Database MK'!HF435-'Database MK'!HG435)</f>
        <v>61</v>
      </c>
      <c r="AO434" s="7" t="str">
        <f>IF('Database MK'!HP435="","Belum",'Database MK'!HN435-'Database MK'!HP435)</f>
        <v>Belum</v>
      </c>
      <c r="AP434" s="7" t="str">
        <f>IF('Database MK'!HV435="","Belum",'Database MK'!HT435-'Database MK'!HV435)</f>
        <v>Belum</v>
      </c>
    </row>
    <row r="435" spans="2:42" hidden="1" x14ac:dyDescent="0.2">
      <c r="B435" s="7">
        <f>SUBTOTAL(3,$C$4:C435)</f>
        <v>74</v>
      </c>
      <c r="C435" s="299" t="s">
        <v>629</v>
      </c>
      <c r="D435" s="4" t="s">
        <v>3406</v>
      </c>
      <c r="E435" s="4" t="s">
        <v>3407</v>
      </c>
      <c r="F435" s="300">
        <v>46296</v>
      </c>
      <c r="G435" s="4" t="s">
        <v>681</v>
      </c>
      <c r="H435" s="4" t="str">
        <f ca="1">'Database MK'!Q436</f>
        <v>DPPP</v>
      </c>
      <c r="I435" s="24">
        <f>'Database MK'!S436</f>
        <v>0.99999999999999989</v>
      </c>
      <c r="J435" s="24">
        <f>'Database MK'!T436</f>
        <v>1</v>
      </c>
      <c r="K435" s="603">
        <f>'Database MK'!U436</f>
        <v>0</v>
      </c>
      <c r="L435" s="593">
        <f>'Database MK'!V436</f>
        <v>438.8</v>
      </c>
      <c r="M435" s="593">
        <f>'Database MK'!W436</f>
        <v>475</v>
      </c>
      <c r="N435" s="593">
        <f>Table3[[#This Row],[Total Panjang Pipa Aktual]]-Table3[[#This Row],[Volume
BA MC-0]]</f>
        <v>36.199999999999989</v>
      </c>
      <c r="O435" s="7" t="str">
        <f ca="1">'Database MK'!DE436</f>
        <v>Sudah, OnSchedule</v>
      </c>
      <c r="P435" s="7" t="str">
        <f ca="1">'Database MK'!DI436</f>
        <v>Sudah, OnSchedule</v>
      </c>
      <c r="Q435" s="7" t="str">
        <f ca="1">'Database MK'!DN436</f>
        <v>Sudah, OnSchedule</v>
      </c>
      <c r="R435" s="7" t="str">
        <f ca="1">'Database MK'!DR436</f>
        <v>Sudah, OnSchedule</v>
      </c>
      <c r="S435" s="7" t="str">
        <f ca="1">'Database MK'!EA436</f>
        <v>Sudah, OnSchedule</v>
      </c>
      <c r="T435" s="7" t="str">
        <f ca="1">'Database MK'!EI436</f>
        <v>Belum, Delay</v>
      </c>
      <c r="U435" s="7" t="str">
        <f ca="1">'Database MK'!ET436</f>
        <v>Belum, Delay</v>
      </c>
      <c r="V435" s="7" t="str">
        <f ca="1">'Database MK'!GA436</f>
        <v>Sudah, OnSchedule</v>
      </c>
      <c r="W435" s="7" t="str">
        <f ca="1">'Database MK'!GD436</f>
        <v>Sudah, OnSchedule</v>
      </c>
      <c r="X435" s="7" t="str">
        <f ca="1">'Database MK'!GG436</f>
        <v>Sudah, OnSchedule</v>
      </c>
      <c r="Y435" s="7" t="str">
        <f ca="1">'Database MK'!GK436</f>
        <v>Sudah, OnSchedule</v>
      </c>
      <c r="Z435" s="7" t="str">
        <f ca="1">'Database MK'!HH436</f>
        <v>Sudah, OnSchedule</v>
      </c>
      <c r="AA435" s="7" t="str">
        <f ca="1">'Database MK'!HQ436</f>
        <v>Sudah, Delay</v>
      </c>
      <c r="AB435" s="7" t="str">
        <f ca="1">'Database MK'!HW436</f>
        <v>Sudah, Delay</v>
      </c>
      <c r="AC435" s="7">
        <f>'Database MK'!DA436-'Database MK'!DB436</f>
        <v>31</v>
      </c>
      <c r="AD435" s="7">
        <f>'Database MK'!DA436-'Database MK'!DF436</f>
        <v>6</v>
      </c>
      <c r="AE435" s="7">
        <f>'Database MK'!DK436-'Database MK'!DL436</f>
        <v>41</v>
      </c>
      <c r="AF435" s="7">
        <f>'Database MK'!DK436-'Database MK'!DO436</f>
        <v>20</v>
      </c>
      <c r="AG435" s="7">
        <f>'Database MK'!DU436-'Database MK'!DW436</f>
        <v>20</v>
      </c>
      <c r="AH435" s="7" t="str">
        <f>IF('Database MK'!EB436="","Belum",'Database MK'!DU436-'Database MK'!EB436)</f>
        <v>Belum</v>
      </c>
      <c r="AI435" s="7" t="str">
        <f>IF('Database MK'!EN436="","Belum",'Database MK'!EL436-'Database MK'!EN436)</f>
        <v>Belum</v>
      </c>
      <c r="AJ435" s="7">
        <f>'Database MK'!FY436-'Database MK'!FZ436</f>
        <v>73</v>
      </c>
      <c r="AK435" s="7">
        <f>IF('Database MK'!GC436="","Belum",'Database MK'!GB436-'Database MK'!GC436)</f>
        <v>45</v>
      </c>
      <c r="AL435" s="7">
        <f>IF('Database MK'!GF436="","Belum",'Database MK'!GE436-'Database MK'!GF436)</f>
        <v>52</v>
      </c>
      <c r="AM435" s="309">
        <f>IF('Database MK'!GJ436="","Belum",'Database MK'!GI436-'Database MK'!GJ436)</f>
        <v>61</v>
      </c>
      <c r="AN435" s="7">
        <f>IF('Database MK'!HG436="","Belum",'Database MK'!HF436-'Database MK'!HG436)</f>
        <v>56</v>
      </c>
      <c r="AO435" s="7">
        <f>IF('Database MK'!HP436="","Belum",'Database MK'!HN436-'Database MK'!HP436)</f>
        <v>-26</v>
      </c>
      <c r="AP435" s="7">
        <f>IF('Database MK'!HV436="","Belum",'Database MK'!HT436-'Database MK'!HV436)</f>
        <v>-24</v>
      </c>
    </row>
    <row r="436" spans="2:42" hidden="1" x14ac:dyDescent="0.2">
      <c r="B436" s="7">
        <f>SUBTOTAL(3,$C$4:C436)</f>
        <v>74</v>
      </c>
      <c r="C436" s="299" t="s">
        <v>629</v>
      </c>
      <c r="D436" s="4" t="s">
        <v>3414</v>
      </c>
      <c r="E436" s="4" t="s">
        <v>3415</v>
      </c>
      <c r="F436" s="300">
        <v>46296</v>
      </c>
      <c r="G436" s="4" t="s">
        <v>681</v>
      </c>
      <c r="H436" s="4" t="str">
        <f ca="1">'Database MK'!Q437</f>
        <v>MC-0</v>
      </c>
      <c r="I436" s="24">
        <f>'Database MK'!S437</f>
        <v>0.99999999999999989</v>
      </c>
      <c r="J436" s="24">
        <f>'Database MK'!T437</f>
        <v>7.8160320353772753E-2</v>
      </c>
      <c r="K436" s="603">
        <f>'Database MK'!U437</f>
        <v>-0.92183967964622715</v>
      </c>
      <c r="L436" s="593">
        <f>'Database MK'!V437</f>
        <v>0</v>
      </c>
      <c r="M436" s="593">
        <f>'Database MK'!W437</f>
        <v>0</v>
      </c>
      <c r="N436" s="593">
        <f>Table3[[#This Row],[Total Panjang Pipa Aktual]]-Table3[[#This Row],[Volume
BA MC-0]]</f>
        <v>0</v>
      </c>
      <c r="O436" s="7" t="str">
        <f ca="1">'Database MK'!DE437</f>
        <v>Sudah, Delay</v>
      </c>
      <c r="P436" s="7" t="str">
        <f ca="1">'Database MK'!DI437</f>
        <v>Sudah, Delay</v>
      </c>
      <c r="Q436" s="7" t="str">
        <f ca="1">'Database MK'!DN437</f>
        <v>Sudah, OnSchedule</v>
      </c>
      <c r="R436" s="7" t="str">
        <f ca="1">'Database MK'!DR437</f>
        <v>Sudah, Delay</v>
      </c>
      <c r="S436" s="7" t="str">
        <f ca="1">'Database MK'!EA437</f>
        <v>Sudah, Delay</v>
      </c>
      <c r="T436" s="7" t="str">
        <f ca="1">'Database MK'!EI437</f>
        <v>Belum, Delay</v>
      </c>
      <c r="U436" s="7" t="str">
        <f ca="1">'Database MK'!ET437</f>
        <v>Belum, Delay</v>
      </c>
      <c r="V436" s="7" t="str">
        <f ca="1">'Database MK'!GA437</f>
        <v>Sudah, OnSchedule</v>
      </c>
      <c r="W436" s="7" t="str">
        <f ca="1">'Database MK'!GD437</f>
        <v>Sudah, Delay</v>
      </c>
      <c r="X436" s="7" t="str">
        <f ca="1">'Database MK'!GG437</f>
        <v>Sudah, Delay</v>
      </c>
      <c r="Y436" s="7" t="str">
        <f ca="1">'Database MK'!GK437</f>
        <v>Sudah, Delay</v>
      </c>
      <c r="Z436" s="7" t="str">
        <f ca="1">'Database MK'!HH437</f>
        <v>Belum, Delay</v>
      </c>
      <c r="AA436" s="7" t="str">
        <f ca="1">'Database MK'!HQ437</f>
        <v>Belum, Delay</v>
      </c>
      <c r="AB436" s="7" t="str">
        <f ca="1">'Database MK'!HW437</f>
        <v>Belum, Delay</v>
      </c>
      <c r="AC436" s="7">
        <f>'Database MK'!DA437-'Database MK'!DB437</f>
        <v>-12</v>
      </c>
      <c r="AD436" s="7">
        <f>'Database MK'!DA437-'Database MK'!DF437</f>
        <v>-30</v>
      </c>
      <c r="AE436" s="7">
        <f>'Database MK'!DK437-'Database MK'!DL437</f>
        <v>18</v>
      </c>
      <c r="AF436" s="7">
        <f>'Database MK'!DK437-'Database MK'!DO437</f>
        <v>-3</v>
      </c>
      <c r="AG436" s="7">
        <f>'Database MK'!DU437-'Database MK'!DW437</f>
        <v>-3</v>
      </c>
      <c r="AH436" s="7" t="str">
        <f>IF('Database MK'!EB437="","Belum",'Database MK'!DU437-'Database MK'!EB437)</f>
        <v>Belum</v>
      </c>
      <c r="AI436" s="7" t="str">
        <f>IF('Database MK'!EN437="","Belum",'Database MK'!EL437-'Database MK'!EN437)</f>
        <v>Belum</v>
      </c>
      <c r="AJ436" s="7">
        <f>'Database MK'!FY437-'Database MK'!FZ437</f>
        <v>20</v>
      </c>
      <c r="AK436" s="7">
        <f>IF('Database MK'!GC437="","Belum",'Database MK'!GB437-'Database MK'!GC437)</f>
        <v>-37</v>
      </c>
      <c r="AL436" s="7">
        <f>IF('Database MK'!GF437="","Belum",'Database MK'!GE437-'Database MK'!GF437)</f>
        <v>-30</v>
      </c>
      <c r="AM436" s="309">
        <f>IF('Database MK'!GJ437="","Belum",'Database MK'!GI437-'Database MK'!GJ437)</f>
        <v>-23</v>
      </c>
      <c r="AN436" s="7" t="str">
        <f>IF('Database MK'!HG437="","Belum",'Database MK'!HF437-'Database MK'!HG437)</f>
        <v>Belum</v>
      </c>
      <c r="AO436" s="7" t="str">
        <f>IF('Database MK'!HP437="","Belum",'Database MK'!HN437-'Database MK'!HP437)</f>
        <v>Belum</v>
      </c>
      <c r="AP436" s="7" t="str">
        <f>IF('Database MK'!HV437="","Belum",'Database MK'!HT437-'Database MK'!HV437)</f>
        <v>Belum</v>
      </c>
    </row>
    <row r="437" spans="2:42" hidden="1" x14ac:dyDescent="0.2">
      <c r="B437" s="7">
        <f>SUBTOTAL(3,$C$4:C437)</f>
        <v>74</v>
      </c>
      <c r="C437" s="299" t="s">
        <v>629</v>
      </c>
      <c r="D437" s="4" t="s">
        <v>3421</v>
      </c>
      <c r="E437" s="4" t="s">
        <v>3422</v>
      </c>
      <c r="F437" s="300">
        <v>46296</v>
      </c>
      <c r="G437" s="4" t="s">
        <v>681</v>
      </c>
      <c r="H437" s="4" t="str">
        <f ca="1">'Database MK'!Q438</f>
        <v>MC-0</v>
      </c>
      <c r="I437" s="24">
        <f>'Database MK'!S438</f>
        <v>0.99999999999999989</v>
      </c>
      <c r="J437" s="24">
        <f>'Database MK'!T438</f>
        <v>6.4263341364962881E-2</v>
      </c>
      <c r="K437" s="603">
        <f>'Database MK'!U438</f>
        <v>-0.93573665863503697</v>
      </c>
      <c r="L437" s="593">
        <f>'Database MK'!V438</f>
        <v>0</v>
      </c>
      <c r="M437" s="593">
        <f>'Database MK'!W438</f>
        <v>0</v>
      </c>
      <c r="N437" s="593">
        <f>Table3[[#This Row],[Total Panjang Pipa Aktual]]-Table3[[#This Row],[Volume
BA MC-0]]</f>
        <v>0</v>
      </c>
      <c r="O437" s="7" t="str">
        <f ca="1">'Database MK'!DE438</f>
        <v>Sudah, OnSchedule</v>
      </c>
      <c r="P437" s="7" t="str">
        <f ca="1">'Database MK'!DI438</f>
        <v>Sudah, OnSchedule</v>
      </c>
      <c r="Q437" s="7" t="str">
        <f ca="1">'Database MK'!DN438</f>
        <v>Sudah, OnSchedule</v>
      </c>
      <c r="R437" s="7" t="str">
        <f ca="1">'Database MK'!DR438</f>
        <v>Sudah, OnSchedule</v>
      </c>
      <c r="S437" s="7" t="str">
        <f ca="1">'Database MK'!EA438</f>
        <v>Sudah, OnSchedule</v>
      </c>
      <c r="T437" s="7" t="str">
        <f ca="1">'Database MK'!EI438</f>
        <v>Sudah, Delay</v>
      </c>
      <c r="U437" s="7" t="str">
        <f ca="1">'Database MK'!ET438</f>
        <v>Belum, OnSchedule</v>
      </c>
      <c r="V437" s="7" t="str">
        <f ca="1">'Database MK'!GA438</f>
        <v>Sudah, OnSchedule</v>
      </c>
      <c r="W437" s="7" t="str">
        <f ca="1">'Database MK'!GD438</f>
        <v>Sudah, OnSchedule</v>
      </c>
      <c r="X437" s="7" t="str">
        <f ca="1">'Database MK'!GG438</f>
        <v>Sudah, OnSchedule</v>
      </c>
      <c r="Y437" s="7" t="str">
        <f ca="1">'Database MK'!GK438</f>
        <v>Sudah, OnSchedule</v>
      </c>
      <c r="Z437" s="7" t="str">
        <f ca="1">'Database MK'!HH438</f>
        <v>Belum, OnSchedule</v>
      </c>
      <c r="AA437" s="7" t="str">
        <f ca="1">'Database MK'!HQ438</f>
        <v>Belum, OnSchedule</v>
      </c>
      <c r="AB437" s="7" t="str">
        <f ca="1">'Database MK'!HW438</f>
        <v>Belum, OnSchedule</v>
      </c>
      <c r="AC437" s="7">
        <f>'Database MK'!DA438-'Database MK'!DB438</f>
        <v>40</v>
      </c>
      <c r="AD437" s="7">
        <f>'Database MK'!DA438-'Database MK'!DF438</f>
        <v>26</v>
      </c>
      <c r="AE437" s="7">
        <f>'Database MK'!DK438-'Database MK'!DL438</f>
        <v>109</v>
      </c>
      <c r="AF437" s="7">
        <f>'Database MK'!DK438-'Database MK'!DO438</f>
        <v>88</v>
      </c>
      <c r="AG437" s="7">
        <f>'Database MK'!DU438-'Database MK'!DW438</f>
        <v>53</v>
      </c>
      <c r="AH437" s="7">
        <f>IF('Database MK'!EB438="","Belum",'Database MK'!DU438-'Database MK'!EB438)</f>
        <v>-44</v>
      </c>
      <c r="AI437" s="7" t="str">
        <f>IF('Database MK'!EN438="","Belum",'Database MK'!EL438-'Database MK'!EN438)</f>
        <v>Belum</v>
      </c>
      <c r="AJ437" s="7">
        <f>'Database MK'!FY438-'Database MK'!FZ438</f>
        <v>101</v>
      </c>
      <c r="AK437" s="7">
        <f>IF('Database MK'!GC438="","Belum",'Database MK'!GB438-'Database MK'!GC438)</f>
        <v>54</v>
      </c>
      <c r="AL437" s="7">
        <f>IF('Database MK'!GF438="","Belum",'Database MK'!GE438-'Database MK'!GF438)</f>
        <v>61</v>
      </c>
      <c r="AM437" s="309">
        <f>IF('Database MK'!GJ438="","Belum",'Database MK'!GI438-'Database MK'!GJ438)</f>
        <v>68</v>
      </c>
      <c r="AN437" s="7" t="str">
        <f>IF('Database MK'!HG438="","Belum",'Database MK'!HF438-'Database MK'!HG438)</f>
        <v>Belum</v>
      </c>
      <c r="AO437" s="7" t="str">
        <f>IF('Database MK'!HP438="","Belum",'Database MK'!HN438-'Database MK'!HP438)</f>
        <v>Belum</v>
      </c>
      <c r="AP437" s="7" t="str">
        <f>IF('Database MK'!HV438="","Belum",'Database MK'!HT438-'Database MK'!HV438)</f>
        <v>Belum</v>
      </c>
    </row>
    <row r="438" spans="2:42" hidden="1" x14ac:dyDescent="0.2">
      <c r="B438" s="7">
        <f>SUBTOTAL(3,$C$4:C438)</f>
        <v>74</v>
      </c>
      <c r="C438" s="299" t="s">
        <v>629</v>
      </c>
      <c r="D438" s="4" t="s">
        <v>3430</v>
      </c>
      <c r="E438" s="4" t="s">
        <v>3431</v>
      </c>
      <c r="F438" s="300">
        <v>46296</v>
      </c>
      <c r="G438" s="4" t="s">
        <v>681</v>
      </c>
      <c r="H438" s="4" t="str">
        <f ca="1">'Database MK'!Q439</f>
        <v>MC-0</v>
      </c>
      <c r="I438" s="24">
        <f>'Database MK'!S439</f>
        <v>0.99999999999999989</v>
      </c>
      <c r="J438" s="24">
        <f>'Database MK'!T439</f>
        <v>5.7410254775718747E-2</v>
      </c>
      <c r="K438" s="603">
        <f>'Database MK'!U439</f>
        <v>-0.94258974522428118</v>
      </c>
      <c r="L438" s="593">
        <f>'Database MK'!V439</f>
        <v>0</v>
      </c>
      <c r="M438" s="593">
        <f>'Database MK'!W439</f>
        <v>0</v>
      </c>
      <c r="N438" s="593">
        <f>Table3[[#This Row],[Total Panjang Pipa Aktual]]-Table3[[#This Row],[Volume
BA MC-0]]</f>
        <v>0</v>
      </c>
      <c r="O438" s="7" t="str">
        <f ca="1">'Database MK'!DE439</f>
        <v>Sudah, OnSchedule</v>
      </c>
      <c r="P438" s="7" t="str">
        <f ca="1">'Database MK'!DI439</f>
        <v>Sudah, OnSchedule</v>
      </c>
      <c r="Q438" s="7" t="str">
        <f ca="1">'Database MK'!DN439</f>
        <v>Sudah, OnSchedule</v>
      </c>
      <c r="R438" s="7" t="str">
        <f ca="1">'Database MK'!DR439</f>
        <v>Sudah, OnSchedule</v>
      </c>
      <c r="S438" s="7" t="str">
        <f ca="1">'Database MK'!EA439</f>
        <v>Sudah, OnSchedule</v>
      </c>
      <c r="T438" s="7" t="str">
        <f ca="1">'Database MK'!EI439</f>
        <v>Sudah, Delay</v>
      </c>
      <c r="U438" s="7" t="str">
        <f ca="1">'Database MK'!ET439</f>
        <v>Belum, OnSchedule</v>
      </c>
      <c r="V438" s="7" t="str">
        <f ca="1">'Database MK'!GA439</f>
        <v>Sudah, OnSchedule</v>
      </c>
      <c r="W438" s="7" t="str">
        <f ca="1">'Database MK'!GD439</f>
        <v>Sudah, OnSchedule</v>
      </c>
      <c r="X438" s="7" t="str">
        <f ca="1">'Database MK'!GG439</f>
        <v>Sudah, OnSchedule</v>
      </c>
      <c r="Y438" s="7" t="str">
        <f ca="1">'Database MK'!GK439</f>
        <v>Sudah, OnSchedule</v>
      </c>
      <c r="Z438" s="7" t="str">
        <f ca="1">'Database MK'!HH439</f>
        <v>Belum, OnSchedule</v>
      </c>
      <c r="AA438" s="7" t="str">
        <f ca="1">'Database MK'!HQ439</f>
        <v>Belum, OnSchedule</v>
      </c>
      <c r="AB438" s="7" t="str">
        <f ca="1">'Database MK'!HW439</f>
        <v>Belum, OnSchedule</v>
      </c>
      <c r="AC438" s="7">
        <f>'Database MK'!DA439-'Database MK'!DB439</f>
        <v>40</v>
      </c>
      <c r="AD438" s="7">
        <f>'Database MK'!DA439-'Database MK'!DF439</f>
        <v>26</v>
      </c>
      <c r="AE438" s="7">
        <f>'Database MK'!DK439-'Database MK'!DL439</f>
        <v>109</v>
      </c>
      <c r="AF438" s="7">
        <f>'Database MK'!DK439-'Database MK'!DO439</f>
        <v>88</v>
      </c>
      <c r="AG438" s="7">
        <f>'Database MK'!DU439-'Database MK'!DW439</f>
        <v>53</v>
      </c>
      <c r="AH438" s="7">
        <f>IF('Database MK'!EB439="","Belum",'Database MK'!DU439-'Database MK'!EB439)</f>
        <v>-45</v>
      </c>
      <c r="AI438" s="7" t="str">
        <f>IF('Database MK'!EN439="","Belum",'Database MK'!EL439-'Database MK'!EN439)</f>
        <v>Belum</v>
      </c>
      <c r="AJ438" s="7">
        <f>'Database MK'!FY439-'Database MK'!FZ439</f>
        <v>101</v>
      </c>
      <c r="AK438" s="7">
        <f>IF('Database MK'!GC439="","Belum",'Database MK'!GB439-'Database MK'!GC439)</f>
        <v>54</v>
      </c>
      <c r="AL438" s="7">
        <f>IF('Database MK'!GF439="","Belum",'Database MK'!GE439-'Database MK'!GF439)</f>
        <v>61</v>
      </c>
      <c r="AM438" s="309">
        <f>IF('Database MK'!GJ439="","Belum",'Database MK'!GI439-'Database MK'!GJ439)</f>
        <v>68</v>
      </c>
      <c r="AN438" s="7" t="str">
        <f>IF('Database MK'!HG439="","Belum",'Database MK'!HF439-'Database MK'!HG439)</f>
        <v>Belum</v>
      </c>
      <c r="AO438" s="7" t="str">
        <f>IF('Database MK'!HP439="","Belum",'Database MK'!HN439-'Database MK'!HP439)</f>
        <v>Belum</v>
      </c>
      <c r="AP438" s="7" t="str">
        <f>IF('Database MK'!HV439="","Belum",'Database MK'!HT439-'Database MK'!HV439)</f>
        <v>Belum</v>
      </c>
    </row>
    <row r="439" spans="2:42" hidden="1" x14ac:dyDescent="0.2">
      <c r="B439" s="7">
        <f>SUBTOTAL(3,$C$4:C439)</f>
        <v>74</v>
      </c>
      <c r="C439" s="299" t="s">
        <v>629</v>
      </c>
      <c r="D439" s="4" t="s">
        <v>3438</v>
      </c>
      <c r="E439" s="4" t="s">
        <v>3439</v>
      </c>
      <c r="F439" s="300">
        <v>46296</v>
      </c>
      <c r="G439" s="4" t="s">
        <v>681</v>
      </c>
      <c r="H439" s="4" t="str">
        <f ca="1">'Database MK'!Q440</f>
        <v>MC-0</v>
      </c>
      <c r="I439" s="24">
        <f>'Database MK'!S440</f>
        <v>0.99999999999999989</v>
      </c>
      <c r="J439" s="24">
        <f>'Database MK'!T440</f>
        <v>0</v>
      </c>
      <c r="K439" s="603">
        <f>'Database MK'!U440</f>
        <v>-0.99999999999999989</v>
      </c>
      <c r="L439" s="593">
        <f>'Database MK'!V440</f>
        <v>0</v>
      </c>
      <c r="M439" s="593">
        <f>'Database MK'!W440</f>
        <v>0</v>
      </c>
      <c r="N439" s="593">
        <f>Table3[[#This Row],[Total Panjang Pipa Aktual]]-Table3[[#This Row],[Volume
BA MC-0]]</f>
        <v>0</v>
      </c>
      <c r="O439" s="7" t="str">
        <f ca="1">'Database MK'!DE440</f>
        <v>Sudah, Delay</v>
      </c>
      <c r="P439" s="7" t="str">
        <f ca="1">'Database MK'!DI440</f>
        <v>Sudah, Delay</v>
      </c>
      <c r="Q439" s="7" t="str">
        <f ca="1">'Database MK'!DN440</f>
        <v>Sudah, OnSchedule</v>
      </c>
      <c r="R439" s="7" t="str">
        <f ca="1">'Database MK'!DR440</f>
        <v>Sudah, OnSchedule</v>
      </c>
      <c r="S439" s="7" t="str">
        <f ca="1">'Database MK'!EA440</f>
        <v>Sudah, Delay</v>
      </c>
      <c r="T439" s="7" t="str">
        <f ca="1">'Database MK'!EI440</f>
        <v>Belum, Delay</v>
      </c>
      <c r="U439" s="7" t="str">
        <f ca="1">'Database MK'!ET440</f>
        <v>Belum, Delay</v>
      </c>
      <c r="V439" s="7" t="str">
        <f ca="1">'Database MK'!GA440</f>
        <v>Sudah, OnSchedule</v>
      </c>
      <c r="W439" s="7" t="str">
        <f ca="1">'Database MK'!GD440</f>
        <v>Sudah, OnSchedule</v>
      </c>
      <c r="X439" s="7" t="str">
        <f ca="1">'Database MK'!GG440</f>
        <v>Sudah, OnSchedule</v>
      </c>
      <c r="Y439" s="7" t="str">
        <f ca="1">'Database MK'!GK440</f>
        <v>Sudah, OnSchedule</v>
      </c>
      <c r="Z439" s="7" t="str">
        <f ca="1">'Database MK'!HH440</f>
        <v>Belum, OnSchedule</v>
      </c>
      <c r="AA439" s="7" t="str">
        <f ca="1">'Database MK'!HQ440</f>
        <v>Belum, OnSchedule</v>
      </c>
      <c r="AB439" s="7" t="str">
        <f ca="1">'Database MK'!HW440</f>
        <v>Belum, OnSchedule</v>
      </c>
      <c r="AC439" s="7">
        <f>'Database MK'!DA440-'Database MK'!DB440</f>
        <v>-23</v>
      </c>
      <c r="AD439" s="7">
        <f>'Database MK'!DA440-'Database MK'!DF440</f>
        <v>-52</v>
      </c>
      <c r="AE439" s="7">
        <f>'Database MK'!DK440-'Database MK'!DL440</f>
        <v>31</v>
      </c>
      <c r="AF439" s="7">
        <f>'Database MK'!DK440-'Database MK'!DO440</f>
        <v>13</v>
      </c>
      <c r="AG439" s="7">
        <f>'Database MK'!DU440-'Database MK'!DW440</f>
        <v>-32</v>
      </c>
      <c r="AH439" s="7" t="str">
        <f>IF('Database MK'!EB440="","Belum",'Database MK'!DU440-'Database MK'!EB440)</f>
        <v>Belum</v>
      </c>
      <c r="AI439" s="7" t="str">
        <f>IF('Database MK'!EN440="","Belum",'Database MK'!EL440-'Database MK'!EN440)</f>
        <v>Belum</v>
      </c>
      <c r="AJ439" s="7">
        <f>'Database MK'!FY440-'Database MK'!FZ440</f>
        <v>39</v>
      </c>
      <c r="AK439" s="7">
        <f>IF('Database MK'!GC440="","Belum",'Database MK'!GB440-'Database MK'!GC440)</f>
        <v>54</v>
      </c>
      <c r="AL439" s="7">
        <f>IF('Database MK'!GF440="","Belum",'Database MK'!GE440-'Database MK'!GF440)</f>
        <v>61</v>
      </c>
      <c r="AM439" s="309">
        <f>IF('Database MK'!GJ440="","Belum",'Database MK'!GI440-'Database MK'!GJ440)</f>
        <v>67</v>
      </c>
      <c r="AN439" s="7" t="str">
        <f>IF('Database MK'!HG440="","Belum",'Database MK'!HF440-'Database MK'!HG440)</f>
        <v>Belum</v>
      </c>
      <c r="AO439" s="7" t="str">
        <f>IF('Database MK'!HP440="","Belum",'Database MK'!HN440-'Database MK'!HP440)</f>
        <v>Belum</v>
      </c>
      <c r="AP439" s="7" t="str">
        <f>IF('Database MK'!HV440="","Belum",'Database MK'!HT440-'Database MK'!HV440)</f>
        <v>Belum</v>
      </c>
    </row>
    <row r="440" spans="2:42" hidden="1" x14ac:dyDescent="0.2">
      <c r="B440" s="7">
        <f>SUBTOTAL(3,$C$4:C440)</f>
        <v>74</v>
      </c>
      <c r="C440" s="299" t="s">
        <v>244</v>
      </c>
      <c r="D440" s="4" t="s">
        <v>3446</v>
      </c>
      <c r="E440" s="4" t="s">
        <v>3447</v>
      </c>
      <c r="F440" s="300">
        <v>46478</v>
      </c>
      <c r="G440" s="4" t="s">
        <v>247</v>
      </c>
      <c r="H440" s="4" t="str">
        <f ca="1">'Database MK'!Q441</f>
        <v>Persiapan</v>
      </c>
      <c r="I440" s="24">
        <f>'Database MK'!S441</f>
        <v>0</v>
      </c>
      <c r="J440" s="24">
        <f>'Database MK'!T441</f>
        <v>0</v>
      </c>
      <c r="K440" s="603">
        <f>'Database MK'!U441</f>
        <v>0</v>
      </c>
      <c r="L440" s="593">
        <f>'Database MK'!V441</f>
        <v>0</v>
      </c>
      <c r="M440" s="593">
        <f>'Database MK'!W441</f>
        <v>0</v>
      </c>
      <c r="N440" s="593">
        <f>Table3[[#This Row],[Total Panjang Pipa Aktual]]-Table3[[#This Row],[Volume
BA MC-0]]</f>
        <v>0</v>
      </c>
      <c r="O440" s="7" t="str">
        <f ca="1">'Database MK'!DE441</f>
        <v>Belum, Delay</v>
      </c>
      <c r="P440" s="7" t="str">
        <f ca="1">'Database MK'!DI441</f>
        <v>Belum, Delay</v>
      </c>
      <c r="Q440" s="7" t="str">
        <f ca="1">'Database MK'!DN441</f>
        <v>Belum, Delay</v>
      </c>
      <c r="R440" s="7" t="str">
        <f ca="1">'Database MK'!DR441</f>
        <v>Belum, Delay</v>
      </c>
      <c r="S440" s="7" t="str">
        <f ca="1">'Database MK'!EA441</f>
        <v>Belum, Delay</v>
      </c>
      <c r="T440" s="7" t="str">
        <f ca="1">'Database MK'!EI441</f>
        <v>Belum, Delay</v>
      </c>
      <c r="U440" s="7" t="str">
        <f ca="1">'Database MK'!ET441</f>
        <v>Belum, Delay</v>
      </c>
      <c r="V440" s="7" t="str">
        <f ca="1">'Database MK'!GA441</f>
        <v>Belum, Delay</v>
      </c>
      <c r="W440" s="7" t="str">
        <f ca="1">'Database MK'!GD441</f>
        <v>Belum, Delay</v>
      </c>
      <c r="X440" s="7" t="str">
        <f ca="1">'Database MK'!GG441</f>
        <v>Belum, Delay</v>
      </c>
      <c r="Y440" s="7" t="str">
        <f ca="1">'Database MK'!GK441</f>
        <v>Belum, Delay</v>
      </c>
      <c r="Z440" s="7" t="str">
        <f ca="1">'Database MK'!HH441</f>
        <v>Belum, Delay</v>
      </c>
      <c r="AA440" s="7" t="str">
        <f ca="1">'Database MK'!HQ441</f>
        <v>Belum, Delay</v>
      </c>
      <c r="AB440" s="7" t="str">
        <f ca="1">'Database MK'!HW441</f>
        <v>Belum, Delay</v>
      </c>
      <c r="AC440" s="7">
        <f>'Database MK'!DA441-'Database MK'!DB441</f>
        <v>0</v>
      </c>
      <c r="AD440" s="7">
        <f>'Database MK'!DA441-'Database MK'!DF441</f>
        <v>0</v>
      </c>
      <c r="AE440" s="7">
        <f>'Database MK'!DK441-'Database MK'!DL441</f>
        <v>0</v>
      </c>
      <c r="AF440" s="7">
        <f>'Database MK'!DK441-'Database MK'!DO441</f>
        <v>0</v>
      </c>
      <c r="AG440" s="7">
        <f>'Database MK'!DU441-'Database MK'!DW441</f>
        <v>0</v>
      </c>
      <c r="AH440" s="7" t="str">
        <f>IF('Database MK'!EB441="","Belum",'Database MK'!DU441-'Database MK'!EB441)</f>
        <v>Belum</v>
      </c>
      <c r="AI440" s="7" t="str">
        <f>IF('Database MK'!EN441="","Belum",'Database MK'!EL441-'Database MK'!EN441)</f>
        <v>Belum</v>
      </c>
      <c r="AJ440" s="7">
        <f>'Database MK'!FY441-'Database MK'!FZ441</f>
        <v>0</v>
      </c>
      <c r="AK440" s="7" t="str">
        <f>IF('Database MK'!GC441="","Belum",'Database MK'!GB441-'Database MK'!GC441)</f>
        <v>Belum</v>
      </c>
      <c r="AL440" s="7" t="str">
        <f>IF('Database MK'!GF441="","Belum",'Database MK'!GE441-'Database MK'!GF441)</f>
        <v>Belum</v>
      </c>
      <c r="AM440" s="309" t="str">
        <f>IF('Database MK'!GJ441="","Belum",'Database MK'!GI441-'Database MK'!GJ441)</f>
        <v>Belum</v>
      </c>
      <c r="AN440" s="7" t="str">
        <f>IF('Database MK'!HG441="","Belum",'Database MK'!HF441-'Database MK'!HG441)</f>
        <v>Belum</v>
      </c>
      <c r="AO440" s="7" t="str">
        <f>IF('Database MK'!HP441="","Belum",'Database MK'!HN441-'Database MK'!HP441)</f>
        <v>Belum</v>
      </c>
      <c r="AP440" s="7" t="str">
        <f>IF('Database MK'!HV441="","Belum",'Database MK'!HT441-'Database MK'!HV441)</f>
        <v>Belum</v>
      </c>
    </row>
    <row r="441" spans="2:42" hidden="1" x14ac:dyDescent="0.2">
      <c r="B441" s="7">
        <f>SUBTOTAL(3,$C$4:C441)</f>
        <v>74</v>
      </c>
      <c r="C441" s="299" t="s">
        <v>244</v>
      </c>
      <c r="D441" s="7" t="s">
        <v>3448</v>
      </c>
      <c r="E441" s="4" t="s">
        <v>3449</v>
      </c>
      <c r="F441" s="300">
        <v>46478</v>
      </c>
      <c r="G441" s="4" t="s">
        <v>247</v>
      </c>
      <c r="H441" s="4" t="str">
        <f ca="1">'Database MK'!Q442</f>
        <v>Persiapan</v>
      </c>
      <c r="I441" s="24">
        <f>'Database MK'!S442</f>
        <v>0</v>
      </c>
      <c r="J441" s="24">
        <f>'Database MK'!T442</f>
        <v>0</v>
      </c>
      <c r="K441" s="603">
        <f>'Database MK'!U442</f>
        <v>0</v>
      </c>
      <c r="L441" s="593">
        <f>'Database MK'!V442</f>
        <v>0</v>
      </c>
      <c r="M441" s="593">
        <f>'Database MK'!W442</f>
        <v>0</v>
      </c>
      <c r="N441" s="593">
        <f>Table3[[#This Row],[Total Panjang Pipa Aktual]]-Table3[[#This Row],[Volume
BA MC-0]]</f>
        <v>0</v>
      </c>
      <c r="O441" s="7" t="str">
        <f ca="1">'Database MK'!DE442</f>
        <v>Belum, Delay</v>
      </c>
      <c r="P441" s="7" t="str">
        <f ca="1">'Database MK'!DI442</f>
        <v>Belum, Delay</v>
      </c>
      <c r="Q441" s="7" t="str">
        <f ca="1">'Database MK'!DN442</f>
        <v>Belum, Delay</v>
      </c>
      <c r="R441" s="7" t="str">
        <f ca="1">'Database MK'!DR442</f>
        <v>Belum, Delay</v>
      </c>
      <c r="S441" s="7" t="str">
        <f ca="1">'Database MK'!EA442</f>
        <v>Belum, Delay</v>
      </c>
      <c r="T441" s="7" t="str">
        <f ca="1">'Database MK'!EI442</f>
        <v>Belum, Delay</v>
      </c>
      <c r="U441" s="7" t="str">
        <f ca="1">'Database MK'!ET442</f>
        <v>Belum, Delay</v>
      </c>
      <c r="V441" s="7" t="str">
        <f ca="1">'Database MK'!GA442</f>
        <v>Belum, Delay</v>
      </c>
      <c r="W441" s="7" t="str">
        <f ca="1">'Database MK'!GD442</f>
        <v>Belum, Delay</v>
      </c>
      <c r="X441" s="7" t="str">
        <f ca="1">'Database MK'!GG442</f>
        <v>Belum, Delay</v>
      </c>
      <c r="Y441" s="7" t="str">
        <f ca="1">'Database MK'!GK442</f>
        <v>Belum, Delay</v>
      </c>
      <c r="Z441" s="7" t="str">
        <f ca="1">'Database MK'!HH442</f>
        <v>Belum, Delay</v>
      </c>
      <c r="AA441" s="7" t="str">
        <f ca="1">'Database MK'!HQ442</f>
        <v>Belum, Delay</v>
      </c>
      <c r="AB441" s="7" t="str">
        <f ca="1">'Database MK'!HW442</f>
        <v>Belum, Delay</v>
      </c>
      <c r="AC441" s="7">
        <f>'Database MK'!DA442-'Database MK'!DB442</f>
        <v>0</v>
      </c>
      <c r="AD441" s="7">
        <f>'Database MK'!DA442-'Database MK'!DF442</f>
        <v>0</v>
      </c>
      <c r="AE441" s="7">
        <f>'Database MK'!DK442-'Database MK'!DL442</f>
        <v>0</v>
      </c>
      <c r="AF441" s="7">
        <f>'Database MK'!DK442-'Database MK'!DO442</f>
        <v>0</v>
      </c>
      <c r="AG441" s="7">
        <f>'Database MK'!DU442-'Database MK'!DW442</f>
        <v>0</v>
      </c>
      <c r="AH441" s="7" t="str">
        <f>IF('Database MK'!EB442="","Belum",'Database MK'!DU442-'Database MK'!EB442)</f>
        <v>Belum</v>
      </c>
      <c r="AI441" s="7" t="str">
        <f>IF('Database MK'!EN442="","Belum",'Database MK'!EL442-'Database MK'!EN442)</f>
        <v>Belum</v>
      </c>
      <c r="AJ441" s="7">
        <f>'Database MK'!FY442-'Database MK'!FZ442</f>
        <v>0</v>
      </c>
      <c r="AK441" s="7" t="str">
        <f>IF('Database MK'!GC442="","Belum",'Database MK'!GB442-'Database MK'!GC442)</f>
        <v>Belum</v>
      </c>
      <c r="AL441" s="7" t="str">
        <f>IF('Database MK'!GF442="","Belum",'Database MK'!GE442-'Database MK'!GF442)</f>
        <v>Belum</v>
      </c>
      <c r="AM441" s="309" t="str">
        <f>IF('Database MK'!GJ442="","Belum",'Database MK'!GI442-'Database MK'!GJ442)</f>
        <v>Belum</v>
      </c>
      <c r="AN441" s="7" t="str">
        <f>IF('Database MK'!HG442="","Belum",'Database MK'!HF442-'Database MK'!HG442)</f>
        <v>Belum</v>
      </c>
      <c r="AO441" s="7" t="str">
        <f>IF('Database MK'!HP442="","Belum",'Database MK'!HN442-'Database MK'!HP442)</f>
        <v>Belum</v>
      </c>
      <c r="AP441" s="7" t="str">
        <f>IF('Database MK'!HV442="","Belum",'Database MK'!HT442-'Database MK'!HV442)</f>
        <v>Belum</v>
      </c>
    </row>
    <row r="442" spans="2:42" hidden="1" x14ac:dyDescent="0.2">
      <c r="B442" s="7">
        <f>SUBTOTAL(3,$C$4:C442)</f>
        <v>74</v>
      </c>
      <c r="C442" s="299" t="s">
        <v>244</v>
      </c>
      <c r="D442" s="7" t="s">
        <v>3450</v>
      </c>
      <c r="E442" s="4" t="s">
        <v>3451</v>
      </c>
      <c r="F442" s="300">
        <v>46478</v>
      </c>
      <c r="G442" s="4" t="s">
        <v>247</v>
      </c>
      <c r="H442" s="4" t="str">
        <f ca="1">'Database MK'!Q443</f>
        <v>Persiapan</v>
      </c>
      <c r="I442" s="24">
        <f>'Database MK'!S443</f>
        <v>0</v>
      </c>
      <c r="J442" s="24">
        <f>'Database MK'!T443</f>
        <v>0</v>
      </c>
      <c r="K442" s="603">
        <f>'Database MK'!U443</f>
        <v>0</v>
      </c>
      <c r="L442" s="593">
        <f>'Database MK'!V443</f>
        <v>0</v>
      </c>
      <c r="M442" s="593">
        <f>'Database MK'!W443</f>
        <v>0</v>
      </c>
      <c r="N442" s="593">
        <f>Table3[[#This Row],[Total Panjang Pipa Aktual]]-Table3[[#This Row],[Volume
BA MC-0]]</f>
        <v>0</v>
      </c>
      <c r="O442" s="7" t="str">
        <f ca="1">'Database MK'!DE443</f>
        <v>Belum, Delay</v>
      </c>
      <c r="P442" s="7" t="str">
        <f ca="1">'Database MK'!DI443</f>
        <v>Belum, Delay</v>
      </c>
      <c r="Q442" s="7" t="str">
        <f ca="1">'Database MK'!DN443</f>
        <v>Belum, Delay</v>
      </c>
      <c r="R442" s="7" t="str">
        <f ca="1">'Database MK'!DR443</f>
        <v>Belum, Delay</v>
      </c>
      <c r="S442" s="7" t="str">
        <f ca="1">'Database MK'!EA443</f>
        <v>Belum, Delay</v>
      </c>
      <c r="T442" s="7" t="str">
        <f ca="1">'Database MK'!EI443</f>
        <v>Belum, Delay</v>
      </c>
      <c r="U442" s="7" t="str">
        <f ca="1">'Database MK'!ET443</f>
        <v>Belum, Delay</v>
      </c>
      <c r="V442" s="7" t="str">
        <f ca="1">'Database MK'!GA443</f>
        <v>Belum, Delay</v>
      </c>
      <c r="W442" s="7" t="str">
        <f ca="1">'Database MK'!GD443</f>
        <v>Belum, Delay</v>
      </c>
      <c r="X442" s="7" t="str">
        <f ca="1">'Database MK'!GG443</f>
        <v>Belum, Delay</v>
      </c>
      <c r="Y442" s="7" t="str">
        <f ca="1">'Database MK'!GK443</f>
        <v>Belum, Delay</v>
      </c>
      <c r="Z442" s="7" t="str">
        <f ca="1">'Database MK'!HH443</f>
        <v>Belum, Delay</v>
      </c>
      <c r="AA442" s="7" t="str">
        <f ca="1">'Database MK'!HQ443</f>
        <v>Belum, Delay</v>
      </c>
      <c r="AB442" s="7" t="str">
        <f ca="1">'Database MK'!HW443</f>
        <v>Belum, Delay</v>
      </c>
      <c r="AC442" s="7">
        <f>'Database MK'!DA443-'Database MK'!DB443</f>
        <v>0</v>
      </c>
      <c r="AD442" s="7">
        <f>'Database MK'!DA443-'Database MK'!DF443</f>
        <v>0</v>
      </c>
      <c r="AE442" s="7">
        <f>'Database MK'!DK443-'Database MK'!DL443</f>
        <v>0</v>
      </c>
      <c r="AF442" s="7">
        <f>'Database MK'!DK443-'Database MK'!DO443</f>
        <v>0</v>
      </c>
      <c r="AG442" s="7">
        <f>'Database MK'!DU443-'Database MK'!DW443</f>
        <v>0</v>
      </c>
      <c r="AH442" s="7" t="str">
        <f>IF('Database MK'!EB443="","Belum",'Database MK'!DU443-'Database MK'!EB443)</f>
        <v>Belum</v>
      </c>
      <c r="AI442" s="7" t="str">
        <f>IF('Database MK'!EN443="","Belum",'Database MK'!EL443-'Database MK'!EN443)</f>
        <v>Belum</v>
      </c>
      <c r="AJ442" s="7">
        <f>'Database MK'!FY443-'Database MK'!FZ443</f>
        <v>0</v>
      </c>
      <c r="AK442" s="7" t="str">
        <f>IF('Database MK'!GC443="","Belum",'Database MK'!GB443-'Database MK'!GC443)</f>
        <v>Belum</v>
      </c>
      <c r="AL442" s="7" t="str">
        <f>IF('Database MK'!GF443="","Belum",'Database MK'!GE443-'Database MK'!GF443)</f>
        <v>Belum</v>
      </c>
      <c r="AM442" s="309" t="str">
        <f>IF('Database MK'!GJ443="","Belum",'Database MK'!GI443-'Database MK'!GJ443)</f>
        <v>Belum</v>
      </c>
      <c r="AN442" s="7" t="str">
        <f>IF('Database MK'!HG443="","Belum",'Database MK'!HF443-'Database MK'!HG443)</f>
        <v>Belum</v>
      </c>
      <c r="AO442" s="7" t="str">
        <f>IF('Database MK'!HP443="","Belum",'Database MK'!HN443-'Database MK'!HP443)</f>
        <v>Belum</v>
      </c>
      <c r="AP442" s="7" t="str">
        <f>IF('Database MK'!HV443="","Belum",'Database MK'!HT443-'Database MK'!HV443)</f>
        <v>Belum</v>
      </c>
    </row>
    <row r="443" spans="2:42" hidden="1" x14ac:dyDescent="0.2">
      <c r="B443" s="7">
        <f>SUBTOTAL(3,$C$4:C443)</f>
        <v>74</v>
      </c>
      <c r="C443" s="299" t="s">
        <v>244</v>
      </c>
      <c r="D443" s="4" t="s">
        <v>3452</v>
      </c>
      <c r="E443" s="4" t="s">
        <v>3453</v>
      </c>
      <c r="F443" s="300">
        <v>46478</v>
      </c>
      <c r="G443" s="4" t="s">
        <v>681</v>
      </c>
      <c r="H443" s="4" t="str">
        <f ca="1">'Database MK'!Q444</f>
        <v>Persiapan</v>
      </c>
      <c r="I443" s="24">
        <f>'Database MK'!S444</f>
        <v>0</v>
      </c>
      <c r="J443" s="24">
        <f>'Database MK'!T444</f>
        <v>0</v>
      </c>
      <c r="K443" s="603">
        <f>'Database MK'!U444</f>
        <v>0</v>
      </c>
      <c r="L443" s="593">
        <f>'Database MK'!V444</f>
        <v>0</v>
      </c>
      <c r="M443" s="593">
        <f>'Database MK'!W444</f>
        <v>0</v>
      </c>
      <c r="N443" s="593">
        <f>Table3[[#This Row],[Total Panjang Pipa Aktual]]-Table3[[#This Row],[Volume
BA MC-0]]</f>
        <v>0</v>
      </c>
      <c r="O443" s="7" t="str">
        <f ca="1">'Database MK'!DE444</f>
        <v>Belum, Delay</v>
      </c>
      <c r="P443" s="7" t="str">
        <f ca="1">'Database MK'!DI444</f>
        <v>Belum, Delay</v>
      </c>
      <c r="Q443" s="7" t="str">
        <f ca="1">'Database MK'!DN444</f>
        <v>Belum, Delay</v>
      </c>
      <c r="R443" s="7" t="str">
        <f ca="1">'Database MK'!DR444</f>
        <v>Belum, Delay</v>
      </c>
      <c r="S443" s="7" t="str">
        <f ca="1">'Database MK'!EA444</f>
        <v>Belum, Delay</v>
      </c>
      <c r="T443" s="7" t="str">
        <f ca="1">'Database MK'!EI444</f>
        <v>Belum, Delay</v>
      </c>
      <c r="U443" s="7" t="str">
        <f ca="1">'Database MK'!ET444</f>
        <v>Belum, Delay</v>
      </c>
      <c r="V443" s="7" t="str">
        <f ca="1">'Database MK'!GA444</f>
        <v>Belum, Delay</v>
      </c>
      <c r="W443" s="7" t="str">
        <f ca="1">'Database MK'!GD444</f>
        <v>Belum, Delay</v>
      </c>
      <c r="X443" s="7" t="str">
        <f ca="1">'Database MK'!GG444</f>
        <v>Belum, Delay</v>
      </c>
      <c r="Y443" s="7" t="str">
        <f ca="1">'Database MK'!GK444</f>
        <v>Belum, Delay</v>
      </c>
      <c r="Z443" s="7" t="str">
        <f ca="1">'Database MK'!HH444</f>
        <v>Belum, Delay</v>
      </c>
      <c r="AA443" s="7" t="str">
        <f ca="1">'Database MK'!HQ444</f>
        <v>Belum, Delay</v>
      </c>
      <c r="AB443" s="7" t="str">
        <f ca="1">'Database MK'!HW444</f>
        <v>Belum, Delay</v>
      </c>
      <c r="AC443" s="7">
        <f>'Database MK'!DA444-'Database MK'!DB444</f>
        <v>0</v>
      </c>
      <c r="AD443" s="7">
        <f>'Database MK'!DA444-'Database MK'!DF444</f>
        <v>0</v>
      </c>
      <c r="AE443" s="7">
        <f>'Database MK'!DK444-'Database MK'!DL444</f>
        <v>0</v>
      </c>
      <c r="AF443" s="7">
        <f>'Database MK'!DK444-'Database MK'!DO444</f>
        <v>0</v>
      </c>
      <c r="AG443" s="7">
        <f>'Database MK'!DU444-'Database MK'!DW444</f>
        <v>0</v>
      </c>
      <c r="AH443" s="7" t="str">
        <f>IF('Database MK'!EB444="","Belum",'Database MK'!DU444-'Database MK'!EB444)</f>
        <v>Belum</v>
      </c>
      <c r="AI443" s="7" t="str">
        <f>IF('Database MK'!EN444="","Belum",'Database MK'!EL444-'Database MK'!EN444)</f>
        <v>Belum</v>
      </c>
      <c r="AJ443" s="7">
        <f>'Database MK'!FY444-'Database MK'!FZ444</f>
        <v>0</v>
      </c>
      <c r="AK443" s="7" t="str">
        <f>IF('Database MK'!GC444="","Belum",'Database MK'!GB444-'Database MK'!GC444)</f>
        <v>Belum</v>
      </c>
      <c r="AL443" s="7" t="str">
        <f>IF('Database MK'!GF444="","Belum",'Database MK'!GE444-'Database MK'!GF444)</f>
        <v>Belum</v>
      </c>
      <c r="AM443" s="309" t="str">
        <f>IF('Database MK'!GJ444="","Belum",'Database MK'!GI444-'Database MK'!GJ444)</f>
        <v>Belum</v>
      </c>
      <c r="AN443" s="7" t="str">
        <f>IF('Database MK'!HG444="","Belum",'Database MK'!HF444-'Database MK'!HG444)</f>
        <v>Belum</v>
      </c>
      <c r="AO443" s="7" t="str">
        <f>IF('Database MK'!HP444="","Belum",'Database MK'!HN444-'Database MK'!HP444)</f>
        <v>Belum</v>
      </c>
      <c r="AP443" s="7" t="str">
        <f>IF('Database MK'!HV444="","Belum",'Database MK'!HT444-'Database MK'!HV444)</f>
        <v>Belum</v>
      </c>
    </row>
    <row r="444" spans="2:42" hidden="1" x14ac:dyDescent="0.2">
      <c r="B444" s="7">
        <f>SUBTOTAL(3,$C$4:C444)</f>
        <v>74</v>
      </c>
      <c r="C444" s="299" t="s">
        <v>244</v>
      </c>
      <c r="D444" s="4" t="s">
        <v>3454</v>
      </c>
      <c r="E444" s="4" t="s">
        <v>3455</v>
      </c>
      <c r="F444" s="300">
        <v>46478</v>
      </c>
      <c r="G444" s="4" t="s">
        <v>681</v>
      </c>
      <c r="H444" s="4" t="str">
        <f ca="1">'Database MK'!Q445</f>
        <v>Proses Konstruksi</v>
      </c>
      <c r="I444" s="24">
        <f>'Database MK'!S445</f>
        <v>0</v>
      </c>
      <c r="J444" s="24">
        <f>'Database MK'!T445</f>
        <v>0</v>
      </c>
      <c r="K444" s="603">
        <f>'Database MK'!U445</f>
        <v>0</v>
      </c>
      <c r="L444" s="593">
        <f>'Database MK'!V445</f>
        <v>0</v>
      </c>
      <c r="M444" s="593">
        <f>'Database MK'!W445</f>
        <v>213</v>
      </c>
      <c r="N444" s="593">
        <f>Table3[[#This Row],[Total Panjang Pipa Aktual]]-Table3[[#This Row],[Volume
BA MC-0]]</f>
        <v>213</v>
      </c>
      <c r="O444" s="7" t="str">
        <f ca="1">'Database MK'!DE445</f>
        <v>Belum, Delay</v>
      </c>
      <c r="P444" s="7" t="str">
        <f ca="1">'Database MK'!DI445</f>
        <v>Belum, Delay</v>
      </c>
      <c r="Q444" s="7" t="str">
        <f ca="1">'Database MK'!DN445</f>
        <v>Belum, Delay</v>
      </c>
      <c r="R444" s="7" t="str">
        <f ca="1">'Database MK'!DR445</f>
        <v>Belum, Delay</v>
      </c>
      <c r="S444" s="7" t="str">
        <f ca="1">'Database MK'!EA445</f>
        <v>Belum, Delay</v>
      </c>
      <c r="T444" s="7" t="str">
        <f ca="1">'Database MK'!EI445</f>
        <v>Belum, Delay</v>
      </c>
      <c r="U444" s="7" t="str">
        <f ca="1">'Database MK'!ET445</f>
        <v>Belum, Delay</v>
      </c>
      <c r="V444" s="7" t="str">
        <f ca="1">'Database MK'!GA445</f>
        <v>Belum, Delay</v>
      </c>
      <c r="W444" s="7" t="str">
        <f ca="1">'Database MK'!GD445</f>
        <v>Sudah, Delay</v>
      </c>
      <c r="X444" s="7" t="str">
        <f ca="1">'Database MK'!GG445</f>
        <v>Sudah, Delay</v>
      </c>
      <c r="Y444" s="7" t="str">
        <f ca="1">'Database MK'!GK445</f>
        <v>Sudah, Delay</v>
      </c>
      <c r="Z444" s="7" t="str">
        <f ca="1">'Database MK'!HH445</f>
        <v>Belum, Delay</v>
      </c>
      <c r="AA444" s="7" t="str">
        <f ca="1">'Database MK'!HQ445</f>
        <v>Belum, Delay</v>
      </c>
      <c r="AB444" s="7" t="str">
        <f ca="1">'Database MK'!HW445</f>
        <v>Belum, Delay</v>
      </c>
      <c r="AC444" s="7">
        <f>'Database MK'!DA445-'Database MK'!DB445</f>
        <v>0</v>
      </c>
      <c r="AD444" s="7">
        <f>'Database MK'!DA445-'Database MK'!DF445</f>
        <v>0</v>
      </c>
      <c r="AE444" s="7">
        <f>'Database MK'!DK445-'Database MK'!DL445</f>
        <v>0</v>
      </c>
      <c r="AF444" s="7">
        <f>'Database MK'!DK445-'Database MK'!DO445</f>
        <v>0</v>
      </c>
      <c r="AG444" s="7">
        <f>'Database MK'!DU445-'Database MK'!DW445</f>
        <v>0</v>
      </c>
      <c r="AH444" s="7" t="str">
        <f>IF('Database MK'!EB445="","Belum",'Database MK'!DU445-'Database MK'!EB445)</f>
        <v>Belum</v>
      </c>
      <c r="AI444" s="7" t="str">
        <f>IF('Database MK'!EN445="","Belum",'Database MK'!EL445-'Database MK'!EN445)</f>
        <v>Belum</v>
      </c>
      <c r="AJ444" s="7">
        <f>'Database MK'!FY445-'Database MK'!FZ445</f>
        <v>0</v>
      </c>
      <c r="AK444" s="7">
        <f>IF('Database MK'!GC445="","Belum",'Database MK'!GB445-'Database MK'!GC445)</f>
        <v>-46141</v>
      </c>
      <c r="AL444" s="7">
        <f>IF('Database MK'!GF445="","Belum",'Database MK'!GE445-'Database MK'!GF445)</f>
        <v>-46141</v>
      </c>
      <c r="AM444" s="309">
        <f>IF('Database MK'!GJ445="","Belum",'Database MK'!GI445-'Database MK'!GJ445)</f>
        <v>-46142</v>
      </c>
      <c r="AN444" s="7" t="str">
        <f>IF('Database MK'!HG445="","Belum",'Database MK'!HF445-'Database MK'!HG445)</f>
        <v>Belum</v>
      </c>
      <c r="AO444" s="7" t="str">
        <f>IF('Database MK'!HP445="","Belum",'Database MK'!HN445-'Database MK'!HP445)</f>
        <v>Belum</v>
      </c>
      <c r="AP444" s="7" t="str">
        <f>IF('Database MK'!HV445="","Belum",'Database MK'!HT445-'Database MK'!HV445)</f>
        <v>Belum</v>
      </c>
    </row>
    <row r="445" spans="2:42" hidden="1" x14ac:dyDescent="0.2">
      <c r="B445" s="7">
        <f>SUBTOTAL(3,$C$4:C445)</f>
        <v>74</v>
      </c>
      <c r="C445" s="299" t="s">
        <v>673</v>
      </c>
      <c r="D445" s="4" t="s">
        <v>3456</v>
      </c>
      <c r="E445" s="4" t="s">
        <v>3457</v>
      </c>
      <c r="F445" s="300">
        <v>46478</v>
      </c>
      <c r="G445" s="4" t="s">
        <v>247</v>
      </c>
      <c r="H445" s="4" t="str">
        <f ca="1">'Database MK'!Q446</f>
        <v>Persiapan</v>
      </c>
      <c r="I445" s="24">
        <f>'Database MK'!S446</f>
        <v>0</v>
      </c>
      <c r="J445" s="24">
        <f>'Database MK'!T446</f>
        <v>0</v>
      </c>
      <c r="K445" s="603">
        <f>'Database MK'!U446</f>
        <v>0</v>
      </c>
      <c r="L445" s="593">
        <f>'Database MK'!V446</f>
        <v>0</v>
      </c>
      <c r="M445" s="593">
        <f>'Database MK'!W446</f>
        <v>0</v>
      </c>
      <c r="N445" s="593">
        <f>Table3[[#This Row],[Total Panjang Pipa Aktual]]-Table3[[#This Row],[Volume
BA MC-0]]</f>
        <v>0</v>
      </c>
      <c r="O445" s="7" t="str">
        <f ca="1">'Database MK'!DE446</f>
        <v>Belum, Delay</v>
      </c>
      <c r="P445" s="7" t="str">
        <f ca="1">'Database MK'!DI446</f>
        <v>Belum, Delay</v>
      </c>
      <c r="Q445" s="7" t="str">
        <f ca="1">'Database MK'!DN446</f>
        <v>Belum, Delay</v>
      </c>
      <c r="R445" s="7" t="str">
        <f ca="1">'Database MK'!DR446</f>
        <v>Belum, Delay</v>
      </c>
      <c r="S445" s="7" t="str">
        <f ca="1">'Database MK'!EA446</f>
        <v>Belum, Delay</v>
      </c>
      <c r="T445" s="7" t="str">
        <f ca="1">'Database MK'!EI446</f>
        <v>Belum, Delay</v>
      </c>
      <c r="U445" s="7" t="str">
        <f ca="1">'Database MK'!ET446</f>
        <v>Belum, Delay</v>
      </c>
      <c r="V445" s="7" t="str">
        <f ca="1">'Database MK'!GA446</f>
        <v>Belum, Delay</v>
      </c>
      <c r="W445" s="7" t="str">
        <f ca="1">'Database MK'!GD446</f>
        <v>Belum, Delay</v>
      </c>
      <c r="X445" s="7" t="str">
        <f ca="1">'Database MK'!GG446</f>
        <v>Belum, Delay</v>
      </c>
      <c r="Y445" s="7" t="str">
        <f ca="1">'Database MK'!GK446</f>
        <v>Belum, Delay</v>
      </c>
      <c r="Z445" s="7" t="str">
        <f ca="1">'Database MK'!HH446</f>
        <v>Belum, Delay</v>
      </c>
      <c r="AA445" s="7" t="str">
        <f ca="1">'Database MK'!HQ446</f>
        <v>Belum, Delay</v>
      </c>
      <c r="AB445" s="7" t="str">
        <f ca="1">'Database MK'!HW446</f>
        <v>Belum, Delay</v>
      </c>
      <c r="AC445" s="7">
        <f>'Database MK'!DA446-'Database MK'!DB446</f>
        <v>0</v>
      </c>
      <c r="AD445" s="7">
        <f>'Database MK'!DA446-'Database MK'!DF446</f>
        <v>0</v>
      </c>
      <c r="AE445" s="7">
        <f>'Database MK'!DK446-'Database MK'!DL446</f>
        <v>0</v>
      </c>
      <c r="AF445" s="7">
        <f>'Database MK'!DK446-'Database MK'!DO446</f>
        <v>0</v>
      </c>
      <c r="AG445" s="7">
        <f>'Database MK'!DU446-'Database MK'!DW446</f>
        <v>0</v>
      </c>
      <c r="AH445" s="7" t="str">
        <f>IF('Database MK'!EB446="","Belum",'Database MK'!DU446-'Database MK'!EB446)</f>
        <v>Belum</v>
      </c>
      <c r="AI445" s="7" t="str">
        <f>IF('Database MK'!EN446="","Belum",'Database MK'!EL446-'Database MK'!EN446)</f>
        <v>Belum</v>
      </c>
      <c r="AJ445" s="7">
        <f>'Database MK'!FY446-'Database MK'!FZ446</f>
        <v>0</v>
      </c>
      <c r="AK445" s="7" t="str">
        <f>IF('Database MK'!GC446="","Belum",'Database MK'!GB446-'Database MK'!GC446)</f>
        <v>Belum</v>
      </c>
      <c r="AL445" s="7" t="str">
        <f>IF('Database MK'!GF446="","Belum",'Database MK'!GE446-'Database MK'!GF446)</f>
        <v>Belum</v>
      </c>
      <c r="AM445" s="309" t="str">
        <f>IF('Database MK'!GJ446="","Belum",'Database MK'!GI446-'Database MK'!GJ446)</f>
        <v>Belum</v>
      </c>
      <c r="AN445" s="7" t="str">
        <f>IF('Database MK'!HG446="","Belum",'Database MK'!HF446-'Database MK'!HG446)</f>
        <v>Belum</v>
      </c>
      <c r="AO445" s="7" t="str">
        <f>IF('Database MK'!HP446="","Belum",'Database MK'!HN446-'Database MK'!HP446)</f>
        <v>Belum</v>
      </c>
      <c r="AP445" s="7" t="str">
        <f>IF('Database MK'!HV446="","Belum",'Database MK'!HT446-'Database MK'!HV446)</f>
        <v>Belum</v>
      </c>
    </row>
    <row r="446" spans="2:42" hidden="1" x14ac:dyDescent="0.2">
      <c r="B446" s="7">
        <f>SUBTOTAL(3,$C$4:C446)</f>
        <v>74</v>
      </c>
      <c r="C446" s="299" t="s">
        <v>673</v>
      </c>
      <c r="D446" s="4" t="s">
        <v>3458</v>
      </c>
      <c r="E446" s="4" t="s">
        <v>3459</v>
      </c>
      <c r="F446" s="300">
        <v>46478</v>
      </c>
      <c r="G446" s="4" t="s">
        <v>247</v>
      </c>
      <c r="H446" s="4" t="str">
        <f ca="1">'Database MK'!Q447</f>
        <v>Persiapan</v>
      </c>
      <c r="I446" s="24">
        <f>'Database MK'!S447</f>
        <v>0</v>
      </c>
      <c r="J446" s="24">
        <f>'Database MK'!T447</f>
        <v>0</v>
      </c>
      <c r="K446" s="603">
        <f>'Database MK'!U447</f>
        <v>0</v>
      </c>
      <c r="L446" s="593">
        <f>'Database MK'!V447</f>
        <v>0</v>
      </c>
      <c r="M446" s="593">
        <f>'Database MK'!W447</f>
        <v>0</v>
      </c>
      <c r="N446" s="593">
        <f>Table3[[#This Row],[Total Panjang Pipa Aktual]]-Table3[[#This Row],[Volume
BA MC-0]]</f>
        <v>0</v>
      </c>
      <c r="O446" s="7" t="str">
        <f ca="1">'Database MK'!DE447</f>
        <v>Belum, Delay</v>
      </c>
      <c r="P446" s="7" t="str">
        <f ca="1">'Database MK'!DI447</f>
        <v>Belum, Delay</v>
      </c>
      <c r="Q446" s="7" t="str">
        <f ca="1">'Database MK'!DN447</f>
        <v>Belum, Delay</v>
      </c>
      <c r="R446" s="7" t="str">
        <f ca="1">'Database MK'!DR447</f>
        <v>Belum, Delay</v>
      </c>
      <c r="S446" s="7" t="str">
        <f ca="1">'Database MK'!EA447</f>
        <v>Belum, Delay</v>
      </c>
      <c r="T446" s="7" t="str">
        <f ca="1">'Database MK'!EI447</f>
        <v>Belum, Delay</v>
      </c>
      <c r="U446" s="7" t="str">
        <f ca="1">'Database MK'!ET447</f>
        <v>Belum, Delay</v>
      </c>
      <c r="V446" s="7" t="str">
        <f ca="1">'Database MK'!GA447</f>
        <v>Belum, Delay</v>
      </c>
      <c r="W446" s="7" t="str">
        <f ca="1">'Database MK'!GD447</f>
        <v>Belum, Delay</v>
      </c>
      <c r="X446" s="7" t="str">
        <f ca="1">'Database MK'!GG447</f>
        <v>Belum, Delay</v>
      </c>
      <c r="Y446" s="7" t="str">
        <f ca="1">'Database MK'!GK447</f>
        <v>Belum, Delay</v>
      </c>
      <c r="Z446" s="7" t="str">
        <f ca="1">'Database MK'!HH447</f>
        <v>Belum, Delay</v>
      </c>
      <c r="AA446" s="7" t="str">
        <f ca="1">'Database MK'!HQ447</f>
        <v>Belum, Delay</v>
      </c>
      <c r="AB446" s="7" t="str">
        <f ca="1">'Database MK'!HW447</f>
        <v>Belum, Delay</v>
      </c>
      <c r="AC446" s="7">
        <f>'Database MK'!DA447-'Database MK'!DB447</f>
        <v>0</v>
      </c>
      <c r="AD446" s="7">
        <f>'Database MK'!DA447-'Database MK'!DF447</f>
        <v>0</v>
      </c>
      <c r="AE446" s="7">
        <f>'Database MK'!DK447-'Database MK'!DL447</f>
        <v>0</v>
      </c>
      <c r="AF446" s="7">
        <f>'Database MK'!DK447-'Database MK'!DO447</f>
        <v>0</v>
      </c>
      <c r="AG446" s="7">
        <f>'Database MK'!DU447-'Database MK'!DW447</f>
        <v>0</v>
      </c>
      <c r="AH446" s="7" t="str">
        <f>IF('Database MK'!EB447="","Belum",'Database MK'!DU447-'Database MK'!EB447)</f>
        <v>Belum</v>
      </c>
      <c r="AI446" s="7" t="str">
        <f>IF('Database MK'!EN447="","Belum",'Database MK'!EL447-'Database MK'!EN447)</f>
        <v>Belum</v>
      </c>
      <c r="AJ446" s="7">
        <f>'Database MK'!FY447-'Database MK'!FZ447</f>
        <v>0</v>
      </c>
      <c r="AK446" s="7" t="str">
        <f>IF('Database MK'!GC447="","Belum",'Database MK'!GB447-'Database MK'!GC447)</f>
        <v>Belum</v>
      </c>
      <c r="AL446" s="7" t="str">
        <f>IF('Database MK'!GF447="","Belum",'Database MK'!GE447-'Database MK'!GF447)</f>
        <v>Belum</v>
      </c>
      <c r="AM446" s="309" t="str">
        <f>IF('Database MK'!GJ447="","Belum",'Database MK'!GI447-'Database MK'!GJ447)</f>
        <v>Belum</v>
      </c>
      <c r="AN446" s="7" t="str">
        <f>IF('Database MK'!HG447="","Belum",'Database MK'!HF447-'Database MK'!HG447)</f>
        <v>Belum</v>
      </c>
      <c r="AO446" s="7" t="str">
        <f>IF('Database MK'!HP447="","Belum",'Database MK'!HN447-'Database MK'!HP447)</f>
        <v>Belum</v>
      </c>
      <c r="AP446" s="7" t="str">
        <f>IF('Database MK'!HV447="","Belum",'Database MK'!HT447-'Database MK'!HV447)</f>
        <v>Belum</v>
      </c>
    </row>
    <row r="447" spans="2:42" hidden="1" x14ac:dyDescent="0.2">
      <c r="B447" s="7">
        <f>SUBTOTAL(3,$C$4:C447)</f>
        <v>74</v>
      </c>
      <c r="C447" s="299" t="s">
        <v>673</v>
      </c>
      <c r="D447" s="4" t="s">
        <v>3460</v>
      </c>
      <c r="E447" s="4" t="s">
        <v>3461</v>
      </c>
      <c r="F447" s="300">
        <v>46478</v>
      </c>
      <c r="G447" s="4" t="s">
        <v>681</v>
      </c>
      <c r="H447" s="4" t="str">
        <f ca="1">'Database MK'!Q448</f>
        <v>MC-0</v>
      </c>
      <c r="I447" s="24">
        <f>'Database MK'!S448</f>
        <v>0</v>
      </c>
      <c r="J447" s="24">
        <f>'Database MK'!T448</f>
        <v>0</v>
      </c>
      <c r="K447" s="603">
        <f>'Database MK'!U448</f>
        <v>0</v>
      </c>
      <c r="L447" s="593">
        <f>'Database MK'!V448</f>
        <v>0</v>
      </c>
      <c r="M447" s="593">
        <f>'Database MK'!W448</f>
        <v>0</v>
      </c>
      <c r="N447" s="593">
        <f>Table3[[#This Row],[Total Panjang Pipa Aktual]]-Table3[[#This Row],[Volume
BA MC-0]]</f>
        <v>0</v>
      </c>
      <c r="O447" s="7" t="str">
        <f ca="1">'Database MK'!DE448</f>
        <v>Belum, Delay</v>
      </c>
      <c r="P447" s="7" t="str">
        <f ca="1">'Database MK'!DI448</f>
        <v>Belum, Delay</v>
      </c>
      <c r="Q447" s="7" t="str">
        <f ca="1">'Database MK'!DN448</f>
        <v>Belum, Delay</v>
      </c>
      <c r="R447" s="7" t="str">
        <f ca="1">'Database MK'!DR448</f>
        <v>Belum, Delay</v>
      </c>
      <c r="S447" s="7" t="str">
        <f ca="1">'Database MK'!EA448</f>
        <v>Belum, Delay</v>
      </c>
      <c r="T447" s="7" t="str">
        <f ca="1">'Database MK'!EI448</f>
        <v>Belum, Delay</v>
      </c>
      <c r="U447" s="7" t="str">
        <f ca="1">'Database MK'!ET448</f>
        <v>Belum, Delay</v>
      </c>
      <c r="V447" s="7" t="str">
        <f ca="1">'Database MK'!GA448</f>
        <v>Belum, Delay</v>
      </c>
      <c r="W447" s="7" t="str">
        <f ca="1">'Database MK'!GD448</f>
        <v>Belum, Delay</v>
      </c>
      <c r="X447" s="7" t="str">
        <f ca="1">'Database MK'!GG448</f>
        <v>Belum, Delay</v>
      </c>
      <c r="Y447" s="7" t="str">
        <f ca="1">'Database MK'!GK448</f>
        <v>Sudah, Delay</v>
      </c>
      <c r="Z447" s="7" t="str">
        <f ca="1">'Database MK'!HH448</f>
        <v>Belum, Delay</v>
      </c>
      <c r="AA447" s="7" t="str">
        <f ca="1">'Database MK'!HQ448</f>
        <v>Belum, Delay</v>
      </c>
      <c r="AB447" s="7" t="str">
        <f ca="1">'Database MK'!HW448</f>
        <v>Belum, Delay</v>
      </c>
      <c r="AC447" s="7">
        <f>'Database MK'!DA448-'Database MK'!DB448</f>
        <v>0</v>
      </c>
      <c r="AD447" s="7">
        <f>'Database MK'!DA448-'Database MK'!DF448</f>
        <v>0</v>
      </c>
      <c r="AE447" s="7">
        <f>'Database MK'!DK448-'Database MK'!DL448</f>
        <v>0</v>
      </c>
      <c r="AF447" s="7">
        <f>'Database MK'!DK448-'Database MK'!DO448</f>
        <v>0</v>
      </c>
      <c r="AG447" s="7">
        <f>'Database MK'!DU448-'Database MK'!DW448</f>
        <v>0</v>
      </c>
      <c r="AH447" s="7" t="str">
        <f>IF('Database MK'!EB448="","Belum",'Database MK'!DU448-'Database MK'!EB448)</f>
        <v>Belum</v>
      </c>
      <c r="AI447" s="7" t="str">
        <f>IF('Database MK'!EN448="","Belum",'Database MK'!EL448-'Database MK'!EN448)</f>
        <v>Belum</v>
      </c>
      <c r="AJ447" s="7">
        <f>'Database MK'!FY448-'Database MK'!FZ448</f>
        <v>0</v>
      </c>
      <c r="AK447" s="7" t="str">
        <f>IF('Database MK'!GC448="","Belum",'Database MK'!GB448-'Database MK'!GC448)</f>
        <v>Belum</v>
      </c>
      <c r="AL447" s="7" t="str">
        <f>IF('Database MK'!GF448="","Belum",'Database MK'!GE448-'Database MK'!GF448)</f>
        <v>Belum</v>
      </c>
      <c r="AM447" s="309">
        <f>IF('Database MK'!GJ448="","Belum",'Database MK'!GI448-'Database MK'!GJ448)</f>
        <v>-46121</v>
      </c>
      <c r="AN447" s="7" t="str">
        <f>IF('Database MK'!HG448="","Belum",'Database MK'!HF448-'Database MK'!HG448)</f>
        <v>Belum</v>
      </c>
      <c r="AO447" s="7" t="str">
        <f>IF('Database MK'!HP448="","Belum",'Database MK'!HN448-'Database MK'!HP448)</f>
        <v>Belum</v>
      </c>
      <c r="AP447" s="7" t="str">
        <f>IF('Database MK'!HV448="","Belum",'Database MK'!HT448-'Database MK'!HV448)</f>
        <v>Belum</v>
      </c>
    </row>
    <row r="448" spans="2:42" hidden="1" x14ac:dyDescent="0.2">
      <c r="B448" s="7">
        <f>SUBTOTAL(3,$C$4:C448)</f>
        <v>74</v>
      </c>
      <c r="C448" s="299" t="s">
        <v>673</v>
      </c>
      <c r="D448" s="4" t="s">
        <v>3462</v>
      </c>
      <c r="E448" s="4" t="s">
        <v>3463</v>
      </c>
      <c r="F448" s="300">
        <v>46478</v>
      </c>
      <c r="G448" s="4" t="s">
        <v>681</v>
      </c>
      <c r="H448" s="4" t="str">
        <f ca="1">'Database MK'!Q449</f>
        <v>Persiapan</v>
      </c>
      <c r="I448" s="24">
        <f>'Database MK'!S449</f>
        <v>0</v>
      </c>
      <c r="J448" s="24">
        <f>'Database MK'!T449</f>
        <v>0</v>
      </c>
      <c r="K448" s="603">
        <f>'Database MK'!U449</f>
        <v>0</v>
      </c>
      <c r="L448" s="593">
        <f>'Database MK'!V449</f>
        <v>0</v>
      </c>
      <c r="M448" s="593">
        <f>'Database MK'!W449</f>
        <v>0</v>
      </c>
      <c r="N448" s="593">
        <f>Table3[[#This Row],[Total Panjang Pipa Aktual]]-Table3[[#This Row],[Volume
BA MC-0]]</f>
        <v>0</v>
      </c>
      <c r="O448" s="7" t="str">
        <f ca="1">'Database MK'!DE449</f>
        <v>Belum, Delay</v>
      </c>
      <c r="P448" s="7" t="str">
        <f ca="1">'Database MK'!DI449</f>
        <v>Belum, Delay</v>
      </c>
      <c r="Q448" s="7" t="str">
        <f ca="1">'Database MK'!DN449</f>
        <v>Belum, Delay</v>
      </c>
      <c r="R448" s="7" t="str">
        <f ca="1">'Database MK'!DR449</f>
        <v>Belum, Delay</v>
      </c>
      <c r="S448" s="7" t="str">
        <f ca="1">'Database MK'!EA449</f>
        <v>Belum, Delay</v>
      </c>
      <c r="T448" s="7" t="str">
        <f ca="1">'Database MK'!EI449</f>
        <v>Belum, Delay</v>
      </c>
      <c r="U448" s="7" t="str">
        <f ca="1">'Database MK'!ET449</f>
        <v>Belum, Delay</v>
      </c>
      <c r="V448" s="7" t="str">
        <f ca="1">'Database MK'!GA449</f>
        <v>Belum, Delay</v>
      </c>
      <c r="W448" s="7" t="str">
        <f ca="1">'Database MK'!GD449</f>
        <v>Belum, Delay</v>
      </c>
      <c r="X448" s="7" t="str">
        <f ca="1">'Database MK'!GG449</f>
        <v>Belum, Delay</v>
      </c>
      <c r="Y448" s="7" t="str">
        <f ca="1">'Database MK'!GK449</f>
        <v>Belum, Delay</v>
      </c>
      <c r="Z448" s="7" t="str">
        <f ca="1">'Database MK'!HH449</f>
        <v>Belum, Delay</v>
      </c>
      <c r="AA448" s="7" t="str">
        <f ca="1">'Database MK'!HQ449</f>
        <v>Belum, Delay</v>
      </c>
      <c r="AB448" s="7" t="str">
        <f ca="1">'Database MK'!HW449</f>
        <v>Belum, Delay</v>
      </c>
      <c r="AC448" s="7">
        <f>'Database MK'!DA449-'Database MK'!DB449</f>
        <v>0</v>
      </c>
      <c r="AD448" s="7">
        <f>'Database MK'!DA449-'Database MK'!DF449</f>
        <v>0</v>
      </c>
      <c r="AE448" s="7">
        <f>'Database MK'!DK449-'Database MK'!DL449</f>
        <v>0</v>
      </c>
      <c r="AF448" s="7">
        <f>'Database MK'!DK449-'Database MK'!DO449</f>
        <v>0</v>
      </c>
      <c r="AG448" s="7">
        <f>'Database MK'!DU449-'Database MK'!DW449</f>
        <v>0</v>
      </c>
      <c r="AH448" s="7" t="str">
        <f>IF('Database MK'!EB449="","Belum",'Database MK'!DU449-'Database MK'!EB449)</f>
        <v>Belum</v>
      </c>
      <c r="AI448" s="7" t="str">
        <f>IF('Database MK'!EN449="","Belum",'Database MK'!EL449-'Database MK'!EN449)</f>
        <v>Belum</v>
      </c>
      <c r="AJ448" s="7">
        <f>'Database MK'!FY449-'Database MK'!FZ449</f>
        <v>0</v>
      </c>
      <c r="AK448" s="7" t="str">
        <f>IF('Database MK'!GC449="","Belum",'Database MK'!GB449-'Database MK'!GC449)</f>
        <v>Belum</v>
      </c>
      <c r="AL448" s="7" t="str">
        <f>IF('Database MK'!GF449="","Belum",'Database MK'!GE449-'Database MK'!GF449)</f>
        <v>Belum</v>
      </c>
      <c r="AM448" s="309" t="str">
        <f>IF('Database MK'!GJ449="","Belum",'Database MK'!GI449-'Database MK'!GJ449)</f>
        <v>Belum</v>
      </c>
      <c r="AN448" s="7" t="str">
        <f>IF('Database MK'!HG449="","Belum",'Database MK'!HF449-'Database MK'!HG449)</f>
        <v>Belum</v>
      </c>
      <c r="AO448" s="7" t="str">
        <f>IF('Database MK'!HP449="","Belum",'Database MK'!HN449-'Database MK'!HP449)</f>
        <v>Belum</v>
      </c>
      <c r="AP448" s="7" t="str">
        <f>IF('Database MK'!HV449="","Belum",'Database MK'!HT449-'Database MK'!HV449)</f>
        <v>Belum</v>
      </c>
    </row>
    <row r="449" spans="2:42" hidden="1" x14ac:dyDescent="0.2">
      <c r="B449" s="7">
        <f>SUBTOTAL(3,$C$4:C449)</f>
        <v>74</v>
      </c>
      <c r="C449" s="299" t="s">
        <v>673</v>
      </c>
      <c r="D449" s="4" t="s">
        <v>3464</v>
      </c>
      <c r="E449" s="4" t="s">
        <v>3465</v>
      </c>
      <c r="F449" s="300">
        <v>46478</v>
      </c>
      <c r="G449" s="4" t="s">
        <v>681</v>
      </c>
      <c r="H449" s="4" t="str">
        <f ca="1">'Database MK'!Q450</f>
        <v>Persiapan</v>
      </c>
      <c r="I449" s="24">
        <f>'Database MK'!S450</f>
        <v>0</v>
      </c>
      <c r="J449" s="24">
        <f>'Database MK'!T450</f>
        <v>0</v>
      </c>
      <c r="K449" s="603">
        <f>'Database MK'!U450</f>
        <v>0</v>
      </c>
      <c r="L449" s="593">
        <f>'Database MK'!V450</f>
        <v>0</v>
      </c>
      <c r="M449" s="593">
        <f>'Database MK'!W450</f>
        <v>0</v>
      </c>
      <c r="N449" s="593">
        <f>Table3[[#This Row],[Total Panjang Pipa Aktual]]-Table3[[#This Row],[Volume
BA MC-0]]</f>
        <v>0</v>
      </c>
      <c r="O449" s="7" t="str">
        <f ca="1">'Database MK'!DE450</f>
        <v>Belum, Delay</v>
      </c>
      <c r="P449" s="7" t="str">
        <f ca="1">'Database MK'!DI450</f>
        <v>Belum, Delay</v>
      </c>
      <c r="Q449" s="7" t="str">
        <f ca="1">'Database MK'!DN450</f>
        <v>Belum, Delay</v>
      </c>
      <c r="R449" s="7" t="str">
        <f ca="1">'Database MK'!DR450</f>
        <v>Belum, Delay</v>
      </c>
      <c r="S449" s="7" t="str">
        <f ca="1">'Database MK'!EA450</f>
        <v>Belum, Delay</v>
      </c>
      <c r="T449" s="7" t="str">
        <f ca="1">'Database MK'!EI450</f>
        <v>Belum, Delay</v>
      </c>
      <c r="U449" s="7" t="str">
        <f ca="1">'Database MK'!ET450</f>
        <v>Belum, Delay</v>
      </c>
      <c r="V449" s="7" t="str">
        <f ca="1">'Database MK'!GA450</f>
        <v>Belum, Delay</v>
      </c>
      <c r="W449" s="7" t="str">
        <f ca="1">'Database MK'!GD450</f>
        <v>Belum, Delay</v>
      </c>
      <c r="X449" s="7" t="str">
        <f ca="1">'Database MK'!GG450</f>
        <v>Belum, Delay</v>
      </c>
      <c r="Y449" s="7" t="str">
        <f ca="1">'Database MK'!GK450</f>
        <v>Belum, Delay</v>
      </c>
      <c r="Z449" s="7" t="str">
        <f ca="1">'Database MK'!HH450</f>
        <v>Belum, Delay</v>
      </c>
      <c r="AA449" s="7" t="str">
        <f ca="1">'Database MK'!HQ450</f>
        <v>Belum, Delay</v>
      </c>
      <c r="AB449" s="7" t="str">
        <f ca="1">'Database MK'!HW450</f>
        <v>Belum, Delay</v>
      </c>
      <c r="AC449" s="7">
        <f>'Database MK'!DA450-'Database MK'!DB450</f>
        <v>0</v>
      </c>
      <c r="AD449" s="7">
        <f>'Database MK'!DA450-'Database MK'!DF450</f>
        <v>0</v>
      </c>
      <c r="AE449" s="7">
        <f>'Database MK'!DK450-'Database MK'!DL450</f>
        <v>0</v>
      </c>
      <c r="AF449" s="7">
        <f>'Database MK'!DK450-'Database MK'!DO450</f>
        <v>0</v>
      </c>
      <c r="AG449" s="7">
        <f>'Database MK'!DU450-'Database MK'!DW450</f>
        <v>0</v>
      </c>
      <c r="AH449" s="7" t="str">
        <f>IF('Database MK'!EB450="","Belum",'Database MK'!DU450-'Database MK'!EB450)</f>
        <v>Belum</v>
      </c>
      <c r="AI449" s="7" t="str">
        <f>IF('Database MK'!EN450="","Belum",'Database MK'!EL450-'Database MK'!EN450)</f>
        <v>Belum</v>
      </c>
      <c r="AJ449" s="7">
        <f>'Database MK'!FY450-'Database MK'!FZ450</f>
        <v>0</v>
      </c>
      <c r="AK449" s="7" t="str">
        <f>IF('Database MK'!GC450="","Belum",'Database MK'!GB450-'Database MK'!GC450)</f>
        <v>Belum</v>
      </c>
      <c r="AL449" s="7" t="str">
        <f>IF('Database MK'!GF450="","Belum",'Database MK'!GE450-'Database MK'!GF450)</f>
        <v>Belum</v>
      </c>
      <c r="AM449" s="309" t="str">
        <f>IF('Database MK'!GJ450="","Belum",'Database MK'!GI450-'Database MK'!GJ450)</f>
        <v>Belum</v>
      </c>
      <c r="AN449" s="7" t="str">
        <f>IF('Database MK'!HG450="","Belum",'Database MK'!HF450-'Database MK'!HG450)</f>
        <v>Belum</v>
      </c>
      <c r="AO449" s="7" t="str">
        <f>IF('Database MK'!HP450="","Belum",'Database MK'!HN450-'Database MK'!HP450)</f>
        <v>Belum</v>
      </c>
      <c r="AP449" s="7" t="str">
        <f>IF('Database MK'!HV450="","Belum",'Database MK'!HT450-'Database MK'!HV450)</f>
        <v>Belum</v>
      </c>
    </row>
    <row r="450" spans="2:42" hidden="1" x14ac:dyDescent="0.2">
      <c r="B450" s="7">
        <f>SUBTOTAL(3,$C$4:C450)</f>
        <v>74</v>
      </c>
      <c r="C450" s="299" t="s">
        <v>673</v>
      </c>
      <c r="D450" s="4" t="s">
        <v>3466</v>
      </c>
      <c r="E450" s="4" t="s">
        <v>3467</v>
      </c>
      <c r="F450" s="300">
        <v>46478</v>
      </c>
      <c r="G450" s="4" t="s">
        <v>681</v>
      </c>
      <c r="H450" s="4" t="str">
        <f ca="1">'Database MK'!Q451</f>
        <v>Persiapan</v>
      </c>
      <c r="I450" s="24">
        <f>'Database MK'!S451</f>
        <v>0</v>
      </c>
      <c r="J450" s="24">
        <f>'Database MK'!T451</f>
        <v>0</v>
      </c>
      <c r="K450" s="603">
        <f>'Database MK'!U451</f>
        <v>0</v>
      </c>
      <c r="L450" s="593">
        <f>'Database MK'!V451</f>
        <v>0</v>
      </c>
      <c r="M450" s="593">
        <f>'Database MK'!W451</f>
        <v>0</v>
      </c>
      <c r="N450" s="593">
        <f>Table3[[#This Row],[Total Panjang Pipa Aktual]]-Table3[[#This Row],[Volume
BA MC-0]]</f>
        <v>0</v>
      </c>
      <c r="O450" s="7" t="str">
        <f ca="1">'Database MK'!DE451</f>
        <v>Belum, Delay</v>
      </c>
      <c r="P450" s="7" t="str">
        <f ca="1">'Database MK'!DI451</f>
        <v>Belum, Delay</v>
      </c>
      <c r="Q450" s="7" t="str">
        <f ca="1">'Database MK'!DN451</f>
        <v>Belum, Delay</v>
      </c>
      <c r="R450" s="7" t="str">
        <f ca="1">'Database MK'!DR451</f>
        <v>Belum, Delay</v>
      </c>
      <c r="S450" s="7" t="str">
        <f ca="1">'Database MK'!EA451</f>
        <v>Belum, Delay</v>
      </c>
      <c r="T450" s="7" t="str">
        <f ca="1">'Database MK'!EI451</f>
        <v>Belum, Delay</v>
      </c>
      <c r="U450" s="7" t="str">
        <f ca="1">'Database MK'!ET451</f>
        <v>Belum, Delay</v>
      </c>
      <c r="V450" s="7" t="str">
        <f ca="1">'Database MK'!GA451</f>
        <v>Belum, Delay</v>
      </c>
      <c r="W450" s="7" t="str">
        <f ca="1">'Database MK'!GD451</f>
        <v>Belum, Delay</v>
      </c>
      <c r="X450" s="7" t="str">
        <f ca="1">'Database MK'!GG451</f>
        <v>Belum, Delay</v>
      </c>
      <c r="Y450" s="7" t="str">
        <f ca="1">'Database MK'!GK451</f>
        <v>Belum, Delay</v>
      </c>
      <c r="Z450" s="7" t="str">
        <f ca="1">'Database MK'!HH451</f>
        <v>Belum, Delay</v>
      </c>
      <c r="AA450" s="7" t="str">
        <f ca="1">'Database MK'!HQ451</f>
        <v>Belum, Delay</v>
      </c>
      <c r="AB450" s="7" t="str">
        <f ca="1">'Database MK'!HW451</f>
        <v>Belum, Delay</v>
      </c>
      <c r="AC450" s="7">
        <f>'Database MK'!DA451-'Database MK'!DB451</f>
        <v>0</v>
      </c>
      <c r="AD450" s="7">
        <f>'Database MK'!DA451-'Database MK'!DF451</f>
        <v>0</v>
      </c>
      <c r="AE450" s="7">
        <f>'Database MK'!DK451-'Database MK'!DL451</f>
        <v>0</v>
      </c>
      <c r="AF450" s="7">
        <f>'Database MK'!DK451-'Database MK'!DO451</f>
        <v>0</v>
      </c>
      <c r="AG450" s="7">
        <f>'Database MK'!DU451-'Database MK'!DW451</f>
        <v>0</v>
      </c>
      <c r="AH450" s="7" t="str">
        <f>IF('Database MK'!EB451="","Belum",'Database MK'!DU451-'Database MK'!EB451)</f>
        <v>Belum</v>
      </c>
      <c r="AI450" s="7" t="str">
        <f>IF('Database MK'!EN451="","Belum",'Database MK'!EL451-'Database MK'!EN451)</f>
        <v>Belum</v>
      </c>
      <c r="AJ450" s="7">
        <f>'Database MK'!FY451-'Database MK'!FZ451</f>
        <v>0</v>
      </c>
      <c r="AK450" s="7" t="str">
        <f>IF('Database MK'!GC451="","Belum",'Database MK'!GB451-'Database MK'!GC451)</f>
        <v>Belum</v>
      </c>
      <c r="AL450" s="7" t="str">
        <f>IF('Database MK'!GF451="","Belum",'Database MK'!GE451-'Database MK'!GF451)</f>
        <v>Belum</v>
      </c>
      <c r="AM450" s="309" t="str">
        <f>IF('Database MK'!GJ451="","Belum",'Database MK'!GI451-'Database MK'!GJ451)</f>
        <v>Belum</v>
      </c>
      <c r="AN450" s="7" t="str">
        <f>IF('Database MK'!HG451="","Belum",'Database MK'!HF451-'Database MK'!HG451)</f>
        <v>Belum</v>
      </c>
      <c r="AO450" s="7" t="str">
        <f>IF('Database MK'!HP451="","Belum",'Database MK'!HN451-'Database MK'!HP451)</f>
        <v>Belum</v>
      </c>
      <c r="AP450" s="7" t="str">
        <f>IF('Database MK'!HV451="","Belum",'Database MK'!HT451-'Database MK'!HV451)</f>
        <v>Belum</v>
      </c>
    </row>
    <row r="451" spans="2:42" hidden="1" x14ac:dyDescent="0.2">
      <c r="B451" s="7">
        <f>SUBTOTAL(3,$C$4:C451)</f>
        <v>74</v>
      </c>
      <c r="C451" s="299" t="s">
        <v>673</v>
      </c>
      <c r="D451" s="4" t="s">
        <v>3468</v>
      </c>
      <c r="E451" s="4" t="s">
        <v>3469</v>
      </c>
      <c r="F451" s="300">
        <v>46478</v>
      </c>
      <c r="G451" s="4" t="s">
        <v>681</v>
      </c>
      <c r="H451" s="4" t="str">
        <f ca="1">'Database MK'!Q452</f>
        <v>Persiapan</v>
      </c>
      <c r="I451" s="24">
        <f>'Database MK'!S452</f>
        <v>0</v>
      </c>
      <c r="J451" s="24">
        <f>'Database MK'!T452</f>
        <v>0</v>
      </c>
      <c r="K451" s="603">
        <f>'Database MK'!U452</f>
        <v>0</v>
      </c>
      <c r="L451" s="593">
        <f>'Database MK'!V452</f>
        <v>0</v>
      </c>
      <c r="M451" s="593">
        <f>'Database MK'!W452</f>
        <v>0</v>
      </c>
      <c r="N451" s="593">
        <f>Table3[[#This Row],[Total Panjang Pipa Aktual]]-Table3[[#This Row],[Volume
BA MC-0]]</f>
        <v>0</v>
      </c>
      <c r="O451" s="7" t="str">
        <f ca="1">'Database MK'!DE452</f>
        <v>Belum, Delay</v>
      </c>
      <c r="P451" s="7" t="str">
        <f ca="1">'Database MK'!DI452</f>
        <v>Belum, Delay</v>
      </c>
      <c r="Q451" s="7" t="str">
        <f ca="1">'Database MK'!DN452</f>
        <v>Belum, Delay</v>
      </c>
      <c r="R451" s="7" t="str">
        <f ca="1">'Database MK'!DR452</f>
        <v>Belum, Delay</v>
      </c>
      <c r="S451" s="7" t="str">
        <f ca="1">'Database MK'!EA452</f>
        <v>Belum, Delay</v>
      </c>
      <c r="T451" s="7" t="str">
        <f ca="1">'Database MK'!EI452</f>
        <v>Belum, Delay</v>
      </c>
      <c r="U451" s="7" t="str">
        <f ca="1">'Database MK'!ET452</f>
        <v>Belum, Delay</v>
      </c>
      <c r="V451" s="7" t="str">
        <f ca="1">'Database MK'!GA452</f>
        <v>Belum, Delay</v>
      </c>
      <c r="W451" s="7" t="str">
        <f ca="1">'Database MK'!GD452</f>
        <v>Belum, Delay</v>
      </c>
      <c r="X451" s="7" t="str">
        <f ca="1">'Database MK'!GG452</f>
        <v>Belum, Delay</v>
      </c>
      <c r="Y451" s="7" t="str">
        <f ca="1">'Database MK'!GK452</f>
        <v>Belum, Delay</v>
      </c>
      <c r="Z451" s="7" t="str">
        <f ca="1">'Database MK'!HH452</f>
        <v>Belum, Delay</v>
      </c>
      <c r="AA451" s="7" t="str">
        <f ca="1">'Database MK'!HQ452</f>
        <v>Belum, Delay</v>
      </c>
      <c r="AB451" s="7" t="str">
        <f ca="1">'Database MK'!HW452</f>
        <v>Belum, Delay</v>
      </c>
      <c r="AC451" s="7">
        <f>'Database MK'!DA452-'Database MK'!DB452</f>
        <v>0</v>
      </c>
      <c r="AD451" s="7">
        <f>'Database MK'!DA452-'Database MK'!DF452</f>
        <v>0</v>
      </c>
      <c r="AE451" s="7">
        <f>'Database MK'!DK452-'Database MK'!DL452</f>
        <v>0</v>
      </c>
      <c r="AF451" s="7">
        <f>'Database MK'!DK452-'Database MK'!DO452</f>
        <v>0</v>
      </c>
      <c r="AG451" s="7">
        <f>'Database MK'!DU452-'Database MK'!DW452</f>
        <v>0</v>
      </c>
      <c r="AH451" s="7" t="str">
        <f>IF('Database MK'!EB452="","Belum",'Database MK'!DU452-'Database MK'!EB452)</f>
        <v>Belum</v>
      </c>
      <c r="AI451" s="7" t="str">
        <f>IF('Database MK'!EN452="","Belum",'Database MK'!EL452-'Database MK'!EN452)</f>
        <v>Belum</v>
      </c>
      <c r="AJ451" s="7">
        <f>'Database MK'!FY452-'Database MK'!FZ452</f>
        <v>0</v>
      </c>
      <c r="AK451" s="7" t="str">
        <f>IF('Database MK'!GC452="","Belum",'Database MK'!GB452-'Database MK'!GC452)</f>
        <v>Belum</v>
      </c>
      <c r="AL451" s="7" t="str">
        <f>IF('Database MK'!GF452="","Belum",'Database MK'!GE452-'Database MK'!GF452)</f>
        <v>Belum</v>
      </c>
      <c r="AM451" s="309" t="str">
        <f>IF('Database MK'!GJ452="","Belum",'Database MK'!GI452-'Database MK'!GJ452)</f>
        <v>Belum</v>
      </c>
      <c r="AN451" s="7" t="str">
        <f>IF('Database MK'!HG452="","Belum",'Database MK'!HF452-'Database MK'!HG452)</f>
        <v>Belum</v>
      </c>
      <c r="AO451" s="7" t="str">
        <f>IF('Database MK'!HP452="","Belum",'Database MK'!HN452-'Database MK'!HP452)</f>
        <v>Belum</v>
      </c>
      <c r="AP451" s="7" t="str">
        <f>IF('Database MK'!HV452="","Belum",'Database MK'!HT452-'Database MK'!HV452)</f>
        <v>Belum</v>
      </c>
    </row>
    <row r="452" spans="2:42" hidden="1" x14ac:dyDescent="0.2">
      <c r="B452" s="7">
        <f>SUBTOTAL(3,$C$4:C452)</f>
        <v>74</v>
      </c>
      <c r="C452" s="299" t="s">
        <v>673</v>
      </c>
      <c r="D452" s="4" t="s">
        <v>3470</v>
      </c>
      <c r="E452" s="4" t="s">
        <v>3471</v>
      </c>
      <c r="F452" s="300">
        <v>46478</v>
      </c>
      <c r="G452" s="4" t="s">
        <v>681</v>
      </c>
      <c r="H452" s="4" t="str">
        <f ca="1">'Database MK'!Q453</f>
        <v>MC-0</v>
      </c>
      <c r="I452" s="24">
        <f>'Database MK'!S453</f>
        <v>0</v>
      </c>
      <c r="J452" s="24">
        <f>'Database MK'!T453</f>
        <v>0</v>
      </c>
      <c r="K452" s="603">
        <f>'Database MK'!U453</f>
        <v>0</v>
      </c>
      <c r="L452" s="593">
        <f>'Database MK'!V453</f>
        <v>0</v>
      </c>
      <c r="M452" s="593">
        <f>'Database MK'!W453</f>
        <v>0</v>
      </c>
      <c r="N452" s="593">
        <f>Table3[[#This Row],[Total Panjang Pipa Aktual]]-Table3[[#This Row],[Volume
BA MC-0]]</f>
        <v>0</v>
      </c>
      <c r="O452" s="7" t="str">
        <f ca="1">'Database MK'!DE453</f>
        <v>Belum, Delay</v>
      </c>
      <c r="P452" s="7" t="str">
        <f ca="1">'Database MK'!DI453</f>
        <v>Belum, Delay</v>
      </c>
      <c r="Q452" s="7" t="str">
        <f ca="1">'Database MK'!DN453</f>
        <v>Belum, Delay</v>
      </c>
      <c r="R452" s="7" t="str">
        <f ca="1">'Database MK'!DR453</f>
        <v>Belum, Delay</v>
      </c>
      <c r="S452" s="7" t="str">
        <f ca="1">'Database MK'!EA453</f>
        <v>Belum, Delay</v>
      </c>
      <c r="T452" s="7" t="str">
        <f ca="1">'Database MK'!EI453</f>
        <v>Belum, Delay</v>
      </c>
      <c r="U452" s="7" t="str">
        <f ca="1">'Database MK'!ET453</f>
        <v>Belum, Delay</v>
      </c>
      <c r="V452" s="7" t="str">
        <f ca="1">'Database MK'!GA453</f>
        <v>Belum, Delay</v>
      </c>
      <c r="W452" s="7" t="str">
        <f ca="1">'Database MK'!GD453</f>
        <v>Belum, Delay</v>
      </c>
      <c r="X452" s="7" t="str">
        <f ca="1">'Database MK'!GG453</f>
        <v>Sudah, Delay</v>
      </c>
      <c r="Y452" s="7" t="str">
        <f ca="1">'Database MK'!GK453</f>
        <v>Sudah, Delay</v>
      </c>
      <c r="Z452" s="7" t="str">
        <f ca="1">'Database MK'!HH453</f>
        <v>Belum, Delay</v>
      </c>
      <c r="AA452" s="7" t="str">
        <f ca="1">'Database MK'!HQ453</f>
        <v>Belum, Delay</v>
      </c>
      <c r="AB452" s="7" t="str">
        <f ca="1">'Database MK'!HW453</f>
        <v>Belum, Delay</v>
      </c>
      <c r="AC452" s="7">
        <f>'Database MK'!DA453-'Database MK'!DB453</f>
        <v>0</v>
      </c>
      <c r="AD452" s="7">
        <f>'Database MK'!DA453-'Database MK'!DF453</f>
        <v>0</v>
      </c>
      <c r="AE452" s="7">
        <f>'Database MK'!DK453-'Database MK'!DL453</f>
        <v>0</v>
      </c>
      <c r="AF452" s="7">
        <f>'Database MK'!DK453-'Database MK'!DO453</f>
        <v>0</v>
      </c>
      <c r="AG452" s="7">
        <f>'Database MK'!DU453-'Database MK'!DW453</f>
        <v>0</v>
      </c>
      <c r="AH452" s="7" t="str">
        <f>IF('Database MK'!EB453="","Belum",'Database MK'!DU453-'Database MK'!EB453)</f>
        <v>Belum</v>
      </c>
      <c r="AI452" s="7" t="str">
        <f>IF('Database MK'!EN453="","Belum",'Database MK'!EL453-'Database MK'!EN453)</f>
        <v>Belum</v>
      </c>
      <c r="AJ452" s="7">
        <f>'Database MK'!FY453-'Database MK'!FZ453</f>
        <v>0</v>
      </c>
      <c r="AK452" s="7" t="str">
        <f>IF('Database MK'!GC453="","Belum",'Database MK'!GB453-'Database MK'!GC453)</f>
        <v>Belum</v>
      </c>
      <c r="AL452" s="7">
        <f>IF('Database MK'!GF453="","Belum",'Database MK'!GE453-'Database MK'!GF453)</f>
        <v>-46112</v>
      </c>
      <c r="AM452" s="309">
        <f>IF('Database MK'!GJ453="","Belum",'Database MK'!GI453-'Database MK'!GJ453)</f>
        <v>-46150</v>
      </c>
      <c r="AN452" s="7" t="str">
        <f>IF('Database MK'!HG453="","Belum",'Database MK'!HF453-'Database MK'!HG453)</f>
        <v>Belum</v>
      </c>
      <c r="AO452" s="7" t="str">
        <f>IF('Database MK'!HP453="","Belum",'Database MK'!HN453-'Database MK'!HP453)</f>
        <v>Belum</v>
      </c>
      <c r="AP452" s="7" t="str">
        <f>IF('Database MK'!HV453="","Belum",'Database MK'!HT453-'Database MK'!HV453)</f>
        <v>Belum</v>
      </c>
    </row>
    <row r="453" spans="2:42" hidden="1" x14ac:dyDescent="0.2">
      <c r="B453" s="7">
        <f>SUBTOTAL(3,$C$4:C453)</f>
        <v>74</v>
      </c>
      <c r="C453" s="299" t="s">
        <v>673</v>
      </c>
      <c r="D453" s="4" t="s">
        <v>3472</v>
      </c>
      <c r="E453" s="4" t="s">
        <v>3473</v>
      </c>
      <c r="F453" s="300">
        <v>46478</v>
      </c>
      <c r="G453" s="4" t="s">
        <v>681</v>
      </c>
      <c r="H453" s="4" t="str">
        <f ca="1">'Database MK'!Q454</f>
        <v>MC-0</v>
      </c>
      <c r="I453" s="24">
        <f>'Database MK'!S454</f>
        <v>0</v>
      </c>
      <c r="J453" s="24">
        <f>'Database MK'!T454</f>
        <v>0</v>
      </c>
      <c r="K453" s="603">
        <f>'Database MK'!U454</f>
        <v>0</v>
      </c>
      <c r="L453" s="593">
        <f>'Database MK'!V454</f>
        <v>0</v>
      </c>
      <c r="M453" s="593">
        <f>'Database MK'!W454</f>
        <v>0</v>
      </c>
      <c r="N453" s="593">
        <f>Table3[[#This Row],[Total Panjang Pipa Aktual]]-Table3[[#This Row],[Volume
BA MC-0]]</f>
        <v>0</v>
      </c>
      <c r="O453" s="7" t="str">
        <f ca="1">'Database MK'!DE454</f>
        <v>Belum, Delay</v>
      </c>
      <c r="P453" s="7" t="str">
        <f ca="1">'Database MK'!DI454</f>
        <v>Belum, Delay</v>
      </c>
      <c r="Q453" s="7" t="str">
        <f ca="1">'Database MK'!DN454</f>
        <v>Belum, Delay</v>
      </c>
      <c r="R453" s="7" t="str">
        <f ca="1">'Database MK'!DR454</f>
        <v>Belum, Delay</v>
      </c>
      <c r="S453" s="7" t="str">
        <f ca="1">'Database MK'!EA454</f>
        <v>Belum, Delay</v>
      </c>
      <c r="T453" s="7" t="str">
        <f ca="1">'Database MK'!EI454</f>
        <v>Belum, Delay</v>
      </c>
      <c r="U453" s="7" t="str">
        <f ca="1">'Database MK'!ET454</f>
        <v>Belum, Delay</v>
      </c>
      <c r="V453" s="7" t="str">
        <f ca="1">'Database MK'!GA454</f>
        <v>Belum, Delay</v>
      </c>
      <c r="W453" s="7" t="str">
        <f ca="1">'Database MK'!GD454</f>
        <v>Sudah, Delay</v>
      </c>
      <c r="X453" s="7" t="str">
        <f ca="1">'Database MK'!GG454</f>
        <v>Sudah, Delay</v>
      </c>
      <c r="Y453" s="7" t="str">
        <f ca="1">'Database MK'!GK454</f>
        <v>Sudah, Delay</v>
      </c>
      <c r="Z453" s="7" t="str">
        <f ca="1">'Database MK'!HH454</f>
        <v>Belum, Delay</v>
      </c>
      <c r="AA453" s="7" t="str">
        <f ca="1">'Database MK'!HQ454</f>
        <v>Belum, Delay</v>
      </c>
      <c r="AB453" s="7" t="str">
        <f ca="1">'Database MK'!HW454</f>
        <v>Belum, Delay</v>
      </c>
      <c r="AC453" s="7">
        <f>'Database MK'!DA454-'Database MK'!DB454</f>
        <v>0</v>
      </c>
      <c r="AD453" s="7">
        <f>'Database MK'!DA454-'Database MK'!DF454</f>
        <v>0</v>
      </c>
      <c r="AE453" s="7">
        <f>'Database MK'!DK454-'Database MK'!DL454</f>
        <v>0</v>
      </c>
      <c r="AF453" s="7">
        <f>'Database MK'!DK454-'Database MK'!DO454</f>
        <v>0</v>
      </c>
      <c r="AG453" s="7">
        <f>'Database MK'!DU454-'Database MK'!DW454</f>
        <v>0</v>
      </c>
      <c r="AH453" s="7" t="str">
        <f>IF('Database MK'!EB454="","Belum",'Database MK'!DU454-'Database MK'!EB454)</f>
        <v>Belum</v>
      </c>
      <c r="AI453" s="7" t="str">
        <f>IF('Database MK'!EN454="","Belum",'Database MK'!EL454-'Database MK'!EN454)</f>
        <v>Belum</v>
      </c>
      <c r="AJ453" s="7">
        <f>'Database MK'!FY454-'Database MK'!FZ454</f>
        <v>0</v>
      </c>
      <c r="AK453" s="7">
        <f>IF('Database MK'!GC454="","Belum",'Database MK'!GB454-'Database MK'!GC454)</f>
        <v>-46161</v>
      </c>
      <c r="AL453" s="7">
        <f>IF('Database MK'!GF454="","Belum",'Database MK'!GE454-'Database MK'!GF454)</f>
        <v>-46161</v>
      </c>
      <c r="AM453" s="309">
        <f>IF('Database MK'!GJ454="","Belum",'Database MK'!GI454-'Database MK'!GJ454)</f>
        <v>-46163</v>
      </c>
      <c r="AN453" s="7" t="str">
        <f>IF('Database MK'!HG454="","Belum",'Database MK'!HF454-'Database MK'!HG454)</f>
        <v>Belum</v>
      </c>
      <c r="AO453" s="7" t="str">
        <f>IF('Database MK'!HP454="","Belum",'Database MK'!HN454-'Database MK'!HP454)</f>
        <v>Belum</v>
      </c>
      <c r="AP453" s="7" t="str">
        <f>IF('Database MK'!HV454="","Belum",'Database MK'!HT454-'Database MK'!HV454)</f>
        <v>Belum</v>
      </c>
    </row>
    <row r="454" spans="2:42" hidden="1" x14ac:dyDescent="0.2">
      <c r="B454" s="7">
        <f>SUBTOTAL(3,$C$4:C454)</f>
        <v>74</v>
      </c>
      <c r="C454" s="299" t="s">
        <v>629</v>
      </c>
      <c r="D454" s="4" t="s">
        <v>3474</v>
      </c>
      <c r="E454" s="4" t="s">
        <v>3475</v>
      </c>
      <c r="F454" s="300">
        <v>46478</v>
      </c>
      <c r="G454" s="4" t="s">
        <v>247</v>
      </c>
      <c r="H454" s="4" t="str">
        <f>'Database MK'!Q455</f>
        <v>Proses Konstruksi</v>
      </c>
      <c r="I454" s="24">
        <f>'Database MK'!S455</f>
        <v>0.99999999999999989</v>
      </c>
      <c r="J454" s="24">
        <f>'Database MK'!T455</f>
        <v>0</v>
      </c>
      <c r="K454" s="603">
        <f>'Database MK'!U455</f>
        <v>-0.99999999999999989</v>
      </c>
      <c r="L454" s="593">
        <f>'Database MK'!V455</f>
        <v>2725</v>
      </c>
      <c r="M454" s="593">
        <f>'Database MK'!W455</f>
        <v>0</v>
      </c>
      <c r="N454" s="593">
        <f>Table3[[#This Row],[Total Panjang Pipa Aktual]]-Table3[[#This Row],[Volume
BA MC-0]]</f>
        <v>-2725</v>
      </c>
      <c r="O454" s="7" t="str">
        <f ca="1">'Database MK'!DE455</f>
        <v>Belum, Delay</v>
      </c>
      <c r="P454" s="7" t="str">
        <f ca="1">'Database MK'!DI455</f>
        <v>Belum, Delay</v>
      </c>
      <c r="Q454" s="7" t="str">
        <f ca="1">'Database MK'!DN455</f>
        <v>Belum, Delay</v>
      </c>
      <c r="R454" s="7" t="str">
        <f ca="1">'Database MK'!DR455</f>
        <v>Belum, Delay</v>
      </c>
      <c r="S454" s="7" t="str">
        <f ca="1">'Database MK'!EA455</f>
        <v>Belum, Delay</v>
      </c>
      <c r="T454" s="7" t="str">
        <f ca="1">'Database MK'!EI455</f>
        <v>Belum, Delay</v>
      </c>
      <c r="U454" s="7" t="str">
        <f ca="1">'Database MK'!ET455</f>
        <v>Belum, Delay</v>
      </c>
      <c r="V454" s="7" t="str">
        <f ca="1">'Database MK'!GA455</f>
        <v>Belum, Delay</v>
      </c>
      <c r="W454" s="7" t="str">
        <f ca="1">'Database MK'!GD455</f>
        <v>Belum, Delay</v>
      </c>
      <c r="X454" s="7" t="str">
        <f ca="1">'Database MK'!GG455</f>
        <v>Sudah, Delay</v>
      </c>
      <c r="Y454" s="7" t="str">
        <f ca="1">'Database MK'!GK455</f>
        <v>Sudah, Delay</v>
      </c>
      <c r="Z454" s="7" t="str">
        <f ca="1">'Database MK'!HH455</f>
        <v>Belum, Delay</v>
      </c>
      <c r="AA454" s="7" t="str">
        <f ca="1">'Database MK'!HQ455</f>
        <v>Belum, Delay</v>
      </c>
      <c r="AB454" s="7" t="str">
        <f ca="1">'Database MK'!HW455</f>
        <v>Belum, Delay</v>
      </c>
      <c r="AC454" s="7">
        <f>'Database MK'!DA455-'Database MK'!DB455</f>
        <v>0</v>
      </c>
      <c r="AD454" s="7">
        <f>'Database MK'!DA455-'Database MK'!DF455</f>
        <v>0</v>
      </c>
      <c r="AE454" s="7">
        <f>'Database MK'!DK455-'Database MK'!DL455</f>
        <v>0</v>
      </c>
      <c r="AF454" s="7">
        <f>'Database MK'!DK455-'Database MK'!DO455</f>
        <v>0</v>
      </c>
      <c r="AG454" s="7">
        <f>'Database MK'!DU455-'Database MK'!DW455</f>
        <v>0</v>
      </c>
      <c r="AH454" s="7" t="str">
        <f>IF('Database MK'!EB455="","Belum",'Database MK'!DU455-'Database MK'!EB455)</f>
        <v>Belum</v>
      </c>
      <c r="AI454" s="7" t="str">
        <f>IF('Database MK'!EN455="","Belum",'Database MK'!EL455-'Database MK'!EN455)</f>
        <v>Belum</v>
      </c>
      <c r="AJ454" s="7">
        <f>'Database MK'!FY455-'Database MK'!FZ455</f>
        <v>0</v>
      </c>
      <c r="AK454" s="7" t="str">
        <f>IF('Database MK'!GC455="","Belum",'Database MK'!GB455-'Database MK'!GC455)</f>
        <v>Belum</v>
      </c>
      <c r="AL454" s="7">
        <f>IF('Database MK'!GF455="","Belum",'Database MK'!GE455-'Database MK'!GF455)</f>
        <v>-46148</v>
      </c>
      <c r="AM454" s="309">
        <f>IF('Database MK'!GJ455="","Belum",'Database MK'!GI455-'Database MK'!GJ455)</f>
        <v>-46155</v>
      </c>
      <c r="AN454" s="7" t="str">
        <f>IF('Database MK'!HG455="","Belum",'Database MK'!HF455-'Database MK'!HG455)</f>
        <v>Belum</v>
      </c>
      <c r="AO454" s="7" t="str">
        <f>IF('Database MK'!HP455="","Belum",'Database MK'!HN455-'Database MK'!HP455)</f>
        <v>Belum</v>
      </c>
      <c r="AP454" s="7" t="str">
        <f>IF('Database MK'!HV455="","Belum",'Database MK'!HT455-'Database MK'!HV455)</f>
        <v>Belum</v>
      </c>
    </row>
    <row r="455" spans="2:42" hidden="1" x14ac:dyDescent="0.2">
      <c r="B455" s="7">
        <f>SUBTOTAL(3,$C$4:C455)</f>
        <v>74</v>
      </c>
      <c r="C455" s="299" t="s">
        <v>629</v>
      </c>
      <c r="D455" s="4" t="s">
        <v>3476</v>
      </c>
      <c r="E455" s="4" t="s">
        <v>3477</v>
      </c>
      <c r="F455" s="300">
        <v>46478</v>
      </c>
      <c r="G455" s="4" t="s">
        <v>247</v>
      </c>
      <c r="H455" s="4" t="str">
        <f ca="1">'Database MK'!Q456</f>
        <v>Persiapan</v>
      </c>
      <c r="I455" s="24">
        <f>'Database MK'!S456</f>
        <v>0.99999999999999989</v>
      </c>
      <c r="J455" s="24">
        <f>'Database MK'!T456</f>
        <v>0</v>
      </c>
      <c r="K455" s="603">
        <f>'Database MK'!U456</f>
        <v>-0.99999999999999989</v>
      </c>
      <c r="L455" s="593">
        <f>'Database MK'!V456</f>
        <v>0</v>
      </c>
      <c r="M455" s="593">
        <f>'Database MK'!W456</f>
        <v>0</v>
      </c>
      <c r="N455" s="593">
        <f>Table3[[#This Row],[Total Panjang Pipa Aktual]]-Table3[[#This Row],[Volume
BA MC-0]]</f>
        <v>0</v>
      </c>
      <c r="O455" s="7" t="str">
        <f ca="1">'Database MK'!DE456</f>
        <v>Belum, Delay</v>
      </c>
      <c r="P455" s="7" t="str">
        <f ca="1">'Database MK'!DI456</f>
        <v>Belum, Delay</v>
      </c>
      <c r="Q455" s="7" t="str">
        <f ca="1">'Database MK'!DN456</f>
        <v>Belum, Delay</v>
      </c>
      <c r="R455" s="7" t="str">
        <f ca="1">'Database MK'!DR456</f>
        <v>Belum, Delay</v>
      </c>
      <c r="S455" s="7" t="str">
        <f ca="1">'Database MK'!EA456</f>
        <v>Belum, Delay</v>
      </c>
      <c r="T455" s="7" t="str">
        <f ca="1">'Database MK'!EI456</f>
        <v>Belum, Delay</v>
      </c>
      <c r="U455" s="7" t="str">
        <f ca="1">'Database MK'!ET456</f>
        <v>Belum, Delay</v>
      </c>
      <c r="V455" s="7" t="str">
        <f ca="1">'Database MK'!GA456</f>
        <v>Belum, Delay</v>
      </c>
      <c r="W455" s="7" t="str">
        <f ca="1">'Database MK'!GD456</f>
        <v>Belum, Delay</v>
      </c>
      <c r="X455" s="7" t="str">
        <f ca="1">'Database MK'!GG456</f>
        <v>Belum, Delay</v>
      </c>
      <c r="Y455" s="7" t="str">
        <f ca="1">'Database MK'!GK456</f>
        <v>Belum, Delay</v>
      </c>
      <c r="Z455" s="7" t="str">
        <f ca="1">'Database MK'!HH456</f>
        <v>Belum, Delay</v>
      </c>
      <c r="AA455" s="7" t="str">
        <f ca="1">'Database MK'!HQ456</f>
        <v>Belum, Delay</v>
      </c>
      <c r="AB455" s="7" t="str">
        <f ca="1">'Database MK'!HW456</f>
        <v>Belum, Delay</v>
      </c>
      <c r="AC455" s="7">
        <f>'Database MK'!DA456-'Database MK'!DB456</f>
        <v>0</v>
      </c>
      <c r="AD455" s="7">
        <f>'Database MK'!DA456-'Database MK'!DF456</f>
        <v>0</v>
      </c>
      <c r="AE455" s="7">
        <f>'Database MK'!DK456-'Database MK'!DL456</f>
        <v>0</v>
      </c>
      <c r="AF455" s="7">
        <f>'Database MK'!DK456-'Database MK'!DO456</f>
        <v>0</v>
      </c>
      <c r="AG455" s="7">
        <f>'Database MK'!DU456-'Database MK'!DW456</f>
        <v>0</v>
      </c>
      <c r="AH455" s="7" t="str">
        <f>IF('Database MK'!EB456="","Belum",'Database MK'!DU456-'Database MK'!EB456)</f>
        <v>Belum</v>
      </c>
      <c r="AI455" s="7" t="str">
        <f>IF('Database MK'!EN456="","Belum",'Database MK'!EL456-'Database MK'!EN456)</f>
        <v>Belum</v>
      </c>
      <c r="AJ455" s="7">
        <f>'Database MK'!FY456-'Database MK'!FZ456</f>
        <v>0</v>
      </c>
      <c r="AK455" s="7" t="str">
        <f>IF('Database MK'!GC456="","Belum",'Database MK'!GB456-'Database MK'!GC456)</f>
        <v>Belum</v>
      </c>
      <c r="AL455" s="7" t="str">
        <f>IF('Database MK'!GF456="","Belum",'Database MK'!GE456-'Database MK'!GF456)</f>
        <v>Belum</v>
      </c>
      <c r="AM455" s="309" t="str">
        <f>IF('Database MK'!GJ456="","Belum",'Database MK'!GI456-'Database MK'!GJ456)</f>
        <v>Belum</v>
      </c>
      <c r="AN455" s="7" t="str">
        <f>IF('Database MK'!HG456="","Belum",'Database MK'!HF456-'Database MK'!HG456)</f>
        <v>Belum</v>
      </c>
      <c r="AO455" s="7" t="str">
        <f>IF('Database MK'!HP456="","Belum",'Database MK'!HN456-'Database MK'!HP456)</f>
        <v>Belum</v>
      </c>
      <c r="AP455" s="7" t="str">
        <f>IF('Database MK'!HV456="","Belum",'Database MK'!HT456-'Database MK'!HV456)</f>
        <v>Belum</v>
      </c>
    </row>
    <row r="456" spans="2:42" hidden="1" x14ac:dyDescent="0.2">
      <c r="B456" s="7">
        <f>SUBTOTAL(3,$C$4:C456)</f>
        <v>74</v>
      </c>
      <c r="C456" s="299" t="s">
        <v>629</v>
      </c>
      <c r="D456" s="4" t="s">
        <v>3478</v>
      </c>
      <c r="E456" s="4" t="s">
        <v>3479</v>
      </c>
      <c r="F456" s="300">
        <v>46478</v>
      </c>
      <c r="G456" s="4" t="s">
        <v>247</v>
      </c>
      <c r="H456" s="4" t="str">
        <f>'Database MK'!Q457</f>
        <v>Proses Konstruksi</v>
      </c>
      <c r="I456" s="24">
        <f>'Database MK'!S457</f>
        <v>0.99999999999999989</v>
      </c>
      <c r="J456" s="24">
        <f>'Database MK'!T457</f>
        <v>0</v>
      </c>
      <c r="K456" s="603">
        <f>'Database MK'!U457</f>
        <v>-0.99999999999999989</v>
      </c>
      <c r="L456" s="593">
        <f>'Database MK'!V457</f>
        <v>2382</v>
      </c>
      <c r="M456" s="593">
        <f>'Database MK'!W457</f>
        <v>0</v>
      </c>
      <c r="N456" s="593">
        <f>Table3[[#This Row],[Total Panjang Pipa Aktual]]-Table3[[#This Row],[Volume
BA MC-0]]</f>
        <v>-2382</v>
      </c>
      <c r="O456" s="7" t="str">
        <f ca="1">'Database MK'!DE457</f>
        <v>Belum, Delay</v>
      </c>
      <c r="P456" s="7" t="str">
        <f ca="1">'Database MK'!DI457</f>
        <v>Belum, Delay</v>
      </c>
      <c r="Q456" s="7" t="str">
        <f ca="1">'Database MK'!DN457</f>
        <v>Belum, Delay</v>
      </c>
      <c r="R456" s="7" t="str">
        <f ca="1">'Database MK'!DR457</f>
        <v>Belum, Delay</v>
      </c>
      <c r="S456" s="7" t="str">
        <f ca="1">'Database MK'!EA457</f>
        <v>Belum, Delay</v>
      </c>
      <c r="T456" s="7" t="str">
        <f ca="1">'Database MK'!EI457</f>
        <v>Belum, Delay</v>
      </c>
      <c r="U456" s="7" t="str">
        <f ca="1">'Database MK'!ET457</f>
        <v>Belum, Delay</v>
      </c>
      <c r="V456" s="7" t="str">
        <f ca="1">'Database MK'!GA457</f>
        <v>Belum, Delay</v>
      </c>
      <c r="W456" s="7" t="str">
        <f ca="1">'Database MK'!GD457</f>
        <v>Belum, Delay</v>
      </c>
      <c r="X456" s="7" t="str">
        <f ca="1">'Database MK'!GG457</f>
        <v>Sudah, Delay</v>
      </c>
      <c r="Y456" s="7" t="str">
        <f ca="1">'Database MK'!GK457</f>
        <v>Sudah, Delay</v>
      </c>
      <c r="Z456" s="7" t="str">
        <f ca="1">'Database MK'!HH457</f>
        <v>Belum, Delay</v>
      </c>
      <c r="AA456" s="7" t="str">
        <f ca="1">'Database MK'!HQ457</f>
        <v>Belum, Delay</v>
      </c>
      <c r="AB456" s="7" t="str">
        <f ca="1">'Database MK'!HW457</f>
        <v>Belum, Delay</v>
      </c>
      <c r="AC456" s="7">
        <f>'Database MK'!DA457-'Database MK'!DB457</f>
        <v>0</v>
      </c>
      <c r="AD456" s="7">
        <f>'Database MK'!DA457-'Database MK'!DF457</f>
        <v>0</v>
      </c>
      <c r="AE456" s="7">
        <f>'Database MK'!DK457-'Database MK'!DL457</f>
        <v>0</v>
      </c>
      <c r="AF456" s="7">
        <f>'Database MK'!DK457-'Database MK'!DO457</f>
        <v>0</v>
      </c>
      <c r="AG456" s="7">
        <f>'Database MK'!DU457-'Database MK'!DW457</f>
        <v>0</v>
      </c>
      <c r="AH456" s="7" t="str">
        <f>IF('Database MK'!EB457="","Belum",'Database MK'!DU457-'Database MK'!EB457)</f>
        <v>Belum</v>
      </c>
      <c r="AI456" s="7" t="str">
        <f>IF('Database MK'!EN457="","Belum",'Database MK'!EL457-'Database MK'!EN457)</f>
        <v>Belum</v>
      </c>
      <c r="AJ456" s="7">
        <f>'Database MK'!FY457-'Database MK'!FZ457</f>
        <v>0</v>
      </c>
      <c r="AK456" s="7" t="str">
        <f>IF('Database MK'!GC457="","Belum",'Database MK'!GB457-'Database MK'!GC457)</f>
        <v>Belum</v>
      </c>
      <c r="AL456" s="7">
        <f>IF('Database MK'!GF457="","Belum",'Database MK'!GE457-'Database MK'!GF457)</f>
        <v>-46148</v>
      </c>
      <c r="AM456" s="309">
        <f>IF('Database MK'!GJ457="","Belum",'Database MK'!GI457-'Database MK'!GJ457)</f>
        <v>-46155</v>
      </c>
      <c r="AN456" s="7" t="str">
        <f>IF('Database MK'!HG457="","Belum",'Database MK'!HF457-'Database MK'!HG457)</f>
        <v>Belum</v>
      </c>
      <c r="AO456" s="7" t="str">
        <f>IF('Database MK'!HP457="","Belum",'Database MK'!HN457-'Database MK'!HP457)</f>
        <v>Belum</v>
      </c>
      <c r="AP456" s="7" t="str">
        <f>IF('Database MK'!HV457="","Belum",'Database MK'!HT457-'Database MK'!HV457)</f>
        <v>Belum</v>
      </c>
    </row>
    <row r="457" spans="2:42" hidden="1" x14ac:dyDescent="0.2">
      <c r="B457" s="7">
        <f>SUBTOTAL(3,$C$4:C457)</f>
        <v>74</v>
      </c>
      <c r="C457" s="299" t="s">
        <v>629</v>
      </c>
      <c r="D457" s="4" t="s">
        <v>3480</v>
      </c>
      <c r="E457" s="4" t="s">
        <v>3481</v>
      </c>
      <c r="F457" s="300">
        <v>46478</v>
      </c>
      <c r="G457" s="4" t="s">
        <v>247</v>
      </c>
      <c r="H457" s="4" t="str">
        <f ca="1">'Database MK'!Q458</f>
        <v>Persiapan</v>
      </c>
      <c r="I457" s="24">
        <f>'Database MK'!S458</f>
        <v>0.99999999999999989</v>
      </c>
      <c r="J457" s="24">
        <f>'Database MK'!T458</f>
        <v>0</v>
      </c>
      <c r="K457" s="603">
        <f>'Database MK'!U458</f>
        <v>-0.99999999999999989</v>
      </c>
      <c r="L457" s="593">
        <f>'Database MK'!V458</f>
        <v>0</v>
      </c>
      <c r="M457" s="593">
        <f>'Database MK'!W458</f>
        <v>0</v>
      </c>
      <c r="N457" s="593">
        <f>Table3[[#This Row],[Total Panjang Pipa Aktual]]-Table3[[#This Row],[Volume
BA MC-0]]</f>
        <v>0</v>
      </c>
      <c r="O457" s="7" t="str">
        <f ca="1">'Database MK'!DE458</f>
        <v>Belum, Delay</v>
      </c>
      <c r="P457" s="7" t="str">
        <f ca="1">'Database MK'!DI458</f>
        <v>Belum, Delay</v>
      </c>
      <c r="Q457" s="7" t="str">
        <f ca="1">'Database MK'!DN458</f>
        <v>Belum, Delay</v>
      </c>
      <c r="R457" s="7" t="str">
        <f ca="1">'Database MK'!DR458</f>
        <v>Belum, Delay</v>
      </c>
      <c r="S457" s="7" t="str">
        <f ca="1">'Database MK'!EA458</f>
        <v>Belum, Delay</v>
      </c>
      <c r="T457" s="7" t="str">
        <f ca="1">'Database MK'!EI458</f>
        <v>Belum, Delay</v>
      </c>
      <c r="U457" s="7" t="str">
        <f ca="1">'Database MK'!ET458</f>
        <v>Belum, Delay</v>
      </c>
      <c r="V457" s="7" t="str">
        <f ca="1">'Database MK'!GA458</f>
        <v>Belum, Delay</v>
      </c>
      <c r="W457" s="7" t="str">
        <f ca="1">'Database MK'!GD458</f>
        <v>Belum, Delay</v>
      </c>
      <c r="X457" s="7" t="str">
        <f ca="1">'Database MK'!GG458</f>
        <v>Belum, Delay</v>
      </c>
      <c r="Y457" s="7" t="str">
        <f ca="1">'Database MK'!GK458</f>
        <v>Belum, Delay</v>
      </c>
      <c r="Z457" s="7" t="str">
        <f ca="1">'Database MK'!HH458</f>
        <v>Belum, Delay</v>
      </c>
      <c r="AA457" s="7" t="str">
        <f ca="1">'Database MK'!HQ458</f>
        <v>Belum, Delay</v>
      </c>
      <c r="AB457" s="7" t="str">
        <f ca="1">'Database MK'!HW458</f>
        <v>Belum, Delay</v>
      </c>
      <c r="AC457" s="7">
        <f>'Database MK'!DA458-'Database MK'!DB458</f>
        <v>0</v>
      </c>
      <c r="AD457" s="7">
        <f>'Database MK'!DA458-'Database MK'!DF458</f>
        <v>0</v>
      </c>
      <c r="AE457" s="7">
        <f>'Database MK'!DK458-'Database MK'!DL458</f>
        <v>0</v>
      </c>
      <c r="AF457" s="7">
        <f>'Database MK'!DK458-'Database MK'!DO458</f>
        <v>0</v>
      </c>
      <c r="AG457" s="7">
        <f>'Database MK'!DU458-'Database MK'!DW458</f>
        <v>0</v>
      </c>
      <c r="AH457" s="7" t="str">
        <f>IF('Database MK'!EB458="","Belum",'Database MK'!DU458-'Database MK'!EB458)</f>
        <v>Belum</v>
      </c>
      <c r="AI457" s="7" t="str">
        <f>IF('Database MK'!EN458="","Belum",'Database MK'!EL458-'Database MK'!EN458)</f>
        <v>Belum</v>
      </c>
      <c r="AJ457" s="7">
        <f>'Database MK'!FY458-'Database MK'!FZ458</f>
        <v>0</v>
      </c>
      <c r="AK457" s="7" t="str">
        <f>IF('Database MK'!GC458="","Belum",'Database MK'!GB458-'Database MK'!GC458)</f>
        <v>Belum</v>
      </c>
      <c r="AL457" s="7" t="str">
        <f>IF('Database MK'!GF458="","Belum",'Database MK'!GE458-'Database MK'!GF458)</f>
        <v>Belum</v>
      </c>
      <c r="AM457" s="309" t="str">
        <f>IF('Database MK'!GJ458="","Belum",'Database MK'!GI458-'Database MK'!GJ458)</f>
        <v>Belum</v>
      </c>
      <c r="AN457" s="7" t="str">
        <f>IF('Database MK'!HG458="","Belum",'Database MK'!HF458-'Database MK'!HG458)</f>
        <v>Belum</v>
      </c>
      <c r="AO457" s="7" t="str">
        <f>IF('Database MK'!HP458="","Belum",'Database MK'!HN458-'Database MK'!HP458)</f>
        <v>Belum</v>
      </c>
      <c r="AP457" s="7" t="str">
        <f>IF('Database MK'!HV458="","Belum",'Database MK'!HT458-'Database MK'!HV458)</f>
        <v>Belum</v>
      </c>
    </row>
    <row r="458" spans="2:42" hidden="1" x14ac:dyDescent="0.2">
      <c r="B458" s="7">
        <f>SUBTOTAL(3,$C$4:C458)</f>
        <v>74</v>
      </c>
      <c r="C458" s="299" t="s">
        <v>629</v>
      </c>
      <c r="D458" s="4" t="s">
        <v>3482</v>
      </c>
      <c r="E458" s="4" t="s">
        <v>3483</v>
      </c>
      <c r="F458" s="300">
        <v>46478</v>
      </c>
      <c r="G458" s="4" t="s">
        <v>247</v>
      </c>
      <c r="H458" s="4" t="str">
        <f ca="1">'Database MK'!Q459</f>
        <v>Persiapan</v>
      </c>
      <c r="I458" s="24">
        <f>'Database MK'!S459</f>
        <v>0.99999999999999989</v>
      </c>
      <c r="J458" s="24">
        <f>'Database MK'!T459</f>
        <v>0</v>
      </c>
      <c r="K458" s="603">
        <f>'Database MK'!U459</f>
        <v>-0.99999999999999989</v>
      </c>
      <c r="L458" s="593">
        <f>'Database MK'!V459</f>
        <v>0</v>
      </c>
      <c r="M458" s="593">
        <f>'Database MK'!W459</f>
        <v>0</v>
      </c>
      <c r="N458" s="593">
        <f>Table3[[#This Row],[Total Panjang Pipa Aktual]]-Table3[[#This Row],[Volume
BA MC-0]]</f>
        <v>0</v>
      </c>
      <c r="O458" s="7" t="str">
        <f ca="1">'Database MK'!DE459</f>
        <v>Belum, Delay</v>
      </c>
      <c r="P458" s="7" t="str">
        <f ca="1">'Database MK'!DI459</f>
        <v>Belum, Delay</v>
      </c>
      <c r="Q458" s="7" t="str">
        <f ca="1">'Database MK'!DN459</f>
        <v>Belum, Delay</v>
      </c>
      <c r="R458" s="7" t="str">
        <f ca="1">'Database MK'!DR459</f>
        <v>Belum, Delay</v>
      </c>
      <c r="S458" s="7" t="str">
        <f ca="1">'Database MK'!EA459</f>
        <v>Belum, Delay</v>
      </c>
      <c r="T458" s="7" t="str">
        <f ca="1">'Database MK'!EI459</f>
        <v>Belum, Delay</v>
      </c>
      <c r="U458" s="7" t="str">
        <f ca="1">'Database MK'!ET459</f>
        <v>Belum, Delay</v>
      </c>
      <c r="V458" s="7" t="str">
        <f ca="1">'Database MK'!GA459</f>
        <v>Belum, Delay</v>
      </c>
      <c r="W458" s="7" t="str">
        <f ca="1">'Database MK'!GD459</f>
        <v>Belum, Delay</v>
      </c>
      <c r="X458" s="7" t="str">
        <f ca="1">'Database MK'!GG459</f>
        <v>Belum, Delay</v>
      </c>
      <c r="Y458" s="7" t="str">
        <f ca="1">'Database MK'!GK459</f>
        <v>Belum, Delay</v>
      </c>
      <c r="Z458" s="7" t="str">
        <f ca="1">'Database MK'!HH459</f>
        <v>Belum, Delay</v>
      </c>
      <c r="AA458" s="7" t="str">
        <f ca="1">'Database MK'!HQ459</f>
        <v>Belum, Delay</v>
      </c>
      <c r="AB458" s="7" t="str">
        <f ca="1">'Database MK'!HW459</f>
        <v>Belum, Delay</v>
      </c>
      <c r="AC458" s="7">
        <f>'Database MK'!DA459-'Database MK'!DB459</f>
        <v>0</v>
      </c>
      <c r="AD458" s="7">
        <f>'Database MK'!DA459-'Database MK'!DF459</f>
        <v>0</v>
      </c>
      <c r="AE458" s="7">
        <f>'Database MK'!DK459-'Database MK'!DL459</f>
        <v>0</v>
      </c>
      <c r="AF458" s="7">
        <f>'Database MK'!DK459-'Database MK'!DO459</f>
        <v>0</v>
      </c>
      <c r="AG458" s="7">
        <f>'Database MK'!DU459-'Database MK'!DW459</f>
        <v>0</v>
      </c>
      <c r="AH458" s="7" t="str">
        <f>IF('Database MK'!EB459="","Belum",'Database MK'!DU459-'Database MK'!EB459)</f>
        <v>Belum</v>
      </c>
      <c r="AI458" s="7" t="str">
        <f>IF('Database MK'!EN459="","Belum",'Database MK'!EL459-'Database MK'!EN459)</f>
        <v>Belum</v>
      </c>
      <c r="AJ458" s="7">
        <f>'Database MK'!FY459-'Database MK'!FZ459</f>
        <v>0</v>
      </c>
      <c r="AK458" s="7" t="str">
        <f>IF('Database MK'!GC459="","Belum",'Database MK'!GB459-'Database MK'!GC459)</f>
        <v>Belum</v>
      </c>
      <c r="AL458" s="7" t="str">
        <f>IF('Database MK'!GF459="","Belum",'Database MK'!GE459-'Database MK'!GF459)</f>
        <v>Belum</v>
      </c>
      <c r="AM458" s="309" t="str">
        <f>IF('Database MK'!GJ459="","Belum",'Database MK'!GI459-'Database MK'!GJ459)</f>
        <v>Belum</v>
      </c>
      <c r="AN458" s="7" t="str">
        <f>IF('Database MK'!HG459="","Belum",'Database MK'!HF459-'Database MK'!HG459)</f>
        <v>Belum</v>
      </c>
      <c r="AO458" s="7" t="str">
        <f>IF('Database MK'!HP459="","Belum",'Database MK'!HN459-'Database MK'!HP459)</f>
        <v>Belum</v>
      </c>
      <c r="AP458" s="7" t="str">
        <f>IF('Database MK'!HV459="","Belum",'Database MK'!HT459-'Database MK'!HV459)</f>
        <v>Belum</v>
      </c>
    </row>
    <row r="459" spans="2:42" hidden="1" x14ac:dyDescent="0.2">
      <c r="B459" s="7">
        <f>SUBTOTAL(3,$C$4:C459)</f>
        <v>74</v>
      </c>
      <c r="C459" s="299" t="s">
        <v>629</v>
      </c>
      <c r="D459" s="4" t="s">
        <v>3484</v>
      </c>
      <c r="E459" s="4" t="s">
        <v>3485</v>
      </c>
      <c r="F459" s="300">
        <v>46478</v>
      </c>
      <c r="G459" s="4" t="s">
        <v>247</v>
      </c>
      <c r="H459" s="4" t="str">
        <f ca="1">'Database MK'!Q460</f>
        <v>Persiapan</v>
      </c>
      <c r="I459" s="24">
        <f>'Database MK'!S460</f>
        <v>0.99999999999999989</v>
      </c>
      <c r="J459" s="24">
        <f>'Database MK'!T460</f>
        <v>0</v>
      </c>
      <c r="K459" s="603">
        <f>'Database MK'!U460</f>
        <v>-0.99999999999999989</v>
      </c>
      <c r="L459" s="593">
        <f>'Database MK'!V460</f>
        <v>0</v>
      </c>
      <c r="M459" s="593">
        <f>'Database MK'!W460</f>
        <v>0</v>
      </c>
      <c r="N459" s="593">
        <f>Table3[[#This Row],[Total Panjang Pipa Aktual]]-Table3[[#This Row],[Volume
BA MC-0]]</f>
        <v>0</v>
      </c>
      <c r="O459" s="7" t="str">
        <f ca="1">'Database MK'!DE460</f>
        <v>Belum, Delay</v>
      </c>
      <c r="P459" s="7" t="str">
        <f ca="1">'Database MK'!DI460</f>
        <v>Belum, Delay</v>
      </c>
      <c r="Q459" s="7" t="str">
        <f ca="1">'Database MK'!DN460</f>
        <v>Belum, Delay</v>
      </c>
      <c r="R459" s="7" t="str">
        <f ca="1">'Database MK'!DR460</f>
        <v>Belum, Delay</v>
      </c>
      <c r="S459" s="7" t="str">
        <f ca="1">'Database MK'!EA460</f>
        <v>Belum, Delay</v>
      </c>
      <c r="T459" s="7" t="str">
        <f ca="1">'Database MK'!EI460</f>
        <v>Belum, Delay</v>
      </c>
      <c r="U459" s="7" t="str">
        <f ca="1">'Database MK'!ET460</f>
        <v>Belum, Delay</v>
      </c>
      <c r="V459" s="7" t="str">
        <f ca="1">'Database MK'!GA460</f>
        <v>Belum, Delay</v>
      </c>
      <c r="W459" s="7" t="str">
        <f ca="1">'Database MK'!GD460</f>
        <v>Belum, Delay</v>
      </c>
      <c r="X459" s="7" t="str">
        <f ca="1">'Database MK'!GG460</f>
        <v>Belum, Delay</v>
      </c>
      <c r="Y459" s="7" t="str">
        <f ca="1">'Database MK'!GK460</f>
        <v>Belum, Delay</v>
      </c>
      <c r="Z459" s="7" t="str">
        <f ca="1">'Database MK'!HH460</f>
        <v>Belum, Delay</v>
      </c>
      <c r="AA459" s="7" t="str">
        <f ca="1">'Database MK'!HQ460</f>
        <v>Belum, Delay</v>
      </c>
      <c r="AB459" s="7" t="str">
        <f ca="1">'Database MK'!HW460</f>
        <v>Belum, Delay</v>
      </c>
      <c r="AC459" s="7">
        <f>'Database MK'!DA460-'Database MK'!DB460</f>
        <v>0</v>
      </c>
      <c r="AD459" s="7">
        <f>'Database MK'!DA460-'Database MK'!DF460</f>
        <v>0</v>
      </c>
      <c r="AE459" s="7">
        <f>'Database MK'!DK460-'Database MK'!DL460</f>
        <v>0</v>
      </c>
      <c r="AF459" s="7">
        <f>'Database MK'!DK460-'Database MK'!DO460</f>
        <v>0</v>
      </c>
      <c r="AG459" s="7">
        <f>'Database MK'!DU460-'Database MK'!DW460</f>
        <v>0</v>
      </c>
      <c r="AH459" s="7" t="str">
        <f>IF('Database MK'!EB460="","Belum",'Database MK'!DU460-'Database MK'!EB460)</f>
        <v>Belum</v>
      </c>
      <c r="AI459" s="7" t="str">
        <f>IF('Database MK'!EN460="","Belum",'Database MK'!EL460-'Database MK'!EN460)</f>
        <v>Belum</v>
      </c>
      <c r="AJ459" s="7">
        <f>'Database MK'!FY460-'Database MK'!FZ460</f>
        <v>0</v>
      </c>
      <c r="AK459" s="7" t="str">
        <f>IF('Database MK'!GC460="","Belum",'Database MK'!GB460-'Database MK'!GC460)</f>
        <v>Belum</v>
      </c>
      <c r="AL459" s="7" t="str">
        <f>IF('Database MK'!GF460="","Belum",'Database MK'!GE460-'Database MK'!GF460)</f>
        <v>Belum</v>
      </c>
      <c r="AM459" s="309" t="str">
        <f>IF('Database MK'!GJ460="","Belum",'Database MK'!GI460-'Database MK'!GJ460)</f>
        <v>Belum</v>
      </c>
      <c r="AN459" s="7" t="str">
        <f>IF('Database MK'!HG460="","Belum",'Database MK'!HF460-'Database MK'!HG460)</f>
        <v>Belum</v>
      </c>
      <c r="AO459" s="7" t="str">
        <f>IF('Database MK'!HP460="","Belum",'Database MK'!HN460-'Database MK'!HP460)</f>
        <v>Belum</v>
      </c>
      <c r="AP459" s="7" t="str">
        <f>IF('Database MK'!HV460="","Belum",'Database MK'!HT460-'Database MK'!HV460)</f>
        <v>Belum</v>
      </c>
    </row>
    <row r="460" spans="2:42" hidden="1" x14ac:dyDescent="0.2">
      <c r="B460" s="7">
        <f>SUBTOTAL(3,$C$4:C460)</f>
        <v>74</v>
      </c>
      <c r="C460" s="299" t="s">
        <v>629</v>
      </c>
      <c r="D460" s="4" t="s">
        <v>3486</v>
      </c>
      <c r="E460" s="4" t="s">
        <v>3487</v>
      </c>
      <c r="F460" s="300">
        <v>46478</v>
      </c>
      <c r="G460" s="4" t="s">
        <v>247</v>
      </c>
      <c r="H460" s="4" t="str">
        <f ca="1">'Database MK'!Q461</f>
        <v>Persiapan</v>
      </c>
      <c r="I460" s="24">
        <f>'Database MK'!S461</f>
        <v>0.99999999999999989</v>
      </c>
      <c r="J460" s="24">
        <f>'Database MK'!T461</f>
        <v>0</v>
      </c>
      <c r="K460" s="603">
        <f>'Database MK'!U461</f>
        <v>-0.99999999999999989</v>
      </c>
      <c r="L460" s="593">
        <f>'Database MK'!V461</f>
        <v>0</v>
      </c>
      <c r="M460" s="593">
        <f>'Database MK'!W461</f>
        <v>0</v>
      </c>
      <c r="N460" s="593">
        <f>Table3[[#This Row],[Total Panjang Pipa Aktual]]-Table3[[#This Row],[Volume
BA MC-0]]</f>
        <v>0</v>
      </c>
      <c r="O460" s="7" t="str">
        <f ca="1">'Database MK'!DE461</f>
        <v>Belum, Delay</v>
      </c>
      <c r="P460" s="7" t="str">
        <f ca="1">'Database MK'!DI461</f>
        <v>Belum, Delay</v>
      </c>
      <c r="Q460" s="7" t="str">
        <f ca="1">'Database MK'!DN461</f>
        <v>Belum, Delay</v>
      </c>
      <c r="R460" s="7" t="str">
        <f ca="1">'Database MK'!DR461</f>
        <v>Belum, Delay</v>
      </c>
      <c r="S460" s="7" t="str">
        <f ca="1">'Database MK'!EA461</f>
        <v>Belum, Delay</v>
      </c>
      <c r="T460" s="7" t="str">
        <f ca="1">'Database MK'!EI461</f>
        <v>Belum, Delay</v>
      </c>
      <c r="U460" s="7" t="str">
        <f ca="1">'Database MK'!ET461</f>
        <v>Belum, Delay</v>
      </c>
      <c r="V460" s="7" t="str">
        <f ca="1">'Database MK'!GA461</f>
        <v>Belum, Delay</v>
      </c>
      <c r="W460" s="7" t="str">
        <f ca="1">'Database MK'!GD461</f>
        <v>Belum, Delay</v>
      </c>
      <c r="X460" s="7" t="str">
        <f ca="1">'Database MK'!GG461</f>
        <v>Belum, Delay</v>
      </c>
      <c r="Y460" s="7" t="str">
        <f ca="1">'Database MK'!GK461</f>
        <v>Belum, Delay</v>
      </c>
      <c r="Z460" s="7" t="str">
        <f ca="1">'Database MK'!HH461</f>
        <v>Belum, Delay</v>
      </c>
      <c r="AA460" s="7" t="str">
        <f ca="1">'Database MK'!HQ461</f>
        <v>Belum, Delay</v>
      </c>
      <c r="AB460" s="7" t="str">
        <f ca="1">'Database MK'!HW461</f>
        <v>Belum, Delay</v>
      </c>
      <c r="AC460" s="7">
        <f>'Database MK'!DA461-'Database MK'!DB461</f>
        <v>0</v>
      </c>
      <c r="AD460" s="7">
        <f>'Database MK'!DA461-'Database MK'!DF461</f>
        <v>0</v>
      </c>
      <c r="AE460" s="7">
        <f>'Database MK'!DK461-'Database MK'!DL461</f>
        <v>0</v>
      </c>
      <c r="AF460" s="7">
        <f>'Database MK'!DK461-'Database MK'!DO461</f>
        <v>0</v>
      </c>
      <c r="AG460" s="7">
        <f>'Database MK'!DU461-'Database MK'!DW461</f>
        <v>0</v>
      </c>
      <c r="AH460" s="7" t="str">
        <f>IF('Database MK'!EB461="","Belum",'Database MK'!DU461-'Database MK'!EB461)</f>
        <v>Belum</v>
      </c>
      <c r="AI460" s="7" t="str">
        <f>IF('Database MK'!EN461="","Belum",'Database MK'!EL461-'Database MK'!EN461)</f>
        <v>Belum</v>
      </c>
      <c r="AJ460" s="7">
        <f>'Database MK'!FY461-'Database MK'!FZ461</f>
        <v>0</v>
      </c>
      <c r="AK460" s="7" t="str">
        <f>IF('Database MK'!GC461="","Belum",'Database MK'!GB461-'Database MK'!GC461)</f>
        <v>Belum</v>
      </c>
      <c r="AL460" s="7" t="str">
        <f>IF('Database MK'!GF461="","Belum",'Database MK'!GE461-'Database MK'!GF461)</f>
        <v>Belum</v>
      </c>
      <c r="AM460" s="309" t="str">
        <f>IF('Database MK'!GJ461="","Belum",'Database MK'!GI461-'Database MK'!GJ461)</f>
        <v>Belum</v>
      </c>
      <c r="AN460" s="7" t="str">
        <f>IF('Database MK'!HG461="","Belum",'Database MK'!HF461-'Database MK'!HG461)</f>
        <v>Belum</v>
      </c>
      <c r="AO460" s="7" t="str">
        <f>IF('Database MK'!HP461="","Belum",'Database MK'!HN461-'Database MK'!HP461)</f>
        <v>Belum</v>
      </c>
      <c r="AP460" s="7" t="str">
        <f>IF('Database MK'!HV461="","Belum",'Database MK'!HT461-'Database MK'!HV461)</f>
        <v>Belum</v>
      </c>
    </row>
    <row r="461" spans="2:42" hidden="1" x14ac:dyDescent="0.2">
      <c r="B461" s="7">
        <f>SUBTOTAL(3,$C$4:C461)</f>
        <v>74</v>
      </c>
      <c r="C461" s="299" t="s">
        <v>629</v>
      </c>
      <c r="D461" s="4" t="s">
        <v>3488</v>
      </c>
      <c r="E461" s="4" t="s">
        <v>3489</v>
      </c>
      <c r="F461" s="300">
        <v>46478</v>
      </c>
      <c r="G461" s="4" t="s">
        <v>247</v>
      </c>
      <c r="H461" s="4" t="str">
        <f ca="1">'Database MK'!Q462</f>
        <v>Persiapan</v>
      </c>
      <c r="I461" s="24">
        <f>'Database MK'!S462</f>
        <v>0.99999999999999989</v>
      </c>
      <c r="J461" s="24">
        <f>'Database MK'!T462</f>
        <v>0</v>
      </c>
      <c r="K461" s="603">
        <f>'Database MK'!U462</f>
        <v>-0.99999999999999989</v>
      </c>
      <c r="L461" s="593">
        <f>'Database MK'!V462</f>
        <v>0</v>
      </c>
      <c r="M461" s="593">
        <f>'Database MK'!W462</f>
        <v>0</v>
      </c>
      <c r="N461" s="593">
        <f>Table3[[#This Row],[Total Panjang Pipa Aktual]]-Table3[[#This Row],[Volume
BA MC-0]]</f>
        <v>0</v>
      </c>
      <c r="O461" s="7" t="str">
        <f ca="1">'Database MK'!DE462</f>
        <v>Belum, Delay</v>
      </c>
      <c r="P461" s="7" t="str">
        <f ca="1">'Database MK'!DI462</f>
        <v>Belum, Delay</v>
      </c>
      <c r="Q461" s="7" t="str">
        <f ca="1">'Database MK'!DN462</f>
        <v>Belum, Delay</v>
      </c>
      <c r="R461" s="7" t="str">
        <f ca="1">'Database MK'!DR462</f>
        <v>Belum, Delay</v>
      </c>
      <c r="S461" s="7" t="str">
        <f ca="1">'Database MK'!EA462</f>
        <v>Belum, Delay</v>
      </c>
      <c r="T461" s="7" t="str">
        <f ca="1">'Database MK'!EI462</f>
        <v>Belum, Delay</v>
      </c>
      <c r="U461" s="7" t="str">
        <f ca="1">'Database MK'!ET462</f>
        <v>Belum, Delay</v>
      </c>
      <c r="V461" s="7" t="str">
        <f ca="1">'Database MK'!GA462</f>
        <v>Belum, Delay</v>
      </c>
      <c r="W461" s="7" t="str">
        <f ca="1">'Database MK'!GD462</f>
        <v>Belum, Delay</v>
      </c>
      <c r="X461" s="7" t="str">
        <f ca="1">'Database MK'!GG462</f>
        <v>Belum, Delay</v>
      </c>
      <c r="Y461" s="7" t="str">
        <f ca="1">'Database MK'!GK462</f>
        <v>Belum, Delay</v>
      </c>
      <c r="Z461" s="7" t="str">
        <f ca="1">'Database MK'!HH462</f>
        <v>Belum, Delay</v>
      </c>
      <c r="AA461" s="7" t="str">
        <f ca="1">'Database MK'!HQ462</f>
        <v>Belum, Delay</v>
      </c>
      <c r="AB461" s="7" t="str">
        <f ca="1">'Database MK'!HW462</f>
        <v>Belum, Delay</v>
      </c>
      <c r="AC461" s="7">
        <f>'Database MK'!DA462-'Database MK'!DB462</f>
        <v>0</v>
      </c>
      <c r="AD461" s="7">
        <f>'Database MK'!DA462-'Database MK'!DF462</f>
        <v>0</v>
      </c>
      <c r="AE461" s="7">
        <f>'Database MK'!DK462-'Database MK'!DL462</f>
        <v>0</v>
      </c>
      <c r="AF461" s="7">
        <f>'Database MK'!DK462-'Database MK'!DO462</f>
        <v>0</v>
      </c>
      <c r="AG461" s="7">
        <f>'Database MK'!DU462-'Database MK'!DW462</f>
        <v>0</v>
      </c>
      <c r="AH461" s="7" t="str">
        <f>IF('Database MK'!EB462="","Belum",'Database MK'!DU462-'Database MK'!EB462)</f>
        <v>Belum</v>
      </c>
      <c r="AI461" s="7" t="str">
        <f>IF('Database MK'!EN462="","Belum",'Database MK'!EL462-'Database MK'!EN462)</f>
        <v>Belum</v>
      </c>
      <c r="AJ461" s="7">
        <f>'Database MK'!FY462-'Database MK'!FZ462</f>
        <v>0</v>
      </c>
      <c r="AK461" s="7" t="str">
        <f>IF('Database MK'!GC462="","Belum",'Database MK'!GB462-'Database MK'!GC462)</f>
        <v>Belum</v>
      </c>
      <c r="AL461" s="7" t="str">
        <f>IF('Database MK'!GF462="","Belum",'Database MK'!GE462-'Database MK'!GF462)</f>
        <v>Belum</v>
      </c>
      <c r="AM461" s="309" t="str">
        <f>IF('Database MK'!GJ462="","Belum",'Database MK'!GI462-'Database MK'!GJ462)</f>
        <v>Belum</v>
      </c>
      <c r="AN461" s="7" t="str">
        <f>IF('Database MK'!HG462="","Belum",'Database MK'!HF462-'Database MK'!HG462)</f>
        <v>Belum</v>
      </c>
      <c r="AO461" s="7" t="str">
        <f>IF('Database MK'!HP462="","Belum",'Database MK'!HN462-'Database MK'!HP462)</f>
        <v>Belum</v>
      </c>
      <c r="AP461" s="7" t="str">
        <f>IF('Database MK'!HV462="","Belum",'Database MK'!HT462-'Database MK'!HV462)</f>
        <v>Belum</v>
      </c>
    </row>
    <row r="462" spans="2:42" hidden="1" x14ac:dyDescent="0.2">
      <c r="B462" s="7">
        <f>SUBTOTAL(3,$C$4:C462)</f>
        <v>74</v>
      </c>
      <c r="C462" s="299" t="s">
        <v>629</v>
      </c>
      <c r="D462" s="4" t="s">
        <v>3490</v>
      </c>
      <c r="E462" s="4" t="s">
        <v>3491</v>
      </c>
      <c r="F462" s="300">
        <v>46478</v>
      </c>
      <c r="G462" s="4" t="s">
        <v>247</v>
      </c>
      <c r="H462" s="4" t="str">
        <f ca="1">'Database MK'!Q463</f>
        <v>Persiapan</v>
      </c>
      <c r="I462" s="24">
        <f>'Database MK'!S463</f>
        <v>0.99999999999999989</v>
      </c>
      <c r="J462" s="24">
        <f>'Database MK'!T463</f>
        <v>0</v>
      </c>
      <c r="K462" s="603">
        <f>'Database MK'!U463</f>
        <v>-0.99999999999999989</v>
      </c>
      <c r="L462" s="593">
        <f>'Database MK'!V463</f>
        <v>0</v>
      </c>
      <c r="M462" s="593">
        <f>'Database MK'!W463</f>
        <v>0</v>
      </c>
      <c r="N462" s="593">
        <f>Table3[[#This Row],[Total Panjang Pipa Aktual]]-Table3[[#This Row],[Volume
BA MC-0]]</f>
        <v>0</v>
      </c>
      <c r="O462" s="7" t="str">
        <f ca="1">'Database MK'!DE463</f>
        <v>Belum, Delay</v>
      </c>
      <c r="P462" s="7" t="str">
        <f ca="1">'Database MK'!DI463</f>
        <v>Belum, Delay</v>
      </c>
      <c r="Q462" s="7" t="str">
        <f ca="1">'Database MK'!DN463</f>
        <v>Belum, Delay</v>
      </c>
      <c r="R462" s="7" t="str">
        <f ca="1">'Database MK'!DR463</f>
        <v>Belum, Delay</v>
      </c>
      <c r="S462" s="7" t="str">
        <f ca="1">'Database MK'!EA463</f>
        <v>Belum, Delay</v>
      </c>
      <c r="T462" s="7" t="str">
        <f ca="1">'Database MK'!EI463</f>
        <v>Belum, Delay</v>
      </c>
      <c r="U462" s="7" t="str">
        <f ca="1">'Database MK'!ET463</f>
        <v>Belum, Delay</v>
      </c>
      <c r="V462" s="7" t="str">
        <f ca="1">'Database MK'!GA463</f>
        <v>Belum, Delay</v>
      </c>
      <c r="W462" s="7" t="str">
        <f ca="1">'Database MK'!GD463</f>
        <v>Belum, Delay</v>
      </c>
      <c r="X462" s="7" t="str">
        <f ca="1">'Database MK'!GG463</f>
        <v>Belum, Delay</v>
      </c>
      <c r="Y462" s="7" t="str">
        <f ca="1">'Database MK'!GK463</f>
        <v>Belum, Delay</v>
      </c>
      <c r="Z462" s="7" t="str">
        <f ca="1">'Database MK'!HH463</f>
        <v>Belum, Delay</v>
      </c>
      <c r="AA462" s="7" t="str">
        <f ca="1">'Database MK'!HQ463</f>
        <v>Belum, Delay</v>
      </c>
      <c r="AB462" s="7" t="str">
        <f ca="1">'Database MK'!HW463</f>
        <v>Belum, Delay</v>
      </c>
      <c r="AC462" s="7">
        <f>'Database MK'!DA463-'Database MK'!DB463</f>
        <v>0</v>
      </c>
      <c r="AD462" s="7">
        <f>'Database MK'!DA463-'Database MK'!DF463</f>
        <v>0</v>
      </c>
      <c r="AE462" s="7">
        <f>'Database MK'!DK463-'Database MK'!DL463</f>
        <v>0</v>
      </c>
      <c r="AF462" s="7">
        <f>'Database MK'!DK463-'Database MK'!DO463</f>
        <v>0</v>
      </c>
      <c r="AG462" s="7">
        <f>'Database MK'!DU463-'Database MK'!DW463</f>
        <v>0</v>
      </c>
      <c r="AH462" s="7" t="str">
        <f>IF('Database MK'!EB463="","Belum",'Database MK'!DU463-'Database MK'!EB463)</f>
        <v>Belum</v>
      </c>
      <c r="AI462" s="7" t="str">
        <f>IF('Database MK'!EN463="","Belum",'Database MK'!EL463-'Database MK'!EN463)</f>
        <v>Belum</v>
      </c>
      <c r="AJ462" s="7">
        <f>'Database MK'!FY463-'Database MK'!FZ463</f>
        <v>0</v>
      </c>
      <c r="AK462" s="7" t="str">
        <f>IF('Database MK'!GC463="","Belum",'Database MK'!GB463-'Database MK'!GC463)</f>
        <v>Belum</v>
      </c>
      <c r="AL462" s="7" t="str">
        <f>IF('Database MK'!GF463="","Belum",'Database MK'!GE463-'Database MK'!GF463)</f>
        <v>Belum</v>
      </c>
      <c r="AM462" s="309" t="str">
        <f>IF('Database MK'!GJ463="","Belum",'Database MK'!GI463-'Database MK'!GJ463)</f>
        <v>Belum</v>
      </c>
      <c r="AN462" s="7" t="str">
        <f>IF('Database MK'!HG463="","Belum",'Database MK'!HF463-'Database MK'!HG463)</f>
        <v>Belum</v>
      </c>
      <c r="AO462" s="7" t="str">
        <f>IF('Database MK'!HP463="","Belum",'Database MK'!HN463-'Database MK'!HP463)</f>
        <v>Belum</v>
      </c>
      <c r="AP462" s="7" t="str">
        <f>IF('Database MK'!HV463="","Belum",'Database MK'!HT463-'Database MK'!HV463)</f>
        <v>Belum</v>
      </c>
    </row>
    <row r="463" spans="2:42" hidden="1" x14ac:dyDescent="0.2">
      <c r="B463" s="7">
        <f>SUBTOTAL(3,$C$4:C463)</f>
        <v>74</v>
      </c>
      <c r="C463" s="299" t="s">
        <v>629</v>
      </c>
      <c r="D463" s="4" t="s">
        <v>3492</v>
      </c>
      <c r="E463" s="4" t="s">
        <v>3493</v>
      </c>
      <c r="F463" s="300">
        <v>46478</v>
      </c>
      <c r="G463" s="4" t="s">
        <v>247</v>
      </c>
      <c r="H463" s="4" t="str">
        <f ca="1">'Database MK'!Q464</f>
        <v>Persiapan</v>
      </c>
      <c r="I463" s="24">
        <f>'Database MK'!S464</f>
        <v>0.99999999999999989</v>
      </c>
      <c r="J463" s="24">
        <f>'Database MK'!T464</f>
        <v>0</v>
      </c>
      <c r="K463" s="603">
        <f>'Database MK'!U464</f>
        <v>-0.99999999999999989</v>
      </c>
      <c r="L463" s="593">
        <f>'Database MK'!V464</f>
        <v>0</v>
      </c>
      <c r="M463" s="593">
        <f>'Database MK'!W464</f>
        <v>0</v>
      </c>
      <c r="N463" s="593">
        <f>Table3[[#This Row],[Total Panjang Pipa Aktual]]-Table3[[#This Row],[Volume
BA MC-0]]</f>
        <v>0</v>
      </c>
      <c r="O463" s="7" t="str">
        <f ca="1">'Database MK'!DE464</f>
        <v>Belum, Delay</v>
      </c>
      <c r="P463" s="7" t="str">
        <f ca="1">'Database MK'!DI464</f>
        <v>Belum, Delay</v>
      </c>
      <c r="Q463" s="7" t="str">
        <f ca="1">'Database MK'!DN464</f>
        <v>Belum, Delay</v>
      </c>
      <c r="R463" s="7" t="str">
        <f ca="1">'Database MK'!DR464</f>
        <v>Belum, Delay</v>
      </c>
      <c r="S463" s="7" t="str">
        <f ca="1">'Database MK'!EA464</f>
        <v>Belum, Delay</v>
      </c>
      <c r="T463" s="7" t="str">
        <f ca="1">'Database MK'!EI464</f>
        <v>Belum, Delay</v>
      </c>
      <c r="U463" s="7" t="str">
        <f ca="1">'Database MK'!ET464</f>
        <v>Belum, Delay</v>
      </c>
      <c r="V463" s="7" t="str">
        <f ca="1">'Database MK'!GA464</f>
        <v>Belum, Delay</v>
      </c>
      <c r="W463" s="7" t="str">
        <f ca="1">'Database MK'!GD464</f>
        <v>Belum, Delay</v>
      </c>
      <c r="X463" s="7" t="str">
        <f ca="1">'Database MK'!GG464</f>
        <v>Belum, Delay</v>
      </c>
      <c r="Y463" s="7" t="str">
        <f ca="1">'Database MK'!GK464</f>
        <v>Belum, Delay</v>
      </c>
      <c r="Z463" s="7" t="str">
        <f ca="1">'Database MK'!HH464</f>
        <v>Belum, Delay</v>
      </c>
      <c r="AA463" s="7" t="str">
        <f ca="1">'Database MK'!HQ464</f>
        <v>Belum, Delay</v>
      </c>
      <c r="AB463" s="7" t="str">
        <f ca="1">'Database MK'!HW464</f>
        <v>Belum, Delay</v>
      </c>
      <c r="AC463" s="7">
        <f>'Database MK'!DA464-'Database MK'!DB464</f>
        <v>0</v>
      </c>
      <c r="AD463" s="7">
        <f>'Database MK'!DA464-'Database MK'!DF464</f>
        <v>0</v>
      </c>
      <c r="AE463" s="7">
        <f>'Database MK'!DK464-'Database MK'!DL464</f>
        <v>0</v>
      </c>
      <c r="AF463" s="7">
        <f>'Database MK'!DK464-'Database MK'!DO464</f>
        <v>0</v>
      </c>
      <c r="AG463" s="7">
        <f>'Database MK'!DU464-'Database MK'!DW464</f>
        <v>0</v>
      </c>
      <c r="AH463" s="7" t="str">
        <f>IF('Database MK'!EB464="","Belum",'Database MK'!DU464-'Database MK'!EB464)</f>
        <v>Belum</v>
      </c>
      <c r="AI463" s="7" t="str">
        <f>IF('Database MK'!EN464="","Belum",'Database MK'!EL464-'Database MK'!EN464)</f>
        <v>Belum</v>
      </c>
      <c r="AJ463" s="7">
        <f>'Database MK'!FY464-'Database MK'!FZ464</f>
        <v>0</v>
      </c>
      <c r="AK463" s="7" t="str">
        <f>IF('Database MK'!GC464="","Belum",'Database MK'!GB464-'Database MK'!GC464)</f>
        <v>Belum</v>
      </c>
      <c r="AL463" s="7" t="str">
        <f>IF('Database MK'!GF464="","Belum",'Database MK'!GE464-'Database MK'!GF464)</f>
        <v>Belum</v>
      </c>
      <c r="AM463" s="309" t="str">
        <f>IF('Database MK'!GJ464="","Belum",'Database MK'!GI464-'Database MK'!GJ464)</f>
        <v>Belum</v>
      </c>
      <c r="AN463" s="7" t="str">
        <f>IF('Database MK'!HG464="","Belum",'Database MK'!HF464-'Database MK'!HG464)</f>
        <v>Belum</v>
      </c>
      <c r="AO463" s="7" t="str">
        <f>IF('Database MK'!HP464="","Belum",'Database MK'!HN464-'Database MK'!HP464)</f>
        <v>Belum</v>
      </c>
      <c r="AP463" s="7" t="str">
        <f>IF('Database MK'!HV464="","Belum",'Database MK'!HT464-'Database MK'!HV464)</f>
        <v>Belum</v>
      </c>
    </row>
    <row r="464" spans="2:42" hidden="1" x14ac:dyDescent="0.2">
      <c r="B464" s="7">
        <f>SUBTOTAL(3,$C$4:C464)</f>
        <v>74</v>
      </c>
      <c r="C464" s="299" t="s">
        <v>629</v>
      </c>
      <c r="D464" s="4" t="s">
        <v>3494</v>
      </c>
      <c r="E464" s="4" t="s">
        <v>3495</v>
      </c>
      <c r="F464" s="300">
        <v>46478</v>
      </c>
      <c r="G464" s="4" t="s">
        <v>247</v>
      </c>
      <c r="H464" s="4" t="str">
        <f ca="1">'Database MK'!Q465</f>
        <v>Persiapan</v>
      </c>
      <c r="I464" s="24">
        <f>'Database MK'!S465</f>
        <v>0.99999999999999989</v>
      </c>
      <c r="J464" s="24">
        <f>'Database MK'!T465</f>
        <v>0</v>
      </c>
      <c r="K464" s="603">
        <f>'Database MK'!U465</f>
        <v>-0.99999999999999989</v>
      </c>
      <c r="L464" s="593">
        <f>'Database MK'!V465</f>
        <v>0</v>
      </c>
      <c r="M464" s="593">
        <f>'Database MK'!W465</f>
        <v>0</v>
      </c>
      <c r="N464" s="593">
        <f>Table3[[#This Row],[Total Panjang Pipa Aktual]]-Table3[[#This Row],[Volume
BA MC-0]]</f>
        <v>0</v>
      </c>
      <c r="O464" s="7" t="str">
        <f ca="1">'Database MK'!DE465</f>
        <v>Belum, Delay</v>
      </c>
      <c r="P464" s="7" t="str">
        <f ca="1">'Database MK'!DI465</f>
        <v>Belum, Delay</v>
      </c>
      <c r="Q464" s="7" t="str">
        <f ca="1">'Database MK'!DN465</f>
        <v>Belum, Delay</v>
      </c>
      <c r="R464" s="7" t="str">
        <f ca="1">'Database MK'!DR465</f>
        <v>Belum, Delay</v>
      </c>
      <c r="S464" s="7" t="str">
        <f ca="1">'Database MK'!EA465</f>
        <v>Belum, Delay</v>
      </c>
      <c r="T464" s="7" t="str">
        <f ca="1">'Database MK'!EI465</f>
        <v>Belum, Delay</v>
      </c>
      <c r="U464" s="7" t="str">
        <f ca="1">'Database MK'!ET465</f>
        <v>Belum, Delay</v>
      </c>
      <c r="V464" s="7" t="str">
        <f ca="1">'Database MK'!GA465</f>
        <v>Belum, Delay</v>
      </c>
      <c r="W464" s="7" t="str">
        <f ca="1">'Database MK'!GD465</f>
        <v>Belum, Delay</v>
      </c>
      <c r="X464" s="7" t="str">
        <f ca="1">'Database MK'!GG465</f>
        <v>Belum, Delay</v>
      </c>
      <c r="Y464" s="7" t="str">
        <f ca="1">'Database MK'!GK465</f>
        <v>Belum, Delay</v>
      </c>
      <c r="Z464" s="7" t="str">
        <f ca="1">'Database MK'!HH465</f>
        <v>Belum, Delay</v>
      </c>
      <c r="AA464" s="7" t="str">
        <f ca="1">'Database MK'!HQ465</f>
        <v>Belum, Delay</v>
      </c>
      <c r="AB464" s="7" t="str">
        <f ca="1">'Database MK'!HW465</f>
        <v>Belum, Delay</v>
      </c>
      <c r="AC464" s="7">
        <f>'Database MK'!DA465-'Database MK'!DB465</f>
        <v>0</v>
      </c>
      <c r="AD464" s="7">
        <f>'Database MK'!DA465-'Database MK'!DF465</f>
        <v>0</v>
      </c>
      <c r="AE464" s="7">
        <f>'Database MK'!DK465-'Database MK'!DL465</f>
        <v>0</v>
      </c>
      <c r="AF464" s="7">
        <f>'Database MK'!DK465-'Database MK'!DO465</f>
        <v>0</v>
      </c>
      <c r="AG464" s="7">
        <f>'Database MK'!DU465-'Database MK'!DW465</f>
        <v>0</v>
      </c>
      <c r="AH464" s="7" t="str">
        <f>IF('Database MK'!EB465="","Belum",'Database MK'!DU465-'Database MK'!EB465)</f>
        <v>Belum</v>
      </c>
      <c r="AI464" s="7" t="str">
        <f>IF('Database MK'!EN465="","Belum",'Database MK'!EL465-'Database MK'!EN465)</f>
        <v>Belum</v>
      </c>
      <c r="AJ464" s="7">
        <f>'Database MK'!FY465-'Database MK'!FZ465</f>
        <v>0</v>
      </c>
      <c r="AK464" s="7" t="str">
        <f>IF('Database MK'!GC465="","Belum",'Database MK'!GB465-'Database MK'!GC465)</f>
        <v>Belum</v>
      </c>
      <c r="AL464" s="7" t="str">
        <f>IF('Database MK'!GF465="","Belum",'Database MK'!GE465-'Database MK'!GF465)</f>
        <v>Belum</v>
      </c>
      <c r="AM464" s="309" t="str">
        <f>IF('Database MK'!GJ465="","Belum",'Database MK'!GI465-'Database MK'!GJ465)</f>
        <v>Belum</v>
      </c>
      <c r="AN464" s="7" t="str">
        <f>IF('Database MK'!HG465="","Belum",'Database MK'!HF465-'Database MK'!HG465)</f>
        <v>Belum</v>
      </c>
      <c r="AO464" s="7" t="str">
        <f>IF('Database MK'!HP465="","Belum",'Database MK'!HN465-'Database MK'!HP465)</f>
        <v>Belum</v>
      </c>
      <c r="AP464" s="7" t="str">
        <f>IF('Database MK'!HV465="","Belum",'Database MK'!HT465-'Database MK'!HV465)</f>
        <v>Belum</v>
      </c>
    </row>
    <row r="465" spans="2:42" hidden="1" x14ac:dyDescent="0.2">
      <c r="B465" s="7">
        <f>SUBTOTAL(3,$C$4:C465)</f>
        <v>74</v>
      </c>
      <c r="C465" s="299" t="s">
        <v>629</v>
      </c>
      <c r="D465" s="4" t="s">
        <v>3496</v>
      </c>
      <c r="E465" s="4" t="s">
        <v>3497</v>
      </c>
      <c r="F465" s="300">
        <v>46478</v>
      </c>
      <c r="G465" s="4" t="s">
        <v>247</v>
      </c>
      <c r="H465" s="4" t="str">
        <f ca="1">'Database MK'!Q466</f>
        <v>Persiapan</v>
      </c>
      <c r="I465" s="24">
        <f>'Database MK'!S466</f>
        <v>0.99999999999999989</v>
      </c>
      <c r="J465" s="24">
        <f>'Database MK'!T466</f>
        <v>0</v>
      </c>
      <c r="K465" s="603">
        <f>'Database MK'!U466</f>
        <v>-0.99999999999999989</v>
      </c>
      <c r="L465" s="593">
        <f>'Database MK'!V466</f>
        <v>0</v>
      </c>
      <c r="M465" s="593">
        <f>'Database MK'!W466</f>
        <v>0</v>
      </c>
      <c r="N465" s="593">
        <f>Table3[[#This Row],[Total Panjang Pipa Aktual]]-Table3[[#This Row],[Volume
BA MC-0]]</f>
        <v>0</v>
      </c>
      <c r="O465" s="7" t="str">
        <f ca="1">'Database MK'!DE466</f>
        <v>Belum, Delay</v>
      </c>
      <c r="P465" s="7" t="str">
        <f ca="1">'Database MK'!DI466</f>
        <v>Belum, Delay</v>
      </c>
      <c r="Q465" s="7" t="str">
        <f ca="1">'Database MK'!DN466</f>
        <v>Belum, Delay</v>
      </c>
      <c r="R465" s="7" t="str">
        <f ca="1">'Database MK'!DR466</f>
        <v>Belum, Delay</v>
      </c>
      <c r="S465" s="7" t="str">
        <f ca="1">'Database MK'!EA466</f>
        <v>Belum, Delay</v>
      </c>
      <c r="T465" s="7" t="str">
        <f ca="1">'Database MK'!EI466</f>
        <v>Belum, Delay</v>
      </c>
      <c r="U465" s="7" t="str">
        <f ca="1">'Database MK'!ET466</f>
        <v>Belum, Delay</v>
      </c>
      <c r="V465" s="7" t="str">
        <f ca="1">'Database MK'!GA466</f>
        <v>Belum, Delay</v>
      </c>
      <c r="W465" s="7" t="str">
        <f ca="1">'Database MK'!GD466</f>
        <v>Belum, Delay</v>
      </c>
      <c r="X465" s="7" t="str">
        <f ca="1">'Database MK'!GG466</f>
        <v>Belum, Delay</v>
      </c>
      <c r="Y465" s="7" t="str">
        <f ca="1">'Database MK'!GK466</f>
        <v>Belum, Delay</v>
      </c>
      <c r="Z465" s="7" t="str">
        <f ca="1">'Database MK'!HH466</f>
        <v>Belum, Delay</v>
      </c>
      <c r="AA465" s="7" t="str">
        <f ca="1">'Database MK'!HQ466</f>
        <v>Belum, Delay</v>
      </c>
      <c r="AB465" s="7" t="str">
        <f ca="1">'Database MK'!HW466</f>
        <v>Belum, Delay</v>
      </c>
      <c r="AC465" s="7">
        <f>'Database MK'!DA466-'Database MK'!DB466</f>
        <v>0</v>
      </c>
      <c r="AD465" s="7">
        <f>'Database MK'!DA466-'Database MK'!DF466</f>
        <v>0</v>
      </c>
      <c r="AE465" s="7">
        <f>'Database MK'!DK466-'Database MK'!DL466</f>
        <v>0</v>
      </c>
      <c r="AF465" s="7">
        <f>'Database MK'!DK466-'Database MK'!DO466</f>
        <v>0</v>
      </c>
      <c r="AG465" s="7">
        <f>'Database MK'!DU466-'Database MK'!DW466</f>
        <v>0</v>
      </c>
      <c r="AH465" s="7" t="str">
        <f>IF('Database MK'!EB466="","Belum",'Database MK'!DU466-'Database MK'!EB466)</f>
        <v>Belum</v>
      </c>
      <c r="AI465" s="7" t="str">
        <f>IF('Database MK'!EN466="","Belum",'Database MK'!EL466-'Database MK'!EN466)</f>
        <v>Belum</v>
      </c>
      <c r="AJ465" s="7">
        <f>'Database MK'!FY466-'Database MK'!FZ466</f>
        <v>0</v>
      </c>
      <c r="AK465" s="7" t="str">
        <f>IF('Database MK'!GC466="","Belum",'Database MK'!GB466-'Database MK'!GC466)</f>
        <v>Belum</v>
      </c>
      <c r="AL465" s="7" t="str">
        <f>IF('Database MK'!GF466="","Belum",'Database MK'!GE466-'Database MK'!GF466)</f>
        <v>Belum</v>
      </c>
      <c r="AM465" s="309" t="str">
        <f>IF('Database MK'!GJ466="","Belum",'Database MK'!GI466-'Database MK'!GJ466)</f>
        <v>Belum</v>
      </c>
      <c r="AN465" s="7" t="str">
        <f>IF('Database MK'!HG466="","Belum",'Database MK'!HF466-'Database MK'!HG466)</f>
        <v>Belum</v>
      </c>
      <c r="AO465" s="7" t="str">
        <f>IF('Database MK'!HP466="","Belum",'Database MK'!HN466-'Database MK'!HP466)</f>
        <v>Belum</v>
      </c>
      <c r="AP465" s="7" t="str">
        <f>IF('Database MK'!HV466="","Belum",'Database MK'!HT466-'Database MK'!HV466)</f>
        <v>Belum</v>
      </c>
    </row>
    <row r="466" spans="2:42" hidden="1" x14ac:dyDescent="0.2">
      <c r="B466" s="7">
        <f>SUBTOTAL(3,$C$4:C466)</f>
        <v>74</v>
      </c>
      <c r="C466" s="299" t="s">
        <v>629</v>
      </c>
      <c r="D466" s="4" t="s">
        <v>3498</v>
      </c>
      <c r="E466" s="4" t="s">
        <v>3499</v>
      </c>
      <c r="F466" s="300">
        <v>46478</v>
      </c>
      <c r="G466" s="4" t="s">
        <v>247</v>
      </c>
      <c r="H466" s="4" t="str">
        <f ca="1">'Database MK'!Q467</f>
        <v>Persiapan</v>
      </c>
      <c r="I466" s="24">
        <f>'Database MK'!S467</f>
        <v>0.99999999999999989</v>
      </c>
      <c r="J466" s="24">
        <f>'Database MK'!T467</f>
        <v>0</v>
      </c>
      <c r="K466" s="603">
        <f>'Database MK'!U467</f>
        <v>-0.99999999999999989</v>
      </c>
      <c r="L466" s="593">
        <f>'Database MK'!V467</f>
        <v>0</v>
      </c>
      <c r="M466" s="593">
        <f>'Database MK'!W467</f>
        <v>0</v>
      </c>
      <c r="N466" s="593">
        <f>Table3[[#This Row],[Total Panjang Pipa Aktual]]-Table3[[#This Row],[Volume
BA MC-0]]</f>
        <v>0</v>
      </c>
      <c r="O466" s="7" t="str">
        <f ca="1">'Database MK'!DE467</f>
        <v>Belum, Delay</v>
      </c>
      <c r="P466" s="7" t="str">
        <f ca="1">'Database MK'!DI467</f>
        <v>Belum, Delay</v>
      </c>
      <c r="Q466" s="7" t="str">
        <f ca="1">'Database MK'!DN467</f>
        <v>Belum, Delay</v>
      </c>
      <c r="R466" s="7" t="str">
        <f ca="1">'Database MK'!DR467</f>
        <v>Belum, Delay</v>
      </c>
      <c r="S466" s="7" t="str">
        <f ca="1">'Database MK'!EA467</f>
        <v>Belum, Delay</v>
      </c>
      <c r="T466" s="7" t="str">
        <f ca="1">'Database MK'!EI467</f>
        <v>Belum, Delay</v>
      </c>
      <c r="U466" s="7" t="str">
        <f ca="1">'Database MK'!ET467</f>
        <v>Belum, Delay</v>
      </c>
      <c r="V466" s="7" t="str">
        <f ca="1">'Database MK'!GA467</f>
        <v>Belum, Delay</v>
      </c>
      <c r="W466" s="7" t="str">
        <f ca="1">'Database MK'!GD467</f>
        <v>Belum, Delay</v>
      </c>
      <c r="X466" s="7" t="str">
        <f ca="1">'Database MK'!GG467</f>
        <v>Belum, Delay</v>
      </c>
      <c r="Y466" s="7" t="str">
        <f ca="1">'Database MK'!GK467</f>
        <v>Belum, Delay</v>
      </c>
      <c r="Z466" s="7" t="str">
        <f ca="1">'Database MK'!HH467</f>
        <v>Belum, Delay</v>
      </c>
      <c r="AA466" s="7" t="str">
        <f ca="1">'Database MK'!HQ467</f>
        <v>Belum, Delay</v>
      </c>
      <c r="AB466" s="7" t="str">
        <f ca="1">'Database MK'!HW467</f>
        <v>Belum, Delay</v>
      </c>
      <c r="AC466" s="7">
        <f>'Database MK'!DA467-'Database MK'!DB467</f>
        <v>0</v>
      </c>
      <c r="AD466" s="7">
        <f>'Database MK'!DA467-'Database MK'!DF467</f>
        <v>0</v>
      </c>
      <c r="AE466" s="7">
        <f>'Database MK'!DK467-'Database MK'!DL467</f>
        <v>0</v>
      </c>
      <c r="AF466" s="7">
        <f>'Database MK'!DK467-'Database MK'!DO467</f>
        <v>0</v>
      </c>
      <c r="AG466" s="7">
        <f>'Database MK'!DU467-'Database MK'!DW467</f>
        <v>0</v>
      </c>
      <c r="AH466" s="7" t="str">
        <f>IF('Database MK'!EB467="","Belum",'Database MK'!DU467-'Database MK'!EB467)</f>
        <v>Belum</v>
      </c>
      <c r="AI466" s="7" t="str">
        <f>IF('Database MK'!EN467="","Belum",'Database MK'!EL467-'Database MK'!EN467)</f>
        <v>Belum</v>
      </c>
      <c r="AJ466" s="7">
        <f>'Database MK'!FY467-'Database MK'!FZ467</f>
        <v>0</v>
      </c>
      <c r="AK466" s="7" t="str">
        <f>IF('Database MK'!GC467="","Belum",'Database MK'!GB467-'Database MK'!GC467)</f>
        <v>Belum</v>
      </c>
      <c r="AL466" s="7" t="str">
        <f>IF('Database MK'!GF467="","Belum",'Database MK'!GE467-'Database MK'!GF467)</f>
        <v>Belum</v>
      </c>
      <c r="AM466" s="309" t="str">
        <f>IF('Database MK'!GJ467="","Belum",'Database MK'!GI467-'Database MK'!GJ467)</f>
        <v>Belum</v>
      </c>
      <c r="AN466" s="7" t="str">
        <f>IF('Database MK'!HG467="","Belum",'Database MK'!HF467-'Database MK'!HG467)</f>
        <v>Belum</v>
      </c>
      <c r="AO466" s="7" t="str">
        <f>IF('Database MK'!HP467="","Belum",'Database MK'!HN467-'Database MK'!HP467)</f>
        <v>Belum</v>
      </c>
      <c r="AP466" s="7" t="str">
        <f>IF('Database MK'!HV467="","Belum",'Database MK'!HT467-'Database MK'!HV467)</f>
        <v>Belum</v>
      </c>
    </row>
    <row r="467" spans="2:42" hidden="1" x14ac:dyDescent="0.2">
      <c r="B467" s="7">
        <f>SUBTOTAL(3,$C$4:C467)</f>
        <v>74</v>
      </c>
      <c r="C467" s="299" t="s">
        <v>629</v>
      </c>
      <c r="D467" s="4" t="s">
        <v>3500</v>
      </c>
      <c r="E467" s="4" t="s">
        <v>3501</v>
      </c>
      <c r="F467" s="300">
        <v>46478</v>
      </c>
      <c r="G467" s="4" t="s">
        <v>247</v>
      </c>
      <c r="H467" s="4" t="str">
        <f ca="1">'Database MK'!Q468</f>
        <v>Persiapan</v>
      </c>
      <c r="I467" s="24">
        <f>'Database MK'!S468</f>
        <v>0.99999999999999989</v>
      </c>
      <c r="J467" s="24">
        <f>'Database MK'!T468</f>
        <v>0</v>
      </c>
      <c r="K467" s="603">
        <f>'Database MK'!U468</f>
        <v>-0.99999999999999989</v>
      </c>
      <c r="L467" s="593">
        <f>'Database MK'!V468</f>
        <v>0</v>
      </c>
      <c r="M467" s="593">
        <f>'Database MK'!W468</f>
        <v>0</v>
      </c>
      <c r="N467" s="593">
        <f>Table3[[#This Row],[Total Panjang Pipa Aktual]]-Table3[[#This Row],[Volume
BA MC-0]]</f>
        <v>0</v>
      </c>
      <c r="O467" s="7" t="str">
        <f ca="1">'Database MK'!DE468</f>
        <v>Belum, Delay</v>
      </c>
      <c r="P467" s="7" t="str">
        <f ca="1">'Database MK'!DI468</f>
        <v>Belum, Delay</v>
      </c>
      <c r="Q467" s="7" t="str">
        <f ca="1">'Database MK'!DN468</f>
        <v>Belum, Delay</v>
      </c>
      <c r="R467" s="7" t="str">
        <f ca="1">'Database MK'!DR468</f>
        <v>Belum, Delay</v>
      </c>
      <c r="S467" s="7" t="str">
        <f ca="1">'Database MK'!EA468</f>
        <v>Belum, Delay</v>
      </c>
      <c r="T467" s="7" t="str">
        <f ca="1">'Database MK'!EI468</f>
        <v>Belum, Delay</v>
      </c>
      <c r="U467" s="7" t="str">
        <f ca="1">'Database MK'!ET468</f>
        <v>Belum, Delay</v>
      </c>
      <c r="V467" s="7" t="str">
        <f ca="1">'Database MK'!GA468</f>
        <v>Belum, Delay</v>
      </c>
      <c r="W467" s="7" t="str">
        <f ca="1">'Database MK'!GD468</f>
        <v>Belum, Delay</v>
      </c>
      <c r="X467" s="7" t="str">
        <f ca="1">'Database MK'!GG468</f>
        <v>Belum, Delay</v>
      </c>
      <c r="Y467" s="7" t="str">
        <f ca="1">'Database MK'!GK468</f>
        <v>Belum, Delay</v>
      </c>
      <c r="Z467" s="7" t="str">
        <f ca="1">'Database MK'!HH468</f>
        <v>Belum, Delay</v>
      </c>
      <c r="AA467" s="7" t="str">
        <f ca="1">'Database MK'!HQ468</f>
        <v>Belum, Delay</v>
      </c>
      <c r="AB467" s="7" t="str">
        <f ca="1">'Database MK'!HW468</f>
        <v>Belum, Delay</v>
      </c>
      <c r="AC467" s="7">
        <f>'Database MK'!DA468-'Database MK'!DB468</f>
        <v>0</v>
      </c>
      <c r="AD467" s="7">
        <f>'Database MK'!DA468-'Database MK'!DF468</f>
        <v>0</v>
      </c>
      <c r="AE467" s="7">
        <f>'Database MK'!DK468-'Database MK'!DL468</f>
        <v>0</v>
      </c>
      <c r="AF467" s="7">
        <f>'Database MK'!DK468-'Database MK'!DO468</f>
        <v>0</v>
      </c>
      <c r="AG467" s="7">
        <f>'Database MK'!DU468-'Database MK'!DW468</f>
        <v>0</v>
      </c>
      <c r="AH467" s="7" t="str">
        <f>IF('Database MK'!EB468="","Belum",'Database MK'!DU468-'Database MK'!EB468)</f>
        <v>Belum</v>
      </c>
      <c r="AI467" s="7" t="str">
        <f>IF('Database MK'!EN468="","Belum",'Database MK'!EL468-'Database MK'!EN468)</f>
        <v>Belum</v>
      </c>
      <c r="AJ467" s="7">
        <f>'Database MK'!FY468-'Database MK'!FZ468</f>
        <v>0</v>
      </c>
      <c r="AK467" s="7" t="str">
        <f>IF('Database MK'!GC468="","Belum",'Database MK'!GB468-'Database MK'!GC468)</f>
        <v>Belum</v>
      </c>
      <c r="AL467" s="7" t="str">
        <f>IF('Database MK'!GF468="","Belum",'Database MK'!GE468-'Database MK'!GF468)</f>
        <v>Belum</v>
      </c>
      <c r="AM467" s="309" t="str">
        <f>IF('Database MK'!GJ468="","Belum",'Database MK'!GI468-'Database MK'!GJ468)</f>
        <v>Belum</v>
      </c>
      <c r="AN467" s="7" t="str">
        <f>IF('Database MK'!HG468="","Belum",'Database MK'!HF468-'Database MK'!HG468)</f>
        <v>Belum</v>
      </c>
      <c r="AO467" s="7" t="str">
        <f>IF('Database MK'!HP468="","Belum",'Database MK'!HN468-'Database MK'!HP468)</f>
        <v>Belum</v>
      </c>
      <c r="AP467" s="7" t="str">
        <f>IF('Database MK'!HV468="","Belum",'Database MK'!HT468-'Database MK'!HV468)</f>
        <v>Belum</v>
      </c>
    </row>
    <row r="469" spans="2:42" x14ac:dyDescent="0.2">
      <c r="B469" s="4" t="s">
        <v>3529</v>
      </c>
    </row>
    <row r="470" spans="2:42" x14ac:dyDescent="0.2">
      <c r="B470" s="596"/>
      <c r="E470" s="601" t="s">
        <v>3530</v>
      </c>
    </row>
    <row r="471" spans="2:42" x14ac:dyDescent="0.2">
      <c r="B471" s="597"/>
      <c r="E471" s="4" t="s">
        <v>3531</v>
      </c>
    </row>
    <row r="472" spans="2:42" x14ac:dyDescent="0.2">
      <c r="B472" s="598"/>
      <c r="E472" s="4" t="s">
        <v>3532</v>
      </c>
    </row>
    <row r="473" spans="2:42" x14ac:dyDescent="0.2">
      <c r="B473" s="599"/>
      <c r="E473" s="4" t="s">
        <v>3533</v>
      </c>
    </row>
    <row r="474" spans="2:42" x14ac:dyDescent="0.2">
      <c r="B474" s="600"/>
      <c r="E474" s="4" t="s">
        <v>3534</v>
      </c>
    </row>
    <row r="475" spans="2:42" x14ac:dyDescent="0.2">
      <c r="B475" s="602" t="str">
        <f>IF('Database MK'!CU476="","Belum",'Database MK'!CO476-'Database MK'!CU476)</f>
        <v>Belum</v>
      </c>
      <c r="E475" s="4" t="s">
        <v>3535</v>
      </c>
    </row>
  </sheetData>
  <phoneticPr fontId="9" type="noConversion"/>
  <conditionalFormatting sqref="B475">
    <cfRule type="expression" dxfId="16" priority="1">
      <formula>$H475="BATAL / CANCEL"</formula>
    </cfRule>
    <cfRule type="containsText" dxfId="15" priority="2" operator="containsText" text="Belum">
      <formula>NOT(ISERROR(SEARCH("Belum",B475)))</formula>
    </cfRule>
    <cfRule type="cellIs" dxfId="14" priority="3" operator="between">
      <formula>-301</formula>
      <formula>-1000</formula>
    </cfRule>
    <cfRule type="cellIs" dxfId="13" priority="4" operator="between">
      <formula>-201</formula>
      <formula>-300</formula>
    </cfRule>
    <cfRule type="cellIs" dxfId="12" priority="5" operator="between">
      <formula>-101</formula>
      <formula>-200</formula>
    </cfRule>
    <cfRule type="cellIs" dxfId="11" priority="6" operator="between">
      <formula>-31</formula>
      <formula>-100</formula>
    </cfRule>
    <cfRule type="cellIs" dxfId="10" priority="7" operator="between">
      <formula>-1</formula>
      <formula>-30</formula>
    </cfRule>
  </conditionalFormatting>
  <conditionalFormatting sqref="B4:AP467">
    <cfRule type="expression" dxfId="9" priority="8">
      <formula>$H4="BATAL / CANCEL"</formula>
    </cfRule>
  </conditionalFormatting>
  <conditionalFormatting sqref="O3:AB467">
    <cfRule type="containsText" dxfId="8" priority="10" operator="containsText" text="Belum">
      <formula>NOT(ISERROR(SEARCH("Belum",O3)))</formula>
    </cfRule>
  </conditionalFormatting>
  <conditionalFormatting sqref="AC3:AP467">
    <cfRule type="containsText" dxfId="7" priority="9" operator="containsText" text="Belum">
      <formula>NOT(ISERROR(SEARCH("Belum",AC3)))</formula>
    </cfRule>
    <cfRule type="cellIs" dxfId="6" priority="11" operator="between">
      <formula>-301</formula>
      <formula>-1000</formula>
    </cfRule>
    <cfRule type="cellIs" dxfId="5" priority="12" operator="between">
      <formula>-201</formula>
      <formula>-300</formula>
    </cfRule>
    <cfRule type="cellIs" dxfId="4" priority="13" operator="between">
      <formula>-101</formula>
      <formula>-200</formula>
    </cfRule>
    <cfRule type="cellIs" dxfId="3" priority="14" operator="between">
      <formula>-31</formula>
      <formula>-100</formula>
    </cfRule>
    <cfRule type="cellIs" dxfId="2" priority="15" operator="between">
      <formula>-1</formula>
      <formula>-30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A5EA-E26B-4D80-953C-38603C1347B2}">
  <sheetPr codeName="Sheet2"/>
  <dimension ref="A1:BD24"/>
  <sheetViews>
    <sheetView topLeftCell="C1" zoomScale="70" zoomScaleNormal="70" workbookViewId="0">
      <selection activeCell="AY5" sqref="AY5:BD12"/>
    </sheetView>
  </sheetViews>
  <sheetFormatPr baseColWidth="10" defaultColWidth="9" defaultRowHeight="15" outlineLevelCol="1" x14ac:dyDescent="0.2"/>
  <cols>
    <col min="1" max="1" width="9" style="4" customWidth="1"/>
    <col min="2" max="2" width="23.83203125" style="4" bestFit="1" customWidth="1"/>
    <col min="3" max="3" width="11.5" style="4" bestFit="1" customWidth="1"/>
    <col min="4" max="4" width="10.1640625" style="4" customWidth="1"/>
    <col min="5" max="5" width="7.83203125" style="4" hidden="1" customWidth="1"/>
    <col min="6" max="6" width="5.5" style="4" customWidth="1"/>
    <col min="7" max="8" width="5.5" style="4" hidden="1" customWidth="1" outlineLevel="1"/>
    <col min="9" max="9" width="5.5" style="4" customWidth="1" collapsed="1"/>
    <col min="10" max="11" width="5.5" style="4" hidden="1" customWidth="1" outlineLevel="1"/>
    <col min="12" max="12" width="5.5" style="4" customWidth="1" collapsed="1"/>
    <col min="13" max="14" width="5.5" style="4" hidden="1" customWidth="1" outlineLevel="1"/>
    <col min="15" max="15" width="5.5" style="4" customWidth="1" collapsed="1"/>
    <col min="16" max="17" width="5.5" style="4" hidden="1" customWidth="1" outlineLevel="1"/>
    <col min="18" max="18" width="5.5" style="4" customWidth="1" collapsed="1"/>
    <col min="19" max="20" width="5.5" style="4" hidden="1" customWidth="1" outlineLevel="1"/>
    <col min="21" max="21" width="5.5" style="4" customWidth="1" collapsed="1"/>
    <col min="22" max="23" width="5.5" style="4" hidden="1" customWidth="1" outlineLevel="1"/>
    <col min="24" max="24" width="5.5" style="4" customWidth="1" collapsed="1"/>
    <col min="25" max="26" width="5.5" style="4" hidden="1" customWidth="1" outlineLevel="1"/>
    <col min="27" max="27" width="5.5" style="4" customWidth="1" collapsed="1"/>
    <col min="28" max="29" width="5.5" style="4" hidden="1" customWidth="1" outlineLevel="1"/>
    <col min="30" max="30" width="5.5" style="4" customWidth="1" collapsed="1"/>
    <col min="31" max="32" width="5.5" style="4" hidden="1" customWidth="1" outlineLevel="1"/>
    <col min="33" max="33" width="5.5" style="4" customWidth="1" collapsed="1"/>
    <col min="34" max="35" width="5.5" style="4" hidden="1" customWidth="1" outlineLevel="1"/>
    <col min="36" max="36" width="5.5" style="4" customWidth="1" collapsed="1"/>
    <col min="37" max="39" width="5.5" style="4" customWidth="1"/>
    <col min="40" max="41" width="8.5" style="4" hidden="1" customWidth="1" outlineLevel="1"/>
    <col min="42" max="42" width="5.5" style="4" customWidth="1" collapsed="1"/>
    <col min="43" max="45" width="5.5" style="4" customWidth="1"/>
    <col min="46" max="47" width="8.5" style="4" hidden="1" customWidth="1" outlineLevel="1"/>
    <col min="48" max="48" width="9" style="4" customWidth="1" collapsed="1"/>
    <col min="49" max="49" width="23.5" style="4" customWidth="1"/>
    <col min="50" max="50" width="12.5" style="4" customWidth="1"/>
    <col min="51" max="51" width="9" style="4"/>
    <col min="52" max="52" width="15.33203125" style="4" customWidth="1" collapsed="1"/>
    <col min="53" max="56" width="15.33203125" style="4" customWidth="1"/>
    <col min="57" max="16384" width="9" style="4"/>
  </cols>
  <sheetData>
    <row r="1" spans="1:56" ht="16" thickBot="1" x14ac:dyDescent="0.25"/>
    <row r="2" spans="1:56" ht="24" customHeight="1" x14ac:dyDescent="0.2">
      <c r="B2" s="646" t="s">
        <v>3536</v>
      </c>
      <c r="C2" s="647"/>
      <c r="D2" s="647"/>
      <c r="E2" s="648"/>
      <c r="F2" s="657" t="s">
        <v>3503</v>
      </c>
      <c r="G2" s="658"/>
      <c r="H2" s="658"/>
      <c r="I2" s="658"/>
      <c r="J2" s="658"/>
      <c r="K2" s="659"/>
      <c r="L2" s="664" t="s">
        <v>3504</v>
      </c>
      <c r="M2" s="658"/>
      <c r="N2" s="658"/>
      <c r="O2" s="658"/>
      <c r="P2" s="658"/>
      <c r="Q2" s="660"/>
      <c r="R2" s="661" t="s">
        <v>3537</v>
      </c>
      <c r="S2" s="662"/>
      <c r="T2" s="662"/>
      <c r="U2" s="662"/>
      <c r="V2" s="662"/>
      <c r="W2" s="663"/>
      <c r="X2" s="665" t="s">
        <v>3538</v>
      </c>
      <c r="Y2" s="662"/>
      <c r="Z2" s="662"/>
      <c r="AA2" s="662"/>
      <c r="AB2" s="662"/>
      <c r="AC2" s="663"/>
      <c r="AD2" s="654" t="s">
        <v>3539</v>
      </c>
      <c r="AE2" s="655"/>
      <c r="AF2" s="655"/>
      <c r="AG2" s="655"/>
      <c r="AH2" s="655"/>
      <c r="AI2" s="666"/>
      <c r="AJ2" s="654" t="s">
        <v>3540</v>
      </c>
      <c r="AK2" s="655"/>
      <c r="AL2" s="655"/>
      <c r="AM2" s="655"/>
      <c r="AN2" s="655"/>
      <c r="AO2" s="656"/>
      <c r="AP2" s="651" t="s">
        <v>3509</v>
      </c>
      <c r="AQ2" s="652"/>
      <c r="AR2" s="652"/>
      <c r="AS2" s="652"/>
      <c r="AT2" s="652"/>
      <c r="AU2" s="653"/>
      <c r="AW2" s="641" t="s">
        <v>3536</v>
      </c>
      <c r="AX2" s="642"/>
      <c r="AY2" s="642"/>
      <c r="AZ2" s="642"/>
      <c r="BA2" s="642"/>
      <c r="BB2" s="642"/>
      <c r="BC2" s="642"/>
      <c r="BD2" s="643"/>
    </row>
    <row r="3" spans="1:56" s="170" customFormat="1" ht="105.75" customHeight="1" x14ac:dyDescent="0.2">
      <c r="B3" s="649" t="s">
        <v>3541</v>
      </c>
      <c r="C3" s="639" t="s">
        <v>19</v>
      </c>
      <c r="D3" s="640" t="s">
        <v>3542</v>
      </c>
      <c r="E3" s="650" t="s">
        <v>3543</v>
      </c>
      <c r="F3" s="188" t="s">
        <v>260</v>
      </c>
      <c r="G3" s="226" t="s">
        <v>3544</v>
      </c>
      <c r="H3" s="226" t="s">
        <v>3545</v>
      </c>
      <c r="I3" s="183" t="s">
        <v>3546</v>
      </c>
      <c r="J3" s="226" t="s">
        <v>3544</v>
      </c>
      <c r="K3" s="272" t="s">
        <v>3545</v>
      </c>
      <c r="L3" s="273" t="s">
        <v>260</v>
      </c>
      <c r="M3" s="226" t="s">
        <v>3544</v>
      </c>
      <c r="N3" s="226" t="s">
        <v>3545</v>
      </c>
      <c r="O3" s="183" t="s">
        <v>3546</v>
      </c>
      <c r="P3" s="226" t="s">
        <v>3544</v>
      </c>
      <c r="Q3" s="227" t="s">
        <v>3545</v>
      </c>
      <c r="R3" s="195" t="s">
        <v>260</v>
      </c>
      <c r="S3" s="228" t="s">
        <v>3544</v>
      </c>
      <c r="T3" s="228" t="s">
        <v>3545</v>
      </c>
      <c r="U3" s="193" t="s">
        <v>3546</v>
      </c>
      <c r="V3" s="228" t="s">
        <v>3544</v>
      </c>
      <c r="W3" s="278" t="s">
        <v>3545</v>
      </c>
      <c r="X3" s="268" t="s">
        <v>260</v>
      </c>
      <c r="Y3" s="228" t="s">
        <v>3544</v>
      </c>
      <c r="Z3" s="228" t="s">
        <v>3545</v>
      </c>
      <c r="AA3" s="193" t="s">
        <v>3546</v>
      </c>
      <c r="AB3" s="228" t="s">
        <v>3544</v>
      </c>
      <c r="AC3" s="278" t="s">
        <v>3545</v>
      </c>
      <c r="AD3" s="201" t="s">
        <v>260</v>
      </c>
      <c r="AE3" s="199" t="s">
        <v>3544</v>
      </c>
      <c r="AF3" s="199" t="s">
        <v>3545</v>
      </c>
      <c r="AG3" s="199" t="s">
        <v>3546</v>
      </c>
      <c r="AH3" s="199" t="s">
        <v>3544</v>
      </c>
      <c r="AI3" s="202" t="s">
        <v>3545</v>
      </c>
      <c r="AJ3" s="201" t="s">
        <v>3547</v>
      </c>
      <c r="AK3" s="199" t="s">
        <v>3548</v>
      </c>
      <c r="AL3" s="199" t="s">
        <v>3549</v>
      </c>
      <c r="AM3" s="199" t="s">
        <v>3550</v>
      </c>
      <c r="AN3" s="199" t="s">
        <v>3551</v>
      </c>
      <c r="AO3" s="205" t="s">
        <v>3552</v>
      </c>
      <c r="AP3" s="211" t="s">
        <v>3553</v>
      </c>
      <c r="AQ3" s="209" t="s">
        <v>3554</v>
      </c>
      <c r="AR3" s="209" t="s">
        <v>3555</v>
      </c>
      <c r="AS3" s="209" t="s">
        <v>3556</v>
      </c>
      <c r="AT3" s="209" t="s">
        <v>3551</v>
      </c>
      <c r="AU3" s="212" t="s">
        <v>3552</v>
      </c>
      <c r="AW3" s="639" t="s">
        <v>3541</v>
      </c>
      <c r="AX3" s="639" t="s">
        <v>19</v>
      </c>
      <c r="AY3" s="640" t="s">
        <v>3557</v>
      </c>
      <c r="AZ3" s="634" t="s">
        <v>3558</v>
      </c>
      <c r="BA3" s="634" t="s">
        <v>3559</v>
      </c>
      <c r="BB3" s="634" t="s">
        <v>3560</v>
      </c>
      <c r="BC3" s="632" t="s">
        <v>153</v>
      </c>
      <c r="BD3" s="632" t="s">
        <v>3561</v>
      </c>
    </row>
    <row r="4" spans="1:56" s="103" customFormat="1" ht="16.5" customHeight="1" x14ac:dyDescent="0.2">
      <c r="B4" s="649"/>
      <c r="C4" s="639"/>
      <c r="D4" s="640"/>
      <c r="E4" s="650"/>
      <c r="F4" s="186" t="s">
        <v>3562</v>
      </c>
      <c r="G4" s="184" t="s">
        <v>3562</v>
      </c>
      <c r="H4" s="184" t="s">
        <v>3562</v>
      </c>
      <c r="I4" s="184" t="s">
        <v>3562</v>
      </c>
      <c r="J4" s="184" t="s">
        <v>3562</v>
      </c>
      <c r="K4" s="187" t="s">
        <v>3562</v>
      </c>
      <c r="L4" s="274" t="s">
        <v>3562</v>
      </c>
      <c r="M4" s="184" t="s">
        <v>3562</v>
      </c>
      <c r="N4" s="184" t="s">
        <v>3562</v>
      </c>
      <c r="O4" s="184" t="s">
        <v>3562</v>
      </c>
      <c r="P4" s="184" t="s">
        <v>3562</v>
      </c>
      <c r="Q4" s="190" t="s">
        <v>3562</v>
      </c>
      <c r="R4" s="197" t="s">
        <v>3562</v>
      </c>
      <c r="S4" s="194" t="s">
        <v>3562</v>
      </c>
      <c r="T4" s="194" t="s">
        <v>3562</v>
      </c>
      <c r="U4" s="194" t="s">
        <v>3562</v>
      </c>
      <c r="V4" s="194" t="s">
        <v>3562</v>
      </c>
      <c r="W4" s="198" t="s">
        <v>3562</v>
      </c>
      <c r="X4" s="269" t="s">
        <v>3562</v>
      </c>
      <c r="Y4" s="194" t="s">
        <v>3562</v>
      </c>
      <c r="Z4" s="194" t="s">
        <v>3562</v>
      </c>
      <c r="AA4" s="194" t="s">
        <v>3562</v>
      </c>
      <c r="AB4" s="194" t="s">
        <v>3562</v>
      </c>
      <c r="AC4" s="198" t="s">
        <v>3562</v>
      </c>
      <c r="AD4" s="203" t="s">
        <v>3562</v>
      </c>
      <c r="AE4" s="200" t="s">
        <v>3562</v>
      </c>
      <c r="AF4" s="200" t="s">
        <v>3562</v>
      </c>
      <c r="AG4" s="200" t="s">
        <v>3562</v>
      </c>
      <c r="AH4" s="200" t="s">
        <v>3562</v>
      </c>
      <c r="AI4" s="204" t="s">
        <v>3562</v>
      </c>
      <c r="AJ4" s="203" t="s">
        <v>3562</v>
      </c>
      <c r="AK4" s="200" t="s">
        <v>3562</v>
      </c>
      <c r="AL4" s="200" t="s">
        <v>3562</v>
      </c>
      <c r="AM4" s="200" t="s">
        <v>3562</v>
      </c>
      <c r="AN4" s="200" t="s">
        <v>3563</v>
      </c>
      <c r="AO4" s="206" t="s">
        <v>3563</v>
      </c>
      <c r="AP4" s="215" t="s">
        <v>3562</v>
      </c>
      <c r="AQ4" s="210" t="s">
        <v>3562</v>
      </c>
      <c r="AR4" s="210" t="s">
        <v>3562</v>
      </c>
      <c r="AS4" s="210" t="s">
        <v>3562</v>
      </c>
      <c r="AT4" s="210" t="s">
        <v>3563</v>
      </c>
      <c r="AU4" s="213" t="s">
        <v>3563</v>
      </c>
      <c r="AW4" s="639"/>
      <c r="AX4" s="639"/>
      <c r="AY4" s="640"/>
      <c r="AZ4" s="635"/>
      <c r="BA4" s="635"/>
      <c r="BB4" s="635"/>
      <c r="BC4" s="633"/>
      <c r="BD4" s="633"/>
    </row>
    <row r="5" spans="1:56" s="103" customFormat="1" ht="16.5" customHeight="1" x14ac:dyDescent="0.2">
      <c r="B5" s="159" t="s">
        <v>244</v>
      </c>
      <c r="C5" s="43" t="s">
        <v>2047</v>
      </c>
      <c r="D5" s="623">
        <f>COUNTIFS('Database MK'!$G:$G,'Database MK'!$G$237,'Database MK'!$D:$D,'Summary PR PO GR'!$B5,'Database MK'!$J:$J,'Summary PR PO GR'!$C5)</f>
        <v>9</v>
      </c>
      <c r="E5" s="625"/>
      <c r="F5" s="154">
        <f ca="1">G5+H5</f>
        <v>9</v>
      </c>
      <c r="G5" s="44">
        <f ca="1">COUNTIFS('Database MK'!$G:$G,'Database MK'!$G$237,'Database MK'!$D:$D,'Summary PR PO GR'!$B5,'Database MK'!$J:$J,'Summary PR PO GR'!$C5,'Database MK'!$DE:$DE,"Sudah, OnSchedule")</f>
        <v>9</v>
      </c>
      <c r="H5" s="44">
        <f ca="1">COUNTIFS('Database MK'!$G:$G,'Database MK'!$G$237,'Database MK'!$D:$D,'Summary PR PO GR'!$B5,'Database MK'!$J:$J,'Summary PR PO GR'!$C5,'Database MK'!$DE:$DE,"Sudah, Delay")</f>
        <v>0</v>
      </c>
      <c r="I5" s="44">
        <f ca="1">J5+K5</f>
        <v>0</v>
      </c>
      <c r="J5" s="44">
        <f ca="1">COUNTIFS('Database MK'!$G:$G,'Database MK'!$G$237,'Database MK'!$D:$D,'Summary PR PO GR'!$B5,'Database MK'!$J:$J,'Summary PR PO GR'!$C5,'Database MK'!$DE:$DE,"Belum, OnSchedule")</f>
        <v>0</v>
      </c>
      <c r="K5" s="155">
        <f ca="1">COUNTIFS('Database MK'!$G:$G,'Database MK'!$G$237,'Database MK'!$D:$D,'Summary PR PO GR'!$B5,'Database MK'!$J:$J,'Summary PR PO GR'!$C5,'Database MK'!$DE:$DE,"Belum, Delay")</f>
        <v>0</v>
      </c>
      <c r="L5" s="275">
        <f ca="1">M5+N5</f>
        <v>9</v>
      </c>
      <c r="M5" s="44">
        <f ca="1">COUNTIFS('Database MK'!$G:$G,'Database MK'!$G$237,'Database MK'!$D:$D,'Summary PR PO GR'!$B5,'Database MK'!$J:$J,'Summary PR PO GR'!$C5,'Database MK'!$DI:$DI,"Sudah, OnSchedule")</f>
        <v>9</v>
      </c>
      <c r="N5" s="44">
        <f ca="1">COUNTIFS('Database MK'!$G:$G,'Database MK'!$G$237,'Database MK'!$D:$D,'Summary PR PO GR'!$B5,'Database MK'!$J:$J,'Summary PR PO GR'!$C5,'Database MK'!$DI:$DI,"Sudah, Delay")</f>
        <v>0</v>
      </c>
      <c r="O5" s="44">
        <f ca="1">P5+Q5</f>
        <v>0</v>
      </c>
      <c r="P5" s="44">
        <f ca="1">COUNTIFS('Database MK'!$G:$G,'Database MK'!$G$237,'Database MK'!$D:$D,'Summary PR PO GR'!$B5,'Database MK'!$J:$J,'Summary PR PO GR'!$C5,'Database MK'!$DI:$DI,"Belum, OnSchedule")</f>
        <v>0</v>
      </c>
      <c r="Q5" s="191">
        <f ca="1">COUNTIFS('Database MK'!$G:$G,'Database MK'!$G$237,'Database MK'!$D:$D,'Summary PR PO GR'!$B5,'Database MK'!$J:$J,'Summary PR PO GR'!$C5,'Database MK'!$DI:$DI,"Belum, Delay")</f>
        <v>0</v>
      </c>
      <c r="R5" s="160">
        <f ca="1">S5+T5</f>
        <v>9</v>
      </c>
      <c r="S5" s="82">
        <f ca="1">COUNTIFS('Database MK'!$G:$G,'Database MK'!$G$237,'Database MK'!$D:$D,'Summary PR PO GR'!$B5,'Database MK'!$J:$J,'Summary PR PO GR'!$C5,'Database MK'!$DN:$DN,"Sudah, OnSchedule")</f>
        <v>9</v>
      </c>
      <c r="T5" s="82">
        <f ca="1">COUNTIFS('Database MK'!$G:$G,'Database MK'!$G$237,'Database MK'!$D:$D,'Summary PR PO GR'!$B5,'Database MK'!$J:$J,'Summary PR PO GR'!$C5,'Database MK'!$DN:$DN,"Sudah, Delay")</f>
        <v>0</v>
      </c>
      <c r="U5" s="82">
        <f ca="1">V5+W5</f>
        <v>0</v>
      </c>
      <c r="V5" s="82">
        <f ca="1">COUNTIFS('Database MK'!$G:$G,'Database MK'!$G$237,'Database MK'!$D:$D,'Summary PR PO GR'!$B5,'Database MK'!$J:$J,'Summary PR PO GR'!$C5,'Database MK'!$DN:$DN,"Belum, OnShcedule")</f>
        <v>0</v>
      </c>
      <c r="W5" s="161">
        <f ca="1">COUNTIFS('Database MK'!$G:$G,'Database MK'!$G$237,'Database MK'!$D:$D,'Summary PR PO GR'!$B5,'Database MK'!$J:$J,'Summary PR PO GR'!$C5,'Database MK'!$DN:$DN,"Belum, Delay")</f>
        <v>0</v>
      </c>
      <c r="X5" s="270">
        <f ca="1">Y5+Z5</f>
        <v>9</v>
      </c>
      <c r="Y5" s="82">
        <f ca="1">COUNTIFS('Database MK'!$G:$G,'Database MK'!$G$237,'Database MK'!$D:$D,'Summary PR PO GR'!$B5,'Database MK'!$J:$J,'Summary PR PO GR'!$C5,'Database MK'!$DR:$DR,"Sudah, OnSchedule")</f>
        <v>3</v>
      </c>
      <c r="Z5" s="82">
        <f ca="1">COUNTIFS('Database MK'!$G:$G,'Database MK'!$G$237,'Database MK'!$D:$D,'Summary PR PO GR'!$B5,'Database MK'!$J:$J,'Summary PR PO GR'!$C5,'Database MK'!$DR:$DR,"Sudah, Delay")</f>
        <v>6</v>
      </c>
      <c r="AA5" s="82">
        <f ca="1">AB5+AC5</f>
        <v>0</v>
      </c>
      <c r="AB5" s="82">
        <f ca="1">COUNTIFS('Database MK'!$G:$G,'Database MK'!$G$237,'Database MK'!$D:$D,'Summary PR PO GR'!$B5,'Database MK'!$J:$J,'Summary PR PO GR'!$C5,'Database MK'!$DR:$DR,"Belum, OnSchedule")</f>
        <v>0</v>
      </c>
      <c r="AC5" s="161">
        <f ca="1">COUNTIFS('Database MK'!$G:$G,'Database MK'!$G$237,'Database MK'!$D:$D,'Summary PR PO GR'!$B5,'Database MK'!$J:$J,'Summary PR PO GR'!$C5,'Database MK'!$DR:$DR,"Belum, Delay")</f>
        <v>0</v>
      </c>
      <c r="AD5" s="165">
        <f ca="1">AE5+AF5</f>
        <v>9</v>
      </c>
      <c r="AE5" s="137">
        <f ca="1">COUNTIFS('Database MK'!$G:$G,'Database MK'!$G$237,'Database MK'!$D:$D,'Summary PR PO GR'!$B5,'Database MK'!$J:$J,'Summary PR PO GR'!$C5,'Database MK'!$EA:$EA,"Sudah, OnSchedule")</f>
        <v>9</v>
      </c>
      <c r="AF5" s="137">
        <f ca="1">COUNTIFS('Database MK'!$G:$G,'Database MK'!$G$237,'Database MK'!$D:$D,'Summary PR PO GR'!$B5,'Database MK'!$J:$J,'Summary PR PO GR'!$C5,'Database MK'!$EA:$EA,"Sudah, Delay")</f>
        <v>0</v>
      </c>
      <c r="AG5" s="137">
        <f ca="1">AH5+AI5</f>
        <v>0</v>
      </c>
      <c r="AH5" s="137">
        <f ca="1">COUNTIFS('Database MK'!$G:$G,'Database MK'!$G$237,'Database MK'!$D:$D,'Summary PR PO GR'!$B5,'Database MK'!$J:$J,'Summary PR PO GR'!$C5,'Database MK'!$EA:$EA,"Belum, OnSchedule")</f>
        <v>0</v>
      </c>
      <c r="AI5" s="166">
        <f ca="1">COUNTIFS('Database MK'!$G:$G,'Database MK'!$G$237,'Database MK'!$D:$D,'Summary PR PO GR'!$B5,'Database MK'!$J:$J,'Summary PR PO GR'!$C5,'Database MK'!$EA:$EA,"Belum, Delay")</f>
        <v>0</v>
      </c>
      <c r="AJ5" s="165">
        <f>COUNTIFS('Database MK'!$G:$G,'Database MK'!$G$237,'Database MK'!$D:$D,'Summary PR PO GR'!$B5,'Database MK'!$J:$J,'Summary PR PO GR'!$C5,'Database MK'!$EH:$EH,'Summary PR PO GR'!AJ$3)</f>
        <v>0</v>
      </c>
      <c r="AK5" s="137">
        <f>COUNTIFS('Database MK'!$G:$G,'Database MK'!$G$237,'Database MK'!$D:$D,'Summary PR PO GR'!$B5,'Database MK'!$J:$J,'Summary PR PO GR'!$C5,'Database MK'!$EH:$EH,'Summary PR PO GR'!AK$3)</f>
        <v>9</v>
      </c>
      <c r="AL5" s="137">
        <f>COUNTIFS('Database MK'!$G:$G,'Database MK'!$G$237,'Database MK'!$D:$D,'Summary PR PO GR'!$B5,'Database MK'!$J:$J,'Summary PR PO GR'!$C5,'Database MK'!$EH:$EH,'Summary PR PO GR'!AL$3)</f>
        <v>0</v>
      </c>
      <c r="AM5" s="137">
        <f>COUNTIFS('Database MK'!$G:$G,'Database MK'!$G$237,'Database MK'!$D:$D,'Summary PR PO GR'!$B5,'Database MK'!$J:$J,'Summary PR PO GR'!$C5,'Database MK'!$EH:$EH,'Summary PR PO GR'!AM$3)</f>
        <v>0</v>
      </c>
      <c r="AN5" s="138">
        <f>IFERROR(_xlfn.MINIFS('Database MK'!$EF:$EF,'Database MK'!$G:$G,'Database MK'!$G$239,'Database MK'!$D:$D,'Summary PR PO GR'!$B5,'Database MK'!$J:$J,'Summary PR PO GR'!$C5),0)</f>
        <v>0.75</v>
      </c>
      <c r="AO5" s="207">
        <f>IFERROR(_xlfn.MAXIFS('Database MK'!$EF:$EF,'Database MK'!$G:$G,'Database MK'!$G$239,'Database MK'!$D:$D,'Summary PR PO GR'!$B5,'Database MK'!$J:$J,'Summary PR PO GR'!$C5),0)</f>
        <v>0.98630136986301364</v>
      </c>
      <c r="AP5" s="175">
        <f>COUNTIFS('Database MK'!$G:$G,'Database MK'!$G$237,'Database MK'!$D:$D,'Summary PR PO GR'!$B5,'Database MK'!$J:$J,'Summary PR PO GR'!$C5,'Database MK'!$ES:$ES,'Summary PR PO GR'!AP$3)</f>
        <v>0</v>
      </c>
      <c r="AQ5" s="175">
        <f>COUNTIFS('Database MK'!$G:$G,'Database MK'!$G$237,'Database MK'!$D:$D,'Summary PR PO GR'!$B5,'Database MK'!$J:$J,'Summary PR PO GR'!$C5,'Database MK'!$ES:$ES,'Summary PR PO GR'!AQ$3)</f>
        <v>9</v>
      </c>
      <c r="AR5" s="175">
        <f>COUNTIFS('Database MK'!$G:$G,'Database MK'!$G$237,'Database MK'!$D:$D,'Summary PR PO GR'!$B5,'Database MK'!$J:$J,'Summary PR PO GR'!$C5,'Database MK'!$ES:$ES,'Summary PR PO GR'!AR$3)</f>
        <v>0</v>
      </c>
      <c r="AS5" s="175">
        <f>COUNTIFS('Database MK'!$G:$G,'Database MK'!$G$237,'Database MK'!$D:$D,'Summary PR PO GR'!$B5,'Database MK'!$J:$J,'Summary PR PO GR'!$C5,'Database MK'!$ES:$ES,'Summary PR PO GR'!AS$3)</f>
        <v>0</v>
      </c>
      <c r="AT5" s="83">
        <f>IFERROR(_xlfn.MINIFS('Database MK'!$FB:$FB,'Database MK'!$G:$G,'Database MK'!$G$239,'Database MK'!$D:$D,'Summary PR PO GR'!$B5,'Database MK'!$J:$J,'Summary PR PO GR'!$C5),0)</f>
        <v>0</v>
      </c>
      <c r="AU5" s="176">
        <f>IFERROR(_xlfn.MAXIFS('Database MK'!$FB:$FB,'Database MK'!$G:$G,'Database MK'!$G$239,'Database MK'!$D:$D,'Summary PR PO GR'!$B5,'Database MK'!$J:$J,'Summary PR PO GR'!$C5),0)</f>
        <v>0</v>
      </c>
      <c r="AW5" s="159" t="s">
        <v>244</v>
      </c>
      <c r="AX5" s="43" t="s">
        <v>2047</v>
      </c>
      <c r="AY5" s="623">
        <f ca="1">SUMIFS('Database MK'!$DY:$DY,'Database MK'!$G:$G,'Database MK'!$G$237,'Database MK'!$D:$D,$AW5,'Database MK'!$J:$J,$AX5,'Database MK'!$EA:$EA,"&lt;&gt;")</f>
        <v>687</v>
      </c>
      <c r="AZ5" s="137">
        <f ca="1">SUMIFS('Database MK'!$DY:$DY,'Database MK'!$G:$G,'Database MK'!$G$237,'Database MK'!$D:$D,$AW5,'Database MK'!$J:$J,$AX5,'Database MK'!$EA:$EA,"&lt;&gt;")</f>
        <v>687</v>
      </c>
      <c r="BA5" s="137">
        <f ca="1">SUMIFS('Database MK'!$ED:$ED,'Database MK'!$G:$G,'Database MK'!$G$237,'Database MK'!$D:$D,$AW5,'Database MK'!$J:$J,$AX5,'Database MK'!$EA:$EA,"&lt;&gt;")</f>
        <v>643</v>
      </c>
      <c r="BB5" s="218">
        <f ca="1">IFERROR(BA5/AZ5,0)</f>
        <v>0.93595342066957787</v>
      </c>
      <c r="BC5" s="45">
        <f ca="1">SUMIFS('Database MK'!$EO:$EO,'Database MK'!$G:$G,'Database MK'!$G$237,'Database MK'!$D:$D,$AW5,'Database MK'!$J:$J,$AX5,'Database MK'!$EA:$EA,"&lt;&gt;")</f>
        <v>616</v>
      </c>
      <c r="BD5" s="219">
        <f ca="1">IFERROR(BC5/AZ5,0)</f>
        <v>0.89665211062590977</v>
      </c>
    </row>
    <row r="6" spans="1:56" x14ac:dyDescent="0.2">
      <c r="A6" s="77" t="s">
        <v>3564</v>
      </c>
      <c r="B6" s="159" t="s">
        <v>244</v>
      </c>
      <c r="C6" s="43" t="s">
        <v>1830</v>
      </c>
      <c r="D6" s="623">
        <f>COUNTIFS('Database MK'!$G:$G,'Database MK'!$G$237,'Database MK'!$D:$D,'Summary PR PO GR'!$B6,'Database MK'!$J:$J,'Summary PR PO GR'!$C6)</f>
        <v>22</v>
      </c>
      <c r="E6" s="181">
        <f ca="1">COUNTIFS('Database MK'!$G:$G,'Database MK'!$G$237,'Database MK'!$D:$D,'Summary PR PO GR'!$B6,'Database MK'!$Q:$Q,"BATAL / CANCEL")</f>
        <v>14</v>
      </c>
      <c r="F6" s="154">
        <f ca="1">G6+H6</f>
        <v>22</v>
      </c>
      <c r="G6" s="44">
        <f ca="1">COUNTIFS('Database MK'!$G:$G,'Database MK'!$G$237,'Database MK'!$D:$D,'Summary PR PO GR'!$B6,'Database MK'!$J:$J,'Summary PR PO GR'!$C6,'Database MK'!$DE:$DE,"Sudah, OnSchedule")</f>
        <v>19</v>
      </c>
      <c r="H6" s="44">
        <f ca="1">COUNTIFS('Database MK'!$G:$G,'Database MK'!$G$237,'Database MK'!$D:$D,'Summary PR PO GR'!$B6,'Database MK'!$J:$J,'Summary PR PO GR'!$C6,'Database MK'!$DE:$DE,"Sudah, Delay")</f>
        <v>3</v>
      </c>
      <c r="I6" s="44">
        <f ca="1">J6+K6</f>
        <v>0</v>
      </c>
      <c r="J6" s="44">
        <f ca="1">COUNTIFS('Database MK'!$G:$G,'Database MK'!$G$237,'Database MK'!$D:$D,'Summary PR PO GR'!$B6,'Database MK'!$J:$J,'Summary PR PO GR'!$C6,'Database MK'!$DE:$DE,"Belum, OnSchedule")</f>
        <v>0</v>
      </c>
      <c r="K6" s="155">
        <f ca="1">COUNTIFS('Database MK'!$G:$G,'Database MK'!$G$237,'Database MK'!$D:$D,'Summary PR PO GR'!$B6,'Database MK'!$J:$J,'Summary PR PO GR'!$C6,'Database MK'!$DE:$DE,"Belum, Delay")</f>
        <v>0</v>
      </c>
      <c r="L6" s="275">
        <f ca="1">M6+N6</f>
        <v>22</v>
      </c>
      <c r="M6" s="44">
        <f ca="1">COUNTIFS('Database MK'!$G:$G,'Database MK'!$G$237,'Database MK'!$D:$D,'Summary PR PO GR'!$B6,'Database MK'!$J:$J,'Summary PR PO GR'!$C6,'Database MK'!$DI:$DI,"Sudah, OnSchedule")</f>
        <v>17</v>
      </c>
      <c r="N6" s="44">
        <f ca="1">COUNTIFS('Database MK'!$G:$G,'Database MK'!$G$237,'Database MK'!$D:$D,'Summary PR PO GR'!$B6,'Database MK'!$J:$J,'Summary PR PO GR'!$C6,'Database MK'!$DI:$DI,"Sudah, Delay")</f>
        <v>5</v>
      </c>
      <c r="O6" s="44">
        <f ca="1">P6+Q6</f>
        <v>0</v>
      </c>
      <c r="P6" s="44">
        <f ca="1">COUNTIFS('Database MK'!$G:$G,'Database MK'!$G$237,'Database MK'!$D:$D,'Summary PR PO GR'!$B6,'Database MK'!$J:$J,'Summary PR PO GR'!$C6,'Database MK'!$DI:$DI,"Belum, OnSchedule")</f>
        <v>0</v>
      </c>
      <c r="Q6" s="191">
        <f ca="1">COUNTIFS('Database MK'!$G:$G,'Database MK'!$G$237,'Database MK'!$D:$D,'Summary PR PO GR'!$B6,'Database MK'!$J:$J,'Summary PR PO GR'!$C6,'Database MK'!$DI:$DI,"Belum, Delay")</f>
        <v>0</v>
      </c>
      <c r="R6" s="160">
        <f ca="1">S6+T6</f>
        <v>22</v>
      </c>
      <c r="S6" s="82">
        <f ca="1">COUNTIFS('Database MK'!$G:$G,'Database MK'!$G$237,'Database MK'!$D:$D,'Summary PR PO GR'!$B6,'Database MK'!$J:$J,'Summary PR PO GR'!$C6,'Database MK'!$DN:$DN,"Sudah, OnSchedule")</f>
        <v>20</v>
      </c>
      <c r="T6" s="82">
        <f ca="1">COUNTIFS('Database MK'!$G:$G,'Database MK'!$G$237,'Database MK'!$D:$D,'Summary PR PO GR'!$B6,'Database MK'!$J:$J,'Summary PR PO GR'!$C6,'Database MK'!$DN:$DN,"Sudah, Delay")</f>
        <v>2</v>
      </c>
      <c r="U6" s="82">
        <f ca="1">V6+W6</f>
        <v>0</v>
      </c>
      <c r="V6" s="82">
        <f ca="1">COUNTIFS('Database MK'!$G:$G,'Database MK'!$G$237,'Database MK'!$D:$D,'Summary PR PO GR'!$B6,'Database MK'!$J:$J,'Summary PR PO GR'!$C6,'Database MK'!$DN:$DN,"Belum, OnShcedule")</f>
        <v>0</v>
      </c>
      <c r="W6" s="161">
        <f ca="1">COUNTIFS('Database MK'!$G:$G,'Database MK'!$G$237,'Database MK'!$D:$D,'Summary PR PO GR'!$B6,'Database MK'!$J:$J,'Summary PR PO GR'!$C6,'Database MK'!$DN:$DN,"Belum, Delay")</f>
        <v>0</v>
      </c>
      <c r="X6" s="270">
        <f ca="1">Y6+Z6</f>
        <v>22</v>
      </c>
      <c r="Y6" s="82">
        <f ca="1">COUNTIFS('Database MK'!$G:$G,'Database MK'!$G$237,'Database MK'!$D:$D,'Summary PR PO GR'!$B6,'Database MK'!$J:$J,'Summary PR PO GR'!$C6,'Database MK'!$DR:$DR,"Sudah, OnSchedule")</f>
        <v>20</v>
      </c>
      <c r="Z6" s="82">
        <f ca="1">COUNTIFS('Database MK'!$G:$G,'Database MK'!$G$237,'Database MK'!$D:$D,'Summary PR PO GR'!$B6,'Database MK'!$J:$J,'Summary PR PO GR'!$C6,'Database MK'!$DR:$DR,"Sudah, Delay")</f>
        <v>2</v>
      </c>
      <c r="AA6" s="82">
        <f ca="1">AB6+AC6</f>
        <v>0</v>
      </c>
      <c r="AB6" s="82">
        <f ca="1">COUNTIFS('Database MK'!$G:$G,'Database MK'!$G$237,'Database MK'!$D:$D,'Summary PR PO GR'!$B6,'Database MK'!$J:$J,'Summary PR PO GR'!$C6,'Database MK'!$DR:$DR,"Belum, OnSchedule")</f>
        <v>0</v>
      </c>
      <c r="AC6" s="161">
        <f ca="1">COUNTIFS('Database MK'!$G:$G,'Database MK'!$G$237,'Database MK'!$D:$D,'Summary PR PO GR'!$B6,'Database MK'!$J:$J,'Summary PR PO GR'!$C6,'Database MK'!$DR:$DR,"Belum, Delay")</f>
        <v>0</v>
      </c>
      <c r="AD6" s="165">
        <f ca="1">AE6+AF6</f>
        <v>22</v>
      </c>
      <c r="AE6" s="137">
        <f ca="1">COUNTIFS('Database MK'!$G:$G,'Database MK'!$G$237,'Database MK'!$D:$D,'Summary PR PO GR'!$B6,'Database MK'!$J:$J,'Summary PR PO GR'!$C6,'Database MK'!$EA:$EA,"Sudah, OnSchedule")</f>
        <v>14</v>
      </c>
      <c r="AF6" s="137">
        <f ca="1">COUNTIFS('Database MK'!$G:$G,'Database MK'!$G$237,'Database MK'!$D:$D,'Summary PR PO GR'!$B6,'Database MK'!$J:$J,'Summary PR PO GR'!$C6,'Database MK'!$EA:$EA,"Sudah, Delay")</f>
        <v>8</v>
      </c>
      <c r="AG6" s="137">
        <f ca="1">AH6+AI6</f>
        <v>0</v>
      </c>
      <c r="AH6" s="137">
        <f ca="1">COUNTIFS('Database MK'!$G:$G,'Database MK'!$G$237,'Database MK'!$D:$D,'Summary PR PO GR'!$B6,'Database MK'!$J:$J,'Summary PR PO GR'!$C6,'Database MK'!$EA:$EA,"Belum, OnSchedule")</f>
        <v>0</v>
      </c>
      <c r="AI6" s="166">
        <f ca="1">COUNTIFS('Database MK'!$G:$G,'Database MK'!$G$237,'Database MK'!$D:$D,'Summary PR PO GR'!$B6,'Database MK'!$J:$J,'Summary PR PO GR'!$C6,'Database MK'!$EA:$EA,"Belum, Delay")</f>
        <v>0</v>
      </c>
      <c r="AJ6" s="165">
        <f>COUNTIFS('Database MK'!$G:$G,'Database MK'!$G$237,'Database MK'!$D:$D,'Summary PR PO GR'!$B6,'Database MK'!$J:$J,'Summary PR PO GR'!$C6,'Database MK'!$EH:$EH,'Summary PR PO GR'!AJ$3)</f>
        <v>20</v>
      </c>
      <c r="AK6" s="137">
        <f>COUNTIFS('Database MK'!$G:$G,'Database MK'!$G$237,'Database MK'!$D:$D,'Summary PR PO GR'!$B6,'Database MK'!$J:$J,'Summary PR PO GR'!$C6,'Database MK'!$EH:$EH,'Summary PR PO GR'!AK$3)</f>
        <v>2</v>
      </c>
      <c r="AL6" s="137">
        <f>COUNTIFS('Database MK'!$G:$G,'Database MK'!$G$237,'Database MK'!$D:$D,'Summary PR PO GR'!$B6,'Database MK'!$J:$J,'Summary PR PO GR'!$C6,'Database MK'!$EH:$EH,'Summary PR PO GR'!AL$3)</f>
        <v>0</v>
      </c>
      <c r="AM6" s="137">
        <f>COUNTIFS('Database MK'!$G:$G,'Database MK'!$G$237,'Database MK'!$D:$D,'Summary PR PO GR'!$B6,'Database MK'!$J:$J,'Summary PR PO GR'!$C6,'Database MK'!$EH:$EH,'Summary PR PO GR'!AM$3)</f>
        <v>0</v>
      </c>
      <c r="AN6" s="138">
        <f>IFERROR(_xlfn.MINIFS('Database MK'!$EF:$EF,'Database MK'!$G:$G,'Database MK'!$G$239,'Database MK'!$D:$D,'Summary PR PO GR'!$B6,'Database MK'!$J:$J,'Summary PR PO GR'!$C6),0)</f>
        <v>0.88888888888888884</v>
      </c>
      <c r="AO6" s="207">
        <f>IFERROR(_xlfn.MAXIFS('Database MK'!$EF:$EF,'Database MK'!$G:$G,'Database MK'!$G$239,'Database MK'!$D:$D,'Summary PR PO GR'!$B6,'Database MK'!$J:$J,'Summary PR PO GR'!$C6),0)</f>
        <v>1</v>
      </c>
      <c r="AP6" s="175">
        <f>COUNTIFS('Database MK'!$G:$G,'Database MK'!$G$237,'Database MK'!$D:$D,'Summary PR PO GR'!$B6,'Database MK'!$J:$J,'Summary PR PO GR'!$C6,'Database MK'!$ES:$ES,'Summary PR PO GR'!AP$3)</f>
        <v>0</v>
      </c>
      <c r="AQ6" s="175">
        <f>COUNTIFS('Database MK'!$G:$G,'Database MK'!$G$237,'Database MK'!$D:$D,'Summary PR PO GR'!$B6,'Database MK'!$J:$J,'Summary PR PO GR'!$C6,'Database MK'!$ES:$ES,'Summary PR PO GR'!AQ$3)</f>
        <v>22</v>
      </c>
      <c r="AR6" s="175">
        <f>COUNTIFS('Database MK'!$G:$G,'Database MK'!$G$237,'Database MK'!$D:$D,'Summary PR PO GR'!$B6,'Database MK'!$J:$J,'Summary PR PO GR'!$C6,'Database MK'!$ES:$ES,'Summary PR PO GR'!AR$3)</f>
        <v>0</v>
      </c>
      <c r="AS6" s="175">
        <f>COUNTIFS('Database MK'!$G:$G,'Database MK'!$G$237,'Database MK'!$D:$D,'Summary PR PO GR'!$B6,'Database MK'!$J:$J,'Summary PR PO GR'!$C6,'Database MK'!$ES:$ES,'Summary PR PO GR'!AS$3)</f>
        <v>0</v>
      </c>
      <c r="AT6" s="83">
        <f>IFERROR(_xlfn.MINIFS('Database MK'!$FB:$FB,'Database MK'!$G:$G,'Database MK'!$G$239,'Database MK'!$D:$D,'Summary PR PO GR'!$B6,'Database MK'!$J:$J,'Summary PR PO GR'!$C6),0)</f>
        <v>0</v>
      </c>
      <c r="AU6" s="176">
        <f>IFERROR(_xlfn.MAXIFS('Database MK'!$FB:$FB,'Database MK'!$G:$G,'Database MK'!$G$239,'Database MK'!$D:$D,'Summary PR PO GR'!$B6,'Database MK'!$J:$J,'Summary PR PO GR'!$C6),0)</f>
        <v>0</v>
      </c>
      <c r="AW6" s="43" t="s">
        <v>244</v>
      </c>
      <c r="AX6" s="43" t="s">
        <v>1830</v>
      </c>
      <c r="AY6" s="623">
        <f ca="1">SUMIFS('Database MK'!$DY:$DY,'Database MK'!$G:$G,'Database MK'!$G$237,'Database MK'!$D:$D,$AW6,'Database MK'!$J:$J,$AX6,'Database MK'!$EA:$EA,"&lt;&gt;")</f>
        <v>828</v>
      </c>
      <c r="AZ6" s="137">
        <f ca="1">SUMIFS('Database MK'!$DY:$DY,'Database MK'!$G:$G,'Database MK'!$G$237,'Database MK'!$D:$D,$AW6,'Database MK'!$J:$J,$AX6,'Database MK'!$EA:$EA,"&lt;&gt;")</f>
        <v>828</v>
      </c>
      <c r="BA6" s="137">
        <f ca="1">SUMIFS('Database MK'!$ED:$ED,'Database MK'!$G:$G,'Database MK'!$G$237,'Database MK'!$D:$D,$AW6,'Database MK'!$J:$J,$AX6,'Database MK'!$EA:$EA,"&lt;&gt;")</f>
        <v>762</v>
      </c>
      <c r="BB6" s="218">
        <f ca="1">IFERROR(BA6/AZ6,0)</f>
        <v>0.92028985507246375</v>
      </c>
      <c r="BC6" s="45">
        <f ca="1">SUMIFS('Database MK'!$EO:$EO,'Database MK'!$G:$G,'Database MK'!$G$237,'Database MK'!$D:$D,$AW6,'Database MK'!$J:$J,$AX6,'Database MK'!$EA:$EA,"&lt;&gt;")</f>
        <v>762</v>
      </c>
      <c r="BD6" s="219">
        <f ca="1">IFERROR(BC6/AZ6,0)</f>
        <v>0.92028985507246375</v>
      </c>
    </row>
    <row r="7" spans="1:56" x14ac:dyDescent="0.2">
      <c r="A7" s="77" t="s">
        <v>3565</v>
      </c>
      <c r="B7" s="159" t="s">
        <v>244</v>
      </c>
      <c r="C7" s="43" t="s">
        <v>1818</v>
      </c>
      <c r="D7" s="623">
        <f>COUNTIFS('Database MK'!$G:$G,'Database MK'!$G$237,'Database MK'!$D:$D,'Summary PR PO GR'!$B7,'Database MK'!$J:$J,'Summary PR PO GR'!$C7)</f>
        <v>13</v>
      </c>
      <c r="E7" s="181">
        <f ca="1">COUNTIFS('Database MK'!$G:$G,'Database MK'!$G$237,'Database MK'!$D:$D,'Summary PR PO GR'!$B7,'Database MK'!$Q:$Q,"BATAL / CANCEL")</f>
        <v>14</v>
      </c>
      <c r="F7" s="154">
        <f t="shared" ref="F7:F11" ca="1" si="0">G7+H7</f>
        <v>13</v>
      </c>
      <c r="G7" s="44">
        <f ca="1">COUNTIFS('Database MK'!$G:$G,'Database MK'!$G$237,'Database MK'!$D:$D,'Summary PR PO GR'!$B7,'Database MK'!$J:$J,'Summary PR PO GR'!$C7,'Database MK'!$DE:$DE,"Sudah, OnSchedule")</f>
        <v>13</v>
      </c>
      <c r="H7" s="44">
        <f ca="1">COUNTIFS('Database MK'!$G:$G,'Database MK'!$G$237,'Database MK'!$D:$D,'Summary PR PO GR'!$B7,'Database MK'!$J:$J,'Summary PR PO GR'!$C7,'Database MK'!$DE:$DE,"Sudah, Delay")</f>
        <v>0</v>
      </c>
      <c r="I7" s="44">
        <f t="shared" ref="I7:I11" ca="1" si="1">J7+K7</f>
        <v>0</v>
      </c>
      <c r="J7" s="44">
        <f ca="1">COUNTIFS('Database MK'!$G:$G,'Database MK'!$G$237,'Database MK'!$D:$D,'Summary PR PO GR'!$B7,'Database MK'!$J:$J,'Summary PR PO GR'!$C7,'Database MK'!$DE:$DE,"Belum, OnSchedule")</f>
        <v>0</v>
      </c>
      <c r="K7" s="155">
        <f ca="1">COUNTIFS('Database MK'!$G:$G,'Database MK'!$G$237,'Database MK'!$D:$D,'Summary PR PO GR'!$B7,'Database MK'!$J:$J,'Summary PR PO GR'!$C7,'Database MK'!$DE:$DE,"Belum, Delay")</f>
        <v>0</v>
      </c>
      <c r="L7" s="275">
        <f t="shared" ref="L7:L11" ca="1" si="2">M7+N7</f>
        <v>13</v>
      </c>
      <c r="M7" s="44">
        <f ca="1">COUNTIFS('Database MK'!$G:$G,'Database MK'!$G$237,'Database MK'!$D:$D,'Summary PR PO GR'!$B7,'Database MK'!$J:$J,'Summary PR PO GR'!$C7,'Database MK'!$DI:$DI,"Sudah, OnSchedule")</f>
        <v>12</v>
      </c>
      <c r="N7" s="44">
        <f ca="1">COUNTIFS('Database MK'!$G:$G,'Database MK'!$G$237,'Database MK'!$D:$D,'Summary PR PO GR'!$B7,'Database MK'!$J:$J,'Summary PR PO GR'!$C7,'Database MK'!$DI:$DI,"Sudah, Delay")</f>
        <v>1</v>
      </c>
      <c r="O7" s="44">
        <f t="shared" ref="O7:O11" ca="1" si="3">P7+Q7</f>
        <v>0</v>
      </c>
      <c r="P7" s="44">
        <f ca="1">COUNTIFS('Database MK'!$G:$G,'Database MK'!$G$237,'Database MK'!$D:$D,'Summary PR PO GR'!$B7,'Database MK'!$J:$J,'Summary PR PO GR'!$C7,'Database MK'!$DI:$DI,"Belum, OnSchedule")</f>
        <v>0</v>
      </c>
      <c r="Q7" s="191">
        <f ca="1">COUNTIFS('Database MK'!$G:$G,'Database MK'!$G$237,'Database MK'!$D:$D,'Summary PR PO GR'!$B7,'Database MK'!$J:$J,'Summary PR PO GR'!$C7,'Database MK'!$DI:$DI,"Belum, Delay")</f>
        <v>0</v>
      </c>
      <c r="R7" s="160">
        <f t="shared" ref="R7:R11" ca="1" si="4">S7+T7</f>
        <v>13</v>
      </c>
      <c r="S7" s="82">
        <f ca="1">COUNTIFS('Database MK'!$G:$G,'Database MK'!$G$237,'Database MK'!$D:$D,'Summary PR PO GR'!$B7,'Database MK'!$J:$J,'Summary PR PO GR'!$C7,'Database MK'!$DN:$DN,"Sudah, OnSchedule")</f>
        <v>13</v>
      </c>
      <c r="T7" s="82">
        <f ca="1">COUNTIFS('Database MK'!$G:$G,'Database MK'!$G$237,'Database MK'!$D:$D,'Summary PR PO GR'!$B7,'Database MK'!$J:$J,'Summary PR PO GR'!$C7,'Database MK'!$DN:$DN,"Sudah, Delay")</f>
        <v>0</v>
      </c>
      <c r="U7" s="82">
        <f t="shared" ref="U7:U11" ca="1" si="5">V7+W7</f>
        <v>0</v>
      </c>
      <c r="V7" s="82">
        <f ca="1">COUNTIFS('Database MK'!$G:$G,'Database MK'!$G$237,'Database MK'!$D:$D,'Summary PR PO GR'!$B7,'Database MK'!$J:$J,'Summary PR PO GR'!$C7,'Database MK'!$DN:$DN,"Belum, OnShcedule")</f>
        <v>0</v>
      </c>
      <c r="W7" s="161">
        <f ca="1">COUNTIFS('Database MK'!$G:$G,'Database MK'!$G$237,'Database MK'!$D:$D,'Summary PR PO GR'!$B7,'Database MK'!$J:$J,'Summary PR PO GR'!$C7,'Database MK'!$DN:$DN,"Belum, Delay")</f>
        <v>0</v>
      </c>
      <c r="X7" s="270">
        <f t="shared" ref="X7:X11" ca="1" si="6">Y7+Z7</f>
        <v>13</v>
      </c>
      <c r="Y7" s="82">
        <f ca="1">COUNTIFS('Database MK'!$G:$G,'Database MK'!$G$237,'Database MK'!$D:$D,'Summary PR PO GR'!$B7,'Database MK'!$J:$J,'Summary PR PO GR'!$C7,'Database MK'!$DR:$DR,"Sudah, OnSchedule")</f>
        <v>10</v>
      </c>
      <c r="Z7" s="82">
        <f ca="1">COUNTIFS('Database MK'!$G:$G,'Database MK'!$G$237,'Database MK'!$D:$D,'Summary PR PO GR'!$B7,'Database MK'!$J:$J,'Summary PR PO GR'!$C7,'Database MK'!$DR:$DR,"Sudah, Delay")</f>
        <v>3</v>
      </c>
      <c r="AA7" s="82">
        <f t="shared" ref="AA7:AA11" ca="1" si="7">AB7+AC7</f>
        <v>0</v>
      </c>
      <c r="AB7" s="82">
        <f ca="1">COUNTIFS('Database MK'!$G:$G,'Database MK'!$G$237,'Database MK'!$D:$D,'Summary PR PO GR'!$B7,'Database MK'!$J:$J,'Summary PR PO GR'!$C7,'Database MK'!$DR:$DR,"Belum, OnSchedule")</f>
        <v>0</v>
      </c>
      <c r="AC7" s="161">
        <f ca="1">COUNTIFS('Database MK'!$G:$G,'Database MK'!$G$237,'Database MK'!$D:$D,'Summary PR PO GR'!$B7,'Database MK'!$J:$J,'Summary PR PO GR'!$C7,'Database MK'!$DR:$DR,"Belum, Delay")</f>
        <v>0</v>
      </c>
      <c r="AD7" s="165">
        <f t="shared" ref="AD7:AD11" ca="1" si="8">AE7+AF7</f>
        <v>13</v>
      </c>
      <c r="AE7" s="137">
        <f ca="1">COUNTIFS('Database MK'!$G:$G,'Database MK'!$G$237,'Database MK'!$D:$D,'Summary PR PO GR'!$B7,'Database MK'!$J:$J,'Summary PR PO GR'!$C7,'Database MK'!$EA:$EA,"Sudah, OnSchedule")</f>
        <v>11</v>
      </c>
      <c r="AF7" s="137">
        <f ca="1">COUNTIFS('Database MK'!$G:$G,'Database MK'!$G$237,'Database MK'!$D:$D,'Summary PR PO GR'!$B7,'Database MK'!$J:$J,'Summary PR PO GR'!$C7,'Database MK'!$EA:$EA,"Sudah, Delay")</f>
        <v>2</v>
      </c>
      <c r="AG7" s="137">
        <f t="shared" ref="AG7:AG11" ca="1" si="9">AH7+AI7</f>
        <v>0</v>
      </c>
      <c r="AH7" s="137">
        <f ca="1">COUNTIFS('Database MK'!$G:$G,'Database MK'!$G$237,'Database MK'!$D:$D,'Summary PR PO GR'!$B7,'Database MK'!$J:$J,'Summary PR PO GR'!$C7,'Database MK'!$EA:$EA,"Belum, OnSchedule")</f>
        <v>0</v>
      </c>
      <c r="AI7" s="166">
        <f ca="1">COUNTIFS('Database MK'!$G:$G,'Database MK'!$G$237,'Database MK'!$D:$D,'Summary PR PO GR'!$B7,'Database MK'!$J:$J,'Summary PR PO GR'!$C7,'Database MK'!$EA:$EA,"Belum, Delay")</f>
        <v>0</v>
      </c>
      <c r="AJ7" s="165">
        <f>COUNTIFS('Database MK'!$G:$G,'Database MK'!$G$237,'Database MK'!$D:$D,'Summary PR PO GR'!$B7,'Database MK'!$J:$J,'Summary PR PO GR'!$C7,'Database MK'!$EH:$EH,'Summary PR PO GR'!AJ$3)</f>
        <v>1</v>
      </c>
      <c r="AK7" s="137">
        <f>COUNTIFS('Database MK'!$G:$G,'Database MK'!$G$237,'Database MK'!$D:$D,'Summary PR PO GR'!$B7,'Database MK'!$J:$J,'Summary PR PO GR'!$C7,'Database MK'!$EH:$EH,'Summary PR PO GR'!AK$3)</f>
        <v>12</v>
      </c>
      <c r="AL7" s="137">
        <f>COUNTIFS('Database MK'!$G:$G,'Database MK'!$G$237,'Database MK'!$D:$D,'Summary PR PO GR'!$B7,'Database MK'!$J:$J,'Summary PR PO GR'!$C7,'Database MK'!$EH:$EH,'Summary PR PO GR'!AL$3)</f>
        <v>0</v>
      </c>
      <c r="AM7" s="137">
        <f>COUNTIFS('Database MK'!$G:$G,'Database MK'!$G$237,'Database MK'!$D:$D,'Summary PR PO GR'!$B7,'Database MK'!$J:$J,'Summary PR PO GR'!$C7,'Database MK'!$EH:$EH,'Summary PR PO GR'!AM$3)</f>
        <v>0</v>
      </c>
      <c r="AN7" s="138">
        <f>IFERROR(_xlfn.MINIFS('Database MK'!$EF:$EF,'Database MK'!$G:$G,'Database MK'!$G$239,'Database MK'!$D:$D,'Summary PR PO GR'!$B7,'Database MK'!$J:$J,'Summary PR PO GR'!$C7),0)</f>
        <v>0.79487179487179482</v>
      </c>
      <c r="AO7" s="207">
        <f>IFERROR(_xlfn.MAXIFS('Database MK'!$EF:$EF,'Database MK'!$G:$G,'Database MK'!$G$239,'Database MK'!$D:$D,'Summary PR PO GR'!$B7,'Database MK'!$J:$J,'Summary PR PO GR'!$C7),0)</f>
        <v>1</v>
      </c>
      <c r="AP7" s="175">
        <f>COUNTIFS('Database MK'!$G:$G,'Database MK'!$G$237,'Database MK'!$D:$D,'Summary PR PO GR'!$B7,'Database MK'!$J:$J,'Summary PR PO GR'!$C7,'Database MK'!$ES:$ES,'Summary PR PO GR'!AP$3)</f>
        <v>1</v>
      </c>
      <c r="AQ7" s="175">
        <f>COUNTIFS('Database MK'!$G:$G,'Database MK'!$G$237,'Database MK'!$D:$D,'Summary PR PO GR'!$B7,'Database MK'!$J:$J,'Summary PR PO GR'!$C7,'Database MK'!$ES:$ES,'Summary PR PO GR'!AQ$3)</f>
        <v>12</v>
      </c>
      <c r="AR7" s="175">
        <f>COUNTIFS('Database MK'!$G:$G,'Database MK'!$G$237,'Database MK'!$D:$D,'Summary PR PO GR'!$B7,'Database MK'!$J:$J,'Summary PR PO GR'!$C7,'Database MK'!$ES:$ES,'Summary PR PO GR'!AR$3)</f>
        <v>0</v>
      </c>
      <c r="AS7" s="175">
        <f>COUNTIFS('Database MK'!$G:$G,'Database MK'!$G$237,'Database MK'!$D:$D,'Summary PR PO GR'!$B7,'Database MK'!$J:$J,'Summary PR PO GR'!$C7,'Database MK'!$ES:$ES,'Summary PR PO GR'!AS$3)</f>
        <v>0</v>
      </c>
      <c r="AT7" s="83">
        <f>IFERROR(_xlfn.MINIFS('Database MK'!$FB:$FB,'Database MK'!$G:$G,'Database MK'!$G$239,'Database MK'!$D:$D,'Summary PR PO GR'!$B7,'Database MK'!$J:$J,'Summary PR PO GR'!$C7),0)</f>
        <v>0</v>
      </c>
      <c r="AU7" s="176">
        <f>IFERROR(_xlfn.MAXIFS('Database MK'!$FB:$FB,'Database MK'!$G:$G,'Database MK'!$G$239,'Database MK'!$D:$D,'Summary PR PO GR'!$B7,'Database MK'!$J:$J,'Summary PR PO GR'!$C7),0)</f>
        <v>0</v>
      </c>
      <c r="AW7" s="43" t="s">
        <v>244</v>
      </c>
      <c r="AX7" s="43" t="s">
        <v>1818</v>
      </c>
      <c r="AY7" s="623">
        <f ca="1">SUMIFS('Database MK'!$DY:$DY,'Database MK'!$G:$G,'Database MK'!$G$237,'Database MK'!$D:$D,$AW7,'Database MK'!$J:$J,$AX7,'Database MK'!$EA:$EA,"&lt;&gt;")</f>
        <v>455</v>
      </c>
      <c r="AZ7" s="137">
        <f ca="1">SUMIFS('Database MK'!$DY:$DY,'Database MK'!$G:$G,'Database MK'!$G$237,'Database MK'!$D:$D,$AW7,'Database MK'!$J:$J,$AX7,'Database MK'!$EA:$EA,"&lt;&gt;")</f>
        <v>455</v>
      </c>
      <c r="BA7" s="137">
        <f ca="1">SUMIFS('Database MK'!$ED:$ED,'Database MK'!$G:$G,'Database MK'!$G$237,'Database MK'!$D:$D,$AW7,'Database MK'!$J:$J,$AX7,'Database MK'!$EA:$EA,"&lt;&gt;")</f>
        <v>399</v>
      </c>
      <c r="BB7" s="218">
        <f t="shared" ref="BB7:BB11" ca="1" si="10">IFERROR(BA7/AZ7,0)</f>
        <v>0.87692307692307692</v>
      </c>
      <c r="BC7" s="45">
        <f ca="1">SUMIFS('Database MK'!$EO:$EO,'Database MK'!$G:$G,'Database MK'!$G$237,'Database MK'!$D:$D,$AW7,'Database MK'!$J:$J,$AX7,'Database MK'!$EA:$EA,"&lt;&gt;")</f>
        <v>394</v>
      </c>
      <c r="BD7" s="219">
        <f t="shared" ref="BD7:BD11" ca="1" si="11">IFERROR(BC7/AZ7,0)</f>
        <v>0.86593406593406597</v>
      </c>
    </row>
    <row r="8" spans="1:56" x14ac:dyDescent="0.2">
      <c r="A8" s="77" t="s">
        <v>3566</v>
      </c>
      <c r="B8" s="159" t="s">
        <v>673</v>
      </c>
      <c r="C8" s="43" t="s">
        <v>1830</v>
      </c>
      <c r="D8" s="623">
        <f>COUNTIFS('Database MK'!$G:$G,'Database MK'!$G$237,'Database MK'!$D:$D,'Summary PR PO GR'!$B8,'Database MK'!$J:$J,'Summary PR PO GR'!$C8)</f>
        <v>9</v>
      </c>
      <c r="E8" s="181">
        <f ca="1">COUNTIFS('Database MK'!$G:$G,'Database MK'!$G$237,'Database MK'!$D:$D,'Summary PR PO GR'!$B8,'Database MK'!$Q:$Q,"BATAL / CANCEL")</f>
        <v>6</v>
      </c>
      <c r="F8" s="154">
        <f t="shared" ca="1" si="0"/>
        <v>9</v>
      </c>
      <c r="G8" s="44">
        <f ca="1">COUNTIFS('Database MK'!$G:$G,'Database MK'!$G$237,'Database MK'!$D:$D,'Summary PR PO GR'!$B8,'Database MK'!$J:$J,'Summary PR PO GR'!$C8,'Database MK'!$DE:$DE,"Sudah, OnSchedule")</f>
        <v>7</v>
      </c>
      <c r="H8" s="44">
        <f ca="1">COUNTIFS('Database MK'!$G:$G,'Database MK'!$G$237,'Database MK'!$D:$D,'Summary PR PO GR'!$B8,'Database MK'!$J:$J,'Summary PR PO GR'!$C8,'Database MK'!$DE:$DE,"Sudah, Delay")</f>
        <v>2</v>
      </c>
      <c r="I8" s="44">
        <f t="shared" ca="1" si="1"/>
        <v>0</v>
      </c>
      <c r="J8" s="44">
        <f ca="1">COUNTIFS('Database MK'!$G:$G,'Database MK'!$G$237,'Database MK'!$D:$D,'Summary PR PO GR'!$B8,'Database MK'!$J:$J,'Summary PR PO GR'!$C8,'Database MK'!$DE:$DE,"Belum, OnSchedule")</f>
        <v>0</v>
      </c>
      <c r="K8" s="155">
        <f ca="1">COUNTIFS('Database MK'!$G:$G,'Database MK'!$G$237,'Database MK'!$D:$D,'Summary PR PO GR'!$B8,'Database MK'!$J:$J,'Summary PR PO GR'!$C8,'Database MK'!$DE:$DE,"Belum, Delay")</f>
        <v>0</v>
      </c>
      <c r="L8" s="275">
        <f t="shared" ca="1" si="2"/>
        <v>9</v>
      </c>
      <c r="M8" s="44">
        <f ca="1">COUNTIFS('Database MK'!$G:$G,'Database MK'!$G$237,'Database MK'!$D:$D,'Summary PR PO GR'!$B8,'Database MK'!$J:$J,'Summary PR PO GR'!$C8,'Database MK'!$DI:$DI,"Sudah, OnSchedule")</f>
        <v>6</v>
      </c>
      <c r="N8" s="44">
        <f ca="1">COUNTIFS('Database MK'!$G:$G,'Database MK'!$G$237,'Database MK'!$D:$D,'Summary PR PO GR'!$B8,'Database MK'!$J:$J,'Summary PR PO GR'!$C8,'Database MK'!$DI:$DI,"Sudah, Delay")</f>
        <v>3</v>
      </c>
      <c r="O8" s="44">
        <f t="shared" ca="1" si="3"/>
        <v>0</v>
      </c>
      <c r="P8" s="44">
        <f ca="1">COUNTIFS('Database MK'!$G:$G,'Database MK'!$G$237,'Database MK'!$D:$D,'Summary PR PO GR'!$B8,'Database MK'!$J:$J,'Summary PR PO GR'!$C8,'Database MK'!$DI:$DI,"Belum, OnSchedule")</f>
        <v>0</v>
      </c>
      <c r="Q8" s="191">
        <f ca="1">COUNTIFS('Database MK'!$G:$G,'Database MK'!$G$237,'Database MK'!$D:$D,'Summary PR PO GR'!$B8,'Database MK'!$J:$J,'Summary PR PO GR'!$C8,'Database MK'!$DI:$DI,"Belum, Delay")</f>
        <v>0</v>
      </c>
      <c r="R8" s="160">
        <f t="shared" ca="1" si="4"/>
        <v>9</v>
      </c>
      <c r="S8" s="82">
        <f ca="1">COUNTIFS('Database MK'!$G:$G,'Database MK'!$G$237,'Database MK'!$D:$D,'Summary PR PO GR'!$B8,'Database MK'!$J:$J,'Summary PR PO GR'!$C8,'Database MK'!$DN:$DN,"Sudah, OnSchedule")</f>
        <v>9</v>
      </c>
      <c r="T8" s="82">
        <f ca="1">COUNTIFS('Database MK'!$G:$G,'Database MK'!$G$237,'Database MK'!$D:$D,'Summary PR PO GR'!$B8,'Database MK'!$J:$J,'Summary PR PO GR'!$C8,'Database MK'!$DN:$DN,"Sudah, Delay")</f>
        <v>0</v>
      </c>
      <c r="U8" s="82">
        <f t="shared" ca="1" si="5"/>
        <v>0</v>
      </c>
      <c r="V8" s="82">
        <f ca="1">COUNTIFS('Database MK'!$G:$G,'Database MK'!$G$237,'Database MK'!$D:$D,'Summary PR PO GR'!$B8,'Database MK'!$J:$J,'Summary PR PO GR'!$C8,'Database MK'!$DN:$DN,"Belum, OnShcedule")</f>
        <v>0</v>
      </c>
      <c r="W8" s="161">
        <f ca="1">COUNTIFS('Database MK'!$G:$G,'Database MK'!$G$237,'Database MK'!$D:$D,'Summary PR PO GR'!$B8,'Database MK'!$J:$J,'Summary PR PO GR'!$C8,'Database MK'!$DN:$DN,"Belum, Delay")</f>
        <v>0</v>
      </c>
      <c r="X8" s="270">
        <f t="shared" ca="1" si="6"/>
        <v>9</v>
      </c>
      <c r="Y8" s="82">
        <f ca="1">COUNTIFS('Database MK'!$G:$G,'Database MK'!$G$237,'Database MK'!$D:$D,'Summary PR PO GR'!$B8,'Database MK'!$J:$J,'Summary PR PO GR'!$C8,'Database MK'!$DR:$DR,"Sudah, OnSchedule")</f>
        <v>7</v>
      </c>
      <c r="Z8" s="82">
        <f ca="1">COUNTIFS('Database MK'!$G:$G,'Database MK'!$G$237,'Database MK'!$D:$D,'Summary PR PO GR'!$B8,'Database MK'!$J:$J,'Summary PR PO GR'!$C8,'Database MK'!$DR:$DR,"Sudah, Delay")</f>
        <v>2</v>
      </c>
      <c r="AA8" s="82">
        <f t="shared" ca="1" si="7"/>
        <v>0</v>
      </c>
      <c r="AB8" s="82">
        <f ca="1">COUNTIFS('Database MK'!$G:$G,'Database MK'!$G$237,'Database MK'!$D:$D,'Summary PR PO GR'!$B8,'Database MK'!$J:$J,'Summary PR PO GR'!$C8,'Database MK'!$DR:$DR,"Belum, OnSchedule")</f>
        <v>0</v>
      </c>
      <c r="AC8" s="161">
        <f ca="1">COUNTIFS('Database MK'!$G:$G,'Database MK'!$G$237,'Database MK'!$D:$D,'Summary PR PO GR'!$B8,'Database MK'!$J:$J,'Summary PR PO GR'!$C8,'Database MK'!$DR:$DR,"Belum, Delay")</f>
        <v>0</v>
      </c>
      <c r="AD8" s="165">
        <f t="shared" ca="1" si="8"/>
        <v>9</v>
      </c>
      <c r="AE8" s="137">
        <f ca="1">COUNTIFS('Database MK'!$G:$G,'Database MK'!$G$237,'Database MK'!$D:$D,'Summary PR PO GR'!$B8,'Database MK'!$J:$J,'Summary PR PO GR'!$C8,'Database MK'!$EA:$EA,"Sudah, OnSchedule")</f>
        <v>7</v>
      </c>
      <c r="AF8" s="137">
        <f ca="1">COUNTIFS('Database MK'!$G:$G,'Database MK'!$G$237,'Database MK'!$D:$D,'Summary PR PO GR'!$B8,'Database MK'!$J:$J,'Summary PR PO GR'!$C8,'Database MK'!$EA:$EA,"Sudah, Delay")</f>
        <v>2</v>
      </c>
      <c r="AG8" s="137">
        <f t="shared" ca="1" si="9"/>
        <v>0</v>
      </c>
      <c r="AH8" s="137">
        <f ca="1">COUNTIFS('Database MK'!$G:$G,'Database MK'!$G$237,'Database MK'!$D:$D,'Summary PR PO GR'!$B8,'Database MK'!$J:$J,'Summary PR PO GR'!$C8,'Database MK'!$EA:$EA,"Belum, OnSchedule")</f>
        <v>0</v>
      </c>
      <c r="AI8" s="166">
        <f ca="1">COUNTIFS('Database MK'!$G:$G,'Database MK'!$G$237,'Database MK'!$D:$D,'Summary PR PO GR'!$B8,'Database MK'!$J:$J,'Summary PR PO GR'!$C8,'Database MK'!$EA:$EA,"Belum, Delay")</f>
        <v>0</v>
      </c>
      <c r="AJ8" s="165">
        <f>COUNTIFS('Database MK'!$G:$G,'Database MK'!$G$237,'Database MK'!$D:$D,'Summary PR PO GR'!$B8,'Database MK'!$J:$J,'Summary PR PO GR'!$C8,'Database MK'!$EH:$EH,'Summary PR PO GR'!AJ$3)</f>
        <v>9</v>
      </c>
      <c r="AK8" s="137">
        <f>COUNTIFS('Database MK'!$G:$G,'Database MK'!$G$237,'Database MK'!$D:$D,'Summary PR PO GR'!$B8,'Database MK'!$J:$J,'Summary PR PO GR'!$C8,'Database MK'!$EH:$EH,'Summary PR PO GR'!AK$3)</f>
        <v>0</v>
      </c>
      <c r="AL8" s="137">
        <f>COUNTIFS('Database MK'!$G:$G,'Database MK'!$G$237,'Database MK'!$D:$D,'Summary PR PO GR'!$B8,'Database MK'!$J:$J,'Summary PR PO GR'!$C8,'Database MK'!$EH:$EH,'Summary PR PO GR'!AL$3)</f>
        <v>0</v>
      </c>
      <c r="AM8" s="137">
        <f>COUNTIFS('Database MK'!$G:$G,'Database MK'!$G$237,'Database MK'!$D:$D,'Summary PR PO GR'!$B8,'Database MK'!$J:$J,'Summary PR PO GR'!$C8,'Database MK'!$EH:$EH,'Summary PR PO GR'!AM$3)</f>
        <v>0</v>
      </c>
      <c r="AN8" s="138">
        <f>IFERROR(_xlfn.MINIFS('Database MK'!$EF:$EF,'Database MK'!$G:$G,'Database MK'!$G$239,'Database MK'!$D:$D,'Summary PR PO GR'!$B8,'Database MK'!$J:$J,'Summary PR PO GR'!$C8),0)</f>
        <v>1</v>
      </c>
      <c r="AO8" s="207">
        <f>IFERROR(_xlfn.MAXIFS('Database MK'!$EF:$EF,'Database MK'!$G:$G,'Database MK'!$G$239,'Database MK'!$D:$D,'Summary PR PO GR'!$B8,'Database MK'!$J:$J,'Summary PR PO GR'!$C8),0)</f>
        <v>1</v>
      </c>
      <c r="AP8" s="175">
        <f>COUNTIFS('Database MK'!$G:$G,'Database MK'!$G$237,'Database MK'!$D:$D,'Summary PR PO GR'!$B8,'Database MK'!$J:$J,'Summary PR PO GR'!$C8,'Database MK'!$ES:$ES,'Summary PR PO GR'!AP$3)</f>
        <v>2</v>
      </c>
      <c r="AQ8" s="175">
        <f>COUNTIFS('Database MK'!$G:$G,'Database MK'!$G$237,'Database MK'!$D:$D,'Summary PR PO GR'!$B8,'Database MK'!$J:$J,'Summary PR PO GR'!$C8,'Database MK'!$ES:$ES,'Summary PR PO GR'!AQ$3)</f>
        <v>7</v>
      </c>
      <c r="AR8" s="175">
        <f>COUNTIFS('Database MK'!$G:$G,'Database MK'!$G$237,'Database MK'!$D:$D,'Summary PR PO GR'!$B8,'Database MK'!$J:$J,'Summary PR PO GR'!$C8,'Database MK'!$ES:$ES,'Summary PR PO GR'!AR$3)</f>
        <v>0</v>
      </c>
      <c r="AS8" s="175">
        <f>COUNTIFS('Database MK'!$G:$G,'Database MK'!$G$237,'Database MK'!$D:$D,'Summary PR PO GR'!$B8,'Database MK'!$J:$J,'Summary PR PO GR'!$C8,'Database MK'!$ES:$ES,'Summary PR PO GR'!AS$3)</f>
        <v>0</v>
      </c>
      <c r="AT8" s="83">
        <f>IFERROR(_xlfn.MINIFS('Database MK'!$FB:$FB,'Database MK'!$G:$G,'Database MK'!$G$239,'Database MK'!$D:$D,'Summary PR PO GR'!$B8,'Database MK'!$J:$J,'Summary PR PO GR'!$C8),0)</f>
        <v>0</v>
      </c>
      <c r="AU8" s="176">
        <f>IFERROR(_xlfn.MAXIFS('Database MK'!$FB:$FB,'Database MK'!$G:$G,'Database MK'!$G$239,'Database MK'!$D:$D,'Summary PR PO GR'!$B8,'Database MK'!$J:$J,'Summary PR PO GR'!$C8),0)</f>
        <v>0</v>
      </c>
      <c r="AW8" s="43" t="s">
        <v>673</v>
      </c>
      <c r="AX8" s="43" t="s">
        <v>1830</v>
      </c>
      <c r="AY8" s="623">
        <f ca="1">SUMIFS('Database MK'!$DY:$DY,'Database MK'!$G:$G,'Database MK'!$G$237,'Database MK'!$D:$D,$AW8,'Database MK'!$J:$J,$AX8,'Database MK'!$EA:$EA,"&lt;&gt;")</f>
        <v>262</v>
      </c>
      <c r="AZ8" s="137">
        <f ca="1">SUMIFS('Database MK'!$DY:$DY,'Database MK'!$G:$G,'Database MK'!$G$237,'Database MK'!$D:$D,$AW8,'Database MK'!$J:$J,$AX8,'Database MK'!$EA:$EA,"&lt;&gt;")</f>
        <v>262</v>
      </c>
      <c r="BA8" s="137">
        <f ca="1">SUMIFS('Database MK'!$ED:$ED,'Database MK'!$G:$G,'Database MK'!$G$237,'Database MK'!$D:$D,$AW8,'Database MK'!$J:$J,$AX8,'Database MK'!$EA:$EA,"&lt;&gt;")</f>
        <v>245</v>
      </c>
      <c r="BB8" s="218">
        <f t="shared" ca="1" si="10"/>
        <v>0.93511450381679384</v>
      </c>
      <c r="BC8" s="45">
        <f ca="1">SUMIFS('Database MK'!$EO:$EO,'Database MK'!$G:$G,'Database MK'!$G$237,'Database MK'!$D:$D,$AW8,'Database MK'!$J:$J,$AX8,'Database MK'!$EA:$EA,"&lt;&gt;")</f>
        <v>245</v>
      </c>
      <c r="BD8" s="219">
        <f t="shared" ca="1" si="11"/>
        <v>0.93511450381679384</v>
      </c>
    </row>
    <row r="9" spans="1:56" x14ac:dyDescent="0.2">
      <c r="A9" s="77" t="s">
        <v>3567</v>
      </c>
      <c r="B9" s="159" t="s">
        <v>673</v>
      </c>
      <c r="C9" s="43" t="s">
        <v>1818</v>
      </c>
      <c r="D9" s="623">
        <f>COUNTIFS('Database MK'!$G:$G,'Database MK'!$G$237,'Database MK'!$D:$D,'Summary PR PO GR'!$B9,'Database MK'!$J:$J,'Summary PR PO GR'!$C9)</f>
        <v>11</v>
      </c>
      <c r="E9" s="181">
        <f ca="1">COUNTIFS('Database MK'!$G:$G,'Database MK'!$G$237,'Database MK'!$D:$D,'Summary PR PO GR'!$B9,'Database MK'!$Q:$Q,"BATAL / CANCEL")</f>
        <v>6</v>
      </c>
      <c r="F9" s="154">
        <f t="shared" ca="1" si="0"/>
        <v>11</v>
      </c>
      <c r="G9" s="44">
        <f ca="1">COUNTIFS('Database MK'!$G:$G,'Database MK'!$G$237,'Database MK'!$D:$D,'Summary PR PO GR'!$B9,'Database MK'!$J:$J,'Summary PR PO GR'!$C9,'Database MK'!$DE:$DE,"Sudah, OnSchedule")</f>
        <v>6</v>
      </c>
      <c r="H9" s="44">
        <f ca="1">COUNTIFS('Database MK'!$G:$G,'Database MK'!$G$237,'Database MK'!$D:$D,'Summary PR PO GR'!$B9,'Database MK'!$J:$J,'Summary PR PO GR'!$C9,'Database MK'!$DE:$DE,"Sudah, Delay")</f>
        <v>5</v>
      </c>
      <c r="I9" s="44">
        <f t="shared" ca="1" si="1"/>
        <v>0</v>
      </c>
      <c r="J9" s="44">
        <f ca="1">COUNTIFS('Database MK'!$G:$G,'Database MK'!$G$237,'Database MK'!$D:$D,'Summary PR PO GR'!$B9,'Database MK'!$J:$J,'Summary PR PO GR'!$C9,'Database MK'!$DE:$DE,"Belum, OnSchedule")</f>
        <v>0</v>
      </c>
      <c r="K9" s="155">
        <f ca="1">COUNTIFS('Database MK'!$G:$G,'Database MK'!$G$237,'Database MK'!$D:$D,'Summary PR PO GR'!$B9,'Database MK'!$J:$J,'Summary PR PO GR'!$C9,'Database MK'!$DE:$DE,"Belum, Delay")</f>
        <v>0</v>
      </c>
      <c r="L9" s="275">
        <f t="shared" ca="1" si="2"/>
        <v>11</v>
      </c>
      <c r="M9" s="44">
        <f ca="1">COUNTIFS('Database MK'!$G:$G,'Database MK'!$G$237,'Database MK'!$D:$D,'Summary PR PO GR'!$B9,'Database MK'!$J:$J,'Summary PR PO GR'!$C9,'Database MK'!$DI:$DI,"Sudah, OnSchedule")</f>
        <v>6</v>
      </c>
      <c r="N9" s="44">
        <f ca="1">COUNTIFS('Database MK'!$G:$G,'Database MK'!$G$237,'Database MK'!$D:$D,'Summary PR PO GR'!$B9,'Database MK'!$J:$J,'Summary PR PO GR'!$C9,'Database MK'!$DI:$DI,"Sudah, Delay")</f>
        <v>5</v>
      </c>
      <c r="O9" s="44">
        <f t="shared" ca="1" si="3"/>
        <v>0</v>
      </c>
      <c r="P9" s="44">
        <f ca="1">COUNTIFS('Database MK'!$G:$G,'Database MK'!$G$237,'Database MK'!$D:$D,'Summary PR PO GR'!$B9,'Database MK'!$J:$J,'Summary PR PO GR'!$C9,'Database MK'!$DI:$DI,"Belum, OnSchedule")</f>
        <v>0</v>
      </c>
      <c r="Q9" s="191">
        <f ca="1">COUNTIFS('Database MK'!$G:$G,'Database MK'!$G$237,'Database MK'!$D:$D,'Summary PR PO GR'!$B9,'Database MK'!$J:$J,'Summary PR PO GR'!$C9,'Database MK'!$DI:$DI,"Belum, Delay")</f>
        <v>0</v>
      </c>
      <c r="R9" s="160">
        <f t="shared" ca="1" si="4"/>
        <v>11</v>
      </c>
      <c r="S9" s="82">
        <f ca="1">COUNTIFS('Database MK'!$G:$G,'Database MK'!$G$237,'Database MK'!$D:$D,'Summary PR PO GR'!$B9,'Database MK'!$J:$J,'Summary PR PO GR'!$C9,'Database MK'!$DN:$DN,"Sudah, OnSchedule")</f>
        <v>11</v>
      </c>
      <c r="T9" s="82">
        <f ca="1">COUNTIFS('Database MK'!$G:$G,'Database MK'!$G$237,'Database MK'!$D:$D,'Summary PR PO GR'!$B9,'Database MK'!$J:$J,'Summary PR PO GR'!$C9,'Database MK'!$DN:$DN,"Sudah, Delay")</f>
        <v>0</v>
      </c>
      <c r="U9" s="82">
        <f t="shared" ca="1" si="5"/>
        <v>0</v>
      </c>
      <c r="V9" s="82">
        <f ca="1">COUNTIFS('Database MK'!$G:$G,'Database MK'!$G$237,'Database MK'!$D:$D,'Summary PR PO GR'!$B9,'Database MK'!$J:$J,'Summary PR PO GR'!$C9,'Database MK'!$DN:$DN,"Belum, OnShcedule")</f>
        <v>0</v>
      </c>
      <c r="W9" s="161">
        <f ca="1">COUNTIFS('Database MK'!$G:$G,'Database MK'!$G$237,'Database MK'!$D:$D,'Summary PR PO GR'!$B9,'Database MK'!$J:$J,'Summary PR PO GR'!$C9,'Database MK'!$DN:$DN,"Belum, Delay")</f>
        <v>0</v>
      </c>
      <c r="X9" s="270">
        <f t="shared" ca="1" si="6"/>
        <v>11</v>
      </c>
      <c r="Y9" s="82">
        <f ca="1">COUNTIFS('Database MK'!$G:$G,'Database MK'!$G$237,'Database MK'!$D:$D,'Summary PR PO GR'!$B9,'Database MK'!$J:$J,'Summary PR PO GR'!$C9,'Database MK'!$DR:$DR,"Sudah, OnSchedule")</f>
        <v>8</v>
      </c>
      <c r="Z9" s="82">
        <f ca="1">COUNTIFS('Database MK'!$G:$G,'Database MK'!$G$237,'Database MK'!$D:$D,'Summary PR PO GR'!$B9,'Database MK'!$J:$J,'Summary PR PO GR'!$C9,'Database MK'!$DR:$DR,"Sudah, Delay")</f>
        <v>3</v>
      </c>
      <c r="AA9" s="82">
        <f t="shared" ca="1" si="7"/>
        <v>0</v>
      </c>
      <c r="AB9" s="82">
        <f ca="1">COUNTIFS('Database MK'!$G:$G,'Database MK'!$G$237,'Database MK'!$D:$D,'Summary PR PO GR'!$B9,'Database MK'!$J:$J,'Summary PR PO GR'!$C9,'Database MK'!$DR:$DR,"Belum, OnSchedule")</f>
        <v>0</v>
      </c>
      <c r="AC9" s="161">
        <f ca="1">COUNTIFS('Database MK'!$G:$G,'Database MK'!$G$237,'Database MK'!$D:$D,'Summary PR PO GR'!$B9,'Database MK'!$J:$J,'Summary PR PO GR'!$C9,'Database MK'!$DR:$DR,"Belum, Delay")</f>
        <v>0</v>
      </c>
      <c r="AD9" s="165">
        <f t="shared" ca="1" si="8"/>
        <v>11</v>
      </c>
      <c r="AE9" s="137">
        <f ca="1">COUNTIFS('Database MK'!$G:$G,'Database MK'!$G$237,'Database MK'!$D:$D,'Summary PR PO GR'!$B9,'Database MK'!$J:$J,'Summary PR PO GR'!$C9,'Database MK'!$EA:$EA,"Sudah, OnSchedule")</f>
        <v>7</v>
      </c>
      <c r="AF9" s="137">
        <f ca="1">COUNTIFS('Database MK'!$G:$G,'Database MK'!$G$237,'Database MK'!$D:$D,'Summary PR PO GR'!$B9,'Database MK'!$J:$J,'Summary PR PO GR'!$C9,'Database MK'!$EA:$EA,"Sudah, Delay")</f>
        <v>4</v>
      </c>
      <c r="AG9" s="137">
        <f t="shared" ca="1" si="9"/>
        <v>0</v>
      </c>
      <c r="AH9" s="137">
        <f ca="1">COUNTIFS('Database MK'!$G:$G,'Database MK'!$G$237,'Database MK'!$D:$D,'Summary PR PO GR'!$B9,'Database MK'!$J:$J,'Summary PR PO GR'!$C9,'Database MK'!$EA:$EA,"Belum, OnSchedule")</f>
        <v>0</v>
      </c>
      <c r="AI9" s="166">
        <f ca="1">COUNTIFS('Database MK'!$G:$G,'Database MK'!$G$237,'Database MK'!$D:$D,'Summary PR PO GR'!$B9,'Database MK'!$J:$J,'Summary PR PO GR'!$C9,'Database MK'!$EA:$EA,"Belum, Delay")</f>
        <v>0</v>
      </c>
      <c r="AJ9" s="165">
        <f>COUNTIFS('Database MK'!$G:$G,'Database MK'!$G$237,'Database MK'!$D:$D,'Summary PR PO GR'!$B9,'Database MK'!$J:$J,'Summary PR PO GR'!$C9,'Database MK'!$EH:$EH,'Summary PR PO GR'!AJ$3)</f>
        <v>2</v>
      </c>
      <c r="AK9" s="137">
        <f>COUNTIFS('Database MK'!$G:$G,'Database MK'!$G$237,'Database MK'!$D:$D,'Summary PR PO GR'!$B9,'Database MK'!$J:$J,'Summary PR PO GR'!$C9,'Database MK'!$EH:$EH,'Summary PR PO GR'!AK$3)</f>
        <v>9</v>
      </c>
      <c r="AL9" s="137">
        <f>COUNTIFS('Database MK'!$G:$G,'Database MK'!$G$237,'Database MK'!$D:$D,'Summary PR PO GR'!$B9,'Database MK'!$J:$J,'Summary PR PO GR'!$C9,'Database MK'!$EH:$EH,'Summary PR PO GR'!AL$3)</f>
        <v>0</v>
      </c>
      <c r="AM9" s="137">
        <f>COUNTIFS('Database MK'!$G:$G,'Database MK'!$G$237,'Database MK'!$D:$D,'Summary PR PO GR'!$B9,'Database MK'!$J:$J,'Summary PR PO GR'!$C9,'Database MK'!$EH:$EH,'Summary PR PO GR'!AM$3)</f>
        <v>0</v>
      </c>
      <c r="AN9" s="138">
        <f>IFERROR(_xlfn.MINIFS('Database MK'!$EF:$EF,'Database MK'!$G:$G,'Database MK'!$G$239,'Database MK'!$D:$D,'Summary PR PO GR'!$B9,'Database MK'!$J:$J,'Summary PR PO GR'!$C9),0)</f>
        <v>0.79365079365079361</v>
      </c>
      <c r="AO9" s="207">
        <f>IFERROR(_xlfn.MAXIFS('Database MK'!$EF:$EF,'Database MK'!$G:$G,'Database MK'!$G$239,'Database MK'!$D:$D,'Summary PR PO GR'!$B9,'Database MK'!$J:$J,'Summary PR PO GR'!$C9),0)</f>
        <v>1</v>
      </c>
      <c r="AP9" s="175">
        <f>COUNTIFS('Database MK'!$G:$G,'Database MK'!$G$237,'Database MK'!$D:$D,'Summary PR PO GR'!$B9,'Database MK'!$J:$J,'Summary PR PO GR'!$C9,'Database MK'!$ES:$ES,'Summary PR PO GR'!AP$3)</f>
        <v>2</v>
      </c>
      <c r="AQ9" s="175">
        <f>COUNTIFS('Database MK'!$G:$G,'Database MK'!$G$237,'Database MK'!$D:$D,'Summary PR PO GR'!$B9,'Database MK'!$J:$J,'Summary PR PO GR'!$C9,'Database MK'!$ES:$ES,'Summary PR PO GR'!AQ$3)</f>
        <v>9</v>
      </c>
      <c r="AR9" s="175">
        <f>COUNTIFS('Database MK'!$G:$G,'Database MK'!$G$237,'Database MK'!$D:$D,'Summary PR PO GR'!$B9,'Database MK'!$J:$J,'Summary PR PO GR'!$C9,'Database MK'!$ES:$ES,'Summary PR PO GR'!AR$3)</f>
        <v>0</v>
      </c>
      <c r="AS9" s="175">
        <f>COUNTIFS('Database MK'!$G:$G,'Database MK'!$G$237,'Database MK'!$D:$D,'Summary PR PO GR'!$B9,'Database MK'!$J:$J,'Summary PR PO GR'!$C9,'Database MK'!$ES:$ES,'Summary PR PO GR'!AS$3)</f>
        <v>0</v>
      </c>
      <c r="AT9" s="83">
        <f>IFERROR(_xlfn.MINIFS('Database MK'!$FB:$FB,'Database MK'!$G:$G,'Database MK'!$G$239,'Database MK'!$D:$D,'Summary PR PO GR'!$B9,'Database MK'!$J:$J,'Summary PR PO GR'!$C9),0)</f>
        <v>0</v>
      </c>
      <c r="AU9" s="176">
        <f>IFERROR(_xlfn.MAXIFS('Database MK'!$FB:$FB,'Database MK'!$G:$G,'Database MK'!$G$239,'Database MK'!$D:$D,'Summary PR PO GR'!$B9,'Database MK'!$J:$J,'Summary PR PO GR'!$C9),0)</f>
        <v>0</v>
      </c>
      <c r="AW9" s="43" t="s">
        <v>673</v>
      </c>
      <c r="AX9" s="43" t="s">
        <v>1818</v>
      </c>
      <c r="AY9" s="623">
        <f ca="1">SUMIFS('Database MK'!$DY:$DY,'Database MK'!$G:$G,'Database MK'!$G$237,'Database MK'!$D:$D,$AW9,'Database MK'!$J:$J,$AX9,'Database MK'!$EA:$EA,"&lt;&gt;")</f>
        <v>532</v>
      </c>
      <c r="AZ9" s="137">
        <f ca="1">SUMIFS('Database MK'!$DY:$DY,'Database MK'!$G:$G,'Database MK'!$G$237,'Database MK'!$D:$D,$AW9,'Database MK'!$J:$J,$AX9,'Database MK'!$EA:$EA,"&lt;&gt;")</f>
        <v>532</v>
      </c>
      <c r="BA9" s="137">
        <f ca="1">SUMIFS('Database MK'!$ED:$ED,'Database MK'!$G:$G,'Database MK'!$G$237,'Database MK'!$D:$D,$AW9,'Database MK'!$J:$J,$AX9,'Database MK'!$EA:$EA,"&lt;&gt;")</f>
        <v>469</v>
      </c>
      <c r="BB9" s="218">
        <f t="shared" ca="1" si="10"/>
        <v>0.88157894736842102</v>
      </c>
      <c r="BC9" s="45">
        <f ca="1">SUMIFS('Database MK'!$EO:$EO,'Database MK'!$G:$G,'Database MK'!$G$237,'Database MK'!$D:$D,$AW9,'Database MK'!$J:$J,$AX9,'Database MK'!$EA:$EA,"&lt;&gt;")</f>
        <v>437</v>
      </c>
      <c r="BD9" s="219">
        <f t="shared" ca="1" si="11"/>
        <v>0.8214285714285714</v>
      </c>
    </row>
    <row r="10" spans="1:56" x14ac:dyDescent="0.2">
      <c r="A10" s="77" t="s">
        <v>3568</v>
      </c>
      <c r="B10" s="159" t="s">
        <v>629</v>
      </c>
      <c r="C10" s="43" t="s">
        <v>1830</v>
      </c>
      <c r="D10" s="623">
        <f>COUNTIFS('Database MK'!$G:$G,'Database MK'!$G$237,'Database MK'!$D:$D,'Summary PR PO GR'!$B10,'Database MK'!$J:$J,'Summary PR PO GR'!$C10)</f>
        <v>8</v>
      </c>
      <c r="E10" s="181">
        <f ca="1">COUNTIFS('Database MK'!$G:$G,'Database MK'!$G$237,'Database MK'!$D:$D,'Summary PR PO GR'!$B10,'Database MK'!$Q:$Q,"BATAL / CANCEL")</f>
        <v>0</v>
      </c>
      <c r="F10" s="154">
        <f t="shared" ca="1" si="0"/>
        <v>8</v>
      </c>
      <c r="G10" s="44">
        <f ca="1">COUNTIFS('Database MK'!$G:$G,'Database MK'!$G$237,'Database MK'!$D:$D,'Summary PR PO GR'!$B10,'Database MK'!$J:$J,'Summary PR PO GR'!$C10,'Database MK'!$DE:$DE,"Sudah, OnSchedule")</f>
        <v>7</v>
      </c>
      <c r="H10" s="44">
        <f ca="1">COUNTIFS('Database MK'!$G:$G,'Database MK'!$G$237,'Database MK'!$D:$D,'Summary PR PO GR'!$B10,'Database MK'!$J:$J,'Summary PR PO GR'!$C10,'Database MK'!$DE:$DE,"Sudah, Delay")</f>
        <v>1</v>
      </c>
      <c r="I10" s="44">
        <f t="shared" ca="1" si="1"/>
        <v>0</v>
      </c>
      <c r="J10" s="44">
        <f ca="1">COUNTIFS('Database MK'!$G:$G,'Database MK'!$G$237,'Database MK'!$D:$D,'Summary PR PO GR'!$B10,'Database MK'!$J:$J,'Summary PR PO GR'!$C10,'Database MK'!$DE:$DE,"Belum, OnSchedule")</f>
        <v>0</v>
      </c>
      <c r="K10" s="155">
        <f ca="1">COUNTIFS('Database MK'!$G:$G,'Database MK'!$G$237,'Database MK'!$D:$D,'Summary PR PO GR'!$B10,'Database MK'!$J:$J,'Summary PR PO GR'!$C10,'Database MK'!$DE:$DE,"Belum, Delay")</f>
        <v>0</v>
      </c>
      <c r="L10" s="275">
        <f t="shared" ca="1" si="2"/>
        <v>8</v>
      </c>
      <c r="M10" s="44">
        <f ca="1">COUNTIFS('Database MK'!$G:$G,'Database MK'!$G$237,'Database MK'!$D:$D,'Summary PR PO GR'!$B10,'Database MK'!$J:$J,'Summary PR PO GR'!$C10,'Database MK'!$DI:$DI,"Sudah, OnSchedule")</f>
        <v>7</v>
      </c>
      <c r="N10" s="44">
        <f ca="1">COUNTIFS('Database MK'!$G:$G,'Database MK'!$G$237,'Database MK'!$D:$D,'Summary PR PO GR'!$B10,'Database MK'!$J:$J,'Summary PR PO GR'!$C10,'Database MK'!$DI:$DI,"Sudah, Delay")</f>
        <v>1</v>
      </c>
      <c r="O10" s="44">
        <f t="shared" ca="1" si="3"/>
        <v>0</v>
      </c>
      <c r="P10" s="44">
        <f ca="1">COUNTIFS('Database MK'!$G:$G,'Database MK'!$G$237,'Database MK'!$D:$D,'Summary PR PO GR'!$B10,'Database MK'!$J:$J,'Summary PR PO GR'!$C10,'Database MK'!$DI:$DI,"Belum, OnSchedule")</f>
        <v>0</v>
      </c>
      <c r="Q10" s="191">
        <f ca="1">COUNTIFS('Database MK'!$G:$G,'Database MK'!$G$237,'Database MK'!$D:$D,'Summary PR PO GR'!$B10,'Database MK'!$J:$J,'Summary PR PO GR'!$C10,'Database MK'!$DI:$DI,"Belum, Delay")</f>
        <v>0</v>
      </c>
      <c r="R10" s="160">
        <f t="shared" ca="1" si="4"/>
        <v>8</v>
      </c>
      <c r="S10" s="82">
        <f ca="1">COUNTIFS('Database MK'!$G:$G,'Database MK'!$G$237,'Database MK'!$D:$D,'Summary PR PO GR'!$B10,'Database MK'!$J:$J,'Summary PR PO GR'!$C10,'Database MK'!$DN:$DN,"Sudah, OnSchedule")</f>
        <v>8</v>
      </c>
      <c r="T10" s="82">
        <f ca="1">COUNTIFS('Database MK'!$G:$G,'Database MK'!$G$237,'Database MK'!$D:$D,'Summary PR PO GR'!$B10,'Database MK'!$J:$J,'Summary PR PO GR'!$C10,'Database MK'!$DN:$DN,"Sudah, Delay")</f>
        <v>0</v>
      </c>
      <c r="U10" s="82">
        <f t="shared" ca="1" si="5"/>
        <v>0</v>
      </c>
      <c r="V10" s="82">
        <f ca="1">COUNTIFS('Database MK'!$G:$G,'Database MK'!$G$237,'Database MK'!$D:$D,'Summary PR PO GR'!$B10,'Database MK'!$J:$J,'Summary PR PO GR'!$C10,'Database MK'!$DN:$DN,"Belum, OnShcedule")</f>
        <v>0</v>
      </c>
      <c r="W10" s="161">
        <f ca="1">COUNTIFS('Database MK'!$G:$G,'Database MK'!$G$237,'Database MK'!$D:$D,'Summary PR PO GR'!$B10,'Database MK'!$J:$J,'Summary PR PO GR'!$C10,'Database MK'!$DN:$DN,"Belum, Delay")</f>
        <v>0</v>
      </c>
      <c r="X10" s="270">
        <f t="shared" ca="1" si="6"/>
        <v>8</v>
      </c>
      <c r="Y10" s="82">
        <f ca="1">COUNTIFS('Database MK'!$G:$G,'Database MK'!$G$237,'Database MK'!$D:$D,'Summary PR PO GR'!$B10,'Database MK'!$J:$J,'Summary PR PO GR'!$C10,'Database MK'!$DR:$DR,"Sudah, OnSchedule")</f>
        <v>4</v>
      </c>
      <c r="Z10" s="82">
        <f ca="1">COUNTIFS('Database MK'!$G:$G,'Database MK'!$G$237,'Database MK'!$D:$D,'Summary PR PO GR'!$B10,'Database MK'!$J:$J,'Summary PR PO GR'!$C10,'Database MK'!$DR:$DR,"Sudah, Delay")</f>
        <v>4</v>
      </c>
      <c r="AA10" s="82">
        <f t="shared" ca="1" si="7"/>
        <v>0</v>
      </c>
      <c r="AB10" s="82">
        <f ca="1">COUNTIFS('Database MK'!$G:$G,'Database MK'!$G$237,'Database MK'!$D:$D,'Summary PR PO GR'!$B10,'Database MK'!$J:$J,'Summary PR PO GR'!$C10,'Database MK'!$DR:$DR,"Belum, OnSchedule")</f>
        <v>0</v>
      </c>
      <c r="AC10" s="161">
        <f ca="1">COUNTIFS('Database MK'!$G:$G,'Database MK'!$G$237,'Database MK'!$D:$D,'Summary PR PO GR'!$B10,'Database MK'!$J:$J,'Summary PR PO GR'!$C10,'Database MK'!$DR:$DR,"Belum, Delay")</f>
        <v>0</v>
      </c>
      <c r="AD10" s="165">
        <f t="shared" ca="1" si="8"/>
        <v>8</v>
      </c>
      <c r="AE10" s="137">
        <f ca="1">COUNTIFS('Database MK'!$G:$G,'Database MK'!$G$237,'Database MK'!$D:$D,'Summary PR PO GR'!$B10,'Database MK'!$J:$J,'Summary PR PO GR'!$C10,'Database MK'!$EA:$EA,"Sudah, OnSchedule")</f>
        <v>3</v>
      </c>
      <c r="AF10" s="137">
        <f ca="1">COUNTIFS('Database MK'!$G:$G,'Database MK'!$G$237,'Database MK'!$D:$D,'Summary PR PO GR'!$B10,'Database MK'!$J:$J,'Summary PR PO GR'!$C10,'Database MK'!$EA:$EA,"Sudah, Delay")</f>
        <v>5</v>
      </c>
      <c r="AG10" s="137">
        <f t="shared" ca="1" si="9"/>
        <v>0</v>
      </c>
      <c r="AH10" s="137">
        <f ca="1">COUNTIFS('Database MK'!$G:$G,'Database MK'!$G$237,'Database MK'!$D:$D,'Summary PR PO GR'!$B10,'Database MK'!$J:$J,'Summary PR PO GR'!$C10,'Database MK'!$EA:$EA,"Belum, OnSchedule")</f>
        <v>0</v>
      </c>
      <c r="AI10" s="166">
        <f ca="1">COUNTIFS('Database MK'!$G:$G,'Database MK'!$G$237,'Database MK'!$D:$D,'Summary PR PO GR'!$B10,'Database MK'!$J:$J,'Summary PR PO GR'!$C10,'Database MK'!$EA:$EA,"Belum, Delay")</f>
        <v>0</v>
      </c>
      <c r="AJ10" s="165">
        <f>COUNTIFS('Database MK'!$G:$G,'Database MK'!$G$237,'Database MK'!$D:$D,'Summary PR PO GR'!$B10,'Database MK'!$J:$J,'Summary PR PO GR'!$C10,'Database MK'!$EH:$EH,'Summary PR PO GR'!AJ$3)</f>
        <v>7</v>
      </c>
      <c r="AK10" s="137">
        <f>COUNTIFS('Database MK'!$G:$G,'Database MK'!$G$237,'Database MK'!$D:$D,'Summary PR PO GR'!$B10,'Database MK'!$J:$J,'Summary PR PO GR'!$C10,'Database MK'!$EH:$EH,'Summary PR PO GR'!AK$3)</f>
        <v>1</v>
      </c>
      <c r="AL10" s="137">
        <f>COUNTIFS('Database MK'!$G:$G,'Database MK'!$G$237,'Database MK'!$D:$D,'Summary PR PO GR'!$B10,'Database MK'!$J:$J,'Summary PR PO GR'!$C10,'Database MK'!$EH:$EH,'Summary PR PO GR'!AL$3)</f>
        <v>0</v>
      </c>
      <c r="AM10" s="137">
        <f>COUNTIFS('Database MK'!$G:$G,'Database MK'!$G$237,'Database MK'!$D:$D,'Summary PR PO GR'!$B10,'Database MK'!$J:$J,'Summary PR PO GR'!$C10,'Database MK'!$EH:$EH,'Summary PR PO GR'!AM$3)</f>
        <v>0</v>
      </c>
      <c r="AN10" s="138">
        <f>IFERROR(_xlfn.MINIFS('Database MK'!$EF:$EF,'Database MK'!$G:$G,'Database MK'!$G$239,'Database MK'!$D:$D,'Summary PR PO GR'!$B10,'Database MK'!$J:$J,'Summary PR PO GR'!$C10),0)</f>
        <v>0.92307692307692313</v>
      </c>
      <c r="AO10" s="207">
        <f>IFERROR(_xlfn.MAXIFS('Database MK'!$EF:$EF,'Database MK'!$G:$G,'Database MK'!$G$239,'Database MK'!$D:$D,'Summary PR PO GR'!$B10,'Database MK'!$J:$J,'Summary PR PO GR'!$C10),0)</f>
        <v>1</v>
      </c>
      <c r="AP10" s="175">
        <f>COUNTIFS('Database MK'!$G:$G,'Database MK'!$G$237,'Database MK'!$D:$D,'Summary PR PO GR'!$B10,'Database MK'!$J:$J,'Summary PR PO GR'!$C10,'Database MK'!$ES:$ES,'Summary PR PO GR'!AP$3)</f>
        <v>0</v>
      </c>
      <c r="AQ10" s="175">
        <f>COUNTIFS('Database MK'!$G:$G,'Database MK'!$G$237,'Database MK'!$D:$D,'Summary PR PO GR'!$B10,'Database MK'!$J:$J,'Summary PR PO GR'!$C10,'Database MK'!$ES:$ES,'Summary PR PO GR'!AQ$3)</f>
        <v>8</v>
      </c>
      <c r="AR10" s="175">
        <f>COUNTIFS('Database MK'!$G:$G,'Database MK'!$G$237,'Database MK'!$D:$D,'Summary PR PO GR'!$B10,'Database MK'!$J:$J,'Summary PR PO GR'!$C10,'Database MK'!$ES:$ES,'Summary PR PO GR'!AR$3)</f>
        <v>0</v>
      </c>
      <c r="AS10" s="175">
        <f>COUNTIFS('Database MK'!$G:$G,'Database MK'!$G$237,'Database MK'!$D:$D,'Summary PR PO GR'!$B10,'Database MK'!$J:$J,'Summary PR PO GR'!$C10,'Database MK'!$ES:$ES,'Summary PR PO GR'!AS$3)</f>
        <v>0</v>
      </c>
      <c r="AT10" s="83">
        <f>IFERROR(_xlfn.MINIFS('Database MK'!$FB:$FB,'Database MK'!$G:$G,'Database MK'!$G$239,'Database MK'!$D:$D,'Summary PR PO GR'!$B10,'Database MK'!$J:$J,'Summary PR PO GR'!$C10),0)</f>
        <v>0</v>
      </c>
      <c r="AU10" s="176">
        <f>IFERROR(_xlfn.MAXIFS('Database MK'!$FB:$FB,'Database MK'!$G:$G,'Database MK'!$G$239,'Database MK'!$D:$D,'Summary PR PO GR'!$B10,'Database MK'!$J:$J,'Summary PR PO GR'!$C10),0)</f>
        <v>0</v>
      </c>
      <c r="AW10" s="43" t="s">
        <v>629</v>
      </c>
      <c r="AX10" s="43" t="s">
        <v>1830</v>
      </c>
      <c r="AY10" s="623">
        <f ca="1">SUMIFS('Database MK'!$DY:$DY,'Database MK'!$G:$G,'Database MK'!$G$237,'Database MK'!$D:$D,$AW10,'Database MK'!$J:$J,$AX10,'Database MK'!$EA:$EA,"&lt;&gt;")</f>
        <v>457</v>
      </c>
      <c r="AZ10" s="137">
        <f ca="1">SUMIFS('Database MK'!$DY:$DY,'Database MK'!$G:$G,'Database MK'!$G$237,'Database MK'!$D:$D,$AW10,'Database MK'!$J:$J,$AX10,'Database MK'!$EA:$EA,"&lt;&gt;")</f>
        <v>457</v>
      </c>
      <c r="BA10" s="137">
        <f ca="1">SUMIFS('Database MK'!$ED:$ED,'Database MK'!$G:$G,'Database MK'!$G$237,'Database MK'!$D:$D,$AW10,'Database MK'!$J:$J,$AX10,'Database MK'!$EA:$EA,"&lt;&gt;")</f>
        <v>384</v>
      </c>
      <c r="BB10" s="218">
        <f t="shared" ca="1" si="10"/>
        <v>0.84026258205689275</v>
      </c>
      <c r="BC10" s="45">
        <f ca="1">SUMIFS('Database MK'!$EO:$EO,'Database MK'!$G:$G,'Database MK'!$G$237,'Database MK'!$D:$D,$AW10,'Database MK'!$J:$J,$AX10,'Database MK'!$EA:$EA,"&lt;&gt;")</f>
        <v>378</v>
      </c>
      <c r="BD10" s="219">
        <f t="shared" ca="1" si="11"/>
        <v>0.82713347921225377</v>
      </c>
    </row>
    <row r="11" spans="1:56" x14ac:dyDescent="0.2">
      <c r="A11" s="77" t="s">
        <v>3569</v>
      </c>
      <c r="B11" s="159" t="s">
        <v>629</v>
      </c>
      <c r="C11" s="43" t="s">
        <v>1818</v>
      </c>
      <c r="D11" s="623">
        <f>COUNTIFS('Database MK'!$G:$G,'Database MK'!$G$237,'Database MK'!$D:$D,'Summary PR PO GR'!$B11,'Database MK'!$J:$J,'Summary PR PO GR'!$C11)</f>
        <v>16</v>
      </c>
      <c r="E11" s="181">
        <f ca="1">COUNTIFS('Database MK'!$G:$G,'Database MK'!$G$237,'Database MK'!$D:$D,'Summary PR PO GR'!$B11,'Database MK'!$Q:$Q,"BATAL / CANCEL")</f>
        <v>0</v>
      </c>
      <c r="F11" s="154">
        <f t="shared" ca="1" si="0"/>
        <v>16</v>
      </c>
      <c r="G11" s="44">
        <f ca="1">COUNTIFS('Database MK'!$G:$G,'Database MK'!$G$237,'Database MK'!$D:$D,'Summary PR PO GR'!$B11,'Database MK'!$J:$J,'Summary PR PO GR'!$C11,'Database MK'!$DE:$DE,"Sudah, OnSchedule")</f>
        <v>5</v>
      </c>
      <c r="H11" s="44">
        <f ca="1">COUNTIFS('Database MK'!$G:$G,'Database MK'!$G$237,'Database MK'!$D:$D,'Summary PR PO GR'!$B11,'Database MK'!$J:$J,'Summary PR PO GR'!$C11,'Database MK'!$DE:$DE,"Sudah, Delay")</f>
        <v>11</v>
      </c>
      <c r="I11" s="44">
        <f t="shared" ca="1" si="1"/>
        <v>0</v>
      </c>
      <c r="J11" s="44">
        <f ca="1">COUNTIFS('Database MK'!$G:$G,'Database MK'!$G$237,'Database MK'!$D:$D,'Summary PR PO GR'!$B11,'Database MK'!$J:$J,'Summary PR PO GR'!$C11,'Database MK'!$DE:$DE,"Belum, OnSchedule")</f>
        <v>0</v>
      </c>
      <c r="K11" s="155">
        <f ca="1">COUNTIFS('Database MK'!$G:$G,'Database MK'!$G$237,'Database MK'!$D:$D,'Summary PR PO GR'!$B11,'Database MK'!$J:$J,'Summary PR PO GR'!$C11,'Database MK'!$DE:$DE,"Belum, Delay")</f>
        <v>0</v>
      </c>
      <c r="L11" s="275">
        <f t="shared" ca="1" si="2"/>
        <v>16</v>
      </c>
      <c r="M11" s="44">
        <f ca="1">COUNTIFS('Database MK'!$G:$G,'Database MK'!$G$237,'Database MK'!$D:$D,'Summary PR PO GR'!$B11,'Database MK'!$J:$J,'Summary PR PO GR'!$C11,'Database MK'!$DI:$DI,"Sudah, OnSchedule")</f>
        <v>6</v>
      </c>
      <c r="N11" s="44">
        <f ca="1">COUNTIFS('Database MK'!$G:$G,'Database MK'!$G$237,'Database MK'!$D:$D,'Summary PR PO GR'!$B11,'Database MK'!$J:$J,'Summary PR PO GR'!$C11,'Database MK'!$DI:$DI,"Sudah, Delay")</f>
        <v>10</v>
      </c>
      <c r="O11" s="44">
        <f t="shared" ca="1" si="3"/>
        <v>0</v>
      </c>
      <c r="P11" s="44">
        <f ca="1">COUNTIFS('Database MK'!$G:$G,'Database MK'!$G$237,'Database MK'!$D:$D,'Summary PR PO GR'!$B11,'Database MK'!$J:$J,'Summary PR PO GR'!$C11,'Database MK'!$DI:$DI,"Belum, OnSchedule")</f>
        <v>0</v>
      </c>
      <c r="Q11" s="191">
        <f ca="1">COUNTIFS('Database MK'!$G:$G,'Database MK'!$G$237,'Database MK'!$D:$D,'Summary PR PO GR'!$B11,'Database MK'!$J:$J,'Summary PR PO GR'!$C11,'Database MK'!$DI:$DI,"Belum, Delay")</f>
        <v>0</v>
      </c>
      <c r="R11" s="160">
        <f t="shared" ca="1" si="4"/>
        <v>16</v>
      </c>
      <c r="S11" s="82">
        <f ca="1">COUNTIFS('Database MK'!$G:$G,'Database MK'!$G$237,'Database MK'!$D:$D,'Summary PR PO GR'!$B11,'Database MK'!$J:$J,'Summary PR PO GR'!$C11,'Database MK'!$DN:$DN,"Sudah, OnSchedule")</f>
        <v>5</v>
      </c>
      <c r="T11" s="82">
        <f ca="1">COUNTIFS('Database MK'!$G:$G,'Database MK'!$G$237,'Database MK'!$D:$D,'Summary PR PO GR'!$B11,'Database MK'!$J:$J,'Summary PR PO GR'!$C11,'Database MK'!$DN:$DN,"Sudah, Delay")</f>
        <v>11</v>
      </c>
      <c r="U11" s="82">
        <f t="shared" ca="1" si="5"/>
        <v>0</v>
      </c>
      <c r="V11" s="82">
        <f ca="1">COUNTIFS('Database MK'!$G:$G,'Database MK'!$G$237,'Database MK'!$D:$D,'Summary PR PO GR'!$B11,'Database MK'!$J:$J,'Summary PR PO GR'!$C11,'Database MK'!$DN:$DN,"Belum, OnShcedule")</f>
        <v>0</v>
      </c>
      <c r="W11" s="161">
        <f ca="1">COUNTIFS('Database MK'!$G:$G,'Database MK'!$G$237,'Database MK'!$D:$D,'Summary PR PO GR'!$B11,'Database MK'!$J:$J,'Summary PR PO GR'!$C11,'Database MK'!$DN:$DN,"Belum, Delay")</f>
        <v>0</v>
      </c>
      <c r="X11" s="270">
        <f t="shared" ca="1" si="6"/>
        <v>16</v>
      </c>
      <c r="Y11" s="82">
        <f ca="1">COUNTIFS('Database MK'!$G:$G,'Database MK'!$G$237,'Database MK'!$D:$D,'Summary PR PO GR'!$B11,'Database MK'!$J:$J,'Summary PR PO GR'!$C11,'Database MK'!$DR:$DR,"Sudah, OnSchedule")</f>
        <v>3</v>
      </c>
      <c r="Z11" s="82">
        <f ca="1">COUNTIFS('Database MK'!$G:$G,'Database MK'!$G$237,'Database MK'!$D:$D,'Summary PR PO GR'!$B11,'Database MK'!$J:$J,'Summary PR PO GR'!$C11,'Database MK'!$DR:$DR,"Sudah, Delay")</f>
        <v>13</v>
      </c>
      <c r="AA11" s="82">
        <f t="shared" ca="1" si="7"/>
        <v>0</v>
      </c>
      <c r="AB11" s="82">
        <f ca="1">COUNTIFS('Database MK'!$G:$G,'Database MK'!$G$237,'Database MK'!$D:$D,'Summary PR PO GR'!$B11,'Database MK'!$J:$J,'Summary PR PO GR'!$C11,'Database MK'!$DR:$DR,"Belum, OnSchedule")</f>
        <v>0</v>
      </c>
      <c r="AC11" s="161">
        <f ca="1">COUNTIFS('Database MK'!$G:$G,'Database MK'!$G$237,'Database MK'!$D:$D,'Summary PR PO GR'!$B11,'Database MK'!$J:$J,'Summary PR PO GR'!$C11,'Database MK'!$DR:$DR,"Belum, Delay")</f>
        <v>0</v>
      </c>
      <c r="AD11" s="165">
        <f t="shared" ca="1" si="8"/>
        <v>16</v>
      </c>
      <c r="AE11" s="137">
        <f ca="1">COUNTIFS('Database MK'!$G:$G,'Database MK'!$G$237,'Database MK'!$D:$D,'Summary PR PO GR'!$B11,'Database MK'!$J:$J,'Summary PR PO GR'!$C11,'Database MK'!$EA:$EA,"Sudah, OnSchedule")</f>
        <v>1</v>
      </c>
      <c r="AF11" s="137">
        <f ca="1">COUNTIFS('Database MK'!$G:$G,'Database MK'!$G$237,'Database MK'!$D:$D,'Summary PR PO GR'!$B11,'Database MK'!$J:$J,'Summary PR PO GR'!$C11,'Database MK'!$EA:$EA,"Sudah, Delay")</f>
        <v>15</v>
      </c>
      <c r="AG11" s="137">
        <f t="shared" ca="1" si="9"/>
        <v>0</v>
      </c>
      <c r="AH11" s="137">
        <f ca="1">COUNTIFS('Database MK'!$G:$G,'Database MK'!$G$237,'Database MK'!$D:$D,'Summary PR PO GR'!$B11,'Database MK'!$J:$J,'Summary PR PO GR'!$C11,'Database MK'!$EA:$EA,"Belum, OnSchedule")</f>
        <v>0</v>
      </c>
      <c r="AI11" s="166">
        <f ca="1">COUNTIFS('Database MK'!$G:$G,'Database MK'!$G$237,'Database MK'!$D:$D,'Summary PR PO GR'!$B11,'Database MK'!$J:$J,'Summary PR PO GR'!$C11,'Database MK'!$EA:$EA,"Belum, Delay")</f>
        <v>0</v>
      </c>
      <c r="AJ11" s="165">
        <f>COUNTIFS('Database MK'!$G:$G,'Database MK'!$G$237,'Database MK'!$D:$D,'Summary PR PO GR'!$B11,'Database MK'!$J:$J,'Summary PR PO GR'!$C11,'Database MK'!$EH:$EH,'Summary PR PO GR'!AJ$3)</f>
        <v>4</v>
      </c>
      <c r="AK11" s="137">
        <f>COUNTIFS('Database MK'!$G:$G,'Database MK'!$G$237,'Database MK'!$D:$D,'Summary PR PO GR'!$B11,'Database MK'!$J:$J,'Summary PR PO GR'!$C11,'Database MK'!$EH:$EH,'Summary PR PO GR'!AK$3)</f>
        <v>12</v>
      </c>
      <c r="AL11" s="137">
        <f>COUNTIFS('Database MK'!$G:$G,'Database MK'!$G$237,'Database MK'!$D:$D,'Summary PR PO GR'!$B11,'Database MK'!$J:$J,'Summary PR PO GR'!$C11,'Database MK'!$EH:$EH,'Summary PR PO GR'!AL$3)</f>
        <v>0</v>
      </c>
      <c r="AM11" s="137">
        <f>COUNTIFS('Database MK'!$G:$G,'Database MK'!$G$237,'Database MK'!$D:$D,'Summary PR PO GR'!$B11,'Database MK'!$J:$J,'Summary PR PO GR'!$C11,'Database MK'!$EH:$EH,'Summary PR PO GR'!AM$3)</f>
        <v>0</v>
      </c>
      <c r="AN11" s="138">
        <f>IFERROR(_xlfn.MINIFS('Database MK'!$EF:$EF,'Database MK'!$G:$G,'Database MK'!$G$239,'Database MK'!$D:$D,'Summary PR PO GR'!$B11,'Database MK'!$J:$J,'Summary PR PO GR'!$C11),0)</f>
        <v>0.73493975903614461</v>
      </c>
      <c r="AO11" s="207">
        <f>IFERROR(_xlfn.MAXIFS('Database MK'!$EF:$EF,'Database MK'!$G:$G,'Database MK'!$G$239,'Database MK'!$D:$D,'Summary PR PO GR'!$B11,'Database MK'!$J:$J,'Summary PR PO GR'!$C11),0)</f>
        <v>1</v>
      </c>
      <c r="AP11" s="175">
        <f>COUNTIFS('Database MK'!$G:$G,'Database MK'!$G$237,'Database MK'!$D:$D,'Summary PR PO GR'!$B11,'Database MK'!$J:$J,'Summary PR PO GR'!$C11,'Database MK'!$ES:$ES,'Summary PR PO GR'!AP$3)</f>
        <v>2</v>
      </c>
      <c r="AQ11" s="175">
        <f>COUNTIFS('Database MK'!$G:$G,'Database MK'!$G$237,'Database MK'!$D:$D,'Summary PR PO GR'!$B11,'Database MK'!$J:$J,'Summary PR PO GR'!$C11,'Database MK'!$ES:$ES,'Summary PR PO GR'!AQ$3)</f>
        <v>14</v>
      </c>
      <c r="AR11" s="175">
        <f>COUNTIFS('Database MK'!$G:$G,'Database MK'!$G$237,'Database MK'!$D:$D,'Summary PR PO GR'!$B11,'Database MK'!$J:$J,'Summary PR PO GR'!$C11,'Database MK'!$ES:$ES,'Summary PR PO GR'!AR$3)</f>
        <v>0</v>
      </c>
      <c r="AS11" s="175">
        <f>COUNTIFS('Database MK'!$G:$G,'Database MK'!$G$237,'Database MK'!$D:$D,'Summary PR PO GR'!$B11,'Database MK'!$J:$J,'Summary PR PO GR'!$C11,'Database MK'!$ES:$ES,'Summary PR PO GR'!AS$3)</f>
        <v>0</v>
      </c>
      <c r="AT11" s="83">
        <f>IFERROR(_xlfn.MINIFS('Database MK'!$FB:$FB,'Database MK'!$G:$G,'Database MK'!$G$239,'Database MK'!$D:$D,'Summary PR PO GR'!$B11,'Database MK'!$J:$J,'Summary PR PO GR'!$C11),0)</f>
        <v>0</v>
      </c>
      <c r="AU11" s="176">
        <f>IFERROR(_xlfn.MAXIFS('Database MK'!$FB:$FB,'Database MK'!$G:$G,'Database MK'!$G$239,'Database MK'!$D:$D,'Summary PR PO GR'!$B11,'Database MK'!$J:$J,'Summary PR PO GR'!$C11),0)</f>
        <v>0</v>
      </c>
      <c r="AW11" s="43" t="s">
        <v>629</v>
      </c>
      <c r="AX11" s="43" t="s">
        <v>1818</v>
      </c>
      <c r="AY11" s="623">
        <f ca="1">SUMIFS('Database MK'!$DY:$DY,'Database MK'!$G:$G,'Database MK'!$G$237,'Database MK'!$D:$D,$AW11,'Database MK'!$J:$J,$AX11,'Database MK'!$EA:$EA,"&lt;&gt;")</f>
        <v>2343</v>
      </c>
      <c r="AZ11" s="137">
        <f ca="1">SUMIFS('Database MK'!$DY:$DY,'Database MK'!$G:$G,'Database MK'!$G$237,'Database MK'!$D:$D,$AW11,'Database MK'!$J:$J,$AX11,'Database MK'!$EA:$EA,"&lt;&gt;")</f>
        <v>2343</v>
      </c>
      <c r="BA11" s="137">
        <f ca="1">SUMIFS('Database MK'!$ED:$ED,'Database MK'!$G:$G,'Database MK'!$G$237,'Database MK'!$D:$D,$AW11,'Database MK'!$J:$J,$AX11,'Database MK'!$EA:$EA,"&lt;&gt;")</f>
        <v>2152</v>
      </c>
      <c r="BB11" s="218">
        <f t="shared" ca="1" si="10"/>
        <v>0.91848058045241143</v>
      </c>
      <c r="BC11" s="45">
        <f ca="1">SUMIFS('Database MK'!$EO:$EO,'Database MK'!$G:$G,'Database MK'!$G$237,'Database MK'!$D:$D,$AW11,'Database MK'!$J:$J,$AX11,'Database MK'!$EA:$EA,"&lt;&gt;")</f>
        <v>2055</v>
      </c>
      <c r="BD11" s="219">
        <f t="shared" ca="1" si="11"/>
        <v>0.87708066581306021</v>
      </c>
    </row>
    <row r="12" spans="1:56" ht="26.25" customHeight="1" thickBot="1" x14ac:dyDescent="0.25">
      <c r="B12" s="644" t="s">
        <v>3570</v>
      </c>
      <c r="C12" s="645"/>
      <c r="D12" s="624">
        <f>SUM(D5:D11)</f>
        <v>88</v>
      </c>
      <c r="E12" s="182">
        <f t="shared" ref="E12" ca="1" si="12">SUM(E6:E11)</f>
        <v>40</v>
      </c>
      <c r="F12" s="156">
        <f ca="1">SUM(F5:F11)</f>
        <v>88</v>
      </c>
      <c r="G12" s="157">
        <f t="shared" ref="G12:Q12" ca="1" si="13">SUM(G5:G11)</f>
        <v>66</v>
      </c>
      <c r="H12" s="157">
        <f t="shared" ca="1" si="13"/>
        <v>22</v>
      </c>
      <c r="I12" s="157">
        <f t="shared" ca="1" si="13"/>
        <v>0</v>
      </c>
      <c r="J12" s="157">
        <f t="shared" ca="1" si="13"/>
        <v>0</v>
      </c>
      <c r="K12" s="158">
        <f t="shared" ca="1" si="13"/>
        <v>0</v>
      </c>
      <c r="L12" s="276">
        <f t="shared" ca="1" si="13"/>
        <v>88</v>
      </c>
      <c r="M12" s="157">
        <f t="shared" ca="1" si="13"/>
        <v>63</v>
      </c>
      <c r="N12" s="157">
        <f t="shared" ca="1" si="13"/>
        <v>25</v>
      </c>
      <c r="O12" s="157">
        <f t="shared" ca="1" si="13"/>
        <v>0</v>
      </c>
      <c r="P12" s="157">
        <f t="shared" ca="1" si="13"/>
        <v>0</v>
      </c>
      <c r="Q12" s="192">
        <f t="shared" ca="1" si="13"/>
        <v>0</v>
      </c>
      <c r="R12" s="162">
        <f ca="1">SUM(R5:R11)</f>
        <v>88</v>
      </c>
      <c r="S12" s="163">
        <f t="shared" ref="S12:AC12" ca="1" si="14">SUM(S5:S11)</f>
        <v>75</v>
      </c>
      <c r="T12" s="163">
        <f t="shared" ca="1" si="14"/>
        <v>13</v>
      </c>
      <c r="U12" s="163">
        <f t="shared" ca="1" si="14"/>
        <v>0</v>
      </c>
      <c r="V12" s="163">
        <f t="shared" ca="1" si="14"/>
        <v>0</v>
      </c>
      <c r="W12" s="164">
        <f t="shared" ca="1" si="14"/>
        <v>0</v>
      </c>
      <c r="X12" s="271">
        <f t="shared" ca="1" si="14"/>
        <v>88</v>
      </c>
      <c r="Y12" s="163">
        <f t="shared" ca="1" si="14"/>
        <v>55</v>
      </c>
      <c r="Z12" s="163">
        <f t="shared" ca="1" si="14"/>
        <v>33</v>
      </c>
      <c r="AA12" s="163">
        <f t="shared" ca="1" si="14"/>
        <v>0</v>
      </c>
      <c r="AB12" s="163">
        <f t="shared" ca="1" si="14"/>
        <v>0</v>
      </c>
      <c r="AC12" s="164">
        <f t="shared" ca="1" si="14"/>
        <v>0</v>
      </c>
      <c r="AD12" s="167">
        <f ca="1">SUM(AD5:AD11)</f>
        <v>88</v>
      </c>
      <c r="AE12" s="277">
        <f t="shared" ref="AE12:AM12" ca="1" si="15">SUM(AE5:AE11)</f>
        <v>52</v>
      </c>
      <c r="AF12" s="277">
        <f t="shared" ca="1" si="15"/>
        <v>36</v>
      </c>
      <c r="AG12" s="277">
        <f t="shared" ca="1" si="15"/>
        <v>0</v>
      </c>
      <c r="AH12" s="277">
        <f t="shared" ca="1" si="15"/>
        <v>0</v>
      </c>
      <c r="AI12" s="279">
        <f t="shared" ca="1" si="15"/>
        <v>0</v>
      </c>
      <c r="AJ12" s="167">
        <f t="shared" si="15"/>
        <v>43</v>
      </c>
      <c r="AK12" s="277">
        <f t="shared" si="15"/>
        <v>45</v>
      </c>
      <c r="AL12" s="277">
        <f t="shared" si="15"/>
        <v>0</v>
      </c>
      <c r="AM12" s="277">
        <f t="shared" si="15"/>
        <v>0</v>
      </c>
      <c r="AN12" s="173"/>
      <c r="AO12" s="208"/>
      <c r="AP12" s="177">
        <f>SUM(AP5:AP11)</f>
        <v>7</v>
      </c>
      <c r="AQ12" s="178">
        <f>SUM(AQ5:AQ11)</f>
        <v>81</v>
      </c>
      <c r="AR12" s="178">
        <f>SUM(AR5:AR11)</f>
        <v>0</v>
      </c>
      <c r="AS12" s="178">
        <f>SUM(AS5:AS11)</f>
        <v>0</v>
      </c>
      <c r="AT12" s="179"/>
      <c r="AU12" s="180"/>
      <c r="AW12" s="638" t="s">
        <v>3570</v>
      </c>
      <c r="AX12" s="638"/>
      <c r="AY12" s="623">
        <f ca="1">SUM(AY5:AY11)</f>
        <v>5564</v>
      </c>
      <c r="AZ12" s="137">
        <f ca="1">SUM(AZ5:AZ11)</f>
        <v>5564</v>
      </c>
      <c r="BA12" s="137">
        <f ca="1">SUM(BA5:BA11)</f>
        <v>5054</v>
      </c>
      <c r="BB12" s="137"/>
      <c r="BC12" s="45">
        <f ca="1">SUM(BC5:BC11)</f>
        <v>4887</v>
      </c>
      <c r="BD12" s="45"/>
    </row>
    <row r="13" spans="1:56" x14ac:dyDescent="0.2">
      <c r="AE13" s="77"/>
      <c r="AF13" s="77"/>
      <c r="AG13" s="77"/>
      <c r="AH13" s="77"/>
      <c r="AI13" s="77"/>
      <c r="AJ13" s="77"/>
      <c r="AK13" s="77"/>
      <c r="AL13" s="77"/>
      <c r="AM13" s="77"/>
      <c r="AN13" s="77"/>
      <c r="AO13" s="77"/>
      <c r="BA13" s="77"/>
      <c r="BB13" s="77"/>
      <c r="BC13" s="77"/>
      <c r="BD13" s="77"/>
    </row>
    <row r="14" spans="1:56" ht="16" thickBot="1" x14ac:dyDescent="0.25">
      <c r="AE14" s="77"/>
      <c r="AF14" s="77"/>
      <c r="AG14" s="77"/>
      <c r="AH14" s="77"/>
      <c r="AI14" s="77"/>
      <c r="AJ14" s="77"/>
      <c r="AK14" s="77"/>
      <c r="AL14" s="77"/>
      <c r="AM14" s="77"/>
      <c r="AN14" s="77"/>
      <c r="AO14" s="77"/>
      <c r="BA14" s="77"/>
      <c r="BB14" s="77"/>
      <c r="BC14" s="77"/>
      <c r="BD14" s="77"/>
    </row>
    <row r="15" spans="1:56" ht="24" customHeight="1" x14ac:dyDescent="0.2">
      <c r="B15" s="646" t="s">
        <v>3571</v>
      </c>
      <c r="C15" s="647"/>
      <c r="D15" s="647"/>
      <c r="E15" s="648"/>
      <c r="F15" s="657" t="s">
        <v>3503</v>
      </c>
      <c r="G15" s="658"/>
      <c r="H15" s="658"/>
      <c r="I15" s="658"/>
      <c r="J15" s="658"/>
      <c r="K15" s="659"/>
      <c r="L15" s="657" t="s">
        <v>3504</v>
      </c>
      <c r="M15" s="658"/>
      <c r="N15" s="658"/>
      <c r="O15" s="658"/>
      <c r="P15" s="658"/>
      <c r="Q15" s="660"/>
      <c r="R15" s="661" t="s">
        <v>3537</v>
      </c>
      <c r="S15" s="662"/>
      <c r="T15" s="662"/>
      <c r="U15" s="662"/>
      <c r="V15" s="662"/>
      <c r="W15" s="663"/>
      <c r="X15" s="661" t="s">
        <v>3538</v>
      </c>
      <c r="Y15" s="662"/>
      <c r="Z15" s="662"/>
      <c r="AA15" s="662"/>
      <c r="AB15" s="662"/>
      <c r="AC15" s="663"/>
      <c r="AD15" s="654" t="s">
        <v>3539</v>
      </c>
      <c r="AE15" s="655"/>
      <c r="AF15" s="655"/>
      <c r="AG15" s="655"/>
      <c r="AH15" s="655"/>
      <c r="AI15" s="666"/>
      <c r="AJ15" s="654" t="s">
        <v>3540</v>
      </c>
      <c r="AK15" s="655"/>
      <c r="AL15" s="655"/>
      <c r="AM15" s="655"/>
      <c r="AN15" s="655"/>
      <c r="AO15" s="666"/>
      <c r="AP15" s="651" t="s">
        <v>3509</v>
      </c>
      <c r="AQ15" s="652"/>
      <c r="AR15" s="652"/>
      <c r="AS15" s="652"/>
      <c r="AT15" s="652"/>
      <c r="AU15" s="653"/>
      <c r="AW15" s="641" t="s">
        <v>3571</v>
      </c>
      <c r="AX15" s="642"/>
      <c r="AY15" s="642"/>
      <c r="AZ15" s="642"/>
      <c r="BA15" s="642"/>
      <c r="BB15" s="642"/>
      <c r="BC15" s="642"/>
      <c r="BD15" s="643"/>
    </row>
    <row r="16" spans="1:56" ht="105.75" customHeight="1" x14ac:dyDescent="0.2">
      <c r="B16" s="649" t="s">
        <v>3541</v>
      </c>
      <c r="C16" s="639" t="s">
        <v>19</v>
      </c>
      <c r="D16" s="640" t="s">
        <v>3542</v>
      </c>
      <c r="E16" s="650" t="s">
        <v>3543</v>
      </c>
      <c r="F16" s="188" t="s">
        <v>260</v>
      </c>
      <c r="G16" s="183" t="s">
        <v>3544</v>
      </c>
      <c r="H16" s="183" t="s">
        <v>3545</v>
      </c>
      <c r="I16" s="183" t="s">
        <v>3546</v>
      </c>
      <c r="J16" s="183" t="s">
        <v>3544</v>
      </c>
      <c r="K16" s="185" t="s">
        <v>3545</v>
      </c>
      <c r="L16" s="188" t="s">
        <v>260</v>
      </c>
      <c r="M16" s="183" t="s">
        <v>3544</v>
      </c>
      <c r="N16" s="183" t="s">
        <v>3545</v>
      </c>
      <c r="O16" s="183" t="s">
        <v>3546</v>
      </c>
      <c r="P16" s="183" t="s">
        <v>3544</v>
      </c>
      <c r="Q16" s="189" t="s">
        <v>3545</v>
      </c>
      <c r="R16" s="195" t="s">
        <v>260</v>
      </c>
      <c r="S16" s="193" t="s">
        <v>3544</v>
      </c>
      <c r="T16" s="193" t="s">
        <v>3545</v>
      </c>
      <c r="U16" s="193" t="s">
        <v>3546</v>
      </c>
      <c r="V16" s="193" t="s">
        <v>3544</v>
      </c>
      <c r="W16" s="196" t="s">
        <v>3545</v>
      </c>
      <c r="X16" s="195" t="s">
        <v>260</v>
      </c>
      <c r="Y16" s="193" t="s">
        <v>3544</v>
      </c>
      <c r="Z16" s="193" t="s">
        <v>3545</v>
      </c>
      <c r="AA16" s="193" t="s">
        <v>3546</v>
      </c>
      <c r="AB16" s="193" t="s">
        <v>3544</v>
      </c>
      <c r="AC16" s="196" t="s">
        <v>3545</v>
      </c>
      <c r="AD16" s="201" t="s">
        <v>260</v>
      </c>
      <c r="AE16" s="199" t="s">
        <v>3544</v>
      </c>
      <c r="AF16" s="199" t="s">
        <v>3545</v>
      </c>
      <c r="AG16" s="199" t="s">
        <v>3546</v>
      </c>
      <c r="AH16" s="199" t="s">
        <v>3544</v>
      </c>
      <c r="AI16" s="202" t="s">
        <v>3545</v>
      </c>
      <c r="AJ16" s="201" t="s">
        <v>3547</v>
      </c>
      <c r="AK16" s="199" t="s">
        <v>3548</v>
      </c>
      <c r="AL16" s="199" t="s">
        <v>3549</v>
      </c>
      <c r="AM16" s="199" t="s">
        <v>3550</v>
      </c>
      <c r="AN16" s="199" t="s">
        <v>3551</v>
      </c>
      <c r="AO16" s="205" t="s">
        <v>3552</v>
      </c>
      <c r="AP16" s="211" t="s">
        <v>3553</v>
      </c>
      <c r="AQ16" s="209" t="s">
        <v>3554</v>
      </c>
      <c r="AR16" s="209" t="s">
        <v>3555</v>
      </c>
      <c r="AS16" s="209" t="s">
        <v>3556</v>
      </c>
      <c r="AT16" s="209" t="s">
        <v>3551</v>
      </c>
      <c r="AU16" s="212" t="s">
        <v>3552</v>
      </c>
      <c r="AW16" s="639" t="s">
        <v>3541</v>
      </c>
      <c r="AX16" s="639" t="s">
        <v>19</v>
      </c>
      <c r="AY16" s="640" t="s">
        <v>3557</v>
      </c>
      <c r="AZ16" s="636" t="s">
        <v>3558</v>
      </c>
      <c r="BA16" s="634" t="s">
        <v>3559</v>
      </c>
      <c r="BB16" s="634" t="s">
        <v>3560</v>
      </c>
      <c r="BC16" s="632" t="s">
        <v>153</v>
      </c>
      <c r="BD16" s="632" t="s">
        <v>3561</v>
      </c>
    </row>
    <row r="17" spans="1:56" s="103" customFormat="1" ht="24.75" customHeight="1" x14ac:dyDescent="0.2">
      <c r="B17" s="649"/>
      <c r="C17" s="639"/>
      <c r="D17" s="640"/>
      <c r="E17" s="650"/>
      <c r="F17" s="186" t="s">
        <v>3562</v>
      </c>
      <c r="G17" s="184" t="s">
        <v>3562</v>
      </c>
      <c r="H17" s="184" t="s">
        <v>3562</v>
      </c>
      <c r="I17" s="184" t="s">
        <v>3562</v>
      </c>
      <c r="J17" s="184" t="s">
        <v>3562</v>
      </c>
      <c r="K17" s="187" t="s">
        <v>3562</v>
      </c>
      <c r="L17" s="186" t="s">
        <v>3562</v>
      </c>
      <c r="M17" s="184" t="s">
        <v>3562</v>
      </c>
      <c r="N17" s="184" t="s">
        <v>3562</v>
      </c>
      <c r="O17" s="184" t="s">
        <v>3562</v>
      </c>
      <c r="P17" s="184" t="s">
        <v>3562</v>
      </c>
      <c r="Q17" s="190" t="s">
        <v>3562</v>
      </c>
      <c r="R17" s="197" t="s">
        <v>3562</v>
      </c>
      <c r="S17" s="194" t="s">
        <v>3562</v>
      </c>
      <c r="T17" s="194" t="s">
        <v>3562</v>
      </c>
      <c r="U17" s="194" t="s">
        <v>3562</v>
      </c>
      <c r="V17" s="194" t="s">
        <v>3562</v>
      </c>
      <c r="W17" s="198" t="s">
        <v>3562</v>
      </c>
      <c r="X17" s="197" t="s">
        <v>3562</v>
      </c>
      <c r="Y17" s="194" t="s">
        <v>3562</v>
      </c>
      <c r="Z17" s="194" t="s">
        <v>3562</v>
      </c>
      <c r="AA17" s="194" t="s">
        <v>3562</v>
      </c>
      <c r="AB17" s="194" t="s">
        <v>3562</v>
      </c>
      <c r="AC17" s="198" t="s">
        <v>3562</v>
      </c>
      <c r="AD17" s="203" t="s">
        <v>3562</v>
      </c>
      <c r="AE17" s="200" t="s">
        <v>3562</v>
      </c>
      <c r="AF17" s="200" t="s">
        <v>3562</v>
      </c>
      <c r="AG17" s="200" t="s">
        <v>3562</v>
      </c>
      <c r="AH17" s="200" t="s">
        <v>3562</v>
      </c>
      <c r="AI17" s="204" t="s">
        <v>3562</v>
      </c>
      <c r="AJ17" s="203" t="s">
        <v>3562</v>
      </c>
      <c r="AK17" s="200" t="s">
        <v>3562</v>
      </c>
      <c r="AL17" s="200" t="s">
        <v>3562</v>
      </c>
      <c r="AM17" s="200" t="s">
        <v>3562</v>
      </c>
      <c r="AN17" s="200" t="s">
        <v>3563</v>
      </c>
      <c r="AO17" s="204" t="s">
        <v>3563</v>
      </c>
      <c r="AP17" s="215" t="s">
        <v>3562</v>
      </c>
      <c r="AQ17" s="210" t="s">
        <v>3562</v>
      </c>
      <c r="AR17" s="210" t="s">
        <v>3562</v>
      </c>
      <c r="AS17" s="210" t="s">
        <v>3562</v>
      </c>
      <c r="AT17" s="210" t="s">
        <v>3563</v>
      </c>
      <c r="AU17" s="213" t="s">
        <v>3563</v>
      </c>
      <c r="AW17" s="639"/>
      <c r="AX17" s="639"/>
      <c r="AY17" s="640"/>
      <c r="AZ17" s="637"/>
      <c r="BA17" s="635"/>
      <c r="BB17" s="635"/>
      <c r="BC17" s="633"/>
      <c r="BD17" s="633"/>
    </row>
    <row r="18" spans="1:56" x14ac:dyDescent="0.2">
      <c r="A18" s="77" t="s">
        <v>3564</v>
      </c>
      <c r="B18" s="171" t="s">
        <v>244</v>
      </c>
      <c r="C18" s="142" t="s">
        <v>247</v>
      </c>
      <c r="D18" s="143">
        <f>COUNTIFS('Database MK'!$G:$G,'Database MK'!$G$353,'Database MK'!$D:$D,'Summary PR PO GR'!$B18,'Database MK'!$H:$H,'Summary PR PO GR'!$C18)</f>
        <v>24</v>
      </c>
      <c r="E18" s="214">
        <f ca="1">COUNTIFS('Database MK'!$G:$G,'Database MK'!$G$353,'Database MK'!$D:$D,'Summary PR PO GR'!$B18,'Database MK'!$H:$H,'Summary PR PO GR'!$C18,'Database MK'!$Q:$Q,"BATAL / CANCEL")</f>
        <v>0</v>
      </c>
      <c r="F18" s="154">
        <f ca="1">G18+H18</f>
        <v>24</v>
      </c>
      <c r="G18" s="44">
        <f ca="1">COUNTIFS('Database MK'!$G:$G,'Database MK'!$G$353,'Database MK'!$D:$D,'Summary PR PO GR'!$B18,'Database MK'!$H:$H,'Summary PR PO GR'!$C18,'Database MK'!$DE:$DE,"Sudah, OnSchedule")</f>
        <v>12</v>
      </c>
      <c r="H18" s="44">
        <f ca="1">COUNTIFS('Database MK'!$G:$G,'Database MK'!$G$353,'Database MK'!$D:$D,'Summary PR PO GR'!$B18,'Database MK'!$H:$H,'Summary PR PO GR'!$C18,'Database MK'!$DE:$DE,"Sudah, Delay")</f>
        <v>12</v>
      </c>
      <c r="I18" s="44">
        <f ca="1">J18+K18</f>
        <v>0</v>
      </c>
      <c r="J18" s="44">
        <f ca="1">COUNTIFS('Database MK'!$G:$G,'Database MK'!$G$353,'Database MK'!$D:$D,'Summary PR PO GR'!$B18,'Database MK'!$H:$H,'Summary PR PO GR'!$C18,'Database MK'!$DE:$DE,"Belum, OnSchedule")</f>
        <v>0</v>
      </c>
      <c r="K18" s="155">
        <f ca="1">COUNTIFS('Database MK'!$G:$G,'Database MK'!$G$353,'Database MK'!$D:$D,'Summary PR PO GR'!$B18,'Database MK'!$H:$H,'Summary PR PO GR'!$C18,'Database MK'!$DE:$DE,"Belum, Delay")</f>
        <v>0</v>
      </c>
      <c r="L18" s="154">
        <f ca="1">M18+N18</f>
        <v>24</v>
      </c>
      <c r="M18" s="44">
        <f ca="1">COUNTIFS('Database MK'!$G:$G,'Database MK'!$G$353,'Database MK'!$D:$D,'Summary PR PO GR'!$B18,'Database MK'!$H:$H,'Summary PR PO GR'!$C18,'Database MK'!$DI:$DI,"Sudah, OnSchedule")</f>
        <v>5</v>
      </c>
      <c r="N18" s="44">
        <f ca="1">COUNTIFS('Database MK'!$G:$G,'Database MK'!$G$353,'Database MK'!$D:$D,'Summary PR PO GR'!$B18,'Database MK'!$H:$H,'Summary PR PO GR'!$C18,'Database MK'!$DI:$DI,"Sudah, Delay")</f>
        <v>19</v>
      </c>
      <c r="O18" s="44">
        <f ca="1">P18+Q18</f>
        <v>0</v>
      </c>
      <c r="P18" s="44">
        <f ca="1">COUNTIFS('Database MK'!$G:$G,'Database MK'!$G$353,'Database MK'!$D:$D,'Summary PR PO GR'!$B18,'Database MK'!$H:$H,'Summary PR PO GR'!$C18,'Database MK'!$DI:$DI,"Belum, OnSchedule")</f>
        <v>0</v>
      </c>
      <c r="Q18" s="191">
        <f ca="1">COUNTIFS('Database MK'!$G:$G,'Database MK'!$G$353,'Database MK'!$D:$D,'Summary PR PO GR'!$B18,'Database MK'!$H:$H,'Summary PR PO GR'!$C18,'Database MK'!$DI:$DI,"Belum, Delay")</f>
        <v>0</v>
      </c>
      <c r="R18" s="160">
        <f ca="1">S18+T18</f>
        <v>24</v>
      </c>
      <c r="S18" s="82">
        <f ca="1">COUNTIFS('Database MK'!$G:$G,'Database MK'!$G$353,'Database MK'!$D:$D,'Summary PR PO GR'!$B18,'Database MK'!$H:$H,'Summary PR PO GR'!$C18,'Database MK'!$DN:$DN,"Sudah, OnSchedule")</f>
        <v>5</v>
      </c>
      <c r="T18" s="82">
        <f ca="1">COUNTIFS('Database MK'!$G:$G,'Database MK'!$G$353,'Database MK'!$D:$D,'Summary PR PO GR'!$B18,'Database MK'!$H:$H,'Summary PR PO GR'!$C18,'Database MK'!$DN:$DN,"Sudah, Delay")</f>
        <v>19</v>
      </c>
      <c r="U18" s="82">
        <f ca="1">V18+W18</f>
        <v>0</v>
      </c>
      <c r="V18" s="82">
        <f ca="1">COUNTIFS('Database MK'!$G:$G,'Database MK'!$G$353,'Database MK'!$D:$D,'Summary PR PO GR'!$B18,'Database MK'!$H:$H,'Summary PR PO GR'!$C18,'Database MK'!$DN:$DN,"Belum, OnSchedule")</f>
        <v>0</v>
      </c>
      <c r="W18" s="161">
        <f ca="1">COUNTIFS('Database MK'!$G:$G,'Database MK'!$G$353,'Database MK'!$D:$D,'Summary PR PO GR'!$B18,'Database MK'!$H:$H,'Summary PR PO GR'!$C18,'Database MK'!$DN:$DN,"Belum, Delay")</f>
        <v>0</v>
      </c>
      <c r="X18" s="160">
        <f ca="1">Y18+Z18</f>
        <v>24</v>
      </c>
      <c r="Y18" s="82">
        <f ca="1">COUNTIFS('Database MK'!$G:$G,'Database MK'!$G$353,'Database MK'!$D:$D,'Summary PR PO GR'!$B18,'Database MK'!$H:$H,'Summary PR PO GR'!$C18,'Database MK'!$DR:$DR,"Sudah, OnSchedule")</f>
        <v>2</v>
      </c>
      <c r="Z18" s="82">
        <f ca="1">COUNTIFS('Database MK'!$G:$G,'Database MK'!$G$353,'Database MK'!$D:$D,'Summary PR PO GR'!$B18,'Database MK'!$H:$H,'Summary PR PO GR'!$C18,'Database MK'!$DR:$DR,"Sudah, Delay")</f>
        <v>22</v>
      </c>
      <c r="AA18" s="82">
        <f ca="1">AB18+AC18</f>
        <v>0</v>
      </c>
      <c r="AB18" s="82">
        <f ca="1">COUNTIFS('Database MK'!$G:$G,'Database MK'!$G$353,'Database MK'!$D:$D,'Summary PR PO GR'!$B18,'Database MK'!$H:$H,'Summary PR PO GR'!$C18,'Database MK'!$DR:$DR,"Belum, OnSchedule")</f>
        <v>0</v>
      </c>
      <c r="AC18" s="161">
        <f ca="1">COUNTIFS('Database MK'!$G:$G,'Database MK'!$G$353,'Database MK'!$D:$D,'Summary PR PO GR'!$B18,'Database MK'!$H:$H,'Summary PR PO GR'!$C18,'Database MK'!$DR:$DR,"Belum, Delay")</f>
        <v>0</v>
      </c>
      <c r="AD18" s="165">
        <f ca="1">AE18+AF18</f>
        <v>24</v>
      </c>
      <c r="AE18" s="137">
        <f ca="1">COUNTIFS('Database MK'!$G:$G,'Database MK'!$G$353,'Database MK'!$D:$D,'Summary PR PO GR'!$B18,'Database MK'!$H:$H,'Summary PR PO GR'!$C18,'Database MK'!$EA:$EA,"Sudah, OnSchedule")</f>
        <v>4</v>
      </c>
      <c r="AF18" s="137">
        <f ca="1">COUNTIFS('Database MK'!$G:$G,'Database MK'!$G$353,'Database MK'!$D:$D,'Summary PR PO GR'!$B18,'Database MK'!$H:$H,'Summary PR PO GR'!$C18,'Database MK'!$EA:$EA,"Sudah, Delay")</f>
        <v>20</v>
      </c>
      <c r="AG18" s="137">
        <f ca="1">AH18+AI18</f>
        <v>0</v>
      </c>
      <c r="AH18" s="137">
        <f ca="1">COUNTIFS('Database MK'!$G:$G,'Database MK'!$G$353,'Database MK'!$D:$D,'Summary PR PO GR'!$B18,'Database MK'!$H:$H,'Summary PR PO GR'!$C18,'Database MK'!$EA:$EA,"Belum, OnSchedule")</f>
        <v>0</v>
      </c>
      <c r="AI18" s="166">
        <f ca="1">COUNTIFS('Database MK'!$G:$G,'Database MK'!$G$353,'Database MK'!$D:$D,'Summary PR PO GR'!$B18,'Database MK'!$H:$H,'Summary PR PO GR'!$C18,'Database MK'!$EA:$EA,"Belum, Delay")</f>
        <v>0</v>
      </c>
      <c r="AJ18" s="165">
        <f>COUNTIFS('Database MK'!$G:$G,'Database MK'!$G$353,'Database MK'!$D:$D,'Summary PR PO GR'!$B18,'Database MK'!$H:$H,'Summary PR PO GR'!$C18,'Database MK'!$EH:$EH,'Summary PR PO GR'!AJ$3)</f>
        <v>0</v>
      </c>
      <c r="AK18" s="137">
        <f>COUNTIFS('Database MK'!$G:$G,'Database MK'!$G$353,'Database MK'!$D:$D,'Summary PR PO GR'!$B18,'Database MK'!$H:$H,'Summary PR PO GR'!$C18,'Database MK'!$EH:$EH,'Summary PR PO GR'!AK$3)</f>
        <v>22</v>
      </c>
      <c r="AL18" s="137">
        <f>COUNTIFS('Database MK'!$G:$G,'Database MK'!$G$353,'Database MK'!$D:$D,'Summary PR PO GR'!$B18,'Database MK'!$H:$H,'Summary PR PO GR'!$C18,'Database MK'!$EH:$EH,'Summary PR PO GR'!AL$3)</f>
        <v>2</v>
      </c>
      <c r="AM18" s="137">
        <f>COUNTIFS('Database MK'!$G:$G,'Database MK'!$G$353,'Database MK'!$D:$D,'Summary PR PO GR'!$B18,'Database MK'!$H:$H,'Summary PR PO GR'!$C18,'Database MK'!$EH:$EH,'Summary PR PO GR'!AM$3)</f>
        <v>0</v>
      </c>
      <c r="AN18" s="138">
        <f>IFERROR(_xlfn.MINIFS('Database MK'!$EF:$EF,'Database MK'!$G:$G,'Database MK'!$G$353,'Database MK'!$D:$D,'Summary PR PO GR'!$B18,'Database MK'!$H:$H,'Summary PR PO GR'!$C18),0)</f>
        <v>0.26351351351351349</v>
      </c>
      <c r="AO18" s="172">
        <f>IFERROR(_xlfn.MAXIFS('Database MK'!$EF:$EF,'Database MK'!$G:$G,'Database MK'!$G$353,'Database MK'!$D:$D,'Summary PR PO GR'!$B18,'Database MK'!$H:$H,'Summary PR PO GR'!$C18),0)</f>
        <v>0.93650793650793651</v>
      </c>
      <c r="AP18" s="175">
        <f>COUNTIFS('Database MK'!$G:$G,'Database MK'!$G$353,'Database MK'!$D:$D,'Summary PR PO GR'!$B18,'Database MK'!$H:$H,'Summary PR PO GR'!$C18,'Database MK'!$ES:$ES,'Summary PR PO GR'!AP$3)</f>
        <v>0</v>
      </c>
      <c r="AQ18" s="175">
        <f>COUNTIFS('Database MK'!$G:$G,'Database MK'!$G$353,'Database MK'!$D:$D,'Summary PR PO GR'!$B18,'Database MK'!$H:$H,'Summary PR PO GR'!$C18,'Database MK'!$ES:$ES,'Summary PR PO GR'!AQ$3)</f>
        <v>2</v>
      </c>
      <c r="AR18" s="175">
        <f>COUNTIFS('Database MK'!$G:$G,'Database MK'!$G$353,'Database MK'!$D:$D,'Summary PR PO GR'!$B18,'Database MK'!$H:$H,'Summary PR PO GR'!$C18,'Database MK'!$ES:$ES,'Summary PR PO GR'!AR$3)</f>
        <v>21</v>
      </c>
      <c r="AS18" s="175">
        <f>COUNTIFS('Database MK'!$G:$G,'Database MK'!$G$353,'Database MK'!$D:$D,'Summary PR PO GR'!$B18,'Database MK'!$H:$H,'Summary PR PO GR'!$C18,'Database MK'!$ES:$ES,'Summary PR PO GR'!AS$3)</f>
        <v>1</v>
      </c>
      <c r="AT18" s="83">
        <f>IFERROR(_xlfn.MINIFS('Database MK'!$EQ:$EQ,'Database MK'!$G:$G,'Database MK'!$G$353,'Database MK'!$D:$D,'Summary PR PO GR'!$B18,'Database MK'!$H:$H,'Summary PR PO GR'!$C18),0)</f>
        <v>0</v>
      </c>
      <c r="AU18" s="176">
        <f>IFERROR(_xlfn.MAXIFS('Database MK'!$EQ:$EQ,'Database MK'!$G:$G,'Database MK'!$G$353,'Database MK'!$D:$D,'Summary PR PO GR'!$B18,'Database MK'!$H:$H,'Summary PR PO GR'!$C18),0)</f>
        <v>0.71794871794871795</v>
      </c>
      <c r="AW18" s="43" t="s">
        <v>244</v>
      </c>
      <c r="AX18" s="43" t="s">
        <v>247</v>
      </c>
      <c r="AY18" s="623">
        <f>COUNTIFS('Database MK'!$G:$G,'Database MK'!$G$353,'Database MK'!$D:$D,'Summary PR PO GR'!$B18,'Database MK'!$H:$H,'Summary PR PO GR'!$C18)</f>
        <v>24</v>
      </c>
      <c r="AZ18" s="137">
        <f>SUMIFS('Database MK'!$DY:$DY,'Database MK'!$G:$G,'Database MK'!$G$353,'Database MK'!$D:$D,$AW18,'Database MK'!$H:$H,$AX18)</f>
        <v>2496</v>
      </c>
      <c r="BA18" s="137">
        <f>SUMIFS('Database MK'!$EC:$EC,'Database MK'!$G:$G,'Database MK'!$G$353,'Database MK'!$D:$D,$AW18,'Database MK'!$H:$H,$AX18)</f>
        <v>2080</v>
      </c>
      <c r="BB18" s="218">
        <f>IFERROR(BA18/AZ18,0)</f>
        <v>0.83333333333333337</v>
      </c>
      <c r="BC18" s="45">
        <f>SUMIFS('Database MK'!$EO:$EO,'Database MK'!$G:$G,'Database MK'!$G$353,'Database MK'!$D:$D,$AW18,'Database MK'!$H:$H,$AX18)</f>
        <v>663</v>
      </c>
      <c r="BD18" s="219">
        <f>IFERROR(BC18/AZ18,0)</f>
        <v>0.265625</v>
      </c>
    </row>
    <row r="19" spans="1:56" x14ac:dyDescent="0.2">
      <c r="A19" s="77" t="s">
        <v>3565</v>
      </c>
      <c r="B19" s="159" t="s">
        <v>244</v>
      </c>
      <c r="C19" s="43" t="s">
        <v>681</v>
      </c>
      <c r="D19" s="623">
        <f>COUNTIFS('Database MK'!$G:$G,'Database MK'!$G$353,'Database MK'!$D:$D,'Summary PR PO GR'!$B19,'Database MK'!$H:$H,'Summary PR PO GR'!$C19)</f>
        <v>26</v>
      </c>
      <c r="E19" s="181">
        <f ca="1">COUNTIFS('Database MK'!$G:$G,'Database MK'!$G$353,'Database MK'!$D:$D,'Summary PR PO GR'!$B19,'Database MK'!$H:$H,'Summary PR PO GR'!$C19,'Database MK'!$Q:$Q,"BATAL / CANCEL")</f>
        <v>3</v>
      </c>
      <c r="F19" s="154">
        <f t="shared" ref="F19:F23" ca="1" si="16">G19+H19</f>
        <v>26</v>
      </c>
      <c r="G19" s="44">
        <f ca="1">COUNTIFS('Database MK'!$G:$G,'Database MK'!$G$353,'Database MK'!$D:$D,'Summary PR PO GR'!$B19,'Database MK'!$H:$H,'Summary PR PO GR'!$C19,'Database MK'!$DE:$DE,"Sudah, OnSchedule")</f>
        <v>26</v>
      </c>
      <c r="H19" s="44">
        <f ca="1">COUNTIFS('Database MK'!$G:$G,'Database MK'!$G$353,'Database MK'!$D:$D,'Summary PR PO GR'!$B19,'Database MK'!$H:$H,'Summary PR PO GR'!$C19,'Database MK'!$DE:$DE,"Sudah, Delay")</f>
        <v>0</v>
      </c>
      <c r="I19" s="44">
        <f t="shared" ref="I19:I23" ca="1" si="17">J19+K19</f>
        <v>0</v>
      </c>
      <c r="J19" s="44">
        <f ca="1">COUNTIFS('Database MK'!$G:$G,'Database MK'!$G$353,'Database MK'!$D:$D,'Summary PR PO GR'!$B19,'Database MK'!$H:$H,'Summary PR PO GR'!$C19,'Database MK'!$DE:$DE,"Belum, OnSchedule")</f>
        <v>0</v>
      </c>
      <c r="K19" s="155">
        <f ca="1">COUNTIFS('Database MK'!$G:$G,'Database MK'!$G$353,'Database MK'!$D:$D,'Summary PR PO GR'!$B19,'Database MK'!$H:$H,'Summary PR PO GR'!$C19,'Database MK'!$DE:$DE,"Belum, Delay")</f>
        <v>0</v>
      </c>
      <c r="L19" s="154">
        <f t="shared" ref="L19:L23" ca="1" si="18">M19+N19</f>
        <v>26</v>
      </c>
      <c r="M19" s="44">
        <f ca="1">COUNTIFS('Database MK'!$G:$G,'Database MK'!$G$353,'Database MK'!$D:$D,'Summary PR PO GR'!$B19,'Database MK'!$H:$H,'Summary PR PO GR'!$C19,'Database MK'!$DI:$DI,"Sudah, OnSchedule")</f>
        <v>11</v>
      </c>
      <c r="N19" s="44">
        <f ca="1">COUNTIFS('Database MK'!$G:$G,'Database MK'!$G$353,'Database MK'!$D:$D,'Summary PR PO GR'!$B19,'Database MK'!$H:$H,'Summary PR PO GR'!$C19,'Database MK'!$DI:$DI,"Sudah, Delay")</f>
        <v>15</v>
      </c>
      <c r="O19" s="44">
        <f t="shared" ref="O19:O23" ca="1" si="19">P19+Q19</f>
        <v>0</v>
      </c>
      <c r="P19" s="44">
        <f ca="1">COUNTIFS('Database MK'!$G:$G,'Database MK'!$G$353,'Database MK'!$D:$D,'Summary PR PO GR'!$B19,'Database MK'!$H:$H,'Summary PR PO GR'!$C19,'Database MK'!$DI:$DI,"Belum, OnSchedule")</f>
        <v>0</v>
      </c>
      <c r="Q19" s="191">
        <f ca="1">COUNTIFS('Database MK'!$G:$G,'Database MK'!$G$353,'Database MK'!$D:$D,'Summary PR PO GR'!$B19,'Database MK'!$H:$H,'Summary PR PO GR'!$C19,'Database MK'!$DI:$DI,"Belum, Delay")</f>
        <v>0</v>
      </c>
      <c r="R19" s="160">
        <f t="shared" ref="R19:R23" ca="1" si="20">S19+T19</f>
        <v>26</v>
      </c>
      <c r="S19" s="82">
        <f ca="1">COUNTIFS('Database MK'!$G:$G,'Database MK'!$G$353,'Database MK'!$D:$D,'Summary PR PO GR'!$B19,'Database MK'!$H:$H,'Summary PR PO GR'!$C19,'Database MK'!$DN:$DN,"Sudah, OnSchedule")</f>
        <v>18</v>
      </c>
      <c r="T19" s="82">
        <f ca="1">COUNTIFS('Database MK'!$G:$G,'Database MK'!$G$353,'Database MK'!$D:$D,'Summary PR PO GR'!$B19,'Database MK'!$H:$H,'Summary PR PO GR'!$C19,'Database MK'!$DN:$DN,"Sudah, Delay")</f>
        <v>8</v>
      </c>
      <c r="U19" s="82">
        <f t="shared" ref="U19:U23" ca="1" si="21">V19+W19</f>
        <v>0</v>
      </c>
      <c r="V19" s="82">
        <f ca="1">COUNTIFS('Database MK'!$G:$G,'Database MK'!$G$353,'Database MK'!$D:$D,'Summary PR PO GR'!$B19,'Database MK'!$H:$H,'Summary PR PO GR'!$C19,'Database MK'!$DN:$DN,"Belum, OnSchedule")</f>
        <v>0</v>
      </c>
      <c r="W19" s="161">
        <f ca="1">COUNTIFS('Database MK'!$G:$G,'Database MK'!$G$353,'Database MK'!$D:$D,'Summary PR PO GR'!$B19,'Database MK'!$H:$H,'Summary PR PO GR'!$C19,'Database MK'!$DN:$DN,"Belum, Delay")</f>
        <v>0</v>
      </c>
      <c r="X19" s="160">
        <f t="shared" ref="X19:X23" ca="1" si="22">Y19+Z19</f>
        <v>26</v>
      </c>
      <c r="Y19" s="82">
        <f ca="1">COUNTIFS('Database MK'!$G:$G,'Database MK'!$G$353,'Database MK'!$D:$D,'Summary PR PO GR'!$B19,'Database MK'!$H:$H,'Summary PR PO GR'!$C19,'Database MK'!$DR:$DR,"Sudah, OnSchedule")</f>
        <v>8</v>
      </c>
      <c r="Z19" s="82">
        <f ca="1">COUNTIFS('Database MK'!$G:$G,'Database MK'!$G$353,'Database MK'!$D:$D,'Summary PR PO GR'!$B19,'Database MK'!$H:$H,'Summary PR PO GR'!$C19,'Database MK'!$DR:$DR,"Sudah, Delay")</f>
        <v>18</v>
      </c>
      <c r="AA19" s="82">
        <f t="shared" ref="AA19:AA23" ca="1" si="23">AB19+AC19</f>
        <v>0</v>
      </c>
      <c r="AB19" s="82">
        <f ca="1">COUNTIFS('Database MK'!$G:$G,'Database MK'!$G$353,'Database MK'!$D:$D,'Summary PR PO GR'!$B19,'Database MK'!$H:$H,'Summary PR PO GR'!$C19,'Database MK'!$DR:$DR,"Belum, OnSchedule")</f>
        <v>0</v>
      </c>
      <c r="AC19" s="161">
        <f ca="1">COUNTIFS('Database MK'!$G:$G,'Database MK'!$G$353,'Database MK'!$D:$D,'Summary PR PO GR'!$B19,'Database MK'!$H:$H,'Summary PR PO GR'!$C19,'Database MK'!$DR:$DR,"Belum, Delay")</f>
        <v>0</v>
      </c>
      <c r="AD19" s="165">
        <f t="shared" ref="AD19:AD23" ca="1" si="24">AE19+AF19</f>
        <v>26</v>
      </c>
      <c r="AE19" s="137">
        <f ca="1">COUNTIFS('Database MK'!$G:$G,'Database MK'!$G$353,'Database MK'!$D:$D,'Summary PR PO GR'!$B19,'Database MK'!$H:$H,'Summary PR PO GR'!$C19,'Database MK'!$EA:$EA,"Sudah, OnSchedule")</f>
        <v>12</v>
      </c>
      <c r="AF19" s="137">
        <f ca="1">COUNTIFS('Database MK'!$G:$G,'Database MK'!$G$353,'Database MK'!$D:$D,'Summary PR PO GR'!$B19,'Database MK'!$H:$H,'Summary PR PO GR'!$C19,'Database MK'!$EA:$EA,"Sudah, Delay")</f>
        <v>14</v>
      </c>
      <c r="AG19" s="137">
        <f t="shared" ref="AG19:AG23" ca="1" si="25">AH19+AI19</f>
        <v>0</v>
      </c>
      <c r="AH19" s="137">
        <f ca="1">COUNTIFS('Database MK'!$G:$G,'Database MK'!$G$353,'Database MK'!$D:$D,'Summary PR PO GR'!$B19,'Database MK'!$H:$H,'Summary PR PO GR'!$C19,'Database MK'!$EA:$EA,"Belum, OnSchedule")</f>
        <v>0</v>
      </c>
      <c r="AI19" s="166">
        <f ca="1">COUNTIFS('Database MK'!$G:$G,'Database MK'!$G$353,'Database MK'!$D:$D,'Summary PR PO GR'!$B19,'Database MK'!$H:$H,'Summary PR PO GR'!$C19,'Database MK'!$EA:$EA,"Belum, Delay")</f>
        <v>0</v>
      </c>
      <c r="AJ19" s="165">
        <f>COUNTIFS('Database MK'!$G:$G,'Database MK'!$G$353,'Database MK'!$D:$D,'Summary PR PO GR'!$B19,'Database MK'!$H:$H,'Summary PR PO GR'!$C19,'Database MK'!$EH:$EH,'Summary PR PO GR'!AJ$3)</f>
        <v>2</v>
      </c>
      <c r="AK19" s="137">
        <f>COUNTIFS('Database MK'!$G:$G,'Database MK'!$G$353,'Database MK'!$D:$D,'Summary PR PO GR'!$B19,'Database MK'!$H:$H,'Summary PR PO GR'!$C19,'Database MK'!$EH:$EH,'Summary PR PO GR'!AK$3)</f>
        <v>24</v>
      </c>
      <c r="AL19" s="137">
        <f>COUNTIFS('Database MK'!$G:$G,'Database MK'!$G$353,'Database MK'!$D:$D,'Summary PR PO GR'!$B19,'Database MK'!$H:$H,'Summary PR PO GR'!$C19,'Database MK'!$EH:$EH,'Summary PR PO GR'!AL$3)</f>
        <v>0</v>
      </c>
      <c r="AM19" s="137">
        <f>COUNTIFS('Database MK'!$G:$G,'Database MK'!$G$353,'Database MK'!$D:$D,'Summary PR PO GR'!$B19,'Database MK'!$H:$H,'Summary PR PO GR'!$C19,'Database MK'!$EH:$EH,'Summary PR PO GR'!AM$3)</f>
        <v>0</v>
      </c>
      <c r="AN19" s="138">
        <f>IFERROR(_xlfn.MINIFS('Database MK'!$EF:$EF,'Database MK'!$G:$G,'Database MK'!$G$353,'Database MK'!$D:$D,'Summary PR PO GR'!$B19,'Database MK'!$H:$H,'Summary PR PO GR'!$C19),0)</f>
        <v>0.8</v>
      </c>
      <c r="AO19" s="172">
        <f>IFERROR(_xlfn.MAXIFS('Database MK'!$EF:$EF,'Database MK'!$G:$G,'Database MK'!$G$353,'Database MK'!$D:$D,'Summary PR PO GR'!$B19,'Database MK'!$H:$H,'Summary PR PO GR'!$C19),0)</f>
        <v>1</v>
      </c>
      <c r="AP19" s="175">
        <f>COUNTIFS('Database MK'!$G:$G,'Database MK'!$G$353,'Database MK'!$D:$D,'Summary PR PO GR'!$B19,'Database MK'!$H:$H,'Summary PR PO GR'!$C19,'Database MK'!$ES:$ES,'Summary PR PO GR'!AP$3)</f>
        <v>0</v>
      </c>
      <c r="AQ19" s="175">
        <f>COUNTIFS('Database MK'!$G:$G,'Database MK'!$G$353,'Database MK'!$D:$D,'Summary PR PO GR'!$B19,'Database MK'!$H:$H,'Summary PR PO GR'!$C19,'Database MK'!$ES:$ES,'Summary PR PO GR'!AQ$3)</f>
        <v>21</v>
      </c>
      <c r="AR19" s="175">
        <f>COUNTIFS('Database MK'!$G:$G,'Database MK'!$G$353,'Database MK'!$D:$D,'Summary PR PO GR'!$B19,'Database MK'!$H:$H,'Summary PR PO GR'!$C19,'Database MK'!$ES:$ES,'Summary PR PO GR'!AR$3)</f>
        <v>5</v>
      </c>
      <c r="AS19" s="175">
        <f>COUNTIFS('Database MK'!$G:$G,'Database MK'!$G$353,'Database MK'!$D:$D,'Summary PR PO GR'!$B19,'Database MK'!$H:$H,'Summary PR PO GR'!$C19,'Database MK'!$ES:$ES,'Summary PR PO GR'!AS$3)</f>
        <v>0</v>
      </c>
      <c r="AT19" s="83">
        <f>IFERROR(_xlfn.MINIFS('Database MK'!$EQ:$EQ,'Database MK'!$G:$G,'Database MK'!$G$353,'Database MK'!$D:$D,'Summary PR PO GR'!$B19,'Database MK'!$H:$H,'Summary PR PO GR'!$C19),0)</f>
        <v>0.16071428571428573</v>
      </c>
      <c r="AU19" s="176">
        <f>IFERROR(_xlfn.MAXIFS('Database MK'!$EQ:$EQ,'Database MK'!$G:$G,'Database MK'!$G$353,'Database MK'!$D:$D,'Summary PR PO GR'!$B19,'Database MK'!$H:$H,'Summary PR PO GR'!$C19),0)</f>
        <v>0.72727272727272729</v>
      </c>
      <c r="AW19" s="43" t="s">
        <v>244</v>
      </c>
      <c r="AX19" s="43" t="s">
        <v>681</v>
      </c>
      <c r="AY19" s="623">
        <f>COUNTIFS('Database MK'!$G:$G,'Database MK'!$G$353,'Database MK'!$D:$D,'Summary PR PO GR'!$B19,'Database MK'!$H:$H,'Summary PR PO GR'!$C19)</f>
        <v>26</v>
      </c>
      <c r="AZ19" s="137">
        <f>SUMIFS('Database MK'!$DY:$DY,'Database MK'!$G:$G,'Database MK'!$G$353,'Database MK'!$D:$D,$AW19,'Database MK'!$H:$H,$AX19)</f>
        <v>720</v>
      </c>
      <c r="BA19" s="137">
        <f>SUMIFS('Database MK'!$EC:$EC,'Database MK'!$G:$G,'Database MK'!$G$353,'Database MK'!$D:$D,$AW19,'Database MK'!$H:$H,$AX19)</f>
        <v>645</v>
      </c>
      <c r="BB19" s="218">
        <f t="shared" ref="BB19:BB24" si="26">IFERROR(BA19/AZ19,0)</f>
        <v>0.89583333333333337</v>
      </c>
      <c r="BC19" s="45">
        <f>SUMIFS('Database MK'!$EO:$EO,'Database MK'!$G:$G,'Database MK'!$G$353,'Database MK'!$D:$D,$AW19,'Database MK'!$H:$H,$AX19)</f>
        <v>361</v>
      </c>
      <c r="BD19" s="219">
        <f t="shared" ref="BD19:BD24" si="27">IFERROR(BC19/AZ19,0)</f>
        <v>0.50138888888888888</v>
      </c>
    </row>
    <row r="20" spans="1:56" x14ac:dyDescent="0.2">
      <c r="A20" s="77" t="s">
        <v>3566</v>
      </c>
      <c r="B20" s="159" t="s">
        <v>673</v>
      </c>
      <c r="C20" s="43" t="s">
        <v>247</v>
      </c>
      <c r="D20" s="623">
        <f>COUNTIFS('Database MK'!$G:$G,'Database MK'!$G$353,'Database MK'!$D:$D,'Summary PR PO GR'!$B20,'Database MK'!$H:$H,'Summary PR PO GR'!$C20)</f>
        <v>13</v>
      </c>
      <c r="E20" s="181">
        <f ca="1">COUNTIFS('Database MK'!$G:$G,'Database MK'!$G$353,'Database MK'!$D:$D,'Summary PR PO GR'!$B20,'Database MK'!$H:$H,'Summary PR PO GR'!$C20,'Database MK'!$Q:$Q,"BATAL / CANCEL")</f>
        <v>0</v>
      </c>
      <c r="F20" s="154">
        <f t="shared" ca="1" si="16"/>
        <v>13</v>
      </c>
      <c r="G20" s="44">
        <f ca="1">COUNTIFS('Database MK'!$G:$G,'Database MK'!$G$353,'Database MK'!$D:$D,'Summary PR PO GR'!$B20,'Database MK'!$H:$H,'Summary PR PO GR'!$C20,'Database MK'!$DE:$DE,"Sudah, OnSchedule")</f>
        <v>12</v>
      </c>
      <c r="H20" s="44">
        <f ca="1">COUNTIFS('Database MK'!$G:$G,'Database MK'!$G$353,'Database MK'!$D:$D,'Summary PR PO GR'!$B20,'Database MK'!$H:$H,'Summary PR PO GR'!$C20,'Database MK'!$DE:$DE,"Sudah, Delay")</f>
        <v>1</v>
      </c>
      <c r="I20" s="44">
        <f t="shared" ca="1" si="17"/>
        <v>0</v>
      </c>
      <c r="J20" s="44">
        <f ca="1">COUNTIFS('Database MK'!$G:$G,'Database MK'!$G$353,'Database MK'!$D:$D,'Summary PR PO GR'!$B20,'Database MK'!$H:$H,'Summary PR PO GR'!$C20,'Database MK'!$DE:$DE,"Belum, OnSchedule")</f>
        <v>0</v>
      </c>
      <c r="K20" s="155">
        <f ca="1">COUNTIFS('Database MK'!$G:$G,'Database MK'!$G$353,'Database MK'!$D:$D,'Summary PR PO GR'!$B20,'Database MK'!$H:$H,'Summary PR PO GR'!$C20,'Database MK'!$DE:$DE,"Belum, Delay")</f>
        <v>0</v>
      </c>
      <c r="L20" s="154">
        <f t="shared" ca="1" si="18"/>
        <v>13</v>
      </c>
      <c r="M20" s="44">
        <f ca="1">COUNTIFS('Database MK'!$G:$G,'Database MK'!$G$353,'Database MK'!$D:$D,'Summary PR PO GR'!$B20,'Database MK'!$H:$H,'Summary PR PO GR'!$C20,'Database MK'!$DI:$DI,"Sudah, OnSchedule")</f>
        <v>4</v>
      </c>
      <c r="N20" s="44">
        <f ca="1">COUNTIFS('Database MK'!$G:$G,'Database MK'!$G$353,'Database MK'!$D:$D,'Summary PR PO GR'!$B20,'Database MK'!$H:$H,'Summary PR PO GR'!$C20,'Database MK'!$DI:$DI,"Sudah, Delay")</f>
        <v>9</v>
      </c>
      <c r="O20" s="44">
        <f t="shared" ca="1" si="19"/>
        <v>0</v>
      </c>
      <c r="P20" s="44">
        <f ca="1">COUNTIFS('Database MK'!$G:$G,'Database MK'!$G$353,'Database MK'!$D:$D,'Summary PR PO GR'!$B20,'Database MK'!$H:$H,'Summary PR PO GR'!$C20,'Database MK'!$DI:$DI,"Belum, OnSchedule")</f>
        <v>0</v>
      </c>
      <c r="Q20" s="191">
        <f ca="1">COUNTIFS('Database MK'!$G:$G,'Database MK'!$G$353,'Database MK'!$D:$D,'Summary PR PO GR'!$B20,'Database MK'!$H:$H,'Summary PR PO GR'!$C20,'Database MK'!$DI:$DI,"Belum, Delay")</f>
        <v>0</v>
      </c>
      <c r="R20" s="160">
        <f t="shared" ca="1" si="20"/>
        <v>13</v>
      </c>
      <c r="S20" s="82">
        <f ca="1">COUNTIFS('Database MK'!$G:$G,'Database MK'!$G$353,'Database MK'!$D:$D,'Summary PR PO GR'!$B20,'Database MK'!$H:$H,'Summary PR PO GR'!$C20,'Database MK'!$DN:$DN,"Sudah, OnSchedule")</f>
        <v>13</v>
      </c>
      <c r="T20" s="82">
        <f ca="1">COUNTIFS('Database MK'!$G:$G,'Database MK'!$G$353,'Database MK'!$D:$D,'Summary PR PO GR'!$B20,'Database MK'!$H:$H,'Summary PR PO GR'!$C20,'Database MK'!$DN:$DN,"Sudah, Delay")</f>
        <v>0</v>
      </c>
      <c r="U20" s="82">
        <f t="shared" ca="1" si="21"/>
        <v>0</v>
      </c>
      <c r="V20" s="82">
        <f ca="1">COUNTIFS('Database MK'!$G:$G,'Database MK'!$G$353,'Database MK'!$D:$D,'Summary PR PO GR'!$B20,'Database MK'!$H:$H,'Summary PR PO GR'!$C20,'Database MK'!$DN:$DN,"Belum, OnSchedule")</f>
        <v>0</v>
      </c>
      <c r="W20" s="161">
        <f ca="1">COUNTIFS('Database MK'!$G:$G,'Database MK'!$G$353,'Database MK'!$D:$D,'Summary PR PO GR'!$B20,'Database MK'!$H:$H,'Summary PR PO GR'!$C20,'Database MK'!$DN:$DN,"Belum, Delay")</f>
        <v>0</v>
      </c>
      <c r="X20" s="160">
        <f t="shared" ca="1" si="22"/>
        <v>13</v>
      </c>
      <c r="Y20" s="82">
        <f ca="1">COUNTIFS('Database MK'!$G:$G,'Database MK'!$G$353,'Database MK'!$D:$D,'Summary PR PO GR'!$B20,'Database MK'!$H:$H,'Summary PR PO GR'!$C20,'Database MK'!$DR:$DR,"Sudah, OnSchedule")</f>
        <v>4</v>
      </c>
      <c r="Z20" s="82">
        <f ca="1">COUNTIFS('Database MK'!$G:$G,'Database MK'!$G$353,'Database MK'!$D:$D,'Summary PR PO GR'!$B20,'Database MK'!$H:$H,'Summary PR PO GR'!$C20,'Database MK'!$DR:$DR,"Sudah, Delay")</f>
        <v>9</v>
      </c>
      <c r="AA20" s="82">
        <f t="shared" ca="1" si="23"/>
        <v>0</v>
      </c>
      <c r="AB20" s="82">
        <f ca="1">COUNTIFS('Database MK'!$G:$G,'Database MK'!$G$353,'Database MK'!$D:$D,'Summary PR PO GR'!$B20,'Database MK'!$H:$H,'Summary PR PO GR'!$C20,'Database MK'!$DR:$DR,"Belum, OnSchedule")</f>
        <v>0</v>
      </c>
      <c r="AC20" s="161">
        <f ca="1">COUNTIFS('Database MK'!$G:$G,'Database MK'!$G$353,'Database MK'!$D:$D,'Summary PR PO GR'!$B20,'Database MK'!$H:$H,'Summary PR PO GR'!$C20,'Database MK'!$DR:$DR,"Belum, Delay")</f>
        <v>0</v>
      </c>
      <c r="AD20" s="165">
        <f t="shared" ca="1" si="24"/>
        <v>13</v>
      </c>
      <c r="AE20" s="137">
        <f ca="1">COUNTIFS('Database MK'!$G:$G,'Database MK'!$G$353,'Database MK'!$D:$D,'Summary PR PO GR'!$B20,'Database MK'!$H:$H,'Summary PR PO GR'!$C20,'Database MK'!$EA:$EA,"Sudah, OnSchedule")</f>
        <v>1</v>
      </c>
      <c r="AF20" s="137">
        <f ca="1">COUNTIFS('Database MK'!$G:$G,'Database MK'!$G$353,'Database MK'!$D:$D,'Summary PR PO GR'!$B20,'Database MK'!$H:$H,'Summary PR PO GR'!$C20,'Database MK'!$EA:$EA,"Sudah, Delay")</f>
        <v>12</v>
      </c>
      <c r="AG20" s="137">
        <f t="shared" ca="1" si="25"/>
        <v>0</v>
      </c>
      <c r="AH20" s="137">
        <f ca="1">COUNTIFS('Database MK'!$G:$G,'Database MK'!$G$353,'Database MK'!$D:$D,'Summary PR PO GR'!$B20,'Database MK'!$H:$H,'Summary PR PO GR'!$C20,'Database MK'!$EA:$EA,"Belum, OnSchedule")</f>
        <v>0</v>
      </c>
      <c r="AI20" s="166">
        <f ca="1">COUNTIFS('Database MK'!$G:$G,'Database MK'!$G$353,'Database MK'!$D:$D,'Summary PR PO GR'!$B20,'Database MK'!$H:$H,'Summary PR PO GR'!$C20,'Database MK'!$EA:$EA,"Belum, Delay")</f>
        <v>0</v>
      </c>
      <c r="AJ20" s="165">
        <f>COUNTIFS('Database MK'!$G:$G,'Database MK'!$G$353,'Database MK'!$D:$D,'Summary PR PO GR'!$B20,'Database MK'!$H:$H,'Summary PR PO GR'!$C20,'Database MK'!$EH:$EH,'Summary PR PO GR'!AJ$3)</f>
        <v>1</v>
      </c>
      <c r="AK20" s="137">
        <f>COUNTIFS('Database MK'!$G:$G,'Database MK'!$G$353,'Database MK'!$D:$D,'Summary PR PO GR'!$B20,'Database MK'!$H:$H,'Summary PR PO GR'!$C20,'Database MK'!$EH:$EH,'Summary PR PO GR'!AK$3)</f>
        <v>12</v>
      </c>
      <c r="AL20" s="137">
        <f>COUNTIFS('Database MK'!$G:$G,'Database MK'!$G$353,'Database MK'!$D:$D,'Summary PR PO GR'!$B20,'Database MK'!$H:$H,'Summary PR PO GR'!$C20,'Database MK'!$EH:$EH,'Summary PR PO GR'!AL$3)</f>
        <v>0</v>
      </c>
      <c r="AM20" s="137">
        <f>COUNTIFS('Database MK'!$G:$G,'Database MK'!$G$353,'Database MK'!$D:$D,'Summary PR PO GR'!$B20,'Database MK'!$H:$H,'Summary PR PO GR'!$C20,'Database MK'!$EH:$EH,'Summary PR PO GR'!AM$3)</f>
        <v>0</v>
      </c>
      <c r="AN20" s="138">
        <f>IFERROR(_xlfn.MINIFS('Database MK'!$EF:$EF,'Database MK'!$G:$G,'Database MK'!$G$353,'Database MK'!$D:$D,'Summary PR PO GR'!$B20,'Database MK'!$H:$H,'Summary PR PO GR'!$C20),0)</f>
        <v>0.90625</v>
      </c>
      <c r="AO20" s="172">
        <f>IFERROR(_xlfn.MAXIFS('Database MK'!$EF:$EF,'Database MK'!$G:$G,'Database MK'!$G$353,'Database MK'!$D:$D,'Summary PR PO GR'!$B20,'Database MK'!$H:$H,'Summary PR PO GR'!$C20),0)</f>
        <v>1</v>
      </c>
      <c r="AP20" s="175">
        <f>COUNTIFS('Database MK'!$G:$G,'Database MK'!$G$353,'Database MK'!$D:$D,'Summary PR PO GR'!$B20,'Database MK'!$H:$H,'Summary PR PO GR'!$C20,'Database MK'!$ES:$ES,'Summary PR PO GR'!AP$3)</f>
        <v>0</v>
      </c>
      <c r="AQ20" s="175">
        <f>COUNTIFS('Database MK'!$G:$G,'Database MK'!$G$353,'Database MK'!$D:$D,'Summary PR PO GR'!$B20,'Database MK'!$H:$H,'Summary PR PO GR'!$C20,'Database MK'!$ES:$ES,'Summary PR PO GR'!AQ$3)</f>
        <v>0</v>
      </c>
      <c r="AR20" s="175">
        <f>COUNTIFS('Database MK'!$G:$G,'Database MK'!$G$353,'Database MK'!$D:$D,'Summary PR PO GR'!$B20,'Database MK'!$H:$H,'Summary PR PO GR'!$C20,'Database MK'!$ES:$ES,'Summary PR PO GR'!AR$3)</f>
        <v>13</v>
      </c>
      <c r="AS20" s="175">
        <f>COUNTIFS('Database MK'!$G:$G,'Database MK'!$G$353,'Database MK'!$D:$D,'Summary PR PO GR'!$B20,'Database MK'!$H:$H,'Summary PR PO GR'!$C20,'Database MK'!$ES:$ES,'Summary PR PO GR'!AS$3)</f>
        <v>0</v>
      </c>
      <c r="AT20" s="83">
        <f>IFERROR(_xlfn.MINIFS('Database MK'!$EQ:$EQ,'Database MK'!$G:$G,'Database MK'!$G$353,'Database MK'!$D:$D,'Summary PR PO GR'!$B20,'Database MK'!$H:$H,'Summary PR PO GR'!$C20),0)</f>
        <v>0.22297297297297297</v>
      </c>
      <c r="AU20" s="176">
        <f>IFERROR(_xlfn.MAXIFS('Database MK'!$EQ:$EQ,'Database MK'!$G:$G,'Database MK'!$G$353,'Database MK'!$D:$D,'Summary PR PO GR'!$B20,'Database MK'!$H:$H,'Summary PR PO GR'!$C20),0)</f>
        <v>0.4247787610619469</v>
      </c>
      <c r="AW20" s="43" t="s">
        <v>673</v>
      </c>
      <c r="AX20" s="43" t="s">
        <v>247</v>
      </c>
      <c r="AY20" s="623">
        <f>COUNTIFS('Database MK'!$G:$G,'Database MK'!$G$353,'Database MK'!$D:$D,'Summary PR PO GR'!$B20,'Database MK'!$H:$H,'Summary PR PO GR'!$C20)</f>
        <v>13</v>
      </c>
      <c r="AZ20" s="137">
        <f>SUMIFS('Database MK'!$DY:$DY,'Database MK'!$G:$G,'Database MK'!$G$353,'Database MK'!$D:$D,$AW20,'Database MK'!$H:$H,$AX20)</f>
        <v>1445</v>
      </c>
      <c r="BA20" s="137">
        <f>SUMIFS('Database MK'!$EC:$EC,'Database MK'!$G:$G,'Database MK'!$G$353,'Database MK'!$D:$D,$AW20,'Database MK'!$H:$H,$AX20)</f>
        <v>1394</v>
      </c>
      <c r="BB20" s="218">
        <f t="shared" si="26"/>
        <v>0.96470588235294119</v>
      </c>
      <c r="BC20" s="45">
        <f>SUMIFS('Database MK'!$EO:$EO,'Database MK'!$G:$G,'Database MK'!$G$353,'Database MK'!$D:$D,$AW20,'Database MK'!$H:$H,$AX20)</f>
        <v>502</v>
      </c>
      <c r="BD20" s="219">
        <f t="shared" si="27"/>
        <v>0.34740484429065743</v>
      </c>
    </row>
    <row r="21" spans="1:56" x14ac:dyDescent="0.2">
      <c r="A21" s="77" t="s">
        <v>3567</v>
      </c>
      <c r="B21" s="159" t="s">
        <v>673</v>
      </c>
      <c r="C21" s="43" t="s">
        <v>681</v>
      </c>
      <c r="D21" s="623">
        <f>COUNTIFS('Database MK'!$G:$G,'Database MK'!$G$353,'Database MK'!$D:$D,'Summary PR PO GR'!$B21,'Database MK'!$H:$H,'Summary PR PO GR'!$C21)</f>
        <v>27</v>
      </c>
      <c r="E21" s="181">
        <f ca="1">COUNTIFS('Database MK'!$G:$G,'Database MK'!$G$353,'Database MK'!$D:$D,'Summary PR PO GR'!$B21,'Database MK'!$H:$H,'Summary PR PO GR'!$C21,'Database MK'!$Q:$Q,"BATAL / CANCEL")</f>
        <v>1</v>
      </c>
      <c r="F21" s="154">
        <f t="shared" ca="1" si="16"/>
        <v>24</v>
      </c>
      <c r="G21" s="44">
        <f ca="1">COUNTIFS('Database MK'!$G:$G,'Database MK'!$G$353,'Database MK'!$D:$D,'Summary PR PO GR'!$B21,'Database MK'!$H:$H,'Summary PR PO GR'!$C21,'Database MK'!$DE:$DE,"Sudah, OnSchedule")</f>
        <v>24</v>
      </c>
      <c r="H21" s="44">
        <f ca="1">COUNTIFS('Database MK'!$G:$G,'Database MK'!$G$353,'Database MK'!$D:$D,'Summary PR PO GR'!$B21,'Database MK'!$H:$H,'Summary PR PO GR'!$C21,'Database MK'!$DE:$DE,"Sudah, Delay")</f>
        <v>0</v>
      </c>
      <c r="I21" s="44">
        <f t="shared" ca="1" si="17"/>
        <v>3</v>
      </c>
      <c r="J21" s="44">
        <f ca="1">COUNTIFS('Database MK'!$G:$G,'Database MK'!$G$353,'Database MK'!$D:$D,'Summary PR PO GR'!$B21,'Database MK'!$H:$H,'Summary PR PO GR'!$C21,'Database MK'!$DE:$DE,"Belum, OnSchedule")</f>
        <v>0</v>
      </c>
      <c r="K21" s="155">
        <f ca="1">COUNTIFS('Database MK'!$G:$G,'Database MK'!$G$353,'Database MK'!$D:$D,'Summary PR PO GR'!$B21,'Database MK'!$H:$H,'Summary PR PO GR'!$C21,'Database MK'!$DE:$DE,"Belum, Delay")</f>
        <v>3</v>
      </c>
      <c r="L21" s="154">
        <f t="shared" ca="1" si="18"/>
        <v>24</v>
      </c>
      <c r="M21" s="44">
        <f ca="1">COUNTIFS('Database MK'!$G:$G,'Database MK'!$G$353,'Database MK'!$D:$D,'Summary PR PO GR'!$B21,'Database MK'!$H:$H,'Summary PR PO GR'!$C21,'Database MK'!$DI:$DI,"Sudah, OnSchedule")</f>
        <v>18</v>
      </c>
      <c r="N21" s="44">
        <f ca="1">COUNTIFS('Database MK'!$G:$G,'Database MK'!$G$353,'Database MK'!$D:$D,'Summary PR PO GR'!$B21,'Database MK'!$H:$H,'Summary PR PO GR'!$C21,'Database MK'!$DI:$DI,"Sudah, Delay")</f>
        <v>6</v>
      </c>
      <c r="O21" s="44">
        <f t="shared" ca="1" si="19"/>
        <v>3</v>
      </c>
      <c r="P21" s="44">
        <f ca="1">COUNTIFS('Database MK'!$G:$G,'Database MK'!$G$353,'Database MK'!$D:$D,'Summary PR PO GR'!$B21,'Database MK'!$H:$H,'Summary PR PO GR'!$C21,'Database MK'!$DI:$DI,"Belum, OnSchedule")</f>
        <v>0</v>
      </c>
      <c r="Q21" s="191">
        <f ca="1">COUNTIFS('Database MK'!$G:$G,'Database MK'!$G$353,'Database MK'!$D:$D,'Summary PR PO GR'!$B21,'Database MK'!$H:$H,'Summary PR PO GR'!$C21,'Database MK'!$DI:$DI,"Belum, Delay")</f>
        <v>3</v>
      </c>
      <c r="R21" s="160">
        <f t="shared" ca="1" si="20"/>
        <v>24</v>
      </c>
      <c r="S21" s="82">
        <f ca="1">COUNTIFS('Database MK'!$G:$G,'Database MK'!$G$353,'Database MK'!$D:$D,'Summary PR PO GR'!$B21,'Database MK'!$H:$H,'Summary PR PO GR'!$C21,'Database MK'!$DN:$DN,"Sudah, OnSchedule")</f>
        <v>21</v>
      </c>
      <c r="T21" s="82">
        <f ca="1">COUNTIFS('Database MK'!$G:$G,'Database MK'!$G$353,'Database MK'!$D:$D,'Summary PR PO GR'!$B21,'Database MK'!$H:$H,'Summary PR PO GR'!$C21,'Database MK'!$DN:$DN,"Sudah, Delay")</f>
        <v>3</v>
      </c>
      <c r="U21" s="82">
        <f t="shared" ca="1" si="21"/>
        <v>3</v>
      </c>
      <c r="V21" s="82">
        <f ca="1">COUNTIFS('Database MK'!$G:$G,'Database MK'!$G$353,'Database MK'!$D:$D,'Summary PR PO GR'!$B21,'Database MK'!$H:$H,'Summary PR PO GR'!$C21,'Database MK'!$DN:$DN,"Belum, OnSchedule")</f>
        <v>0</v>
      </c>
      <c r="W21" s="161">
        <f ca="1">COUNTIFS('Database MK'!$G:$G,'Database MK'!$G$353,'Database MK'!$D:$D,'Summary PR PO GR'!$B21,'Database MK'!$H:$H,'Summary PR PO GR'!$C21,'Database MK'!$DN:$DN,"Belum, Delay")</f>
        <v>3</v>
      </c>
      <c r="X21" s="160">
        <f t="shared" ca="1" si="22"/>
        <v>24</v>
      </c>
      <c r="Y21" s="82">
        <f ca="1">COUNTIFS('Database MK'!$G:$G,'Database MK'!$G$353,'Database MK'!$D:$D,'Summary PR PO GR'!$B21,'Database MK'!$H:$H,'Summary PR PO GR'!$C21,'Database MK'!$DR:$DR,"Sudah, OnSchedule")</f>
        <v>14</v>
      </c>
      <c r="Z21" s="82">
        <f ca="1">COUNTIFS('Database MK'!$G:$G,'Database MK'!$G$353,'Database MK'!$D:$D,'Summary PR PO GR'!$B21,'Database MK'!$H:$H,'Summary PR PO GR'!$C21,'Database MK'!$DR:$DR,"Sudah, Delay")</f>
        <v>10</v>
      </c>
      <c r="AA21" s="82">
        <f t="shared" ca="1" si="23"/>
        <v>3</v>
      </c>
      <c r="AB21" s="82">
        <f ca="1">COUNTIFS('Database MK'!$G:$G,'Database MK'!$G$353,'Database MK'!$D:$D,'Summary PR PO GR'!$B21,'Database MK'!$H:$H,'Summary PR PO GR'!$C21,'Database MK'!$DR:$DR,"Belum, OnSchedule")</f>
        <v>0</v>
      </c>
      <c r="AC21" s="161">
        <f ca="1">COUNTIFS('Database MK'!$G:$G,'Database MK'!$G$353,'Database MK'!$D:$D,'Summary PR PO GR'!$B21,'Database MK'!$H:$H,'Summary PR PO GR'!$C21,'Database MK'!$DR:$DR,"Belum, Delay")</f>
        <v>3</v>
      </c>
      <c r="AD21" s="165">
        <f t="shared" ca="1" si="24"/>
        <v>24</v>
      </c>
      <c r="AE21" s="137">
        <f ca="1">COUNTIFS('Database MK'!$G:$G,'Database MK'!$G$353,'Database MK'!$D:$D,'Summary PR PO GR'!$B21,'Database MK'!$H:$H,'Summary PR PO GR'!$C21,'Database MK'!$EA:$EA,"Sudah, OnSchedule")</f>
        <v>21</v>
      </c>
      <c r="AF21" s="137">
        <f ca="1">COUNTIFS('Database MK'!$G:$G,'Database MK'!$G$353,'Database MK'!$D:$D,'Summary PR PO GR'!$B21,'Database MK'!$H:$H,'Summary PR PO GR'!$C21,'Database MK'!$EA:$EA,"Sudah, Delay")</f>
        <v>3</v>
      </c>
      <c r="AG21" s="137">
        <f t="shared" ca="1" si="25"/>
        <v>3</v>
      </c>
      <c r="AH21" s="137">
        <f ca="1">COUNTIFS('Database MK'!$G:$G,'Database MK'!$G$353,'Database MK'!$D:$D,'Summary PR PO GR'!$B21,'Database MK'!$H:$H,'Summary PR PO GR'!$C21,'Database MK'!$EA:$EA,"Belum, OnSchedule")</f>
        <v>0</v>
      </c>
      <c r="AI21" s="166">
        <f ca="1">COUNTIFS('Database MK'!$G:$G,'Database MK'!$G$353,'Database MK'!$D:$D,'Summary PR PO GR'!$B21,'Database MK'!$H:$H,'Summary PR PO GR'!$C21,'Database MK'!$EA:$EA,"Belum, Delay")</f>
        <v>3</v>
      </c>
      <c r="AJ21" s="165">
        <f>COUNTIFS('Database MK'!$G:$G,'Database MK'!$G$353,'Database MK'!$D:$D,'Summary PR PO GR'!$B21,'Database MK'!$H:$H,'Summary PR PO GR'!$C21,'Database MK'!$EH:$EH,'Summary PR PO GR'!AJ$3)</f>
        <v>7</v>
      </c>
      <c r="AK21" s="137">
        <f>COUNTIFS('Database MK'!$G:$G,'Database MK'!$G$353,'Database MK'!$D:$D,'Summary PR PO GR'!$B21,'Database MK'!$H:$H,'Summary PR PO GR'!$C21,'Database MK'!$EH:$EH,'Summary PR PO GR'!AK$3)</f>
        <v>17</v>
      </c>
      <c r="AL21" s="137">
        <f>COUNTIFS('Database MK'!$G:$G,'Database MK'!$G$353,'Database MK'!$D:$D,'Summary PR PO GR'!$B21,'Database MK'!$H:$H,'Summary PR PO GR'!$C21,'Database MK'!$EH:$EH,'Summary PR PO GR'!AL$3)</f>
        <v>0</v>
      </c>
      <c r="AM21" s="137">
        <f>COUNTIFS('Database MK'!$G:$G,'Database MK'!$G$353,'Database MK'!$D:$D,'Summary PR PO GR'!$B21,'Database MK'!$H:$H,'Summary PR PO GR'!$C21,'Database MK'!$EH:$EH,'Summary PR PO GR'!AM$3)</f>
        <v>3</v>
      </c>
      <c r="AN21" s="138">
        <f>IFERROR(_xlfn.MINIFS('Database MK'!$EF:$EF,'Database MK'!$G:$G,'Database MK'!$G$353,'Database MK'!$D:$D,'Summary PR PO GR'!$B21,'Database MK'!$H:$H,'Summary PR PO GR'!$C21),0)</f>
        <v>0.88</v>
      </c>
      <c r="AO21" s="172">
        <f>IFERROR(_xlfn.MAXIFS('Database MK'!$EF:$EF,'Database MK'!$G:$G,'Database MK'!$G$353,'Database MK'!$D:$D,'Summary PR PO GR'!$B21,'Database MK'!$H:$H,'Summary PR PO GR'!$C21),0)</f>
        <v>1</v>
      </c>
      <c r="AP21" s="175">
        <f>COUNTIFS('Database MK'!$G:$G,'Database MK'!$G$353,'Database MK'!$D:$D,'Summary PR PO GR'!$B21,'Database MK'!$H:$H,'Summary PR PO GR'!$C21,'Database MK'!$ES:$ES,'Summary PR PO GR'!AP$3)</f>
        <v>0</v>
      </c>
      <c r="AQ21" s="175">
        <f>COUNTIFS('Database MK'!$G:$G,'Database MK'!$G$353,'Database MK'!$D:$D,'Summary PR PO GR'!$B21,'Database MK'!$H:$H,'Summary PR PO GR'!$C21,'Database MK'!$ES:$ES,'Summary PR PO GR'!AQ$3)</f>
        <v>3</v>
      </c>
      <c r="AR21" s="175">
        <f>COUNTIFS('Database MK'!$G:$G,'Database MK'!$G$353,'Database MK'!$D:$D,'Summary PR PO GR'!$B21,'Database MK'!$H:$H,'Summary PR PO GR'!$C21,'Database MK'!$ES:$ES,'Summary PR PO GR'!AR$3)</f>
        <v>21</v>
      </c>
      <c r="AS21" s="175">
        <f>COUNTIFS('Database MK'!$G:$G,'Database MK'!$G$353,'Database MK'!$D:$D,'Summary PR PO GR'!$B21,'Database MK'!$H:$H,'Summary PR PO GR'!$C21,'Database MK'!$ES:$ES,'Summary PR PO GR'!AS$3)</f>
        <v>3</v>
      </c>
      <c r="AT21" s="83">
        <f>IFERROR(_xlfn.MINIFS('Database MK'!$EQ:$EQ,'Database MK'!$G:$G,'Database MK'!$G$353,'Database MK'!$D:$D,'Summary PR PO GR'!$B21,'Database MK'!$H:$H,'Summary PR PO GR'!$C21),0)</f>
        <v>0.14893617021276595</v>
      </c>
      <c r="AU21" s="176">
        <f>IFERROR(_xlfn.MAXIFS('Database MK'!$EQ:$EQ,'Database MK'!$G:$G,'Database MK'!$G$353,'Database MK'!$D:$D,'Summary PR PO GR'!$B21,'Database MK'!$H:$H,'Summary PR PO GR'!$C21),0)</f>
        <v>0.96551724137931039</v>
      </c>
      <c r="AW21" s="43" t="s">
        <v>673</v>
      </c>
      <c r="AX21" s="43" t="s">
        <v>681</v>
      </c>
      <c r="AY21" s="623">
        <f>COUNTIFS('Database MK'!$G:$G,'Database MK'!$G$353,'Database MK'!$D:$D,'Summary PR PO GR'!$B21,'Database MK'!$H:$H,'Summary PR PO GR'!$C21)</f>
        <v>27</v>
      </c>
      <c r="AZ21" s="137">
        <f>SUMIFS('Database MK'!$DY:$DY,'Database MK'!$G:$G,'Database MK'!$G$353,'Database MK'!$D:$D,$AW21,'Database MK'!$H:$H,$AX21)</f>
        <v>746</v>
      </c>
      <c r="BA21" s="137">
        <f>SUMIFS('Database MK'!$EC:$EC,'Database MK'!$G:$G,'Database MK'!$G$353,'Database MK'!$D:$D,$AW21,'Database MK'!$H:$H,$AX21)</f>
        <v>717</v>
      </c>
      <c r="BB21" s="218">
        <f t="shared" si="26"/>
        <v>0.96112600536193027</v>
      </c>
      <c r="BC21" s="45">
        <f>SUMIFS('Database MK'!$EO:$EO,'Database MK'!$G:$G,'Database MK'!$G$353,'Database MK'!$D:$D,$AW21,'Database MK'!$H:$H,$AX21)</f>
        <v>293</v>
      </c>
      <c r="BD21" s="219">
        <f t="shared" si="27"/>
        <v>0.39276139410187666</v>
      </c>
    </row>
    <row r="22" spans="1:56" x14ac:dyDescent="0.2">
      <c r="A22" s="77" t="s">
        <v>3568</v>
      </c>
      <c r="B22" s="159" t="s">
        <v>629</v>
      </c>
      <c r="C22" s="43" t="s">
        <v>247</v>
      </c>
      <c r="D22" s="623">
        <f>COUNTIFS('Database MK'!$G:$G,'Database MK'!$G$353,'Database MK'!$D:$D,'Summary PR PO GR'!$B22,'Database MK'!$H:$H,'Summary PR PO GR'!$C22)</f>
        <v>0</v>
      </c>
      <c r="E22" s="181">
        <f>COUNTIFS('Database MK'!$G:$G,'Database MK'!$G$353,'Database MK'!$D:$D,'Summary PR PO GR'!$B22,'Database MK'!$H:$H,'Summary PR PO GR'!$C22,'Database MK'!$Q:$Q,"BATAL / CANCEL")</f>
        <v>0</v>
      </c>
      <c r="F22" s="154">
        <f t="shared" si="16"/>
        <v>0</v>
      </c>
      <c r="G22" s="44">
        <f>COUNTIFS('Database MK'!$G:$G,'Database MK'!$G$353,'Database MK'!$D:$D,'Summary PR PO GR'!$B22,'Database MK'!$H:$H,'Summary PR PO GR'!$C22,'Database MK'!$DE:$DE,"Sudah, OnSchedule")</f>
        <v>0</v>
      </c>
      <c r="H22" s="44">
        <f>COUNTIFS('Database MK'!$G:$G,'Database MK'!$G$353,'Database MK'!$D:$D,'Summary PR PO GR'!$B22,'Database MK'!$H:$H,'Summary PR PO GR'!$C22,'Database MK'!$DE:$DE,"Sudah, Delay")</f>
        <v>0</v>
      </c>
      <c r="I22" s="44">
        <f t="shared" si="17"/>
        <v>0</v>
      </c>
      <c r="J22" s="44">
        <f>COUNTIFS('Database MK'!$G:$G,'Database MK'!$G$353,'Database MK'!$D:$D,'Summary PR PO GR'!$B22,'Database MK'!$H:$H,'Summary PR PO GR'!$C22,'Database MK'!$DE:$DE,"Belum, OnSchedule")</f>
        <v>0</v>
      </c>
      <c r="K22" s="155">
        <f>COUNTIFS('Database MK'!$G:$G,'Database MK'!$G$353,'Database MK'!$D:$D,'Summary PR PO GR'!$B22,'Database MK'!$H:$H,'Summary PR PO GR'!$C22,'Database MK'!$DE:$DE,"Belum, Delay")</f>
        <v>0</v>
      </c>
      <c r="L22" s="154">
        <f t="shared" si="18"/>
        <v>0</v>
      </c>
      <c r="M22" s="44">
        <f>COUNTIFS('Database MK'!$G:$G,'Database MK'!$G$353,'Database MK'!$D:$D,'Summary PR PO GR'!$B22,'Database MK'!$H:$H,'Summary PR PO GR'!$C22,'Database MK'!$DI:$DI,"Sudah, OnSchedule")</f>
        <v>0</v>
      </c>
      <c r="N22" s="44">
        <f>COUNTIFS('Database MK'!$G:$G,'Database MK'!$G$353,'Database MK'!$D:$D,'Summary PR PO GR'!$B22,'Database MK'!$H:$H,'Summary PR PO GR'!$C22,'Database MK'!$DI:$DI,"Sudah, Delay")</f>
        <v>0</v>
      </c>
      <c r="O22" s="44">
        <f t="shared" si="19"/>
        <v>0</v>
      </c>
      <c r="P22" s="44">
        <f>COUNTIFS('Database MK'!$G:$G,'Database MK'!$G$353,'Database MK'!$D:$D,'Summary PR PO GR'!$B22,'Database MK'!$H:$H,'Summary PR PO GR'!$C22,'Database MK'!$DI:$DI,"Belum, OnSchedule")</f>
        <v>0</v>
      </c>
      <c r="Q22" s="191">
        <f>COUNTIFS('Database MK'!$G:$G,'Database MK'!$G$353,'Database MK'!$D:$D,'Summary PR PO GR'!$B22,'Database MK'!$H:$H,'Summary PR PO GR'!$C22,'Database MK'!$DI:$DI,"Belum, Delay")</f>
        <v>0</v>
      </c>
      <c r="R22" s="160">
        <f t="shared" si="20"/>
        <v>0</v>
      </c>
      <c r="S22" s="82">
        <f>COUNTIFS('Database MK'!$G:$G,'Database MK'!$G$353,'Database MK'!$D:$D,'Summary PR PO GR'!$B22,'Database MK'!$H:$H,'Summary PR PO GR'!$C22,'Database MK'!$DN:$DN,"Sudah, OnSchedule")</f>
        <v>0</v>
      </c>
      <c r="T22" s="82">
        <f>COUNTIFS('Database MK'!$G:$G,'Database MK'!$G$353,'Database MK'!$D:$D,'Summary PR PO GR'!$B22,'Database MK'!$H:$H,'Summary PR PO GR'!$C22,'Database MK'!$DN:$DN,"Sudah, Delay")</f>
        <v>0</v>
      </c>
      <c r="U22" s="82">
        <f t="shared" si="21"/>
        <v>0</v>
      </c>
      <c r="V22" s="82">
        <f>COUNTIFS('Database MK'!$G:$G,'Database MK'!$G$353,'Database MK'!$D:$D,'Summary PR PO GR'!$B22,'Database MK'!$H:$H,'Summary PR PO GR'!$C22,'Database MK'!$DN:$DN,"Belum, OnSchedule")</f>
        <v>0</v>
      </c>
      <c r="W22" s="161">
        <f>COUNTIFS('Database MK'!$G:$G,'Database MK'!$G$353,'Database MK'!$D:$D,'Summary PR PO GR'!$B22,'Database MK'!$H:$H,'Summary PR PO GR'!$C22,'Database MK'!$DN:$DN,"Belum, Delay")</f>
        <v>0</v>
      </c>
      <c r="X22" s="160">
        <f t="shared" si="22"/>
        <v>0</v>
      </c>
      <c r="Y22" s="82">
        <f>COUNTIFS('Database MK'!$G:$G,'Database MK'!$G$353,'Database MK'!$D:$D,'Summary PR PO GR'!$B22,'Database MK'!$H:$H,'Summary PR PO GR'!$C22,'Database MK'!$DR:$DR,"Sudah, OnSchedule")</f>
        <v>0</v>
      </c>
      <c r="Z22" s="82">
        <f>COUNTIFS('Database MK'!$G:$G,'Database MK'!$G$353,'Database MK'!$D:$D,'Summary PR PO GR'!$B22,'Database MK'!$H:$H,'Summary PR PO GR'!$C22,'Database MK'!$DR:$DR,"Sudah, Delay")</f>
        <v>0</v>
      </c>
      <c r="AA22" s="82">
        <f t="shared" si="23"/>
        <v>0</v>
      </c>
      <c r="AB22" s="82">
        <f>COUNTIFS('Database MK'!$G:$G,'Database MK'!$G$353,'Database MK'!$D:$D,'Summary PR PO GR'!$B22,'Database MK'!$H:$H,'Summary PR PO GR'!$C22,'Database MK'!$DR:$DR,"Belum, OnSchedule")</f>
        <v>0</v>
      </c>
      <c r="AC22" s="161">
        <f>COUNTIFS('Database MK'!$G:$G,'Database MK'!$G$353,'Database MK'!$D:$D,'Summary PR PO GR'!$B22,'Database MK'!$H:$H,'Summary PR PO GR'!$C22,'Database MK'!$DR:$DR,"Belum, Delay")</f>
        <v>0</v>
      </c>
      <c r="AD22" s="165">
        <f t="shared" si="24"/>
        <v>0</v>
      </c>
      <c r="AE22" s="137">
        <f>COUNTIFS('Database MK'!$G:$G,'Database MK'!$G$353,'Database MK'!$D:$D,'Summary PR PO GR'!$B22,'Database MK'!$H:$H,'Summary PR PO GR'!$C22,'Database MK'!$EA:$EA,"Sudah, OnSchedule")</f>
        <v>0</v>
      </c>
      <c r="AF22" s="137">
        <f>COUNTIFS('Database MK'!$G:$G,'Database MK'!$G$353,'Database MK'!$D:$D,'Summary PR PO GR'!$B22,'Database MK'!$H:$H,'Summary PR PO GR'!$C22,'Database MK'!$EA:$EA,"Sudah, Delay")</f>
        <v>0</v>
      </c>
      <c r="AG22" s="137">
        <f t="shared" si="25"/>
        <v>0</v>
      </c>
      <c r="AH22" s="137">
        <f>COUNTIFS('Database MK'!$G:$G,'Database MK'!$G$353,'Database MK'!$D:$D,'Summary PR PO GR'!$B22,'Database MK'!$H:$H,'Summary PR PO GR'!$C22,'Database MK'!$EA:$EA,"Belum, OnSchedule")</f>
        <v>0</v>
      </c>
      <c r="AI22" s="166">
        <f>COUNTIFS('Database MK'!$G:$G,'Database MK'!$G$353,'Database MK'!$D:$D,'Summary PR PO GR'!$B22,'Database MK'!$H:$H,'Summary PR PO GR'!$C22,'Database MK'!$EA:$EA,"Belum, Delay")</f>
        <v>0</v>
      </c>
      <c r="AJ22" s="165">
        <f>COUNTIFS('Database MK'!$G:$G,'Database MK'!$G$353,'Database MK'!$D:$D,'Summary PR PO GR'!$B22,'Database MK'!$H:$H,'Summary PR PO GR'!$C22,'Database MK'!$EH:$EH,'Summary PR PO GR'!AJ$3)</f>
        <v>0</v>
      </c>
      <c r="AK22" s="137">
        <f>COUNTIFS('Database MK'!$G:$G,'Database MK'!$G$353,'Database MK'!$D:$D,'Summary PR PO GR'!$B22,'Database MK'!$H:$H,'Summary PR PO GR'!$C22,'Database MK'!$EH:$EH,'Summary PR PO GR'!AK$3)</f>
        <v>0</v>
      </c>
      <c r="AL22" s="137">
        <f>COUNTIFS('Database MK'!$G:$G,'Database MK'!$G$353,'Database MK'!$D:$D,'Summary PR PO GR'!$B22,'Database MK'!$H:$H,'Summary PR PO GR'!$C22,'Database MK'!$EH:$EH,'Summary PR PO GR'!AL$3)</f>
        <v>0</v>
      </c>
      <c r="AM22" s="137">
        <f>COUNTIFS('Database MK'!$G:$G,'Database MK'!$G$353,'Database MK'!$D:$D,'Summary PR PO GR'!$B22,'Database MK'!$H:$H,'Summary PR PO GR'!$C22,'Database MK'!$EH:$EH,'Summary PR PO GR'!AM$3)</f>
        <v>0</v>
      </c>
      <c r="AN22" s="138">
        <f>IFERROR(_xlfn.MINIFS('Database MK'!$EF:$EF,'Database MK'!$G:$G,'Database MK'!$G$353,'Database MK'!$D:$D,'Summary PR PO GR'!$B22,'Database MK'!$H:$H,'Summary PR PO GR'!$C22),0)</f>
        <v>0</v>
      </c>
      <c r="AO22" s="172">
        <f>IFERROR(_xlfn.MAXIFS('Database MK'!$EF:$EF,'Database MK'!$G:$G,'Database MK'!$G$353,'Database MK'!$D:$D,'Summary PR PO GR'!$B22,'Database MK'!$H:$H,'Summary PR PO GR'!$C22),0)</f>
        <v>0</v>
      </c>
      <c r="AP22" s="175">
        <f>COUNTIFS('Database MK'!$G:$G,'Database MK'!$G$353,'Database MK'!$D:$D,'Summary PR PO GR'!$B22,'Database MK'!$H:$H,'Summary PR PO GR'!$C22,'Database MK'!$ES:$ES,'Summary PR PO GR'!AP$3)</f>
        <v>0</v>
      </c>
      <c r="AQ22" s="175">
        <f>COUNTIFS('Database MK'!$G:$G,'Database MK'!$G$353,'Database MK'!$D:$D,'Summary PR PO GR'!$B22,'Database MK'!$H:$H,'Summary PR PO GR'!$C22,'Database MK'!$ES:$ES,'Summary PR PO GR'!AQ$3)</f>
        <v>0</v>
      </c>
      <c r="AR22" s="175">
        <f>COUNTIFS('Database MK'!$G:$G,'Database MK'!$G$353,'Database MK'!$D:$D,'Summary PR PO GR'!$B22,'Database MK'!$H:$H,'Summary PR PO GR'!$C22,'Database MK'!$ES:$ES,'Summary PR PO GR'!AR$3)</f>
        <v>0</v>
      </c>
      <c r="AS22" s="175">
        <f>COUNTIFS('Database MK'!$G:$G,'Database MK'!$G$353,'Database MK'!$D:$D,'Summary PR PO GR'!$B22,'Database MK'!$H:$H,'Summary PR PO GR'!$C22,'Database MK'!$ES:$ES,'Summary PR PO GR'!AS$3)</f>
        <v>0</v>
      </c>
      <c r="AT22" s="83">
        <f>IFERROR(_xlfn.MINIFS('Database MK'!$EQ:$EQ,'Database MK'!$G:$G,'Database MK'!$G$353,'Database MK'!$D:$D,'Summary PR PO GR'!$B22,'Database MK'!$H:$H,'Summary PR PO GR'!$C22),0)</f>
        <v>0</v>
      </c>
      <c r="AU22" s="176">
        <f>IFERROR(_xlfn.MAXIFS('Database MK'!$EQ:$EQ,'Database MK'!$G:$G,'Database MK'!$G$353,'Database MK'!$D:$D,'Summary PR PO GR'!$B22,'Database MK'!$H:$H,'Summary PR PO GR'!$C22),0)</f>
        <v>0</v>
      </c>
      <c r="AW22" s="43" t="s">
        <v>629</v>
      </c>
      <c r="AX22" s="43" t="s">
        <v>247</v>
      </c>
      <c r="AY22" s="623">
        <f>COUNTIFS('Database MK'!$G:$G,'Database MK'!$G$353,'Database MK'!$D:$D,'Summary PR PO GR'!$B22,'Database MK'!$H:$H,'Summary PR PO GR'!$C22)</f>
        <v>0</v>
      </c>
      <c r="AZ22" s="137">
        <f>SUMIFS('Database MK'!$DY:$DY,'Database MK'!$G:$G,'Database MK'!$G$353,'Database MK'!$D:$D,$AW22,'Database MK'!$H:$H,$AX22)</f>
        <v>0</v>
      </c>
      <c r="BA22" s="137">
        <f>SUMIFS('Database MK'!$EC:$EC,'Database MK'!$G:$G,'Database MK'!$G$353,'Database MK'!$D:$D,$AW22,'Database MK'!$H:$H,$AX22)</f>
        <v>0</v>
      </c>
      <c r="BB22" s="218">
        <f t="shared" si="26"/>
        <v>0</v>
      </c>
      <c r="BC22" s="45">
        <f>SUMIFS('Database MK'!$EO:$EO,'Database MK'!$G:$G,'Database MK'!$G$353,'Database MK'!$D:$D,$AW22,'Database MK'!$H:$H,$AX22)</f>
        <v>0</v>
      </c>
      <c r="BD22" s="219">
        <f t="shared" si="27"/>
        <v>0</v>
      </c>
    </row>
    <row r="23" spans="1:56" x14ac:dyDescent="0.2">
      <c r="A23" s="77" t="s">
        <v>3569</v>
      </c>
      <c r="B23" s="159" t="s">
        <v>629</v>
      </c>
      <c r="C23" s="43" t="s">
        <v>681</v>
      </c>
      <c r="D23" s="623">
        <f>COUNTIFS('Database MK'!$G:$G,'Database MK'!$G$353,'Database MK'!$D:$D,'Summary PR PO GR'!$B23,'Database MK'!$H:$H,'Summary PR PO GR'!$C23)</f>
        <v>6</v>
      </c>
      <c r="E23" s="181">
        <f ca="1">COUNTIFS('Database MK'!$G:$G,'Database MK'!$G$353,'Database MK'!$D:$D,'Summary PR PO GR'!$B23,'Database MK'!$H:$H,'Summary PR PO GR'!$C23,'Database MK'!$Q:$Q,"BATAL / CANCEL")</f>
        <v>0</v>
      </c>
      <c r="F23" s="154">
        <f t="shared" ca="1" si="16"/>
        <v>6</v>
      </c>
      <c r="G23" s="44">
        <f ca="1">COUNTIFS('Database MK'!$G:$G,'Database MK'!$G$353,'Database MK'!$D:$D,'Summary PR PO GR'!$B23,'Database MK'!$H:$H,'Summary PR PO GR'!$C23,'Database MK'!$DE:$DE,"Sudah, OnSchedule")</f>
        <v>4</v>
      </c>
      <c r="H23" s="44">
        <f ca="1">COUNTIFS('Database MK'!$G:$G,'Database MK'!$G$353,'Database MK'!$D:$D,'Summary PR PO GR'!$B23,'Database MK'!$H:$H,'Summary PR PO GR'!$C23,'Database MK'!$DE:$DE,"Sudah, Delay")</f>
        <v>2</v>
      </c>
      <c r="I23" s="44">
        <f t="shared" ca="1" si="17"/>
        <v>0</v>
      </c>
      <c r="J23" s="44">
        <f ca="1">COUNTIFS('Database MK'!$G:$G,'Database MK'!$G$353,'Database MK'!$D:$D,'Summary PR PO GR'!$B23,'Database MK'!$H:$H,'Summary PR PO GR'!$C23,'Database MK'!$DE:$DE,"Belum, OnSchedule")</f>
        <v>0</v>
      </c>
      <c r="K23" s="155">
        <f ca="1">COUNTIFS('Database MK'!$G:$G,'Database MK'!$G$353,'Database MK'!$D:$D,'Summary PR PO GR'!$B23,'Database MK'!$H:$H,'Summary PR PO GR'!$C23,'Database MK'!$DE:$DE,"Belum, Delay")</f>
        <v>0</v>
      </c>
      <c r="L23" s="154">
        <f t="shared" ca="1" si="18"/>
        <v>6</v>
      </c>
      <c r="M23" s="44">
        <f ca="1">COUNTIFS('Database MK'!$G:$G,'Database MK'!$G$353,'Database MK'!$D:$D,'Summary PR PO GR'!$B23,'Database MK'!$H:$H,'Summary PR PO GR'!$C23,'Database MK'!$DI:$DI,"Sudah, OnSchedule")</f>
        <v>4</v>
      </c>
      <c r="N23" s="44">
        <f ca="1">COUNTIFS('Database MK'!$G:$G,'Database MK'!$G$353,'Database MK'!$D:$D,'Summary PR PO GR'!$B23,'Database MK'!$H:$H,'Summary PR PO GR'!$C23,'Database MK'!$DI:$DI,"Sudah, Delay")</f>
        <v>2</v>
      </c>
      <c r="O23" s="44">
        <f t="shared" ca="1" si="19"/>
        <v>0</v>
      </c>
      <c r="P23" s="44">
        <f ca="1">COUNTIFS('Database MK'!$G:$G,'Database MK'!$G$353,'Database MK'!$D:$D,'Summary PR PO GR'!$B23,'Database MK'!$H:$H,'Summary PR PO GR'!$C23,'Database MK'!$DI:$DI,"Belum, OnSchedule")</f>
        <v>0</v>
      </c>
      <c r="Q23" s="191">
        <f ca="1">COUNTIFS('Database MK'!$G:$G,'Database MK'!$G$353,'Database MK'!$D:$D,'Summary PR PO GR'!$B23,'Database MK'!$H:$H,'Summary PR PO GR'!$C23,'Database MK'!$DI:$DI,"Belum, Delay")</f>
        <v>0</v>
      </c>
      <c r="R23" s="160">
        <f t="shared" ca="1" si="20"/>
        <v>6</v>
      </c>
      <c r="S23" s="82">
        <f ca="1">COUNTIFS('Database MK'!$G:$G,'Database MK'!$G$353,'Database MK'!$D:$D,'Summary PR PO GR'!$B23,'Database MK'!$H:$H,'Summary PR PO GR'!$C23,'Database MK'!$DN:$DN,"Sudah, OnSchedule")</f>
        <v>6</v>
      </c>
      <c r="T23" s="82">
        <f ca="1">COUNTIFS('Database MK'!$G:$G,'Database MK'!$G$353,'Database MK'!$D:$D,'Summary PR PO GR'!$B23,'Database MK'!$H:$H,'Summary PR PO GR'!$C23,'Database MK'!$DN:$DN,"Sudah, Delay")</f>
        <v>0</v>
      </c>
      <c r="U23" s="82">
        <f t="shared" ca="1" si="21"/>
        <v>0</v>
      </c>
      <c r="V23" s="82">
        <f ca="1">COUNTIFS('Database MK'!$G:$G,'Database MK'!$G$353,'Database MK'!$D:$D,'Summary PR PO GR'!$B23,'Database MK'!$H:$H,'Summary PR PO GR'!$C23,'Database MK'!$DN:$DN,"Belum, OnSchedule")</f>
        <v>0</v>
      </c>
      <c r="W23" s="161">
        <f ca="1">COUNTIFS('Database MK'!$G:$G,'Database MK'!$G$353,'Database MK'!$D:$D,'Summary PR PO GR'!$B23,'Database MK'!$H:$H,'Summary PR PO GR'!$C23,'Database MK'!$DN:$DN,"Belum, Delay")</f>
        <v>0</v>
      </c>
      <c r="X23" s="160">
        <f t="shared" ca="1" si="22"/>
        <v>6</v>
      </c>
      <c r="Y23" s="82">
        <f ca="1">COUNTIFS('Database MK'!$G:$G,'Database MK'!$G$353,'Database MK'!$D:$D,'Summary PR PO GR'!$B23,'Database MK'!$H:$H,'Summary PR PO GR'!$C23,'Database MK'!$DR:$DR,"Sudah, OnSchedule")</f>
        <v>5</v>
      </c>
      <c r="Z23" s="82">
        <f ca="1">COUNTIFS('Database MK'!$G:$G,'Database MK'!$G$353,'Database MK'!$D:$D,'Summary PR PO GR'!$B23,'Database MK'!$H:$H,'Summary PR PO GR'!$C23,'Database MK'!$DR:$DR,"Sudah, Delay")</f>
        <v>1</v>
      </c>
      <c r="AA23" s="82">
        <f t="shared" ca="1" si="23"/>
        <v>0</v>
      </c>
      <c r="AB23" s="82">
        <f ca="1">COUNTIFS('Database MK'!$G:$G,'Database MK'!$G$353,'Database MK'!$D:$D,'Summary PR PO GR'!$B23,'Database MK'!$H:$H,'Summary PR PO GR'!$C23,'Database MK'!$DR:$DR,"Belum, OnSchedule")</f>
        <v>0</v>
      </c>
      <c r="AC23" s="161">
        <f ca="1">COUNTIFS('Database MK'!$G:$G,'Database MK'!$G$353,'Database MK'!$D:$D,'Summary PR PO GR'!$B23,'Database MK'!$H:$H,'Summary PR PO GR'!$C23,'Database MK'!$DR:$DR,"Belum, Delay")</f>
        <v>0</v>
      </c>
      <c r="AD23" s="165">
        <f t="shared" ca="1" si="24"/>
        <v>6</v>
      </c>
      <c r="AE23" s="137">
        <f ca="1">COUNTIFS('Database MK'!$G:$G,'Database MK'!$G$353,'Database MK'!$D:$D,'Summary PR PO GR'!$B23,'Database MK'!$H:$H,'Summary PR PO GR'!$C23,'Database MK'!$EA:$EA,"Sudah, OnSchedule")</f>
        <v>4</v>
      </c>
      <c r="AF23" s="137">
        <f ca="1">COUNTIFS('Database MK'!$G:$G,'Database MK'!$G$353,'Database MK'!$D:$D,'Summary PR PO GR'!$B23,'Database MK'!$H:$H,'Summary PR PO GR'!$C23,'Database MK'!$EA:$EA,"Sudah, Delay")</f>
        <v>2</v>
      </c>
      <c r="AG23" s="137">
        <f t="shared" ca="1" si="25"/>
        <v>0</v>
      </c>
      <c r="AH23" s="137">
        <f ca="1">COUNTIFS('Database MK'!$G:$G,'Database MK'!$G$353,'Database MK'!$D:$D,'Summary PR PO GR'!$B23,'Database MK'!$H:$H,'Summary PR PO GR'!$C23,'Database MK'!$EA:$EA,"Belum, OnSchedule")</f>
        <v>0</v>
      </c>
      <c r="AI23" s="166">
        <f ca="1">COUNTIFS('Database MK'!$G:$G,'Database MK'!$G$353,'Database MK'!$D:$D,'Summary PR PO GR'!$B23,'Database MK'!$H:$H,'Summary PR PO GR'!$C23,'Database MK'!$EA:$EA,"Belum, Delay")</f>
        <v>0</v>
      </c>
      <c r="AJ23" s="165">
        <f>COUNTIFS('Database MK'!$G:$G,'Database MK'!$G$353,'Database MK'!$D:$D,'Summary PR PO GR'!$B23,'Database MK'!$H:$H,'Summary PR PO GR'!$C23,'Database MK'!$EH:$EH,'Summary PR PO GR'!AJ$3)</f>
        <v>3</v>
      </c>
      <c r="AK23" s="137">
        <f>COUNTIFS('Database MK'!$G:$G,'Database MK'!$G$353,'Database MK'!$D:$D,'Summary PR PO GR'!$B23,'Database MK'!$H:$H,'Summary PR PO GR'!$C23,'Database MK'!$EH:$EH,'Summary PR PO GR'!AK$3)</f>
        <v>2</v>
      </c>
      <c r="AL23" s="137">
        <f>COUNTIFS('Database MK'!$G:$G,'Database MK'!$G$353,'Database MK'!$D:$D,'Summary PR PO GR'!$B23,'Database MK'!$H:$H,'Summary PR PO GR'!$C23,'Database MK'!$EH:$EH,'Summary PR PO GR'!AL$3)</f>
        <v>1</v>
      </c>
      <c r="AM23" s="137">
        <f>COUNTIFS('Database MK'!$G:$G,'Database MK'!$G$353,'Database MK'!$D:$D,'Summary PR PO GR'!$B23,'Database MK'!$H:$H,'Summary PR PO GR'!$C23,'Database MK'!$EH:$EH,'Summary PR PO GR'!AM$3)</f>
        <v>0</v>
      </c>
      <c r="AN23" s="138">
        <f>IFERROR(_xlfn.MINIFS('Database MK'!$EF:$EF,'Database MK'!$G:$G,'Database MK'!$G$353,'Database MK'!$D:$D,'Summary PR PO GR'!$B23,'Database MK'!$H:$H,'Summary PR PO GR'!$C23),0)</f>
        <v>0.33333333333333331</v>
      </c>
      <c r="AO23" s="172">
        <f>IFERROR(_xlfn.MAXIFS('Database MK'!$EF:$EF,'Database MK'!$G:$G,'Database MK'!$G$353,'Database MK'!$D:$D,'Summary PR PO GR'!$B23,'Database MK'!$H:$H,'Summary PR PO GR'!$C23),0)</f>
        <v>1</v>
      </c>
      <c r="AP23" s="175">
        <f>COUNTIFS('Database MK'!$G:$G,'Database MK'!$G$353,'Database MK'!$D:$D,'Summary PR PO GR'!$B23,'Database MK'!$H:$H,'Summary PR PO GR'!$C23,'Database MK'!$ES:$ES,'Summary PR PO GR'!AP$3)</f>
        <v>0</v>
      </c>
      <c r="AQ23" s="175">
        <f>COUNTIFS('Database MK'!$G:$G,'Database MK'!$G$353,'Database MK'!$D:$D,'Summary PR PO GR'!$B23,'Database MK'!$H:$H,'Summary PR PO GR'!$C23,'Database MK'!$ES:$ES,'Summary PR PO GR'!AQ$3)</f>
        <v>4</v>
      </c>
      <c r="AR23" s="175">
        <f>COUNTIFS('Database MK'!$G:$G,'Database MK'!$G$353,'Database MK'!$D:$D,'Summary PR PO GR'!$B23,'Database MK'!$H:$H,'Summary PR PO GR'!$C23,'Database MK'!$ES:$ES,'Summary PR PO GR'!AR$3)</f>
        <v>1</v>
      </c>
      <c r="AS23" s="175">
        <f>COUNTIFS('Database MK'!$G:$G,'Database MK'!$G$353,'Database MK'!$D:$D,'Summary PR PO GR'!$B23,'Database MK'!$H:$H,'Summary PR PO GR'!$C23,'Database MK'!$ES:$ES,'Summary PR PO GR'!AS$3)</f>
        <v>1</v>
      </c>
      <c r="AT23" s="83">
        <f>IFERROR(_xlfn.MINIFS('Database MK'!$EQ:$EQ,'Database MK'!$G:$G,'Database MK'!$G$353,'Database MK'!$D:$D,'Summary PR PO GR'!$B23,'Database MK'!$H:$H,'Summary PR PO GR'!$C23),0)</f>
        <v>0</v>
      </c>
      <c r="AU23" s="176">
        <f>IFERROR(_xlfn.MAXIFS('Database MK'!$EQ:$EQ,'Database MK'!$G:$G,'Database MK'!$G$353,'Database MK'!$D:$D,'Summary PR PO GR'!$B23,'Database MK'!$H:$H,'Summary PR PO GR'!$C23),0)</f>
        <v>0.88461538461538458</v>
      </c>
      <c r="AW23" s="43" t="s">
        <v>629</v>
      </c>
      <c r="AX23" s="43" t="s">
        <v>681</v>
      </c>
      <c r="AY23" s="623">
        <f>COUNTIFS('Database MK'!$G:$G,'Database MK'!$G$353,'Database MK'!$D:$D,'Summary PR PO GR'!$B23,'Database MK'!$H:$H,'Summary PR PO GR'!$C23)</f>
        <v>6</v>
      </c>
      <c r="AZ23" s="137">
        <f>SUMIFS('Database MK'!$DY:$DY,'Database MK'!$G:$G,'Database MK'!$G$353,'Database MK'!$D:$D,$AW23,'Database MK'!$H:$H,$AX23)</f>
        <v>167</v>
      </c>
      <c r="BA23" s="137">
        <f>SUMIFS('Database MK'!$EC:$EC,'Database MK'!$G:$G,'Database MK'!$G$353,'Database MK'!$D:$D,$AW23,'Database MK'!$H:$H,$AX23)</f>
        <v>153</v>
      </c>
      <c r="BB23" s="218">
        <f t="shared" si="26"/>
        <v>0.91616766467065869</v>
      </c>
      <c r="BC23" s="45">
        <f>SUMIFS('Database MK'!$EO:$EO,'Database MK'!$G:$G,'Database MK'!$G$353,'Database MK'!$D:$D,$AW23,'Database MK'!$H:$H,$AX23)</f>
        <v>91</v>
      </c>
      <c r="BD23" s="219">
        <f t="shared" si="27"/>
        <v>0.54491017964071853</v>
      </c>
    </row>
    <row r="24" spans="1:56" ht="26.25" customHeight="1" thickBot="1" x14ac:dyDescent="0.25">
      <c r="B24" s="644" t="s">
        <v>3570</v>
      </c>
      <c r="C24" s="645"/>
      <c r="D24" s="624">
        <f t="shared" ref="D24:AM24" si="28">SUM(D18:D23)</f>
        <v>96</v>
      </c>
      <c r="E24" s="182">
        <f t="shared" ca="1" si="28"/>
        <v>4</v>
      </c>
      <c r="F24" s="156">
        <f t="shared" ca="1" si="28"/>
        <v>93</v>
      </c>
      <c r="G24" s="157">
        <f t="shared" ca="1" si="28"/>
        <v>78</v>
      </c>
      <c r="H24" s="157">
        <f t="shared" ca="1" si="28"/>
        <v>15</v>
      </c>
      <c r="I24" s="157">
        <f t="shared" ca="1" si="28"/>
        <v>3</v>
      </c>
      <c r="J24" s="157">
        <f t="shared" ca="1" si="28"/>
        <v>0</v>
      </c>
      <c r="K24" s="158">
        <f t="shared" ca="1" si="28"/>
        <v>3</v>
      </c>
      <c r="L24" s="156">
        <f t="shared" ca="1" si="28"/>
        <v>93</v>
      </c>
      <c r="M24" s="157">
        <f t="shared" ca="1" si="28"/>
        <v>42</v>
      </c>
      <c r="N24" s="157">
        <f t="shared" ca="1" si="28"/>
        <v>51</v>
      </c>
      <c r="O24" s="157">
        <f t="shared" ca="1" si="28"/>
        <v>3</v>
      </c>
      <c r="P24" s="157">
        <f t="shared" ca="1" si="28"/>
        <v>0</v>
      </c>
      <c r="Q24" s="192">
        <f t="shared" ca="1" si="28"/>
        <v>3</v>
      </c>
      <c r="R24" s="162">
        <f t="shared" ca="1" si="28"/>
        <v>93</v>
      </c>
      <c r="S24" s="163">
        <f t="shared" ca="1" si="28"/>
        <v>63</v>
      </c>
      <c r="T24" s="163">
        <f t="shared" ca="1" si="28"/>
        <v>30</v>
      </c>
      <c r="U24" s="163">
        <f t="shared" ca="1" si="28"/>
        <v>3</v>
      </c>
      <c r="V24" s="163">
        <f t="shared" ca="1" si="28"/>
        <v>0</v>
      </c>
      <c r="W24" s="164">
        <f t="shared" ca="1" si="28"/>
        <v>3</v>
      </c>
      <c r="X24" s="162">
        <f t="shared" ca="1" si="28"/>
        <v>93</v>
      </c>
      <c r="Y24" s="163">
        <f t="shared" ca="1" si="28"/>
        <v>33</v>
      </c>
      <c r="Z24" s="163">
        <f t="shared" ca="1" si="28"/>
        <v>60</v>
      </c>
      <c r="AA24" s="163">
        <f t="shared" ca="1" si="28"/>
        <v>3</v>
      </c>
      <c r="AB24" s="163">
        <f t="shared" ca="1" si="28"/>
        <v>0</v>
      </c>
      <c r="AC24" s="164">
        <f t="shared" ca="1" si="28"/>
        <v>3</v>
      </c>
      <c r="AD24" s="167">
        <f t="shared" ca="1" si="28"/>
        <v>93</v>
      </c>
      <c r="AE24" s="168">
        <f t="shared" ca="1" si="28"/>
        <v>42</v>
      </c>
      <c r="AF24" s="168">
        <f t="shared" ca="1" si="28"/>
        <v>51</v>
      </c>
      <c r="AG24" s="168">
        <f t="shared" ca="1" si="28"/>
        <v>3</v>
      </c>
      <c r="AH24" s="168">
        <f t="shared" ca="1" si="28"/>
        <v>0</v>
      </c>
      <c r="AI24" s="169">
        <f t="shared" ca="1" si="28"/>
        <v>3</v>
      </c>
      <c r="AJ24" s="167">
        <f t="shared" si="28"/>
        <v>13</v>
      </c>
      <c r="AK24" s="168">
        <f t="shared" si="28"/>
        <v>77</v>
      </c>
      <c r="AL24" s="168">
        <f t="shared" ref="AL24" si="29">SUM(AL18:AL23)</f>
        <v>3</v>
      </c>
      <c r="AM24" s="168">
        <f t="shared" si="28"/>
        <v>3</v>
      </c>
      <c r="AN24" s="173"/>
      <c r="AO24" s="174"/>
      <c r="AP24" s="177">
        <f t="shared" ref="AP24:AS24" si="30">SUM(AP18:AP23)</f>
        <v>0</v>
      </c>
      <c r="AQ24" s="178">
        <f t="shared" si="30"/>
        <v>30</v>
      </c>
      <c r="AR24" s="178">
        <f t="shared" ref="AR24" si="31">SUM(AR18:AR23)</f>
        <v>61</v>
      </c>
      <c r="AS24" s="178">
        <f t="shared" si="30"/>
        <v>5</v>
      </c>
      <c r="AT24" s="179"/>
      <c r="AU24" s="180"/>
      <c r="AW24" s="638" t="s">
        <v>3570</v>
      </c>
      <c r="AX24" s="638"/>
      <c r="AY24" s="623">
        <f t="shared" ref="AY24:BA24" si="32">SUM(AY18:AY23)</f>
        <v>96</v>
      </c>
      <c r="AZ24" s="137">
        <f t="shared" si="32"/>
        <v>5574</v>
      </c>
      <c r="BA24" s="137">
        <f t="shared" si="32"/>
        <v>4989</v>
      </c>
      <c r="BB24" s="218">
        <f t="shared" si="26"/>
        <v>0.89504843918191601</v>
      </c>
      <c r="BC24" s="45">
        <f t="shared" ref="BC24" si="33">SUM(BC18:BC23)</f>
        <v>1910</v>
      </c>
      <c r="BD24" s="219">
        <f t="shared" si="27"/>
        <v>0.34266236096160746</v>
      </c>
    </row>
  </sheetData>
  <mergeCells count="46">
    <mergeCell ref="B24:C24"/>
    <mergeCell ref="AJ15:AO15"/>
    <mergeCell ref="B16:B17"/>
    <mergeCell ref="C16:C17"/>
    <mergeCell ref="B15:E15"/>
    <mergeCell ref="AD15:AI15"/>
    <mergeCell ref="F2:K2"/>
    <mergeCell ref="R2:W2"/>
    <mergeCell ref="L2:Q2"/>
    <mergeCell ref="X2:AC2"/>
    <mergeCell ref="AD2:AI2"/>
    <mergeCell ref="BD16:BD17"/>
    <mergeCell ref="B12:C12"/>
    <mergeCell ref="B2:E2"/>
    <mergeCell ref="B3:B4"/>
    <mergeCell ref="C3:C4"/>
    <mergeCell ref="D3:D4"/>
    <mergeCell ref="E3:E4"/>
    <mergeCell ref="AP2:AU2"/>
    <mergeCell ref="AJ2:AO2"/>
    <mergeCell ref="E16:E17"/>
    <mergeCell ref="D16:D17"/>
    <mergeCell ref="AP15:AU15"/>
    <mergeCell ref="F15:K15"/>
    <mergeCell ref="L15:Q15"/>
    <mergeCell ref="R15:W15"/>
    <mergeCell ref="X15:AC15"/>
    <mergeCell ref="AW3:AW4"/>
    <mergeCell ref="AX3:AX4"/>
    <mergeCell ref="AY3:AY4"/>
    <mergeCell ref="AW2:BD2"/>
    <mergeCell ref="AW15:BD15"/>
    <mergeCell ref="AZ3:AZ4"/>
    <mergeCell ref="BD3:BD4"/>
    <mergeCell ref="BC3:BC4"/>
    <mergeCell ref="BB3:BB4"/>
    <mergeCell ref="BA3:BA4"/>
    <mergeCell ref="AW12:AX12"/>
    <mergeCell ref="BC16:BC17"/>
    <mergeCell ref="BB16:BB17"/>
    <mergeCell ref="BA16:BA17"/>
    <mergeCell ref="AZ16:AZ17"/>
    <mergeCell ref="AW24:AX24"/>
    <mergeCell ref="AW16:AW17"/>
    <mergeCell ref="AX16:AX17"/>
    <mergeCell ref="AY16:AY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A5F5C-4B0C-42A8-9479-8D4B7CB2AE8E}">
  <sheetPr codeName="Sheet3"/>
  <dimension ref="C1:X37"/>
  <sheetViews>
    <sheetView workbookViewId="0">
      <selection activeCell="G41" sqref="G41"/>
    </sheetView>
  </sheetViews>
  <sheetFormatPr baseColWidth="10" defaultColWidth="9" defaultRowHeight="14" x14ac:dyDescent="0.2"/>
  <cols>
    <col min="1" max="2" width="9" style="111"/>
    <col min="3" max="8" width="10.5" style="112" customWidth="1"/>
    <col min="9" max="15" width="10.5" style="114" customWidth="1"/>
    <col min="16" max="18" width="10.5" style="111" customWidth="1"/>
    <col min="19" max="19" width="9" style="111"/>
    <col min="20" max="20" width="28.5" style="111" bestFit="1" customWidth="1"/>
    <col min="21" max="16384" width="9" style="111"/>
  </cols>
  <sheetData>
    <row r="1" spans="3:24" customFormat="1" ht="15" x14ac:dyDescent="0.2">
      <c r="C1" s="7"/>
      <c r="D1" s="7"/>
      <c r="E1" s="7"/>
      <c r="F1" s="7"/>
      <c r="G1" s="7"/>
      <c r="H1" s="7"/>
      <c r="I1" s="113"/>
      <c r="J1" s="113"/>
      <c r="K1" s="113"/>
      <c r="L1" s="113"/>
      <c r="M1" s="113"/>
      <c r="N1" s="113"/>
      <c r="O1" s="113"/>
    </row>
    <row r="2" spans="3:24" ht="15" x14ac:dyDescent="0.2">
      <c r="C2" s="669" t="s">
        <v>3572</v>
      </c>
      <c r="D2" s="626"/>
      <c r="E2" s="669" t="s">
        <v>164</v>
      </c>
      <c r="F2" s="669"/>
      <c r="G2" s="669"/>
      <c r="H2" s="669"/>
      <c r="I2" s="669"/>
      <c r="J2" s="669"/>
      <c r="K2" s="669"/>
      <c r="L2" s="669"/>
      <c r="M2" s="669"/>
      <c r="N2" s="669"/>
      <c r="O2" s="669"/>
      <c r="P2" s="669"/>
      <c r="Q2" s="669"/>
      <c r="R2" s="669"/>
      <c r="T2" s="89" t="s">
        <v>164</v>
      </c>
      <c r="U2" s="90" t="s">
        <v>3573</v>
      </c>
      <c r="V2" s="90" t="s">
        <v>3544</v>
      </c>
      <c r="W2" s="90" t="s">
        <v>3545</v>
      </c>
      <c r="X2" s="91" t="s">
        <v>3574</v>
      </c>
    </row>
    <row r="3" spans="3:24" ht="60" x14ac:dyDescent="0.2">
      <c r="C3" s="669"/>
      <c r="D3" s="626"/>
      <c r="E3" s="139" t="s">
        <v>2759</v>
      </c>
      <c r="F3" s="139" t="s">
        <v>3575</v>
      </c>
      <c r="G3" s="139" t="s">
        <v>2806</v>
      </c>
      <c r="H3" s="139" t="s">
        <v>3281</v>
      </c>
      <c r="I3" s="139" t="s">
        <v>3576</v>
      </c>
      <c r="J3" s="139" t="s">
        <v>3577</v>
      </c>
      <c r="K3" s="139" t="s">
        <v>2748</v>
      </c>
      <c r="L3" s="139" t="s">
        <v>1592</v>
      </c>
      <c r="M3" s="139" t="s">
        <v>298</v>
      </c>
      <c r="N3" s="139" t="s">
        <v>259</v>
      </c>
      <c r="O3" s="139" t="s">
        <v>1337</v>
      </c>
      <c r="P3" s="139" t="s">
        <v>3578</v>
      </c>
      <c r="Q3" s="139" t="s">
        <v>3579</v>
      </c>
      <c r="R3" s="139" t="s">
        <v>3574</v>
      </c>
      <c r="T3" s="115" t="s">
        <v>2759</v>
      </c>
      <c r="U3" s="92">
        <f>COUNTIFS('Database MK'!$G:$G,'Database MK'!$G$237,'Database MK'!$FI:$FI,'Summary Izin'!$T3,'Database MK'!$GE:$GE,'Summary Izin'!U$2)</f>
        <v>0</v>
      </c>
      <c r="V3" s="92">
        <f>COUNTIFS('Database MK'!$G:$G,'Database MK'!$G$237,'Database MK'!$FI:$FI,'Summary Izin'!$T3,'Database MK'!$GE:$GE,'Summary Izin'!V$2)</f>
        <v>0</v>
      </c>
      <c r="W3" s="92">
        <f>COUNTIFS('Database MK'!$G:$G,'Database MK'!$G$237,'Database MK'!$FI:$FI,'Summary Izin'!$T3,'Database MK'!$GE:$GE,'Summary Izin'!W$2)</f>
        <v>0</v>
      </c>
      <c r="X3" s="93">
        <f>COUNTIFS('Database MK'!$G:$G,'Database MK'!$G$237,'Database MK'!$FI:$FI,'Summary Izin'!$T3)</f>
        <v>0</v>
      </c>
    </row>
    <row r="4" spans="3:24" ht="15" x14ac:dyDescent="0.2">
      <c r="C4" s="135">
        <v>45748</v>
      </c>
      <c r="D4" s="135"/>
      <c r="E4" s="136">
        <f>COUNTIFS('Database MK'!$G:$G,'Summary Izin'!$C4,'Database MK'!$FI:$FI,'Summary Izin'!E$3)</f>
        <v>0</v>
      </c>
      <c r="F4" s="136">
        <f>COUNTIFS('Database MK'!$G:$G,'Summary Izin'!$C4,'Database MK'!$FI:$FI,'Summary Izin'!F$3)</f>
        <v>0</v>
      </c>
      <c r="G4" s="136">
        <f>COUNTIFS('Database MK'!$G:$G,'Summary Izin'!$C4,'Database MK'!$FI:$FI,'Summary Izin'!G$3)</f>
        <v>0</v>
      </c>
      <c r="H4" s="136">
        <f>COUNTIFS('Database MK'!$G:$G,'Summary Izin'!$C4,'Database MK'!$FI:$FI,'Summary Izin'!H$3)</f>
        <v>0</v>
      </c>
      <c r="I4" s="136">
        <f>COUNTIFS('Database MK'!$G:$G,'Summary Izin'!$C4,'Database MK'!$FI:$FI,'Summary Izin'!I$3)</f>
        <v>0</v>
      </c>
      <c r="J4" s="136">
        <f>COUNTIFS('Database MK'!$G:$G,'Summary Izin'!$C4,'Database MK'!$FI:$FI,'Summary Izin'!J$3)</f>
        <v>0</v>
      </c>
      <c r="K4" s="136">
        <f>COUNTIFS('Database MK'!$G:$G,'Summary Izin'!$C4,'Database MK'!$FI:$FI,'Summary Izin'!K$3)</f>
        <v>0</v>
      </c>
      <c r="L4" s="136">
        <f>COUNTIFS('Database MK'!$G:$G,'Summary Izin'!$C4,'Database MK'!$FI:$FI,'Summary Izin'!L$3)</f>
        <v>0</v>
      </c>
      <c r="M4" s="136">
        <f>COUNTIFS('Database MK'!$G:$G,'Summary Izin'!$C4,'Database MK'!$FI:$FI,'Summary Izin'!M$3)</f>
        <v>0</v>
      </c>
      <c r="N4" s="136">
        <f>COUNTIFS('Database MK'!$G:$G,'Summary Izin'!$C4,'Database MK'!$FI:$FI,'Summary Izin'!N$3)</f>
        <v>0</v>
      </c>
      <c r="O4" s="136">
        <f>COUNTIFS('Database MK'!$G:$G,'Summary Izin'!$C4,'Database MK'!$FI:$FI,'Summary Izin'!O$3)</f>
        <v>0</v>
      </c>
      <c r="P4" s="136">
        <f>COUNTIFS('Database MK'!$G:$G,'Summary Izin'!$C4,'Database MK'!$FI:$FI,'Summary Izin'!P$3)</f>
        <v>0</v>
      </c>
      <c r="Q4" s="136">
        <f>COUNTIFS('Database MK'!$G:$G,'Summary Izin'!$C4,'Database MK'!$FI:$FI,'Summary Izin'!Q$3)</f>
        <v>0</v>
      </c>
      <c r="R4" s="136">
        <f t="shared" ref="R4:R6" si="0">SUM(E4:Q4)</f>
        <v>0</v>
      </c>
      <c r="T4" s="115" t="s">
        <v>3580</v>
      </c>
      <c r="U4" s="92">
        <f>COUNTIFS('Database MK'!$G:$G,'Database MK'!$G$237,'Database MK'!$FI:$FI,'Summary Izin'!$T4,'Database MK'!$GE:$GE,'Summary Izin'!U$2)</f>
        <v>0</v>
      </c>
      <c r="V4" s="92">
        <f>COUNTIFS('Database MK'!$G:$G,'Database MK'!$G$237,'Database MK'!$FI:$FI,'Summary Izin'!$T4,'Database MK'!$GE:$GE,'Summary Izin'!V$2)</f>
        <v>0</v>
      </c>
      <c r="W4" s="92">
        <f>COUNTIFS('Database MK'!$G:$G,'Database MK'!$G$237,'Database MK'!$FI:$FI,'Summary Izin'!$T4,'Database MK'!$GE:$GE,'Summary Izin'!W$2)</f>
        <v>0</v>
      </c>
      <c r="X4" s="93">
        <f>COUNTIFS('Database MK'!$G:$G,'Database MK'!$G$237,'Database MK'!$FI:$FI,'Summary Izin'!$T4)</f>
        <v>0</v>
      </c>
    </row>
    <row r="5" spans="3:24" ht="15" x14ac:dyDescent="0.2">
      <c r="C5" s="135">
        <v>45931</v>
      </c>
      <c r="D5" s="135"/>
      <c r="E5" s="136">
        <f>COUNTIFS('Database MK'!$G:$G,'Summary Izin'!$C5,'Database MK'!$FI:$FI,'Summary Izin'!E$3)</f>
        <v>0</v>
      </c>
      <c r="F5" s="136">
        <f>COUNTIFS('Database MK'!$G:$G,'Summary Izin'!$C5,'Database MK'!$FI:$FI,'Summary Izin'!F$3)</f>
        <v>0</v>
      </c>
      <c r="G5" s="136">
        <f>COUNTIFS('Database MK'!$G:$G,'Summary Izin'!$C5,'Database MK'!$FI:$FI,'Summary Izin'!G$3)</f>
        <v>0</v>
      </c>
      <c r="H5" s="136">
        <f>COUNTIFS('Database MK'!$G:$G,'Summary Izin'!$C5,'Database MK'!$FI:$FI,'Summary Izin'!H$3)</f>
        <v>0</v>
      </c>
      <c r="I5" s="136">
        <f>COUNTIFS('Database MK'!$G:$G,'Summary Izin'!$C5,'Database MK'!$FI:$FI,'Summary Izin'!I$3)</f>
        <v>0</v>
      </c>
      <c r="J5" s="136">
        <f>COUNTIFS('Database MK'!$G:$G,'Summary Izin'!$C5,'Database MK'!$FI:$FI,'Summary Izin'!J$3)</f>
        <v>0</v>
      </c>
      <c r="K5" s="136">
        <f>COUNTIFS('Database MK'!$G:$G,'Summary Izin'!$C5,'Database MK'!$FI:$FI,'Summary Izin'!K$3)</f>
        <v>0</v>
      </c>
      <c r="L5" s="136">
        <f>COUNTIFS('Database MK'!$G:$G,'Summary Izin'!$C5,'Database MK'!$FI:$FI,'Summary Izin'!L$3)</f>
        <v>0</v>
      </c>
      <c r="M5" s="136">
        <f>COUNTIFS('Database MK'!$G:$G,'Summary Izin'!$C5,'Database MK'!$FI:$FI,'Summary Izin'!M$3)</f>
        <v>0</v>
      </c>
      <c r="N5" s="136">
        <f>COUNTIFS('Database MK'!$G:$G,'Summary Izin'!$C5,'Database MK'!$FI:$FI,'Summary Izin'!N$3)</f>
        <v>0</v>
      </c>
      <c r="O5" s="136">
        <f>COUNTIFS('Database MK'!$G:$G,'Summary Izin'!$C5,'Database MK'!$FI:$FI,'Summary Izin'!O$3)</f>
        <v>0</v>
      </c>
      <c r="P5" s="136">
        <f>COUNTIFS('Database MK'!$G:$G,'Summary Izin'!$C5,'Database MK'!$FI:$FI,'Summary Izin'!P$3)</f>
        <v>0</v>
      </c>
      <c r="Q5" s="136">
        <f>COUNTIFS('Database MK'!$G:$G,'Summary Izin'!$C5,'Database MK'!$FI:$FI,'Summary Izin'!Q$3)</f>
        <v>0</v>
      </c>
      <c r="R5" s="136">
        <f t="shared" si="0"/>
        <v>0</v>
      </c>
      <c r="T5" s="115" t="s">
        <v>2806</v>
      </c>
      <c r="U5" s="92">
        <f>COUNTIFS('Database MK'!$G:$G,'Database MK'!$G$237,'Database MK'!$FI:$FI,'Summary Izin'!$T5,'Database MK'!$GE:$GE,'Summary Izin'!U$2)</f>
        <v>0</v>
      </c>
      <c r="V5" s="92">
        <f>COUNTIFS('Database MK'!$G:$G,'Database MK'!$G$237,'Database MK'!$FI:$FI,'Summary Izin'!$T5,'Database MK'!$GE:$GE,'Summary Izin'!V$2)</f>
        <v>0</v>
      </c>
      <c r="W5" s="92">
        <f>COUNTIFS('Database MK'!$G:$G,'Database MK'!$G$237,'Database MK'!$FI:$FI,'Summary Izin'!$T5,'Database MK'!$GE:$GE,'Summary Izin'!W$2)</f>
        <v>0</v>
      </c>
      <c r="X5" s="93">
        <f>COUNTIFS('Database MK'!$G:$G,'Database MK'!$G$237,'Database MK'!$FI:$FI,'Summary Izin'!$T5)</f>
        <v>0</v>
      </c>
    </row>
    <row r="6" spans="3:24" ht="15" x14ac:dyDescent="0.2">
      <c r="C6" s="135">
        <v>46113</v>
      </c>
      <c r="D6" s="135"/>
      <c r="E6" s="136">
        <f>COUNTIFS('Database MK'!$G:$G,'Summary Izin'!$C6,'Database MK'!$FI:$FI,'Summary Izin'!E$3)</f>
        <v>0</v>
      </c>
      <c r="F6" s="136">
        <f>COUNTIFS('Database MK'!$G:$G,'Summary Izin'!$C6,'Database MK'!$FI:$FI,'Summary Izin'!F$3)</f>
        <v>0</v>
      </c>
      <c r="G6" s="136">
        <f>COUNTIFS('Database MK'!$G:$G,'Summary Izin'!$C6,'Database MK'!$FI:$FI,'Summary Izin'!G$3)</f>
        <v>0</v>
      </c>
      <c r="H6" s="136">
        <f>COUNTIFS('Database MK'!$G:$G,'Summary Izin'!$C6,'Database MK'!$FI:$FI,'Summary Izin'!H$3)</f>
        <v>0</v>
      </c>
      <c r="I6" s="136">
        <f>COUNTIFS('Database MK'!$G:$G,'Summary Izin'!$C6,'Database MK'!$FI:$FI,'Summary Izin'!I$3)</f>
        <v>0</v>
      </c>
      <c r="J6" s="136">
        <f>COUNTIFS('Database MK'!$G:$G,'Summary Izin'!$C6,'Database MK'!$FI:$FI,'Summary Izin'!J$3)</f>
        <v>0</v>
      </c>
      <c r="K6" s="136">
        <f>COUNTIFS('Database MK'!$G:$G,'Summary Izin'!$C6,'Database MK'!$FI:$FI,'Summary Izin'!K$3)</f>
        <v>0</v>
      </c>
      <c r="L6" s="136">
        <f>COUNTIFS('Database MK'!$G:$G,'Summary Izin'!$C6,'Database MK'!$FI:$FI,'Summary Izin'!L$3)</f>
        <v>0</v>
      </c>
      <c r="M6" s="136">
        <f>COUNTIFS('Database MK'!$G:$G,'Summary Izin'!$C6,'Database MK'!$FI:$FI,'Summary Izin'!M$3)</f>
        <v>0</v>
      </c>
      <c r="N6" s="136">
        <f>COUNTIFS('Database MK'!$G:$G,'Summary Izin'!$C6,'Database MK'!$FI:$FI,'Summary Izin'!N$3)</f>
        <v>0</v>
      </c>
      <c r="O6" s="136">
        <f>COUNTIFS('Database MK'!$G:$G,'Summary Izin'!$C6,'Database MK'!$FI:$FI,'Summary Izin'!O$3)</f>
        <v>0</v>
      </c>
      <c r="P6" s="136">
        <f>COUNTIFS('Database MK'!$G:$G,'Summary Izin'!$C6,'Database MK'!$FI:$FI,'Summary Izin'!P$3)</f>
        <v>0</v>
      </c>
      <c r="Q6" s="136">
        <f>COUNTIFS('Database MK'!$G:$G,'Summary Izin'!$C6,'Database MK'!$FI:$FI,'Summary Izin'!Q$3)</f>
        <v>0</v>
      </c>
      <c r="R6" s="136">
        <f t="shared" si="0"/>
        <v>0</v>
      </c>
      <c r="T6" s="115" t="s">
        <v>3281</v>
      </c>
      <c r="U6" s="92">
        <f>COUNTIFS('Database MK'!$G:$G,'Database MK'!$G$237,'Database MK'!$FI:$FI,'Summary Izin'!$T6,'Database MK'!$GE:$GE,'Summary Izin'!U$2)</f>
        <v>0</v>
      </c>
      <c r="V6" s="92">
        <f>COUNTIFS('Database MK'!$G:$G,'Database MK'!$G$237,'Database MK'!$FI:$FI,'Summary Izin'!$T6,'Database MK'!$GE:$GE,'Summary Izin'!V$2)</f>
        <v>0</v>
      </c>
      <c r="W6" s="92">
        <f>COUNTIFS('Database MK'!$G:$G,'Database MK'!$G$237,'Database MK'!$FI:$FI,'Summary Izin'!$T6,'Database MK'!$GE:$GE,'Summary Izin'!W$2)</f>
        <v>0</v>
      </c>
      <c r="X6" s="93">
        <f>COUNTIFS('Database MK'!$G:$G,'Database MK'!$G$237,'Database MK'!$FI:$FI,'Summary Izin'!$T6)</f>
        <v>0</v>
      </c>
    </row>
    <row r="7" spans="3:24" ht="15" x14ac:dyDescent="0.2">
      <c r="C7" s="135">
        <v>46296</v>
      </c>
      <c r="D7" s="135"/>
      <c r="E7" s="136">
        <f>COUNTIFS('Database MK'!$G:$G,'Summary Izin'!$C7,'Database MK'!$FI:$FI,'Summary Izin'!E$3)</f>
        <v>0</v>
      </c>
      <c r="F7" s="136">
        <f>COUNTIFS('Database MK'!$G:$G,'Summary Izin'!$C7,'Database MK'!$FI:$FI,'Summary Izin'!F$3)</f>
        <v>0</v>
      </c>
      <c r="G7" s="136">
        <f>COUNTIFS('Database MK'!$G:$G,'Summary Izin'!$C7,'Database MK'!$FI:$FI,'Summary Izin'!G$3)</f>
        <v>0</v>
      </c>
      <c r="H7" s="136">
        <f>COUNTIFS('Database MK'!$G:$G,'Summary Izin'!$C7,'Database MK'!$FI:$FI,'Summary Izin'!H$3)</f>
        <v>0</v>
      </c>
      <c r="I7" s="136">
        <f>COUNTIFS('Database MK'!$G:$G,'Summary Izin'!$C7,'Database MK'!$FI:$FI,'Summary Izin'!I$3)</f>
        <v>0</v>
      </c>
      <c r="J7" s="136">
        <f>COUNTIFS('Database MK'!$G:$G,'Summary Izin'!$C7,'Database MK'!$FI:$FI,'Summary Izin'!J$3)</f>
        <v>0</v>
      </c>
      <c r="K7" s="136">
        <f>COUNTIFS('Database MK'!$G:$G,'Summary Izin'!$C7,'Database MK'!$FI:$FI,'Summary Izin'!K$3)</f>
        <v>0</v>
      </c>
      <c r="L7" s="136">
        <f>COUNTIFS('Database MK'!$G:$G,'Summary Izin'!$C7,'Database MK'!$FI:$FI,'Summary Izin'!L$3)</f>
        <v>0</v>
      </c>
      <c r="M7" s="136">
        <f>COUNTIFS('Database MK'!$G:$G,'Summary Izin'!$C7,'Database MK'!$FI:$FI,'Summary Izin'!M$3)</f>
        <v>0</v>
      </c>
      <c r="N7" s="136">
        <f>COUNTIFS('Database MK'!$G:$G,'Summary Izin'!$C7,'Database MK'!$FI:$FI,'Summary Izin'!N$3)</f>
        <v>0</v>
      </c>
      <c r="O7" s="136">
        <f>COUNTIFS('Database MK'!$G:$G,'Summary Izin'!$C7,'Database MK'!$FI:$FI,'Summary Izin'!O$3)</f>
        <v>0</v>
      </c>
      <c r="P7" s="136">
        <f>COUNTIFS('Database MK'!$G:$G,'Summary Izin'!$C7,'Database MK'!$FI:$FI,'Summary Izin'!P$3)</f>
        <v>0</v>
      </c>
      <c r="Q7" s="136">
        <f>COUNTIFS('Database MK'!$G:$G,'Summary Izin'!$C7,'Database MK'!$FI:$FI,'Summary Izin'!Q$3)</f>
        <v>0</v>
      </c>
      <c r="R7" s="136">
        <f>SUM(E7:Q7)</f>
        <v>0</v>
      </c>
      <c r="T7" s="115" t="s">
        <v>3581</v>
      </c>
      <c r="U7" s="92">
        <f>COUNTIFS('Database MK'!$G:$G,'Database MK'!$G$237,'Database MK'!$FI:$FI,'Summary Izin'!$T7,'Database MK'!$GE:$GE,'Summary Izin'!U$2)</f>
        <v>0</v>
      </c>
      <c r="V7" s="92">
        <f>COUNTIFS('Database MK'!$G:$G,'Database MK'!$G$237,'Database MK'!$FI:$FI,'Summary Izin'!$T7,'Database MK'!$GE:$GE,'Summary Izin'!V$2)</f>
        <v>0</v>
      </c>
      <c r="W7" s="92">
        <f>COUNTIFS('Database MK'!$G:$G,'Database MK'!$G$237,'Database MK'!$FI:$FI,'Summary Izin'!$T7,'Database MK'!$GE:$GE,'Summary Izin'!W$2)</f>
        <v>0</v>
      </c>
      <c r="X7" s="93">
        <f>COUNTIFS('Database MK'!$G:$G,'Database MK'!$G$237,'Database MK'!$FI:$FI,'Summary Izin'!$T7)</f>
        <v>0</v>
      </c>
    </row>
    <row r="8" spans="3:24" ht="15" x14ac:dyDescent="0.2">
      <c r="T8" s="115" t="s">
        <v>3577</v>
      </c>
      <c r="U8" s="92">
        <f>COUNTIFS('Database MK'!$G:$G,'Database MK'!$G$237,'Database MK'!$FI:$FI,'Summary Izin'!$T8,'Database MK'!$GE:$GE,'Summary Izin'!U$2)</f>
        <v>0</v>
      </c>
      <c r="V8" s="92">
        <f>COUNTIFS('Database MK'!$G:$G,'Database MK'!$G$237,'Database MK'!$FI:$FI,'Summary Izin'!$T8,'Database MK'!$GE:$GE,'Summary Izin'!V$2)</f>
        <v>0</v>
      </c>
      <c r="W8" s="92">
        <f>COUNTIFS('Database MK'!$G:$G,'Database MK'!$G$237,'Database MK'!$FI:$FI,'Summary Izin'!$T8,'Database MK'!$GE:$GE,'Summary Izin'!W$2)</f>
        <v>0</v>
      </c>
      <c r="X8" s="93">
        <f>COUNTIFS('Database MK'!$G:$G,'Database MK'!$G$237,'Database MK'!$FI:$FI,'Summary Izin'!$T8)</f>
        <v>0</v>
      </c>
    </row>
    <row r="9" spans="3:24" ht="15" x14ac:dyDescent="0.2">
      <c r="C9"/>
      <c r="D9"/>
      <c r="E9"/>
      <c r="F9"/>
      <c r="G9"/>
      <c r="H9" s="671" t="s">
        <v>3572</v>
      </c>
      <c r="I9" s="672" t="s">
        <v>180</v>
      </c>
      <c r="J9" s="672"/>
      <c r="K9" s="672"/>
      <c r="L9" s="672"/>
      <c r="M9" s="672"/>
      <c r="N9" s="672"/>
      <c r="O9" s="672"/>
      <c r="T9" s="115" t="s">
        <v>2748</v>
      </c>
      <c r="U9" s="92">
        <f>COUNTIFS('Database MK'!$G:$G,'Database MK'!$G$237,'Database MK'!$FI:$FI,'Summary Izin'!$T9,'Database MK'!$GE:$GE,'Summary Izin'!U$2)</f>
        <v>0</v>
      </c>
      <c r="V9" s="92">
        <f>COUNTIFS('Database MK'!$G:$G,'Database MK'!$G$237,'Database MK'!$FI:$FI,'Summary Izin'!$T9,'Database MK'!$GE:$GE,'Summary Izin'!V$2)</f>
        <v>0</v>
      </c>
      <c r="W9" s="92">
        <f>COUNTIFS('Database MK'!$G:$G,'Database MK'!$G$237,'Database MK'!$FI:$FI,'Summary Izin'!$T9,'Database MK'!$GE:$GE,'Summary Izin'!W$2)</f>
        <v>0</v>
      </c>
      <c r="X9" s="93">
        <f>COUNTIFS('Database MK'!$G:$G,'Database MK'!$G$237,'Database MK'!$FI:$FI,'Summary Izin'!$T9)</f>
        <v>0</v>
      </c>
    </row>
    <row r="10" spans="3:24" ht="45" x14ac:dyDescent="0.2">
      <c r="C10"/>
      <c r="D10"/>
      <c r="E10"/>
      <c r="F10"/>
      <c r="G10"/>
      <c r="H10" s="671"/>
      <c r="I10" s="627" t="s">
        <v>2086</v>
      </c>
      <c r="J10" s="627" t="s">
        <v>923</v>
      </c>
      <c r="K10" s="627" t="s">
        <v>172</v>
      </c>
      <c r="L10" s="627" t="s">
        <v>173</v>
      </c>
      <c r="M10" s="627" t="s">
        <v>174</v>
      </c>
      <c r="N10" s="627" t="s">
        <v>175</v>
      </c>
      <c r="O10" s="627" t="s">
        <v>3574</v>
      </c>
      <c r="T10" s="115" t="s">
        <v>1592</v>
      </c>
      <c r="U10" s="92">
        <f>COUNTIFS('Database MK'!$G:$G,'Database MK'!$G$237,'Database MK'!$FI:$FI,'Summary Izin'!$T10,'Database MK'!$GE:$GE,'Summary Izin'!U$2)</f>
        <v>0</v>
      </c>
      <c r="V10" s="92">
        <f>COUNTIFS('Database MK'!$G:$G,'Database MK'!$G$237,'Database MK'!$FI:$FI,'Summary Izin'!$T10,'Database MK'!$GE:$GE,'Summary Izin'!V$2)</f>
        <v>0</v>
      </c>
      <c r="W10" s="92">
        <f>COUNTIFS('Database MK'!$G:$G,'Database MK'!$G$237,'Database MK'!$FI:$FI,'Summary Izin'!$T10,'Database MK'!$GE:$GE,'Summary Izin'!W$2)</f>
        <v>0</v>
      </c>
      <c r="X10" s="93">
        <f>COUNTIFS('Database MK'!$G:$G,'Database MK'!$G$237,'Database MK'!$FI:$FI,'Summary Izin'!$T10)</f>
        <v>0</v>
      </c>
    </row>
    <row r="11" spans="3:24" ht="15" x14ac:dyDescent="0.2">
      <c r="C11"/>
      <c r="D11"/>
      <c r="E11"/>
      <c r="F11"/>
      <c r="G11"/>
      <c r="H11" s="135">
        <v>45748</v>
      </c>
      <c r="I11" s="136">
        <f>COUNTIFS('Database MK'!$G:$G,$H11,'Database MK'!$FY:$FY,I$10)</f>
        <v>0</v>
      </c>
      <c r="J11" s="136">
        <f>COUNTIFS('Database MK'!$G:$G,$H11,'Database MK'!$FY:$FY,J$10)</f>
        <v>0</v>
      </c>
      <c r="K11" s="136">
        <f>COUNTIFS('Database MK'!$G:$G,$H11,'Database MK'!$FY:$FY,K$10)</f>
        <v>0</v>
      </c>
      <c r="L11" s="136">
        <f>COUNTIFS('Database MK'!$G:$G,$H11,'Database MK'!$FY:$FY,L$10)</f>
        <v>0</v>
      </c>
      <c r="M11" s="136">
        <f>COUNTIFS('Database MK'!$G:$G,$H11,'Database MK'!$FY:$FY,M$10)</f>
        <v>0</v>
      </c>
      <c r="N11" s="136">
        <f>COUNTIFS('Database MK'!$G:$G,$H11,'Database MK'!$FY:$FY,N$10)</f>
        <v>0</v>
      </c>
      <c r="O11" s="136">
        <f>SUM(I11:N11)</f>
        <v>0</v>
      </c>
      <c r="T11" s="115" t="s">
        <v>298</v>
      </c>
      <c r="U11" s="92">
        <f>COUNTIFS('Database MK'!$G:$G,'Database MK'!$G$237,'Database MK'!$FI:$FI,'Summary Izin'!$T11,'Database MK'!$GE:$GE,'Summary Izin'!U$2)</f>
        <v>0</v>
      </c>
      <c r="V11" s="92">
        <f>COUNTIFS('Database MK'!$G:$G,'Database MK'!$G$237,'Database MK'!$FI:$FI,'Summary Izin'!$T11,'Database MK'!$GE:$GE,'Summary Izin'!V$2)</f>
        <v>0</v>
      </c>
      <c r="W11" s="92">
        <f>COUNTIFS('Database MK'!$G:$G,'Database MK'!$G$237,'Database MK'!$FI:$FI,'Summary Izin'!$T11,'Database MK'!$GE:$GE,'Summary Izin'!W$2)</f>
        <v>0</v>
      </c>
      <c r="X11" s="93">
        <f>COUNTIFS('Database MK'!$G:$G,'Database MK'!$G$237,'Database MK'!$FI:$FI,'Summary Izin'!$T11)</f>
        <v>0</v>
      </c>
    </row>
    <row r="12" spans="3:24" ht="15" x14ac:dyDescent="0.2">
      <c r="C12"/>
      <c r="D12"/>
      <c r="E12"/>
      <c r="F12"/>
      <c r="G12"/>
      <c r="H12" s="135">
        <v>45931</v>
      </c>
      <c r="I12" s="136">
        <f>COUNTIFS('Database MK'!$G:$G,$H12,'Database MK'!$FY:$FY,I$10)</f>
        <v>0</v>
      </c>
      <c r="J12" s="136">
        <f>COUNTIFS('Database MK'!$G:$G,$H12,'Database MK'!$FY:$FY,J$10)</f>
        <v>0</v>
      </c>
      <c r="K12" s="136">
        <f>COUNTIFS('Database MK'!$G:$G,$H12,'Database MK'!$FY:$FY,K$10)</f>
        <v>0</v>
      </c>
      <c r="L12" s="136">
        <f>COUNTIFS('Database MK'!$G:$G,$H12,'Database MK'!$FY:$FY,L$10)</f>
        <v>0</v>
      </c>
      <c r="M12" s="136">
        <f>COUNTIFS('Database MK'!$G:$G,$H12,'Database MK'!$FY:$FY,M$10)</f>
        <v>0</v>
      </c>
      <c r="N12" s="136">
        <f>COUNTIFS('Database MK'!$G:$G,$H12,'Database MK'!$FY:$FY,N$10)</f>
        <v>0</v>
      </c>
      <c r="O12" s="136">
        <f t="shared" ref="O12:O13" si="1">SUM(I12:N12)</f>
        <v>0</v>
      </c>
      <c r="T12" s="115" t="s">
        <v>259</v>
      </c>
      <c r="U12" s="92">
        <f>COUNTIFS('Database MK'!$G:$G,'Database MK'!$G$237,'Database MK'!$FI:$FI,'Summary Izin'!$T12,'Database MK'!$GE:$GE,'Summary Izin'!U$2)</f>
        <v>0</v>
      </c>
      <c r="V12" s="92">
        <f>COUNTIFS('Database MK'!$G:$G,'Database MK'!$G$237,'Database MK'!$FI:$FI,'Summary Izin'!$T12,'Database MK'!$GE:$GE,'Summary Izin'!V$2)</f>
        <v>0</v>
      </c>
      <c r="W12" s="92">
        <f>COUNTIFS('Database MK'!$G:$G,'Database MK'!$G$237,'Database MK'!$FI:$FI,'Summary Izin'!$T12,'Database MK'!$GE:$GE,'Summary Izin'!W$2)</f>
        <v>0</v>
      </c>
      <c r="X12" s="93">
        <f>COUNTIFS('Database MK'!$G:$G,'Database MK'!$G$237,'Database MK'!$FI:$FI,'Summary Izin'!$T12)</f>
        <v>0</v>
      </c>
    </row>
    <row r="13" spans="3:24" ht="15" x14ac:dyDescent="0.2">
      <c r="C13"/>
      <c r="D13"/>
      <c r="E13"/>
      <c r="F13"/>
      <c r="G13"/>
      <c r="H13" s="135">
        <v>46113</v>
      </c>
      <c r="I13" s="136">
        <f>COUNTIFS('Database MK'!$G:$G,$H13,'Database MK'!$FY:$FY,I$10)</f>
        <v>0</v>
      </c>
      <c r="J13" s="136">
        <f>COUNTIFS('Database MK'!$G:$G,$H13,'Database MK'!$FY:$FY,J$10)</f>
        <v>0</v>
      </c>
      <c r="K13" s="136">
        <f>COUNTIFS('Database MK'!$G:$G,$H13,'Database MK'!$FY:$FY,K$10)</f>
        <v>0</v>
      </c>
      <c r="L13" s="136">
        <f>COUNTIFS('Database MK'!$G:$G,$H13,'Database MK'!$FY:$FY,L$10)</f>
        <v>0</v>
      </c>
      <c r="M13" s="136">
        <f>COUNTIFS('Database MK'!$G:$G,$H13,'Database MK'!$FY:$FY,M$10)</f>
        <v>0</v>
      </c>
      <c r="N13" s="136">
        <f>COUNTIFS('Database MK'!$G:$G,$H13,'Database MK'!$FY:$FY,N$10)</f>
        <v>0</v>
      </c>
      <c r="O13" s="136">
        <f t="shared" si="1"/>
        <v>0</v>
      </c>
      <c r="T13" s="115" t="s">
        <v>1337</v>
      </c>
      <c r="U13" s="92">
        <f>COUNTIFS('Database MK'!$G:$G,'Database MK'!$G$237,'Database MK'!$FI:$FI,'Summary Izin'!$T13,'Database MK'!$GE:$GE,'Summary Izin'!U$2)</f>
        <v>0</v>
      </c>
      <c r="V13" s="92">
        <f>COUNTIFS('Database MK'!$G:$G,'Database MK'!$G$237,'Database MK'!$FI:$FI,'Summary Izin'!$T13,'Database MK'!$GE:$GE,'Summary Izin'!V$2)</f>
        <v>0</v>
      </c>
      <c r="W13" s="92">
        <f>COUNTIFS('Database MK'!$G:$G,'Database MK'!$G$237,'Database MK'!$FI:$FI,'Summary Izin'!$T13,'Database MK'!$GE:$GE,'Summary Izin'!W$2)</f>
        <v>0</v>
      </c>
      <c r="X13" s="93">
        <f>COUNTIFS('Database MK'!$G:$G,'Database MK'!$G$237,'Database MK'!$FI:$FI,'Summary Izin'!$T13)</f>
        <v>0</v>
      </c>
    </row>
    <row r="14" spans="3:24" ht="15" x14ac:dyDescent="0.2">
      <c r="C14"/>
      <c r="D14"/>
      <c r="E14"/>
      <c r="F14"/>
      <c r="G14"/>
      <c r="H14" s="135">
        <v>46296</v>
      </c>
      <c r="I14" s="136">
        <f>COUNTIFS('Database MK'!$G:$G,$H14,'Database MK'!$FY:$FY,I$10)</f>
        <v>0</v>
      </c>
      <c r="J14" s="136">
        <f>COUNTIFS('Database MK'!$G:$G,$H14,'Database MK'!$FY:$FY,J$10)</f>
        <v>0</v>
      </c>
      <c r="K14" s="136">
        <f>COUNTIFS('Database MK'!$G:$G,$H14,'Database MK'!$FY:$FY,K$10)</f>
        <v>0</v>
      </c>
      <c r="L14" s="136">
        <f>COUNTIFS('Database MK'!$G:$G,$H14,'Database MK'!$FY:$FY,L$10)</f>
        <v>0</v>
      </c>
      <c r="M14" s="136">
        <f>COUNTIFS('Database MK'!$G:$G,$H14,'Database MK'!$FY:$FY,M$10)</f>
        <v>0</v>
      </c>
      <c r="N14" s="136">
        <f>COUNTIFS('Database MK'!$G:$G,$H14,'Database MK'!$FY:$FY,N$10)</f>
        <v>0</v>
      </c>
      <c r="O14" s="136">
        <f t="shared" ref="O14" si="2">SUM(I14:N14)</f>
        <v>0</v>
      </c>
      <c r="T14" s="132"/>
      <c r="U14" s="133">
        <f>COUNTIFS('Database MK'!$G:$G,'Database MK'!$G$237,'Database MK'!$FI:$FI,'Summary Izin'!$T14,'Database MK'!$GE:$GE,'Summary Izin'!U$2)</f>
        <v>0</v>
      </c>
      <c r="V14" s="133">
        <f>COUNTIFS('Database MK'!$G:$G,'Database MK'!$G$237,'Database MK'!$FI:$FI,'Summary Izin'!$T14,'Database MK'!$GE:$GE,'Summary Izin'!V$2)</f>
        <v>0</v>
      </c>
      <c r="W14" s="133">
        <f>COUNTIFS('Database MK'!$G:$G,'Database MK'!$G$237,'Database MK'!$FI:$FI,'Summary Izin'!$T14,'Database MK'!$GE:$GE,'Summary Izin'!W$2)</f>
        <v>0</v>
      </c>
      <c r="X14" s="134">
        <f>COUNTIFS('Database MK'!$G:$G,'Database MK'!$G$237,'Database MK'!$FI:$FI,'Summary Izin'!$T14)</f>
        <v>0</v>
      </c>
    </row>
    <row r="15" spans="3:24" ht="15" x14ac:dyDescent="0.2">
      <c r="C15"/>
      <c r="D15"/>
      <c r="E15"/>
      <c r="F15"/>
      <c r="G15"/>
      <c r="H15" s="114"/>
      <c r="O15" s="111"/>
      <c r="T15" s="94" t="s">
        <v>3574</v>
      </c>
      <c r="U15" s="95">
        <f>SUBTOTAL(109,Table2[Ahead])</f>
        <v>0</v>
      </c>
      <c r="V15" s="95">
        <f>SUBTOTAL(109,Table2[On Schedule])</f>
        <v>0</v>
      </c>
      <c r="W15" s="95">
        <f>SUBTOTAL(109,Table2[Delay])</f>
        <v>0</v>
      </c>
      <c r="X15" s="96">
        <f>SUBTOTAL(109,Table2[Total])</f>
        <v>0</v>
      </c>
    </row>
    <row r="16" spans="3:24" ht="15" x14ac:dyDescent="0.2">
      <c r="C16"/>
      <c r="D16"/>
      <c r="E16"/>
      <c r="F16"/>
      <c r="G16"/>
      <c r="H16" s="671" t="s">
        <v>3572</v>
      </c>
      <c r="I16" s="672" t="s">
        <v>182</v>
      </c>
      <c r="J16" s="672"/>
      <c r="K16" s="672"/>
      <c r="L16" s="672"/>
      <c r="M16" s="672"/>
      <c r="N16" s="672"/>
      <c r="O16" s="672"/>
    </row>
    <row r="17" spans="3:17" ht="45" x14ac:dyDescent="0.2">
      <c r="C17"/>
      <c r="D17"/>
      <c r="E17"/>
      <c r="F17"/>
      <c r="G17"/>
      <c r="H17" s="671"/>
      <c r="I17" s="627" t="s">
        <v>2086</v>
      </c>
      <c r="J17" s="627" t="s">
        <v>923</v>
      </c>
      <c r="K17" s="627" t="s">
        <v>172</v>
      </c>
      <c r="L17" s="627" t="s">
        <v>173</v>
      </c>
      <c r="M17" s="627" t="s">
        <v>174</v>
      </c>
      <c r="N17" s="627" t="s">
        <v>175</v>
      </c>
      <c r="O17" s="627" t="s">
        <v>3574</v>
      </c>
    </row>
    <row r="18" spans="3:17" ht="15" x14ac:dyDescent="0.2">
      <c r="C18"/>
      <c r="D18"/>
      <c r="E18"/>
      <c r="F18"/>
      <c r="G18"/>
      <c r="H18" s="135">
        <v>45748</v>
      </c>
      <c r="I18" s="136">
        <f>COUNTIFS('Database MK'!$G:$G,$H18,'Database MK'!$GA:$GA,I$17)</f>
        <v>0</v>
      </c>
      <c r="J18" s="136">
        <f>COUNTIFS('Database MK'!$G:$G,$H18,'Database MK'!$GA:$GA,J$17)</f>
        <v>0</v>
      </c>
      <c r="K18" s="136">
        <f>COUNTIFS('Database MK'!$G:$G,$H18,'Database MK'!$GA:$GA,K$17)</f>
        <v>0</v>
      </c>
      <c r="L18" s="136">
        <f>COUNTIFS('Database MK'!$G:$G,$H18,'Database MK'!$GA:$GA,L$17)</f>
        <v>0</v>
      </c>
      <c r="M18" s="136">
        <f>COUNTIFS('Database MK'!$G:$G,$H18,'Database MK'!$GA:$GA,M$17)</f>
        <v>0</v>
      </c>
      <c r="N18" s="136">
        <f>COUNTIFS('Database MK'!$G:$G,$H18,'Database MK'!$GA:$GA,N$17)</f>
        <v>0</v>
      </c>
      <c r="O18" s="136">
        <f>SUM(I18:N18)</f>
        <v>0</v>
      </c>
    </row>
    <row r="19" spans="3:17" ht="15" x14ac:dyDescent="0.2">
      <c r="C19"/>
      <c r="D19"/>
      <c r="E19"/>
      <c r="F19"/>
      <c r="G19"/>
      <c r="H19" s="135">
        <v>45931</v>
      </c>
      <c r="I19" s="136">
        <f>COUNTIFS('Database MK'!$G:$G,$H19,'Database MK'!$GA:$GA,I$17)</f>
        <v>0</v>
      </c>
      <c r="J19" s="136">
        <f>COUNTIFS('Database MK'!$G:$G,$H19,'Database MK'!$GA:$GA,J$17)</f>
        <v>0</v>
      </c>
      <c r="K19" s="136">
        <f>COUNTIFS('Database MK'!$G:$G,$H19,'Database MK'!$GA:$GA,K$17)</f>
        <v>0</v>
      </c>
      <c r="L19" s="136">
        <f>COUNTIFS('Database MK'!$G:$G,$H19,'Database MK'!$GA:$GA,L$17)</f>
        <v>0</v>
      </c>
      <c r="M19" s="136">
        <f>COUNTIFS('Database MK'!$G:$G,$H19,'Database MK'!$GA:$GA,M$17)</f>
        <v>0</v>
      </c>
      <c r="N19" s="136">
        <f>COUNTIFS('Database MK'!$G:$G,$H19,'Database MK'!$GA:$GA,N$17)</f>
        <v>0</v>
      </c>
      <c r="O19" s="136">
        <f t="shared" ref="O19:O20" si="3">SUM(I19:N19)</f>
        <v>0</v>
      </c>
    </row>
    <row r="20" spans="3:17" ht="15" x14ac:dyDescent="0.2">
      <c r="C20"/>
      <c r="D20"/>
      <c r="E20"/>
      <c r="F20"/>
      <c r="G20"/>
      <c r="H20" s="135">
        <v>46113</v>
      </c>
      <c r="I20" s="136">
        <f>COUNTIFS('Database MK'!$G:$G,$H20,'Database MK'!$GA:$GA,I$17)</f>
        <v>0</v>
      </c>
      <c r="J20" s="136">
        <f>COUNTIFS('Database MK'!$G:$G,$H20,'Database MK'!$GA:$GA,J$17)</f>
        <v>0</v>
      </c>
      <c r="K20" s="136">
        <f>COUNTIFS('Database MK'!$G:$G,$H20,'Database MK'!$GA:$GA,K$17)</f>
        <v>0</v>
      </c>
      <c r="L20" s="136">
        <f>COUNTIFS('Database MK'!$G:$G,$H20,'Database MK'!$GA:$GA,L$17)</f>
        <v>0</v>
      </c>
      <c r="M20" s="136">
        <f>COUNTIFS('Database MK'!$G:$G,$H20,'Database MK'!$GA:$GA,M$17)</f>
        <v>0</v>
      </c>
      <c r="N20" s="136">
        <f>COUNTIFS('Database MK'!$G:$G,$H20,'Database MK'!$GA:$GA,N$17)</f>
        <v>0</v>
      </c>
      <c r="O20" s="136">
        <f t="shared" si="3"/>
        <v>0</v>
      </c>
    </row>
    <row r="21" spans="3:17" ht="15" x14ac:dyDescent="0.2">
      <c r="C21"/>
      <c r="D21"/>
      <c r="E21"/>
      <c r="F21"/>
      <c r="G21"/>
      <c r="H21" s="135">
        <v>46296</v>
      </c>
      <c r="I21" s="136">
        <f>COUNTIFS('Database MK'!$G:$G,$H21,'Database MK'!$GA:$GA,I$17)</f>
        <v>0</v>
      </c>
      <c r="J21" s="136">
        <f>COUNTIFS('Database MK'!$G:$G,$H21,'Database MK'!$GA:$GA,J$17)</f>
        <v>0</v>
      </c>
      <c r="K21" s="136">
        <f>COUNTIFS('Database MK'!$G:$G,$H21,'Database MK'!$GA:$GA,K$17)</f>
        <v>0</v>
      </c>
      <c r="L21" s="136">
        <f>COUNTIFS('Database MK'!$G:$G,$H21,'Database MK'!$GA:$GA,L$17)</f>
        <v>0</v>
      </c>
      <c r="M21" s="136">
        <f>COUNTIFS('Database MK'!$G:$G,$H21,'Database MK'!$GA:$GA,M$17)</f>
        <v>0</v>
      </c>
      <c r="N21" s="136">
        <f>COUNTIFS('Database MK'!$G:$G,$H21,'Database MK'!$GA:$GA,N$17)</f>
        <v>0</v>
      </c>
      <c r="O21" s="136">
        <f t="shared" ref="O21" si="4">SUM(I21:N21)</f>
        <v>0</v>
      </c>
    </row>
    <row r="22" spans="3:17" ht="15" x14ac:dyDescent="0.2">
      <c r="C22"/>
      <c r="D22"/>
      <c r="E22"/>
      <c r="F22"/>
      <c r="G22"/>
      <c r="H22" s="114"/>
      <c r="O22" s="111"/>
    </row>
    <row r="23" spans="3:17" ht="14.25" customHeight="1" x14ac:dyDescent="0.2">
      <c r="C23"/>
      <c r="D23"/>
      <c r="E23"/>
      <c r="F23"/>
      <c r="G23"/>
      <c r="H23" s="671" t="s">
        <v>3572</v>
      </c>
      <c r="I23" s="672" t="s">
        <v>3582</v>
      </c>
      <c r="J23" s="672"/>
      <c r="K23" s="672"/>
      <c r="L23" s="672"/>
      <c r="M23" s="672"/>
      <c r="N23" s="672"/>
      <c r="O23" s="672"/>
    </row>
    <row r="24" spans="3:17" ht="45" x14ac:dyDescent="0.2">
      <c r="C24"/>
      <c r="D24"/>
      <c r="E24"/>
      <c r="F24"/>
      <c r="G24"/>
      <c r="H24" s="671"/>
      <c r="I24" s="627" t="s">
        <v>2086</v>
      </c>
      <c r="J24" s="627" t="s">
        <v>923</v>
      </c>
      <c r="K24" s="627" t="s">
        <v>172</v>
      </c>
      <c r="L24" s="627" t="s">
        <v>173</v>
      </c>
      <c r="M24" s="627" t="s">
        <v>174</v>
      </c>
      <c r="N24" s="627" t="s">
        <v>175</v>
      </c>
      <c r="O24" s="627" t="s">
        <v>3574</v>
      </c>
    </row>
    <row r="25" spans="3:17" ht="15" x14ac:dyDescent="0.2">
      <c r="C25"/>
      <c r="D25"/>
      <c r="E25"/>
      <c r="F25"/>
      <c r="G25"/>
      <c r="H25" s="135">
        <v>45748</v>
      </c>
      <c r="I25" s="136">
        <f>COUNTIFS('Database MK'!$G:$G,$H25,'Database MK'!$FZ:$FZ,I$24)</f>
        <v>0</v>
      </c>
      <c r="J25" s="136">
        <f>COUNTIFS('Database MK'!$G:$G,$H25,'Database MK'!$FZ:$FZ,J$24)</f>
        <v>0</v>
      </c>
      <c r="K25" s="136">
        <f>COUNTIFS('Database MK'!$G:$G,$H25,'Database MK'!$FZ:$FZ,K$24)</f>
        <v>0</v>
      </c>
      <c r="L25" s="136">
        <f>COUNTIFS('Database MK'!$G:$G,$H25,'Database MK'!$FZ:$FZ,L$24)</f>
        <v>0</v>
      </c>
      <c r="M25" s="136">
        <f>COUNTIFS('Database MK'!$G:$G,$H25,'Database MK'!$FZ:$FZ,M$24)</f>
        <v>0</v>
      </c>
      <c r="N25" s="136">
        <f>COUNTIFS('Database MK'!$G:$G,$H25,'Database MK'!$FZ:$FZ,N$24)</f>
        <v>0</v>
      </c>
      <c r="O25" s="136">
        <f>SUM(I25:N25)</f>
        <v>0</v>
      </c>
    </row>
    <row r="26" spans="3:17" ht="15" x14ac:dyDescent="0.2">
      <c r="C26"/>
      <c r="D26"/>
      <c r="E26"/>
      <c r="F26"/>
      <c r="G26"/>
      <c r="H26" s="135">
        <v>45931</v>
      </c>
      <c r="I26" s="136">
        <f>COUNTIFS('Database MK'!$G:$G,$H26,'Database MK'!$FZ:$FZ,I$24)</f>
        <v>0</v>
      </c>
      <c r="J26" s="136">
        <f>COUNTIFS('Database MK'!$G:$G,$H26,'Database MK'!$FZ:$FZ,J$24)</f>
        <v>0</v>
      </c>
      <c r="K26" s="136">
        <f>COUNTIFS('Database MK'!$G:$G,$H26,'Database MK'!$FZ:$FZ,K$24)</f>
        <v>0</v>
      </c>
      <c r="L26" s="136">
        <f>COUNTIFS('Database MK'!$G:$G,$H26,'Database MK'!$FZ:$FZ,L$24)</f>
        <v>0</v>
      </c>
      <c r="M26" s="136">
        <f>COUNTIFS('Database MK'!$G:$G,$H26,'Database MK'!$FZ:$FZ,M$24)</f>
        <v>0</v>
      </c>
      <c r="N26" s="136">
        <f>COUNTIFS('Database MK'!$G:$G,$H26,'Database MK'!$FZ:$FZ,N$24)</f>
        <v>0</v>
      </c>
      <c r="O26" s="136">
        <f t="shared" ref="O26:O27" si="5">SUM(I26:N26)</f>
        <v>0</v>
      </c>
      <c r="Q26" s="111">
        <f>58+117</f>
        <v>175</v>
      </c>
    </row>
    <row r="27" spans="3:17" ht="15" x14ac:dyDescent="0.2">
      <c r="C27"/>
      <c r="D27"/>
      <c r="E27"/>
      <c r="F27"/>
      <c r="G27"/>
      <c r="H27" s="135">
        <v>46113</v>
      </c>
      <c r="I27" s="136">
        <f>COUNTIFS('Database MK'!$G:$G,$H27,'Database MK'!$FZ:$FZ,I$24)</f>
        <v>0</v>
      </c>
      <c r="J27" s="136">
        <f>COUNTIFS('Database MK'!$G:$G,$H27,'Database MK'!$FZ:$FZ,J$24)</f>
        <v>0</v>
      </c>
      <c r="K27" s="136">
        <f>COUNTIFS('Database MK'!$G:$G,$H27,'Database MK'!$FZ:$FZ,K$24)</f>
        <v>0</v>
      </c>
      <c r="L27" s="136">
        <f>COUNTIFS('Database MK'!$G:$G,$H27,'Database MK'!$FZ:$FZ,L$24)</f>
        <v>0</v>
      </c>
      <c r="M27" s="136">
        <f>COUNTIFS('Database MK'!$G:$G,$H27,'Database MK'!$FZ:$FZ,M$24)</f>
        <v>0</v>
      </c>
      <c r="N27" s="136">
        <f>COUNTIFS('Database MK'!$G:$G,$H27,'Database MK'!$FZ:$FZ,N$24)</f>
        <v>0</v>
      </c>
      <c r="O27" s="136">
        <f t="shared" si="5"/>
        <v>0</v>
      </c>
    </row>
    <row r="28" spans="3:17" ht="15" x14ac:dyDescent="0.2">
      <c r="C28"/>
      <c r="D28"/>
      <c r="E28"/>
      <c r="F28"/>
      <c r="G28"/>
      <c r="H28" s="135">
        <v>46296</v>
      </c>
      <c r="I28" s="136">
        <f>COUNTIFS('Database MK'!$G:$G,$H28,'Database MK'!$FZ:$FZ,I$24)</f>
        <v>0</v>
      </c>
      <c r="J28" s="136">
        <f>COUNTIFS('Database MK'!$G:$G,$H28,'Database MK'!$FZ:$FZ,J$24)</f>
        <v>0</v>
      </c>
      <c r="K28" s="136">
        <f>COUNTIFS('Database MK'!$G:$G,$H28,'Database MK'!$FZ:$FZ,K$24)</f>
        <v>0</v>
      </c>
      <c r="L28" s="136">
        <f>COUNTIFS('Database MK'!$G:$G,$H28,'Database MK'!$FZ:$FZ,L$24)</f>
        <v>0</v>
      </c>
      <c r="M28" s="136">
        <f>COUNTIFS('Database MK'!$G:$G,$H28,'Database MK'!$FZ:$FZ,M$24)</f>
        <v>0</v>
      </c>
      <c r="N28" s="136">
        <f>COUNTIFS('Database MK'!$G:$G,$H28,'Database MK'!$FZ:$FZ,N$24)</f>
        <v>0</v>
      </c>
      <c r="O28" s="136">
        <f t="shared" ref="O28" si="6">SUM(I28:N28)</f>
        <v>0</v>
      </c>
    </row>
    <row r="32" spans="3:17" ht="29" customHeight="1" x14ac:dyDescent="0.2">
      <c r="C32" s="669" t="s">
        <v>3572</v>
      </c>
      <c r="D32" s="670" t="s">
        <v>3542</v>
      </c>
      <c r="E32" s="667" t="s">
        <v>164</v>
      </c>
      <c r="F32" s="668"/>
      <c r="G32" s="668"/>
      <c r="H32" s="668"/>
      <c r="I32" s="668"/>
      <c r="J32" s="668"/>
      <c r="K32" s="668"/>
      <c r="L32" s="668"/>
      <c r="M32" s="668"/>
    </row>
    <row r="33" spans="3:13" ht="49" thickBot="1" x14ac:dyDescent="0.25">
      <c r="C33" s="669"/>
      <c r="D33" s="670"/>
      <c r="E33" s="291" t="s">
        <v>167</v>
      </c>
      <c r="F33" s="290" t="s">
        <v>168</v>
      </c>
      <c r="G33" s="290" t="s">
        <v>169</v>
      </c>
      <c r="H33" s="291" t="s">
        <v>170</v>
      </c>
      <c r="I33" s="290" t="s">
        <v>171</v>
      </c>
      <c r="J33" s="290" t="s">
        <v>172</v>
      </c>
      <c r="K33" s="291" t="s">
        <v>173</v>
      </c>
      <c r="L33" s="291" t="s">
        <v>174</v>
      </c>
      <c r="M33" s="291" t="s">
        <v>175</v>
      </c>
    </row>
    <row r="34" spans="3:13" x14ac:dyDescent="0.2">
      <c r="C34" s="135">
        <v>45748</v>
      </c>
      <c r="D34" s="293"/>
      <c r="E34" s="112">
        <f>COUNTIFS('Database MK'!$G:$G,'Summary Izin'!$C34,'Database MK'!$FL:$FL,"&lt;&gt;")</f>
        <v>0</v>
      </c>
      <c r="I34" s="112"/>
      <c r="J34" s="112"/>
      <c r="K34" s="112"/>
      <c r="L34" s="112"/>
      <c r="M34" s="112"/>
    </row>
    <row r="35" spans="3:13" x14ac:dyDescent="0.2">
      <c r="C35" s="135">
        <v>45931</v>
      </c>
      <c r="D35" s="293"/>
      <c r="E35" s="112">
        <f>COUNTIFS('Database MK'!$G:$G,'Summary Izin'!$C35,'Database MK'!$FL:$FL,"&lt;&gt;")</f>
        <v>0</v>
      </c>
      <c r="I35" s="112"/>
      <c r="J35" s="112"/>
      <c r="K35" s="112"/>
      <c r="L35" s="112"/>
      <c r="M35" s="112"/>
    </row>
    <row r="36" spans="3:13" x14ac:dyDescent="0.2">
      <c r="C36" s="135">
        <v>46113</v>
      </c>
      <c r="D36" s="293"/>
      <c r="E36" s="112">
        <f>COUNTIFS('Database MK'!$G:$G,'Summary Izin'!$C36,'Database MK'!$FL:$FL,"&lt;&gt;")</f>
        <v>0</v>
      </c>
      <c r="I36" s="112"/>
      <c r="J36" s="112"/>
      <c r="K36" s="112"/>
      <c r="L36" s="112"/>
      <c r="M36" s="112"/>
    </row>
    <row r="37" spans="3:13" x14ac:dyDescent="0.2">
      <c r="C37" s="135">
        <v>46296</v>
      </c>
      <c r="D37" s="293"/>
      <c r="E37" s="112">
        <f>COUNTIFS('Database MK'!$G:$G,'Summary Izin'!$C37,'Database MK'!$FL:$FL,"&lt;&gt;")</f>
        <v>0</v>
      </c>
      <c r="I37" s="112"/>
      <c r="J37" s="112"/>
      <c r="K37" s="112"/>
      <c r="L37" s="112"/>
      <c r="M37" s="112"/>
    </row>
  </sheetData>
  <mergeCells count="11">
    <mergeCell ref="E32:M32"/>
    <mergeCell ref="C32:C33"/>
    <mergeCell ref="D32:D33"/>
    <mergeCell ref="C2:C3"/>
    <mergeCell ref="E2:R2"/>
    <mergeCell ref="H23:H24"/>
    <mergeCell ref="I23:O23"/>
    <mergeCell ref="H9:H10"/>
    <mergeCell ref="H16:H17"/>
    <mergeCell ref="I16:O16"/>
    <mergeCell ref="I9:O9"/>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F3ADE-5ADF-42C3-8E64-BE2E31CBDEDB}">
  <sheetPr codeName="Sheet4"/>
  <dimension ref="B4:AC53"/>
  <sheetViews>
    <sheetView showGridLines="0" topLeftCell="P1" zoomScale="70" zoomScaleNormal="70" workbookViewId="0">
      <selection activeCell="E22" sqref="E22:F22"/>
    </sheetView>
  </sheetViews>
  <sheetFormatPr baseColWidth="10" defaultColWidth="9" defaultRowHeight="15" x14ac:dyDescent="0.2"/>
  <cols>
    <col min="1" max="1" width="9" style="4"/>
    <col min="2" max="2" width="14.5" style="7" customWidth="1"/>
    <col min="3" max="4" width="3.1640625" style="7" customWidth="1"/>
    <col min="5" max="6" width="8.1640625" style="7" customWidth="1"/>
    <col min="7" max="7" width="6.5" style="7" customWidth="1"/>
    <col min="8" max="8" width="12.1640625" style="7" customWidth="1"/>
    <col min="9" max="9" width="6.5" style="7" customWidth="1"/>
    <col min="10" max="10" width="12.1640625" style="7" customWidth="1"/>
    <col min="11" max="11" width="6.5" style="7" customWidth="1"/>
    <col min="12" max="12" width="12.1640625" style="7" customWidth="1"/>
    <col min="13" max="13" width="6.5" style="7" customWidth="1"/>
    <col min="14" max="14" width="12.1640625" style="7" customWidth="1"/>
    <col min="15" max="15" width="9" style="4"/>
    <col min="16" max="17" width="8.83203125" style="7" customWidth="1"/>
    <col min="18" max="19" width="3.1640625" style="7" customWidth="1"/>
    <col min="20" max="21" width="8.1640625" style="7" customWidth="1"/>
    <col min="22" max="22" width="6.5" style="7" customWidth="1"/>
    <col min="23" max="23" width="12.1640625" style="7" customWidth="1"/>
    <col min="24" max="24" width="6.5" style="7" customWidth="1"/>
    <col min="25" max="25" width="12.1640625" style="7" customWidth="1"/>
    <col min="26" max="26" width="6.5" style="7" customWidth="1"/>
    <col min="27" max="27" width="12.1640625" style="7" customWidth="1"/>
    <col min="28" max="28" width="6.5" style="7" customWidth="1"/>
    <col min="29" max="29" width="12.1640625" style="7" customWidth="1"/>
    <col min="30" max="33" width="9" style="4"/>
    <col min="34" max="34" width="15.1640625" style="4" bestFit="1" customWidth="1"/>
    <col min="35" max="35" width="9" style="4"/>
    <col min="36" max="36" width="11" style="4" bestFit="1" customWidth="1"/>
    <col min="37" max="16384" width="9" style="4"/>
  </cols>
  <sheetData>
    <row r="4" spans="2:29" x14ac:dyDescent="0.2">
      <c r="B4" s="631" t="s">
        <v>3572</v>
      </c>
      <c r="C4" s="25"/>
      <c r="D4" s="25"/>
      <c r="E4" s="678" t="s">
        <v>3583</v>
      </c>
      <c r="F4" s="678"/>
      <c r="G4" s="678"/>
      <c r="H4" s="678"/>
      <c r="I4" s="678"/>
      <c r="J4" s="678"/>
      <c r="K4" s="678"/>
      <c r="L4" s="678"/>
      <c r="M4" s="678"/>
      <c r="N4" s="678"/>
      <c r="P4" s="678" t="s">
        <v>3572</v>
      </c>
      <c r="Q4" s="678"/>
      <c r="R4" s="25"/>
      <c r="S4" s="25"/>
      <c r="T4" s="678" t="s">
        <v>3583</v>
      </c>
      <c r="U4" s="678"/>
      <c r="V4" s="678"/>
      <c r="W4" s="678"/>
      <c r="X4" s="678"/>
      <c r="Y4" s="678"/>
      <c r="Z4" s="678"/>
      <c r="AA4" s="678"/>
      <c r="AB4" s="678"/>
      <c r="AC4" s="678"/>
    </row>
    <row r="5" spans="2:29" x14ac:dyDescent="0.2">
      <c r="B5" s="630">
        <v>46113</v>
      </c>
      <c r="C5" s="25"/>
      <c r="D5" s="25"/>
      <c r="E5" s="678" t="s">
        <v>3584</v>
      </c>
      <c r="F5" s="678"/>
      <c r="G5" s="678"/>
      <c r="H5" s="678"/>
      <c r="I5" s="678"/>
      <c r="J5" s="678"/>
      <c r="K5" s="678"/>
      <c r="L5" s="678"/>
      <c r="M5" s="678"/>
      <c r="N5" s="678"/>
      <c r="P5" s="677">
        <v>46296</v>
      </c>
      <c r="Q5" s="677"/>
      <c r="R5" s="25"/>
      <c r="S5" s="25"/>
      <c r="T5" s="678" t="s">
        <v>3584</v>
      </c>
      <c r="U5" s="678"/>
      <c r="V5" s="678"/>
      <c r="W5" s="678"/>
      <c r="X5" s="678"/>
      <c r="Y5" s="678"/>
      <c r="Z5" s="678"/>
      <c r="AA5" s="678"/>
      <c r="AB5" s="678"/>
      <c r="AC5" s="678"/>
    </row>
    <row r="6" spans="2:29" x14ac:dyDescent="0.2">
      <c r="B6" s="25"/>
      <c r="C6" s="25"/>
      <c r="D6" s="25"/>
      <c r="E6" s="25"/>
      <c r="F6" s="25"/>
      <c r="G6" s="25"/>
      <c r="H6" s="25"/>
      <c r="I6" s="25"/>
      <c r="J6" s="25"/>
      <c r="K6" s="25"/>
      <c r="L6" s="25"/>
      <c r="M6" s="25"/>
      <c r="N6" s="25"/>
      <c r="P6" s="25"/>
      <c r="Q6" s="25"/>
      <c r="R6" s="25"/>
      <c r="S6" s="25"/>
      <c r="T6" s="25"/>
      <c r="U6" s="25"/>
      <c r="V6" s="25"/>
      <c r="W6" s="25"/>
      <c r="X6" s="25"/>
      <c r="Y6" s="25"/>
      <c r="Z6" s="25"/>
      <c r="AA6" s="25"/>
      <c r="AB6" s="25"/>
      <c r="AC6" s="25"/>
    </row>
    <row r="7" spans="2:29" x14ac:dyDescent="0.2">
      <c r="B7" s="37" t="s">
        <v>3585</v>
      </c>
      <c r="C7" s="230"/>
      <c r="D7" s="38"/>
      <c r="E7" s="678" t="s">
        <v>389</v>
      </c>
      <c r="F7" s="678"/>
      <c r="G7" s="38"/>
      <c r="H7" s="41" t="s">
        <v>3573</v>
      </c>
      <c r="I7" s="40"/>
      <c r="J7" s="41" t="s">
        <v>3544</v>
      </c>
      <c r="K7" s="40"/>
      <c r="L7" s="41" t="s">
        <v>3586</v>
      </c>
      <c r="M7" s="40"/>
      <c r="N7" s="41" t="s">
        <v>3545</v>
      </c>
      <c r="P7" s="679" t="s">
        <v>3585</v>
      </c>
      <c r="Q7" s="680"/>
      <c r="R7" s="234"/>
      <c r="S7" s="38"/>
      <c r="V7" s="38"/>
      <c r="W7" s="41" t="s">
        <v>3573</v>
      </c>
      <c r="X7" s="40"/>
      <c r="Y7" s="41" t="s">
        <v>3544</v>
      </c>
      <c r="Z7" s="40"/>
      <c r="AA7" s="41" t="s">
        <v>3586</v>
      </c>
      <c r="AB7" s="40"/>
      <c r="AC7" s="41" t="s">
        <v>3545</v>
      </c>
    </row>
    <row r="8" spans="2:29" x14ac:dyDescent="0.2">
      <c r="B8" s="39" t="e">
        <f ca="1">E8+E11+E14+E17+E20+E23+E26+E32+E35+E38+E41+E44+E47+E50+E53</f>
        <v>#REF!</v>
      </c>
      <c r="C8" s="25"/>
      <c r="D8" s="231"/>
      <c r="E8" s="675">
        <f ca="1">COUNTIFS('Database MK'!$G:$G,'Database MK'!$G$238,'Database MK'!$Q:$Q,'Tree Apr 26'!$E7)</f>
        <v>20</v>
      </c>
      <c r="F8" s="676"/>
      <c r="G8" s="25"/>
      <c r="H8" s="39" t="e">
        <f>COUNTIFS('Database MK'!$G:$G,'Database MK'!$G$238,'Database MK'!$Q:$Q,'Tree Apr 26'!$E7,'Database MK'!#REF!,"Ahead")</f>
        <v>#REF!</v>
      </c>
      <c r="I8" s="25"/>
      <c r="J8" s="39" t="e">
        <f>COUNTIFS('Database MK'!$G:$G,'Database MK'!$G$238,'Database MK'!$Q:$Q,'Tree Apr 26'!$E7,'Database MK'!#REF!,"&gt;=0",'Database MK'!#REF!,"&lt;=14")</f>
        <v>#REF!</v>
      </c>
      <c r="K8" s="25"/>
      <c r="L8" s="39" t="e">
        <f>COUNTIFS('Database MK'!$G:$G,'Database MK'!$G$238,'Database MK'!$Q:$Q,'Tree Apr 26'!$E7,'Database MK'!#REF!,"&gt;14")</f>
        <v>#REF!</v>
      </c>
      <c r="M8" s="25"/>
      <c r="N8" s="39" t="e">
        <f>COUNTIFS('Database MK'!$G:$G,'Database MK'!$G$238,'Database MK'!$Q:$Q,'Tree Apr 26'!$E7,'Database MK'!#REF!,"&lt;0")</f>
        <v>#REF!</v>
      </c>
      <c r="P8" s="675">
        <f>COUNTIFS('Database MK'!$G:$G,'Database MK'!$G$350)</f>
        <v>96</v>
      </c>
      <c r="Q8" s="676"/>
      <c r="R8" s="25"/>
      <c r="S8" s="231"/>
      <c r="V8" s="25"/>
      <c r="W8" s="39" t="e">
        <f>COUNTIFS('Database MK'!$G:$G,'Database MK'!$G$238,'Database MK'!$Q:$Q,'Tree Apr 26'!$E7,'Database MK'!#REF!,"Ahead")</f>
        <v>#REF!</v>
      </c>
      <c r="X8" s="25"/>
      <c r="Y8" s="39" t="e">
        <f>COUNTIFS('Database MK'!$G:$G,'Database MK'!$G$238,'Database MK'!$Q:$Q,'Tree Apr 26'!$E7,'Database MK'!#REF!,"&gt;=0",'Database MK'!#REF!,"&lt;=14")</f>
        <v>#REF!</v>
      </c>
      <c r="Z8" s="25"/>
      <c r="AA8" s="39" t="e">
        <f>COUNTIFS('Database MK'!$G:$G,'Database MK'!$G$238,'Database MK'!$Q:$Q,'Tree Apr 26'!$E7,'Database MK'!#REF!,"&gt;14")</f>
        <v>#REF!</v>
      </c>
      <c r="AB8" s="25"/>
      <c r="AC8" s="39" t="e">
        <f>COUNTIFS('Database MK'!$G:$G,'Database MK'!$G$238,'Database MK'!$Q:$Q,'Tree Apr 26'!$E7,'Database MK'!#REF!,"&lt;0")</f>
        <v>#REF!</v>
      </c>
    </row>
    <row r="9" spans="2:29" ht="14.25" customHeight="1" x14ac:dyDescent="0.2">
      <c r="B9" s="25"/>
      <c r="C9" s="25"/>
      <c r="D9" s="232"/>
      <c r="E9" s="629"/>
      <c r="F9" s="628"/>
      <c r="G9" s="25"/>
      <c r="H9" s="25"/>
      <c r="I9" s="25"/>
      <c r="J9" s="25"/>
      <c r="K9" s="25"/>
      <c r="L9" s="25"/>
      <c r="M9" s="25"/>
      <c r="N9" s="25"/>
      <c r="P9" s="25"/>
      <c r="Q9" s="25"/>
      <c r="R9" s="25"/>
      <c r="S9" s="232"/>
      <c r="T9" s="629"/>
      <c r="U9" s="628"/>
      <c r="V9" s="25"/>
      <c r="W9" s="25"/>
      <c r="X9" s="25"/>
      <c r="Y9" s="25"/>
      <c r="Z9" s="25"/>
      <c r="AA9" s="25"/>
      <c r="AB9" s="25"/>
      <c r="AC9" s="25"/>
    </row>
    <row r="10" spans="2:29" ht="14.25" customHeight="1" x14ac:dyDescent="0.2">
      <c r="B10" s="25"/>
      <c r="C10" s="25"/>
      <c r="D10" s="232"/>
      <c r="E10" s="673" t="s">
        <v>3503</v>
      </c>
      <c r="F10" s="674"/>
      <c r="G10" s="38"/>
      <c r="H10" s="39" t="s">
        <v>3573</v>
      </c>
      <c r="I10" s="40"/>
      <c r="J10" s="39" t="s">
        <v>3544</v>
      </c>
      <c r="K10" s="40"/>
      <c r="L10" s="39" t="s">
        <v>3586</v>
      </c>
      <c r="M10" s="40"/>
      <c r="N10" s="39" t="s">
        <v>3545</v>
      </c>
      <c r="P10" s="25"/>
      <c r="Q10" s="25"/>
      <c r="R10" s="25"/>
      <c r="S10" s="232"/>
      <c r="T10" s="673" t="s">
        <v>3503</v>
      </c>
      <c r="U10" s="674"/>
      <c r="V10" s="38"/>
      <c r="W10" s="39" t="s">
        <v>3573</v>
      </c>
      <c r="X10" s="40"/>
      <c r="Y10" s="39" t="s">
        <v>3544</v>
      </c>
      <c r="Z10" s="40"/>
      <c r="AA10" s="39" t="s">
        <v>3586</v>
      </c>
      <c r="AB10" s="40"/>
      <c r="AC10" s="39" t="s">
        <v>3545</v>
      </c>
    </row>
    <row r="11" spans="2:29" ht="14.25" customHeight="1" x14ac:dyDescent="0.2">
      <c r="B11" s="25"/>
      <c r="C11" s="25"/>
      <c r="D11" s="232"/>
      <c r="E11" s="675" t="e">
        <f>COUNTIFS('Database MK'!$H:$H,'Database MK'!$G$238,'Database MK'!#REF!,'Tree Apr 26'!$E10)</f>
        <v>#REF!</v>
      </c>
      <c r="F11" s="676"/>
      <c r="G11" s="25"/>
      <c r="H11" s="39" t="e">
        <f>COUNTIFS('Database MK'!$H:$H,'Database MK'!$G$238,'Database MK'!#REF!,'Tree Apr 26'!$E10,'Database MK'!$S:$S,"Ahead")</f>
        <v>#REF!</v>
      </c>
      <c r="I11" s="25"/>
      <c r="J11" s="39" t="e">
        <f>COUNTIFS('Database MK'!$H:$H,'Database MK'!$G$238,'Database MK'!#REF!,'Tree Apr 26'!$E10,'Database MK'!$S:$S,0)</f>
        <v>#REF!</v>
      </c>
      <c r="K11" s="25"/>
      <c r="L11" s="39" t="e">
        <f>COUNTIFS('Database MK'!$H:$H,'Database MK'!$G$238,'Database MK'!#REF!,'Tree Apr 26'!$E10,'Database MK'!$S:$S,"&gt;0")</f>
        <v>#REF!</v>
      </c>
      <c r="M11" s="25"/>
      <c r="N11" s="39" t="e">
        <f>COUNTIFS('Database MK'!$H:$H,'Database MK'!$G$238,'Database MK'!#REF!,'Tree Apr 26'!$E10,'Database MK'!$S:$S,"&lt;0")</f>
        <v>#REF!</v>
      </c>
      <c r="P11" s="25"/>
      <c r="Q11" s="25"/>
      <c r="R11" s="25"/>
      <c r="S11" s="232"/>
      <c r="T11" s="675" t="e">
        <f>COUNTIFS('Database MK'!$H:$H,'Database MK'!$G$238,'Database MK'!#REF!,'Tree Apr 26'!$E10)</f>
        <v>#REF!</v>
      </c>
      <c r="U11" s="676"/>
      <c r="V11" s="25"/>
      <c r="W11" s="39" t="e">
        <f>COUNTIFS('Database MK'!$H:$H,'Database MK'!$G$238,'Database MK'!#REF!,'Tree Apr 26'!$E10,'Database MK'!$S:$S,"Ahead")</f>
        <v>#REF!</v>
      </c>
      <c r="X11" s="25"/>
      <c r="Y11" s="39" t="e">
        <f>COUNTIFS('Database MK'!$H:$H,'Database MK'!$G$238,'Database MK'!#REF!,'Tree Apr 26'!$E10,'Database MK'!$S:$S,0)</f>
        <v>#REF!</v>
      </c>
      <c r="Z11" s="25"/>
      <c r="AA11" s="39" t="e">
        <f>COUNTIFS('Database MK'!$H:$H,'Database MK'!$G$238,'Database MK'!#REF!,'Tree Apr 26'!$E10,'Database MK'!$S:$S,"&gt;0")</f>
        <v>#REF!</v>
      </c>
      <c r="AB11" s="25"/>
      <c r="AC11" s="39" t="e">
        <f>COUNTIFS('Database MK'!$H:$H,'Database MK'!$G$238,'Database MK'!#REF!,'Tree Apr 26'!$E10,'Database MK'!$S:$S,"&lt;0")</f>
        <v>#REF!</v>
      </c>
    </row>
    <row r="12" spans="2:29" ht="14.25" customHeight="1" x14ac:dyDescent="0.2">
      <c r="B12" s="25"/>
      <c r="C12" s="25"/>
      <c r="D12" s="232"/>
      <c r="E12" s="629"/>
      <c r="F12" s="628"/>
      <c r="G12" s="25"/>
      <c r="H12" s="25"/>
      <c r="I12" s="25"/>
      <c r="J12" s="25"/>
      <c r="K12" s="25"/>
      <c r="L12" s="25"/>
      <c r="M12" s="25"/>
      <c r="N12" s="25"/>
      <c r="P12" s="25"/>
      <c r="Q12" s="25"/>
      <c r="R12" s="25"/>
      <c r="S12" s="232"/>
      <c r="T12" s="629"/>
      <c r="U12" s="628"/>
      <c r="V12" s="25"/>
      <c r="W12" s="25"/>
      <c r="X12" s="25"/>
      <c r="Y12" s="25"/>
      <c r="Z12" s="25"/>
      <c r="AA12" s="25"/>
      <c r="AB12" s="25"/>
      <c r="AC12" s="25"/>
    </row>
    <row r="13" spans="2:29" ht="14.25" customHeight="1" x14ac:dyDescent="0.2">
      <c r="B13" s="25"/>
      <c r="C13" s="25"/>
      <c r="D13" s="232"/>
      <c r="E13" s="673" t="s">
        <v>3504</v>
      </c>
      <c r="F13" s="674"/>
      <c r="G13" s="38"/>
      <c r="H13" s="39" t="s">
        <v>3573</v>
      </c>
      <c r="I13" s="40"/>
      <c r="J13" s="39" t="s">
        <v>3544</v>
      </c>
      <c r="K13" s="40"/>
      <c r="L13" s="39" t="s">
        <v>3586</v>
      </c>
      <c r="M13" s="40"/>
      <c r="N13" s="39" t="s">
        <v>3545</v>
      </c>
      <c r="P13" s="25"/>
      <c r="Q13" s="25"/>
      <c r="R13" s="25"/>
      <c r="S13" s="232"/>
      <c r="T13" s="673" t="s">
        <v>3504</v>
      </c>
      <c r="U13" s="674"/>
      <c r="V13" s="38"/>
      <c r="W13" s="39" t="s">
        <v>3573</v>
      </c>
      <c r="X13" s="40"/>
      <c r="Y13" s="39" t="s">
        <v>3544</v>
      </c>
      <c r="Z13" s="40"/>
      <c r="AA13" s="39" t="s">
        <v>3586</v>
      </c>
      <c r="AB13" s="40"/>
      <c r="AC13" s="39" t="s">
        <v>3545</v>
      </c>
    </row>
    <row r="14" spans="2:29" ht="14.25" customHeight="1" x14ac:dyDescent="0.2">
      <c r="B14" s="25"/>
      <c r="C14" s="25"/>
      <c r="D14" s="232"/>
      <c r="E14" s="675" t="e">
        <f>COUNTIFS('Database MK'!$H:$H,'Database MK'!$G$238,'Database MK'!#REF!,'Tree Apr 26'!$E13)</f>
        <v>#REF!</v>
      </c>
      <c r="F14" s="676"/>
      <c r="G14" s="25"/>
      <c r="H14" s="39" t="e">
        <f>COUNTIFS('Database MK'!$H:$H,'Database MK'!$G$238,'Database MK'!#REF!,'Tree Apr 26'!$E13,'Database MK'!$S:$S,"Ahead")</f>
        <v>#REF!</v>
      </c>
      <c r="I14" s="25"/>
      <c r="J14" s="39" t="e">
        <f>COUNTIFS('Database MK'!$H:$H,'Database MK'!$G$238,'Database MK'!#REF!,'Tree Apr 26'!$E13,'Database MK'!$S:$S,0)</f>
        <v>#REF!</v>
      </c>
      <c r="K14" s="25"/>
      <c r="L14" s="39" t="e">
        <f>COUNTIFS('Database MK'!$H:$H,'Database MK'!$G$238,'Database MK'!#REF!,'Tree Apr 26'!$E13,'Database MK'!$S:$S,"&gt;0")</f>
        <v>#REF!</v>
      </c>
      <c r="M14" s="25"/>
      <c r="N14" s="39" t="e">
        <f>COUNTIFS('Database MK'!$H:$H,'Database MK'!$G$238,'Database MK'!#REF!,'Tree Apr 26'!$E13,'Database MK'!$S:$S,"&lt;0")</f>
        <v>#REF!</v>
      </c>
      <c r="P14" s="25"/>
      <c r="Q14" s="25"/>
      <c r="R14" s="25"/>
      <c r="S14" s="232"/>
      <c r="T14" s="675" t="e">
        <f>COUNTIFS('Database MK'!$H:$H,'Database MK'!$G$238,'Database MK'!#REF!,'Tree Apr 26'!$E13)</f>
        <v>#REF!</v>
      </c>
      <c r="U14" s="676"/>
      <c r="V14" s="25"/>
      <c r="W14" s="39" t="e">
        <f>COUNTIFS('Database MK'!$H:$H,'Database MK'!$G$238,'Database MK'!#REF!,'Tree Apr 26'!$E13,'Database MK'!$S:$S,"Ahead")</f>
        <v>#REF!</v>
      </c>
      <c r="X14" s="25"/>
      <c r="Y14" s="39" t="e">
        <f>COUNTIFS('Database MK'!$H:$H,'Database MK'!$G$238,'Database MK'!#REF!,'Tree Apr 26'!$E13,'Database MK'!$S:$S,0)</f>
        <v>#REF!</v>
      </c>
      <c r="Z14" s="25"/>
      <c r="AA14" s="39" t="e">
        <f>COUNTIFS('Database MK'!$H:$H,'Database MK'!$G$238,'Database MK'!#REF!,'Tree Apr 26'!$E13,'Database MK'!$S:$S,"&gt;0")</f>
        <v>#REF!</v>
      </c>
      <c r="AB14" s="25"/>
      <c r="AC14" s="39" t="e">
        <f>COUNTIFS('Database MK'!$H:$H,'Database MK'!$G$238,'Database MK'!#REF!,'Tree Apr 26'!$E13,'Database MK'!$S:$S,"&lt;0")</f>
        <v>#REF!</v>
      </c>
    </row>
    <row r="15" spans="2:29" ht="14.25" customHeight="1" x14ac:dyDescent="0.2">
      <c r="B15" s="25"/>
      <c r="C15" s="25"/>
      <c r="D15" s="232"/>
      <c r="E15" s="629"/>
      <c r="F15" s="628"/>
      <c r="G15" s="25"/>
      <c r="H15" s="25"/>
      <c r="I15" s="25"/>
      <c r="J15" s="25"/>
      <c r="K15" s="25"/>
      <c r="L15" s="25"/>
      <c r="M15" s="25"/>
      <c r="N15" s="25"/>
      <c r="P15" s="25"/>
      <c r="Q15" s="25"/>
      <c r="R15" s="25"/>
      <c r="S15" s="232"/>
      <c r="T15" s="629"/>
      <c r="U15" s="628"/>
      <c r="V15" s="25"/>
      <c r="W15" s="25"/>
      <c r="X15" s="25"/>
      <c r="Y15" s="25"/>
      <c r="Z15" s="25"/>
      <c r="AA15" s="25"/>
      <c r="AB15" s="25"/>
      <c r="AC15" s="25"/>
    </row>
    <row r="16" spans="2:29" ht="14.25" customHeight="1" x14ac:dyDescent="0.2">
      <c r="B16" s="25"/>
      <c r="C16" s="25"/>
      <c r="D16" s="232"/>
      <c r="E16" s="673" t="s">
        <v>3539</v>
      </c>
      <c r="F16" s="674"/>
      <c r="G16" s="38"/>
      <c r="H16" s="39" t="s">
        <v>3573</v>
      </c>
      <c r="I16" s="40"/>
      <c r="J16" s="39" t="s">
        <v>3544</v>
      </c>
      <c r="K16" s="40"/>
      <c r="L16" s="39" t="s">
        <v>3586</v>
      </c>
      <c r="M16" s="40"/>
      <c r="N16" s="39" t="s">
        <v>3545</v>
      </c>
      <c r="P16" s="25"/>
      <c r="Q16" s="25"/>
      <c r="R16" s="25"/>
      <c r="S16" s="232"/>
      <c r="T16" s="673" t="s">
        <v>3539</v>
      </c>
      <c r="U16" s="674"/>
      <c r="V16" s="38"/>
      <c r="W16" s="39" t="s">
        <v>3573</v>
      </c>
      <c r="X16" s="40"/>
      <c r="Y16" s="39" t="s">
        <v>3544</v>
      </c>
      <c r="Z16" s="40"/>
      <c r="AA16" s="39" t="s">
        <v>3586</v>
      </c>
      <c r="AB16" s="40"/>
      <c r="AC16" s="39" t="s">
        <v>3545</v>
      </c>
    </row>
    <row r="17" spans="2:29" ht="14.25" customHeight="1" x14ac:dyDescent="0.2">
      <c r="B17" s="25"/>
      <c r="C17" s="25"/>
      <c r="D17" s="232"/>
      <c r="E17" s="675" t="e">
        <f>COUNTIFS('Database MK'!$H:$H,'Database MK'!$G$238,'Database MK'!#REF!,'Tree Apr 26'!$E16)</f>
        <v>#REF!</v>
      </c>
      <c r="F17" s="676"/>
      <c r="G17" s="25"/>
      <c r="H17" s="39" t="e">
        <f>COUNTIFS('Database MK'!$H:$H,'Database MK'!$G$238,'Database MK'!#REF!,'Tree Apr 26'!$E16,'Database MK'!$S:$S,"Ahead")</f>
        <v>#REF!</v>
      </c>
      <c r="I17" s="25"/>
      <c r="J17" s="39" t="e">
        <f>COUNTIFS('Database MK'!$H:$H,'Database MK'!$G$238,'Database MK'!#REF!,'Tree Apr 26'!$E16,'Database MK'!$S:$S,0)</f>
        <v>#REF!</v>
      </c>
      <c r="K17" s="25"/>
      <c r="L17" s="39" t="e">
        <f>COUNTIFS('Database MK'!$H:$H,'Database MK'!$G$238,'Database MK'!#REF!,'Tree Apr 26'!$E16,'Database MK'!$S:$S,"&gt;0")</f>
        <v>#REF!</v>
      </c>
      <c r="M17" s="25"/>
      <c r="N17" s="39" t="e">
        <f>COUNTIFS('Database MK'!$H:$H,'Database MK'!$G$238,'Database MK'!#REF!,'Tree Apr 26'!$E16,'Database MK'!$S:$S,"&lt;0")</f>
        <v>#REF!</v>
      </c>
      <c r="P17" s="25"/>
      <c r="Q17" s="25"/>
      <c r="R17" s="25"/>
      <c r="S17" s="232"/>
      <c r="T17" s="675" t="e">
        <f>COUNTIFS('Database MK'!$H:$H,'Database MK'!$G$238,'Database MK'!#REF!,'Tree Apr 26'!$E16)</f>
        <v>#REF!</v>
      </c>
      <c r="U17" s="676"/>
      <c r="V17" s="25"/>
      <c r="W17" s="39" t="e">
        <f>COUNTIFS('Database MK'!$H:$H,'Database MK'!$G$238,'Database MK'!#REF!,'Tree Apr 26'!$E16,'Database MK'!$S:$S,"Ahead")</f>
        <v>#REF!</v>
      </c>
      <c r="X17" s="25"/>
      <c r="Y17" s="39" t="e">
        <f>COUNTIFS('Database MK'!$H:$H,'Database MK'!$G$238,'Database MK'!#REF!,'Tree Apr 26'!$E16,'Database MK'!$S:$S,0)</f>
        <v>#REF!</v>
      </c>
      <c r="Z17" s="25"/>
      <c r="AA17" s="39" t="e">
        <f>COUNTIFS('Database MK'!$H:$H,'Database MK'!$G$238,'Database MK'!#REF!,'Tree Apr 26'!$E16,'Database MK'!$S:$S,"&gt;0")</f>
        <v>#REF!</v>
      </c>
      <c r="AB17" s="25"/>
      <c r="AC17" s="39" t="e">
        <f>COUNTIFS('Database MK'!$H:$H,'Database MK'!$G$238,'Database MK'!#REF!,'Tree Apr 26'!$E16,'Database MK'!$S:$S,"&lt;0")</f>
        <v>#REF!</v>
      </c>
    </row>
    <row r="18" spans="2:29" ht="14.25" customHeight="1" x14ac:dyDescent="0.2">
      <c r="B18" s="25"/>
      <c r="C18" s="25"/>
      <c r="D18" s="232"/>
      <c r="E18" s="629"/>
      <c r="F18" s="628"/>
      <c r="G18" s="25"/>
      <c r="H18" s="25"/>
      <c r="I18" s="25"/>
      <c r="J18" s="25"/>
      <c r="K18" s="25"/>
      <c r="L18" s="25"/>
      <c r="M18" s="25"/>
      <c r="N18" s="25"/>
      <c r="P18" s="25"/>
      <c r="Q18" s="25"/>
      <c r="R18" s="25"/>
      <c r="S18" s="232"/>
      <c r="T18" s="629"/>
      <c r="U18" s="628"/>
      <c r="V18" s="25"/>
      <c r="W18" s="25"/>
      <c r="X18" s="25"/>
      <c r="Y18" s="25"/>
      <c r="Z18" s="25"/>
      <c r="AA18" s="25"/>
      <c r="AB18" s="25"/>
      <c r="AC18" s="25"/>
    </row>
    <row r="19" spans="2:29" ht="14.25" customHeight="1" x14ac:dyDescent="0.2">
      <c r="B19" s="25"/>
      <c r="C19" s="25"/>
      <c r="D19" s="232"/>
      <c r="E19" s="673" t="s">
        <v>3540</v>
      </c>
      <c r="F19" s="674"/>
      <c r="G19" s="38"/>
      <c r="H19" s="39" t="s">
        <v>3573</v>
      </c>
      <c r="I19" s="40"/>
      <c r="J19" s="39" t="s">
        <v>3544</v>
      </c>
      <c r="K19" s="40"/>
      <c r="L19" s="39" t="s">
        <v>3586</v>
      </c>
      <c r="M19" s="40"/>
      <c r="N19" s="39" t="s">
        <v>3545</v>
      </c>
      <c r="P19" s="25"/>
      <c r="Q19" s="25"/>
      <c r="R19" s="25"/>
      <c r="S19" s="232"/>
      <c r="T19" s="673" t="s">
        <v>3540</v>
      </c>
      <c r="U19" s="674"/>
      <c r="V19" s="38"/>
      <c r="W19" s="39" t="s">
        <v>3573</v>
      </c>
      <c r="X19" s="40"/>
      <c r="Y19" s="39" t="s">
        <v>3544</v>
      </c>
      <c r="Z19" s="40"/>
      <c r="AA19" s="39" t="s">
        <v>3586</v>
      </c>
      <c r="AB19" s="40"/>
      <c r="AC19" s="39" t="s">
        <v>3545</v>
      </c>
    </row>
    <row r="20" spans="2:29" ht="14.25" customHeight="1" x14ac:dyDescent="0.2">
      <c r="B20" s="25"/>
      <c r="C20" s="25"/>
      <c r="D20" s="232"/>
      <c r="E20" s="675" t="e">
        <f>COUNTIFS('Database MK'!$H:$H,'Database MK'!$G$238,'Database MK'!#REF!,'Tree Apr 26'!$E19)</f>
        <v>#REF!</v>
      </c>
      <c r="F20" s="676"/>
      <c r="G20" s="25"/>
      <c r="H20" s="39" t="e">
        <f>COUNTIFS('Database MK'!$H:$H,'Database MK'!$G$238,'Database MK'!#REF!,'Tree Apr 26'!$E19,'Database MK'!$S:$S,"Ahead")</f>
        <v>#REF!</v>
      </c>
      <c r="I20" s="25"/>
      <c r="J20" s="39" t="e">
        <f>COUNTIFS('Database MK'!$H:$H,'Database MK'!$G$238,'Database MK'!#REF!,'Tree Apr 26'!$E19,'Database MK'!$S:$S,0)</f>
        <v>#REF!</v>
      </c>
      <c r="K20" s="25"/>
      <c r="L20" s="39" t="e">
        <f>COUNTIFS('Database MK'!$H:$H,'Database MK'!$G$238,'Database MK'!#REF!,'Tree Apr 26'!$E19,'Database MK'!$S:$S,"&gt;0")</f>
        <v>#REF!</v>
      </c>
      <c r="M20" s="25"/>
      <c r="N20" s="39" t="e">
        <f>COUNTIFS('Database MK'!$H:$H,'Database MK'!$G$238,'Database MK'!#REF!,'Tree Apr 26'!$E19,'Database MK'!$S:$S,"&lt;0")</f>
        <v>#REF!</v>
      </c>
      <c r="P20" s="25"/>
      <c r="Q20" s="25"/>
      <c r="R20" s="25"/>
      <c r="S20" s="232"/>
      <c r="T20" s="675" t="e">
        <f>COUNTIFS('Database MK'!$H:$H,'Database MK'!$G$238,'Database MK'!#REF!,'Tree Apr 26'!$E19)</f>
        <v>#REF!</v>
      </c>
      <c r="U20" s="676"/>
      <c r="V20" s="25"/>
      <c r="W20" s="39" t="e">
        <f>COUNTIFS('Database MK'!$H:$H,'Database MK'!$G$238,'Database MK'!#REF!,'Tree Apr 26'!$E19,'Database MK'!$S:$S,"Ahead")</f>
        <v>#REF!</v>
      </c>
      <c r="X20" s="25"/>
      <c r="Y20" s="39" t="e">
        <f>COUNTIFS('Database MK'!$H:$H,'Database MK'!$G$238,'Database MK'!#REF!,'Tree Apr 26'!$E19,'Database MK'!$S:$S,0)</f>
        <v>#REF!</v>
      </c>
      <c r="Z20" s="25"/>
      <c r="AA20" s="39" t="e">
        <f>COUNTIFS('Database MK'!$H:$H,'Database MK'!$G$238,'Database MK'!#REF!,'Tree Apr 26'!$E19,'Database MK'!$S:$S,"&gt;0")</f>
        <v>#REF!</v>
      </c>
      <c r="AB20" s="25"/>
      <c r="AC20" s="39" t="e">
        <f>COUNTIFS('Database MK'!$H:$H,'Database MK'!$G$238,'Database MK'!#REF!,'Tree Apr 26'!$E19,'Database MK'!$S:$S,"&lt;0")</f>
        <v>#REF!</v>
      </c>
    </row>
    <row r="21" spans="2:29" ht="14.25" customHeight="1" x14ac:dyDescent="0.2">
      <c r="B21" s="25"/>
      <c r="C21" s="25"/>
      <c r="D21" s="232"/>
      <c r="E21" s="629"/>
      <c r="F21" s="628"/>
      <c r="G21" s="25"/>
      <c r="H21" s="25"/>
      <c r="I21" s="25"/>
      <c r="J21" s="25"/>
      <c r="K21" s="25"/>
      <c r="L21" s="25"/>
      <c r="M21" s="25"/>
      <c r="N21" s="25"/>
      <c r="P21" s="25"/>
      <c r="Q21" s="25"/>
      <c r="R21" s="25"/>
      <c r="S21" s="232"/>
      <c r="T21" s="629"/>
      <c r="U21" s="628"/>
      <c r="V21" s="25"/>
      <c r="W21" s="25"/>
      <c r="X21" s="25"/>
      <c r="Y21" s="25"/>
      <c r="Z21" s="25"/>
      <c r="AA21" s="25"/>
      <c r="AB21" s="25"/>
      <c r="AC21" s="25"/>
    </row>
    <row r="22" spans="2:29" ht="14.25" customHeight="1" x14ac:dyDescent="0.2">
      <c r="B22" s="25"/>
      <c r="C22" s="25"/>
      <c r="D22" s="232"/>
      <c r="E22" s="673" t="s">
        <v>3537</v>
      </c>
      <c r="F22" s="674"/>
      <c r="G22" s="38"/>
      <c r="H22" s="39" t="s">
        <v>3573</v>
      </c>
      <c r="I22" s="40"/>
      <c r="J22" s="39" t="s">
        <v>3544</v>
      </c>
      <c r="K22" s="40"/>
      <c r="L22" s="39" t="s">
        <v>3586</v>
      </c>
      <c r="M22" s="40"/>
      <c r="N22" s="39" t="s">
        <v>3545</v>
      </c>
      <c r="P22" s="25"/>
      <c r="Q22" s="25"/>
      <c r="R22" s="25"/>
      <c r="S22" s="232"/>
      <c r="T22" s="673" t="s">
        <v>3537</v>
      </c>
      <c r="U22" s="674"/>
      <c r="V22" s="38"/>
      <c r="W22" s="39" t="s">
        <v>3573</v>
      </c>
      <c r="X22" s="40"/>
      <c r="Y22" s="39" t="s">
        <v>3544</v>
      </c>
      <c r="Z22" s="40"/>
      <c r="AA22" s="39" t="s">
        <v>3586</v>
      </c>
      <c r="AB22" s="40"/>
      <c r="AC22" s="39" t="s">
        <v>3545</v>
      </c>
    </row>
    <row r="23" spans="2:29" ht="14.25" customHeight="1" x14ac:dyDescent="0.2">
      <c r="B23" s="25"/>
      <c r="C23" s="25"/>
      <c r="D23" s="232"/>
      <c r="E23" s="675" t="e">
        <f>COUNTIFS('Database MK'!$H:$H,'Database MK'!$G$238,'Database MK'!#REF!,'Tree Apr 26'!$E22)</f>
        <v>#REF!</v>
      </c>
      <c r="F23" s="676"/>
      <c r="G23" s="25"/>
      <c r="H23" s="39" t="e">
        <f>COUNTIFS('Database MK'!$H:$H,'Database MK'!$G$238,'Database MK'!#REF!,'Tree Apr 26'!$E22,'Database MK'!$S:$S,"Ahead")</f>
        <v>#REF!</v>
      </c>
      <c r="I23" s="25"/>
      <c r="J23" s="39" t="e">
        <f>COUNTIFS('Database MK'!$H:$H,'Database MK'!$G$238,'Database MK'!#REF!,'Tree Apr 26'!$E22,'Database MK'!$S:$S,0)</f>
        <v>#REF!</v>
      </c>
      <c r="K23" s="25"/>
      <c r="L23" s="39" t="e">
        <f>COUNTIFS('Database MK'!$H:$H,'Database MK'!$G$238,'Database MK'!#REF!,'Tree Apr 26'!$E22,'Database MK'!$S:$S,"&gt;0")</f>
        <v>#REF!</v>
      </c>
      <c r="M23" s="25"/>
      <c r="N23" s="39" t="e">
        <f>COUNTIFS('Database MK'!$H:$H,'Database MK'!$G$238,'Database MK'!#REF!,'Tree Apr 26'!$E22,'Database MK'!$S:$S,"&lt;0")</f>
        <v>#REF!</v>
      </c>
      <c r="P23" s="25"/>
      <c r="Q23" s="25"/>
      <c r="R23" s="25"/>
      <c r="S23" s="232"/>
      <c r="T23" s="675" t="e">
        <f>COUNTIFS('Database MK'!$H:$H,'Database MK'!$G$238,'Database MK'!#REF!,'Tree Apr 26'!$E22)</f>
        <v>#REF!</v>
      </c>
      <c r="U23" s="676"/>
      <c r="V23" s="25"/>
      <c r="W23" s="39" t="e">
        <f>COUNTIFS('Database MK'!$H:$H,'Database MK'!$G$238,'Database MK'!#REF!,'Tree Apr 26'!$E22,'Database MK'!$S:$S,"Ahead")</f>
        <v>#REF!</v>
      </c>
      <c r="X23" s="25"/>
      <c r="Y23" s="39" t="e">
        <f>COUNTIFS('Database MK'!$H:$H,'Database MK'!$G$238,'Database MK'!#REF!,'Tree Apr 26'!$E22,'Database MK'!$S:$S,0)</f>
        <v>#REF!</v>
      </c>
      <c r="Z23" s="25"/>
      <c r="AA23" s="39" t="e">
        <f>COUNTIFS('Database MK'!$H:$H,'Database MK'!$G$238,'Database MK'!#REF!,'Tree Apr 26'!$E22,'Database MK'!$S:$S,"&gt;0")</f>
        <v>#REF!</v>
      </c>
      <c r="AB23" s="25"/>
      <c r="AC23" s="39" t="e">
        <f>COUNTIFS('Database MK'!$H:$H,'Database MK'!$G$238,'Database MK'!#REF!,'Tree Apr 26'!$E22,'Database MK'!$S:$S,"&lt;0")</f>
        <v>#REF!</v>
      </c>
    </row>
    <row r="24" spans="2:29" ht="14.25" customHeight="1" x14ac:dyDescent="0.2">
      <c r="B24" s="25"/>
      <c r="C24" s="25"/>
      <c r="D24" s="232"/>
      <c r="E24" s="629"/>
      <c r="F24" s="628"/>
      <c r="G24" s="25"/>
      <c r="H24" s="25"/>
      <c r="I24" s="25"/>
      <c r="J24" s="25"/>
      <c r="K24" s="25"/>
      <c r="L24" s="25"/>
      <c r="M24" s="25"/>
      <c r="N24" s="25"/>
      <c r="P24" s="25"/>
      <c r="Q24" s="25"/>
      <c r="R24" s="25"/>
      <c r="S24" s="232"/>
      <c r="T24" s="629"/>
      <c r="U24" s="628"/>
      <c r="V24" s="25"/>
      <c r="W24" s="25"/>
      <c r="X24" s="25"/>
      <c r="Y24" s="25"/>
      <c r="Z24" s="25"/>
      <c r="AA24" s="25"/>
      <c r="AB24" s="25"/>
      <c r="AC24" s="25"/>
    </row>
    <row r="25" spans="2:29" ht="14.25" customHeight="1" x14ac:dyDescent="0.2">
      <c r="B25" s="25"/>
      <c r="C25" s="25"/>
      <c r="D25" s="232"/>
      <c r="E25" s="673" t="s">
        <v>3538</v>
      </c>
      <c r="F25" s="674"/>
      <c r="G25" s="38"/>
      <c r="H25" s="39" t="s">
        <v>3573</v>
      </c>
      <c r="I25" s="40"/>
      <c r="J25" s="39" t="s">
        <v>3544</v>
      </c>
      <c r="K25" s="40"/>
      <c r="L25" s="39" t="s">
        <v>3586</v>
      </c>
      <c r="M25" s="40"/>
      <c r="N25" s="39" t="s">
        <v>3545</v>
      </c>
      <c r="P25" s="25"/>
      <c r="Q25" s="25"/>
      <c r="R25" s="25"/>
      <c r="S25" s="232"/>
      <c r="T25" s="673" t="s">
        <v>3538</v>
      </c>
      <c r="U25" s="674"/>
      <c r="V25" s="38"/>
      <c r="W25" s="39" t="s">
        <v>3573</v>
      </c>
      <c r="X25" s="40"/>
      <c r="Y25" s="39" t="s">
        <v>3544</v>
      </c>
      <c r="Z25" s="40"/>
      <c r="AA25" s="39" t="s">
        <v>3586</v>
      </c>
      <c r="AB25" s="40"/>
      <c r="AC25" s="39" t="s">
        <v>3545</v>
      </c>
    </row>
    <row r="26" spans="2:29" ht="14.25" customHeight="1" x14ac:dyDescent="0.2">
      <c r="B26" s="25"/>
      <c r="C26" s="25"/>
      <c r="D26" s="232"/>
      <c r="E26" s="675" t="e">
        <f>COUNTIFS('Database MK'!$H:$H,'Database MK'!$G$238,'Database MK'!#REF!,'Tree Apr 26'!$E25)</f>
        <v>#REF!</v>
      </c>
      <c r="F26" s="676"/>
      <c r="G26" s="25"/>
      <c r="H26" s="39" t="e">
        <f>COUNTIFS('Database MK'!$H:$H,'Database MK'!$G$238,'Database MK'!#REF!,'Tree Apr 26'!$E25,'Database MK'!$S:$S,"Ahead")</f>
        <v>#REF!</v>
      </c>
      <c r="I26" s="25"/>
      <c r="J26" s="39" t="e">
        <f>COUNTIFS('Database MK'!$H:$H,'Database MK'!$G$238,'Database MK'!#REF!,'Tree Apr 26'!$E25,'Database MK'!$S:$S,0)</f>
        <v>#REF!</v>
      </c>
      <c r="K26" s="25"/>
      <c r="L26" s="39" t="e">
        <f>COUNTIFS('Database MK'!$H:$H,'Database MK'!$G$238,'Database MK'!#REF!,'Tree Apr 26'!$E25,'Database MK'!$S:$S,"&gt;0")</f>
        <v>#REF!</v>
      </c>
      <c r="M26" s="25"/>
      <c r="N26" s="39" t="e">
        <f>COUNTIFS('Database MK'!$H:$H,'Database MK'!$G$238,'Database MK'!#REF!,'Tree Apr 26'!$E25,'Database MK'!$S:$S,"&lt;0")</f>
        <v>#REF!</v>
      </c>
      <c r="P26" s="25"/>
      <c r="Q26" s="25"/>
      <c r="R26" s="25"/>
      <c r="S26" s="232"/>
      <c r="T26" s="675" t="e">
        <f>COUNTIFS('Database MK'!$H:$H,'Database MK'!$G$238,'Database MK'!#REF!,'Tree Apr 26'!$E25)</f>
        <v>#REF!</v>
      </c>
      <c r="U26" s="676"/>
      <c r="V26" s="25"/>
      <c r="W26" s="39" t="e">
        <f>COUNTIFS('Database MK'!$H:$H,'Database MK'!$G$238,'Database MK'!#REF!,'Tree Apr 26'!$E25,'Database MK'!$S:$S,"Ahead")</f>
        <v>#REF!</v>
      </c>
      <c r="X26" s="25"/>
      <c r="Y26" s="39" t="e">
        <f>COUNTIFS('Database MK'!$H:$H,'Database MK'!$G$238,'Database MK'!#REF!,'Tree Apr 26'!$E25,'Database MK'!$S:$S,0)</f>
        <v>#REF!</v>
      </c>
      <c r="Z26" s="25"/>
      <c r="AA26" s="39" t="e">
        <f>COUNTIFS('Database MK'!$H:$H,'Database MK'!$G$238,'Database MK'!#REF!,'Tree Apr 26'!$E25,'Database MK'!$S:$S,"&gt;0")</f>
        <v>#REF!</v>
      </c>
      <c r="AB26" s="25"/>
      <c r="AC26" s="39" t="e">
        <f>COUNTIFS('Database MK'!$H:$H,'Database MK'!$G$238,'Database MK'!#REF!,'Tree Apr 26'!$E25,'Database MK'!$S:$S,"&lt;0")</f>
        <v>#REF!</v>
      </c>
    </row>
    <row r="27" spans="2:29" x14ac:dyDescent="0.2">
      <c r="B27" s="25"/>
      <c r="C27" s="25"/>
      <c r="D27" s="232"/>
      <c r="E27" s="629"/>
      <c r="F27" s="628"/>
      <c r="G27" s="25"/>
      <c r="H27" s="25"/>
      <c r="I27" s="25"/>
      <c r="J27" s="25"/>
      <c r="K27" s="25"/>
      <c r="L27" s="25"/>
      <c r="M27" s="25"/>
      <c r="N27" s="25"/>
      <c r="P27" s="629"/>
      <c r="Q27" s="628"/>
      <c r="R27" s="25"/>
      <c r="S27" s="232"/>
      <c r="T27" s="629"/>
      <c r="U27" s="628"/>
      <c r="V27" s="25"/>
      <c r="W27" s="25"/>
      <c r="X27" s="25"/>
      <c r="Y27" s="25"/>
      <c r="Z27" s="25"/>
      <c r="AA27" s="25"/>
      <c r="AB27" s="25"/>
      <c r="AC27" s="25"/>
    </row>
    <row r="28" spans="2:29" x14ac:dyDescent="0.2">
      <c r="B28" s="25"/>
      <c r="C28" s="25"/>
      <c r="D28" s="232"/>
      <c r="E28" s="678" t="s">
        <v>3510</v>
      </c>
      <c r="F28" s="678"/>
      <c r="G28" s="38"/>
      <c r="H28" s="41" t="s">
        <v>3573</v>
      </c>
      <c r="I28" s="40"/>
      <c r="J28" s="41" t="s">
        <v>3544</v>
      </c>
      <c r="K28" s="40"/>
      <c r="L28" s="41" t="s">
        <v>3586</v>
      </c>
      <c r="M28" s="40"/>
      <c r="N28" s="41" t="s">
        <v>3545</v>
      </c>
      <c r="P28" s="679" t="s">
        <v>3587</v>
      </c>
      <c r="Q28" s="680"/>
      <c r="R28"/>
      <c r="S28" s="232"/>
      <c r="T28" s="681" t="s">
        <v>3510</v>
      </c>
      <c r="U28" s="681"/>
      <c r="V28" s="38"/>
      <c r="W28" s="41" t="s">
        <v>3573</v>
      </c>
      <c r="X28" s="40"/>
      <c r="Y28" s="41" t="s">
        <v>3544</v>
      </c>
      <c r="Z28" s="40"/>
      <c r="AA28" s="41" t="s">
        <v>3586</v>
      </c>
      <c r="AB28" s="40"/>
      <c r="AC28" s="41" t="s">
        <v>3545</v>
      </c>
    </row>
    <row r="29" spans="2:29" x14ac:dyDescent="0.2">
      <c r="B29" s="25"/>
      <c r="C29" s="25"/>
      <c r="D29" s="233"/>
      <c r="E29" s="675">
        <f ca="1">COUNTIFS('Database MK'!$G:$G,'Database MK'!$G$238,'Database MK'!$Q:$Q,'Tree Apr 26'!$E28)</f>
        <v>0</v>
      </c>
      <c r="F29" s="676"/>
      <c r="G29" s="25"/>
      <c r="H29" s="39" t="e">
        <f>COUNTIFS('Database MK'!$G:$G,'Database MK'!$G$238,'Database MK'!$Q:$Q,'Tree Apr 26'!$E28,'Database MK'!#REF!,"Ahead")</f>
        <v>#REF!</v>
      </c>
      <c r="I29" s="25"/>
      <c r="J29" s="39" t="e">
        <f>COUNTIFS('Database MK'!$G:$G,'Database MK'!$G$238,'Database MK'!$Q:$Q,'Tree Apr 26'!$E28,'Database MK'!#REF!,"&gt;=0",'Database MK'!#REF!,"&lt;=14")</f>
        <v>#REF!</v>
      </c>
      <c r="K29" s="25"/>
      <c r="L29" s="39" t="e">
        <f>COUNTIFS('Database MK'!$G:$G,'Database MK'!$G$238,'Database MK'!$Q:$Q,'Tree Apr 26'!$E28,'Database MK'!#REF!,"&gt;14")</f>
        <v>#REF!</v>
      </c>
      <c r="M29" s="25"/>
      <c r="N29" s="39" t="e">
        <f>COUNTIFS('Database MK'!$G:$G,'Database MK'!$G$238,'Database MK'!$Q:$Q,'Tree Apr 26'!$E28,'Database MK'!#REF!,"&lt;0")</f>
        <v>#REF!</v>
      </c>
      <c r="P29" s="675">
        <f ca="1">P8-P32</f>
        <v>92</v>
      </c>
      <c r="Q29" s="676"/>
      <c r="R29"/>
      <c r="S29" s="233"/>
      <c r="T29" s="675">
        <f ca="1">COUNTIFS('Database MK'!$G:$G,'Database MK'!$G$238,'Database MK'!$Q:$Q,'Tree Apr 26'!$E28)</f>
        <v>0</v>
      </c>
      <c r="U29" s="676"/>
      <c r="V29" s="25"/>
      <c r="W29" s="39" t="e">
        <f>COUNTIFS('Database MK'!$G:$G,'Database MK'!$G$238,'Database MK'!$Q:$Q,'Tree Apr 26'!$E28,'Database MK'!#REF!,"Ahead")</f>
        <v>#REF!</v>
      </c>
      <c r="X29" s="25"/>
      <c r="Y29" s="39" t="e">
        <f>COUNTIFS('Database MK'!$G:$G,'Database MK'!$G$238,'Database MK'!$Q:$Q,'Tree Apr 26'!$E28,'Database MK'!#REF!,"&gt;=0",'Database MK'!#REF!,"&lt;=14")</f>
        <v>#REF!</v>
      </c>
      <c r="Z29" s="25"/>
      <c r="AA29" s="39" t="e">
        <f>COUNTIFS('Database MK'!$G:$G,'Database MK'!$G$238,'Database MK'!$Q:$Q,'Tree Apr 26'!$E28,'Database MK'!#REF!,"&gt;14")</f>
        <v>#REF!</v>
      </c>
      <c r="AB29" s="25"/>
      <c r="AC29" s="39" t="e">
        <f>COUNTIFS('Database MK'!$G:$G,'Database MK'!$G$238,'Database MK'!$Q:$Q,'Tree Apr 26'!$E28,'Database MK'!#REF!,"&lt;0")</f>
        <v>#REF!</v>
      </c>
    </row>
    <row r="30" spans="2:29" x14ac:dyDescent="0.2">
      <c r="B30" s="25"/>
      <c r="C30" s="25"/>
      <c r="D30" s="232"/>
      <c r="E30" s="629"/>
      <c r="F30" s="628"/>
      <c r="G30" s="25"/>
      <c r="H30" s="25"/>
      <c r="I30" s="25"/>
      <c r="J30" s="25"/>
      <c r="K30" s="25"/>
      <c r="L30" s="25"/>
      <c r="M30" s="25"/>
      <c r="N30" s="25"/>
      <c r="P30" s="629"/>
      <c r="Q30" s="628"/>
      <c r="R30" s="25"/>
      <c r="S30" s="232"/>
      <c r="T30" s="629"/>
      <c r="U30" s="628"/>
      <c r="V30" s="25"/>
      <c r="W30" s="25"/>
      <c r="X30" s="25"/>
      <c r="Y30" s="25"/>
      <c r="Z30" s="25"/>
      <c r="AA30" s="25"/>
      <c r="AB30" s="25"/>
      <c r="AC30" s="25"/>
    </row>
    <row r="31" spans="2:29" x14ac:dyDescent="0.2">
      <c r="B31" s="25"/>
      <c r="C31" s="25"/>
      <c r="D31" s="232"/>
      <c r="E31" s="678" t="s">
        <v>3511</v>
      </c>
      <c r="F31" s="678"/>
      <c r="G31" s="38"/>
      <c r="H31" s="41" t="s">
        <v>3573</v>
      </c>
      <c r="I31" s="40"/>
      <c r="J31" s="41" t="s">
        <v>3544</v>
      </c>
      <c r="K31" s="40"/>
      <c r="L31" s="41" t="s">
        <v>3586</v>
      </c>
      <c r="M31" s="40"/>
      <c r="N31" s="41" t="s">
        <v>3545</v>
      </c>
      <c r="P31" s="679" t="s">
        <v>389</v>
      </c>
      <c r="Q31" s="680"/>
      <c r="R31" s="25"/>
      <c r="S31" s="232"/>
      <c r="T31" s="681" t="s">
        <v>3511</v>
      </c>
      <c r="U31" s="681"/>
      <c r="V31" s="38"/>
      <c r="W31" s="41" t="s">
        <v>3573</v>
      </c>
      <c r="X31" s="40"/>
      <c r="Y31" s="41" t="s">
        <v>3544</v>
      </c>
      <c r="Z31" s="40"/>
      <c r="AA31" s="41" t="s">
        <v>3586</v>
      </c>
      <c r="AB31" s="40"/>
      <c r="AC31" s="41" t="s">
        <v>3545</v>
      </c>
    </row>
    <row r="32" spans="2:29" x14ac:dyDescent="0.2">
      <c r="B32" s="25"/>
      <c r="C32" s="25"/>
      <c r="D32" s="233"/>
      <c r="E32" s="675">
        <f ca="1">COUNTIFS('Database MK'!$G:$G,'Database MK'!$G$238,'Database MK'!$Q:$Q,'Tree Apr 26'!$E31)</f>
        <v>0</v>
      </c>
      <c r="F32" s="676"/>
      <c r="G32" s="25"/>
      <c r="H32" s="39" t="e">
        <f>COUNTIFS('Database MK'!$G:$G,'Database MK'!$G$238,'Database MK'!$Q:$Q,'Tree Apr 26'!$E31,'Database MK'!#REF!,"Ahead")</f>
        <v>#REF!</v>
      </c>
      <c r="I32" s="25"/>
      <c r="J32" s="39" t="e">
        <f>COUNTIFS('Database MK'!$G:$G,'Database MK'!$G$238,'Database MK'!$Q:$Q,'Tree Apr 26'!$E31,'Database MK'!#REF!,"&gt;=0",'Database MK'!#REF!,"&lt;=14")</f>
        <v>#REF!</v>
      </c>
      <c r="K32" s="25"/>
      <c r="L32" s="39" t="e">
        <f>COUNTIFS('Database MK'!$G:$G,'Database MK'!$G$238,'Database MK'!$Q:$Q,'Tree Apr 26'!$E31,'Database MK'!#REF!,"&gt;14")</f>
        <v>#REF!</v>
      </c>
      <c r="M32" s="25"/>
      <c r="N32" s="39" t="e">
        <f>COUNTIFS('Database MK'!$G:$G,'Database MK'!$G$238,'Database MK'!$Q:$Q,'Tree Apr 26'!$E31,'Database MK'!#REF!,"&lt;0")</f>
        <v>#REF!</v>
      </c>
      <c r="P32" s="675">
        <f ca="1">COUNTIFS('Database MK'!$G:$G,'Database MK'!$G$350,'Database MK'!$Q:$Q,'Tree Apr 26'!$E7)</f>
        <v>4</v>
      </c>
      <c r="Q32" s="676"/>
      <c r="R32" s="25"/>
      <c r="S32" s="233"/>
      <c r="T32" s="675">
        <f ca="1">COUNTIFS('Database MK'!$G:$G,'Database MK'!$G$238,'Database MK'!$Q:$Q,'Tree Apr 26'!$E31)</f>
        <v>0</v>
      </c>
      <c r="U32" s="676"/>
      <c r="V32" s="25"/>
      <c r="W32" s="39" t="e">
        <f>COUNTIFS('Database MK'!$G:$G,'Database MK'!$G$238,'Database MK'!$Q:$Q,'Tree Apr 26'!$E31,'Database MK'!#REF!,"Ahead")</f>
        <v>#REF!</v>
      </c>
      <c r="X32" s="25"/>
      <c r="Y32" s="39" t="e">
        <f>COUNTIFS('Database MK'!$G:$G,'Database MK'!$G$238,'Database MK'!$Q:$Q,'Tree Apr 26'!$E31,'Database MK'!#REF!,"&gt;=0",'Database MK'!#REF!,"&lt;=14")</f>
        <v>#REF!</v>
      </c>
      <c r="Z32" s="25"/>
      <c r="AA32" s="39" t="e">
        <f>COUNTIFS('Database MK'!$G:$G,'Database MK'!$G$238,'Database MK'!$Q:$Q,'Tree Apr 26'!$E31,'Database MK'!#REF!,"&gt;14")</f>
        <v>#REF!</v>
      </c>
      <c r="AB32" s="25"/>
      <c r="AC32" s="39" t="e">
        <f>COUNTIFS('Database MK'!$G:$G,'Database MK'!$G$238,'Database MK'!$Q:$Q,'Tree Apr 26'!$E31,'Database MK'!#REF!,"&lt;0")</f>
        <v>#REF!</v>
      </c>
    </row>
    <row r="33" spans="2:29" x14ac:dyDescent="0.2">
      <c r="B33" s="25"/>
      <c r="C33" s="25"/>
      <c r="D33" s="232"/>
      <c r="E33" s="629"/>
      <c r="F33" s="628"/>
      <c r="G33" s="25"/>
      <c r="H33" s="25"/>
      <c r="I33" s="25"/>
      <c r="J33" s="25"/>
      <c r="K33" s="25"/>
      <c r="L33" s="25"/>
      <c r="M33" s="25"/>
      <c r="N33" s="25"/>
      <c r="P33" s="25"/>
      <c r="Q33" s="25"/>
      <c r="R33" s="25"/>
      <c r="S33" s="232"/>
      <c r="T33" s="629"/>
      <c r="U33" s="628"/>
      <c r="V33" s="25"/>
      <c r="W33" s="25"/>
      <c r="X33" s="25"/>
      <c r="Y33" s="25"/>
      <c r="Z33" s="25"/>
      <c r="AA33" s="25"/>
      <c r="AB33" s="25"/>
      <c r="AC33" s="25"/>
    </row>
    <row r="34" spans="2:29" x14ac:dyDescent="0.2">
      <c r="B34" s="25"/>
      <c r="C34" s="25"/>
      <c r="D34" s="232"/>
      <c r="E34" s="678" t="s">
        <v>3588</v>
      </c>
      <c r="F34" s="678"/>
      <c r="G34" s="38"/>
      <c r="H34" s="41" t="s">
        <v>3573</v>
      </c>
      <c r="I34" s="40"/>
      <c r="J34" s="41" t="s">
        <v>3544</v>
      </c>
      <c r="K34" s="40"/>
      <c r="L34" s="41" t="s">
        <v>3586</v>
      </c>
      <c r="M34" s="40"/>
      <c r="N34" s="41" t="s">
        <v>3545</v>
      </c>
      <c r="P34" s="25"/>
      <c r="Q34" s="25"/>
      <c r="R34" s="25"/>
      <c r="S34" s="232"/>
      <c r="T34" s="678" t="s">
        <v>3588</v>
      </c>
      <c r="U34" s="678"/>
      <c r="V34" s="38"/>
      <c r="W34" s="41" t="s">
        <v>3573</v>
      </c>
      <c r="X34" s="40"/>
      <c r="Y34" s="41" t="s">
        <v>3544</v>
      </c>
      <c r="Z34" s="40"/>
      <c r="AA34" s="41" t="s">
        <v>3586</v>
      </c>
      <c r="AB34" s="40"/>
      <c r="AC34" s="41" t="s">
        <v>3545</v>
      </c>
    </row>
    <row r="35" spans="2:29" x14ac:dyDescent="0.2">
      <c r="B35" s="25"/>
      <c r="C35" s="25"/>
      <c r="D35" s="233"/>
      <c r="E35" s="675">
        <f ca="1">COUNTIFS('Database MK'!$G:$G,'Database MK'!$G$238,'Database MK'!$Q:$Q,'Tree Apr 26'!$E34)</f>
        <v>0</v>
      </c>
      <c r="F35" s="676"/>
      <c r="G35" s="25"/>
      <c r="H35" s="39" t="e">
        <f>COUNTIFS('Database MK'!$G:$G,'Database MK'!$G$238,'Database MK'!$Q:$Q,'Tree Apr 26'!$E34,'Database MK'!#REF!,"Ahead")</f>
        <v>#REF!</v>
      </c>
      <c r="I35" s="25"/>
      <c r="J35" s="39" t="e">
        <f>COUNTIFS('Database MK'!$G:$G,'Database MK'!$G$238,'Database MK'!$Q:$Q,'Tree Apr 26'!$E34,'Database MK'!#REF!,"&gt;=0",'Database MK'!#REF!,"&lt;=14")</f>
        <v>#REF!</v>
      </c>
      <c r="K35" s="25"/>
      <c r="L35" s="39" t="e">
        <f>COUNTIFS('Database MK'!$G:$G,'Database MK'!$G$238,'Database MK'!$Q:$Q,'Tree Apr 26'!$E34,'Database MK'!#REF!,"&gt;14")</f>
        <v>#REF!</v>
      </c>
      <c r="M35" s="25"/>
      <c r="N35" s="39" t="e">
        <f>COUNTIFS('Database MK'!$G:$G,'Database MK'!$G$238,'Database MK'!$Q:$Q,'Tree Apr 26'!$E34,'Database MK'!#REF!,"&lt;0")</f>
        <v>#REF!</v>
      </c>
      <c r="P35" s="25"/>
      <c r="Q35" s="25"/>
      <c r="R35" s="25"/>
      <c r="S35" s="233"/>
      <c r="T35" s="675">
        <f ca="1">COUNTIFS('Database MK'!$G:$G,'Database MK'!$G$238,'Database MK'!$Q:$Q,'Tree Apr 26'!$E34)</f>
        <v>0</v>
      </c>
      <c r="U35" s="676"/>
      <c r="V35" s="25"/>
      <c r="W35" s="39" t="e">
        <f>COUNTIFS('Database MK'!$G:$G,'Database MK'!$G$238,'Database MK'!$Q:$Q,'Tree Apr 26'!$E34,'Database MK'!#REF!,"Ahead")</f>
        <v>#REF!</v>
      </c>
      <c r="X35" s="25"/>
      <c r="Y35" s="39" t="e">
        <f>COUNTIFS('Database MK'!$G:$G,'Database MK'!$G$238,'Database MK'!$Q:$Q,'Tree Apr 26'!$E34,'Database MK'!#REF!,"&gt;=0",'Database MK'!#REF!,"&lt;=14")</f>
        <v>#REF!</v>
      </c>
      <c r="Z35" s="25"/>
      <c r="AA35" s="39" t="e">
        <f>COUNTIFS('Database MK'!$G:$G,'Database MK'!$G$238,'Database MK'!$Q:$Q,'Tree Apr 26'!$E34,'Database MK'!#REF!,"&gt;14")</f>
        <v>#REF!</v>
      </c>
      <c r="AB35" s="25"/>
      <c r="AC35" s="39" t="e">
        <f>COUNTIFS('Database MK'!$G:$G,'Database MK'!$G$238,'Database MK'!$Q:$Q,'Tree Apr 26'!$E34,'Database MK'!#REF!,"&lt;0")</f>
        <v>#REF!</v>
      </c>
    </row>
    <row r="36" spans="2:29" x14ac:dyDescent="0.2">
      <c r="B36" s="25"/>
      <c r="C36" s="25"/>
      <c r="D36" s="232"/>
      <c r="E36" s="629"/>
      <c r="F36" s="628"/>
      <c r="G36" s="25"/>
      <c r="H36" s="25"/>
      <c r="I36" s="25"/>
      <c r="J36" s="25"/>
      <c r="K36" s="25"/>
      <c r="L36" s="25"/>
      <c r="M36" s="25"/>
      <c r="N36" s="25"/>
      <c r="P36" s="25"/>
      <c r="Q36" s="25"/>
      <c r="R36" s="25"/>
      <c r="S36" s="232"/>
      <c r="T36" s="629"/>
      <c r="U36" s="628"/>
      <c r="V36" s="25"/>
      <c r="W36" s="25"/>
      <c r="X36" s="25"/>
      <c r="Y36" s="25"/>
      <c r="Z36" s="25"/>
      <c r="AA36" s="25"/>
      <c r="AB36" s="25"/>
      <c r="AC36" s="25"/>
    </row>
    <row r="37" spans="2:29" x14ac:dyDescent="0.2">
      <c r="B37" s="25"/>
      <c r="C37" s="25"/>
      <c r="D37" s="232"/>
      <c r="E37" s="678" t="s">
        <v>3513</v>
      </c>
      <c r="F37" s="678"/>
      <c r="G37" s="38"/>
      <c r="H37" s="41" t="s">
        <v>3573</v>
      </c>
      <c r="I37" s="40"/>
      <c r="J37" s="41" t="s">
        <v>3544</v>
      </c>
      <c r="K37" s="40"/>
      <c r="L37" s="41" t="s">
        <v>3586</v>
      </c>
      <c r="M37" s="40"/>
      <c r="N37" s="41" t="s">
        <v>3545</v>
      </c>
      <c r="P37" s="25"/>
      <c r="Q37" s="25"/>
      <c r="R37" s="25"/>
      <c r="S37" s="232"/>
      <c r="T37" s="678" t="s">
        <v>3513</v>
      </c>
      <c r="U37" s="678"/>
      <c r="V37" s="38"/>
      <c r="W37" s="41" t="s">
        <v>3573</v>
      </c>
      <c r="X37" s="40"/>
      <c r="Y37" s="41" t="s">
        <v>3544</v>
      </c>
      <c r="Z37" s="40"/>
      <c r="AA37" s="41" t="s">
        <v>3586</v>
      </c>
      <c r="AB37" s="40"/>
      <c r="AC37" s="41" t="s">
        <v>3545</v>
      </c>
    </row>
    <row r="38" spans="2:29" x14ac:dyDescent="0.2">
      <c r="B38" s="25"/>
      <c r="C38" s="25"/>
      <c r="D38" s="233"/>
      <c r="E38" s="675">
        <f ca="1">COUNTIFS('Database MK'!$G:$G,'Database MK'!$G$238,'Database MK'!$Q:$Q,'Tree Apr 26'!$E37)</f>
        <v>4</v>
      </c>
      <c r="F38" s="676"/>
      <c r="G38" s="25"/>
      <c r="H38" s="39" t="e">
        <f>COUNTIFS('Database MK'!$G:$G,'Database MK'!$G$238,'Database MK'!$Q:$Q,'Tree Apr 26'!$E37,'Database MK'!#REF!,"Ahead")</f>
        <v>#REF!</v>
      </c>
      <c r="I38" s="25"/>
      <c r="J38" s="39" t="e">
        <f>COUNTIFS('Database MK'!$G:$G,'Database MK'!$G$238,'Database MK'!$Q:$Q,'Tree Apr 26'!$E37,'Database MK'!#REF!,"&gt;=0",'Database MK'!#REF!,"&lt;=14")</f>
        <v>#REF!</v>
      </c>
      <c r="K38" s="25"/>
      <c r="L38" s="39" t="e">
        <f>COUNTIFS('Database MK'!$G:$G,'Database MK'!$G$238,'Database MK'!$Q:$Q,'Tree Apr 26'!$E37,'Database MK'!#REF!,"&gt;14")</f>
        <v>#REF!</v>
      </c>
      <c r="M38" s="25"/>
      <c r="N38" s="39" t="e">
        <f>COUNTIFS('Database MK'!$G:$G,'Database MK'!$G$238,'Database MK'!$Q:$Q,'Tree Apr 26'!$E37,'Database MK'!#REF!,"&lt;0")</f>
        <v>#REF!</v>
      </c>
      <c r="P38" s="25"/>
      <c r="Q38" s="25"/>
      <c r="R38" s="25"/>
      <c r="S38" s="233"/>
      <c r="T38" s="675">
        <f ca="1">COUNTIFS('Database MK'!$G:$G,'Database MK'!$G$238,'Database MK'!$Q:$Q,'Tree Apr 26'!$E37)</f>
        <v>4</v>
      </c>
      <c r="U38" s="676"/>
      <c r="V38" s="25"/>
      <c r="W38" s="39" t="e">
        <f>COUNTIFS('Database MK'!$G:$G,'Database MK'!$G$238,'Database MK'!$Q:$Q,'Tree Apr 26'!$E37,'Database MK'!#REF!,"Ahead")</f>
        <v>#REF!</v>
      </c>
      <c r="X38" s="25"/>
      <c r="Y38" s="39" t="e">
        <f>COUNTIFS('Database MK'!$G:$G,'Database MK'!$G$238,'Database MK'!$Q:$Q,'Tree Apr 26'!$E37,'Database MK'!#REF!,"&gt;=0",'Database MK'!#REF!,"&lt;=14")</f>
        <v>#REF!</v>
      </c>
      <c r="Z38" s="25"/>
      <c r="AA38" s="39" t="e">
        <f>COUNTIFS('Database MK'!$G:$G,'Database MK'!$G$238,'Database MK'!$Q:$Q,'Tree Apr 26'!$E37,'Database MK'!#REF!,"&gt;14")</f>
        <v>#REF!</v>
      </c>
      <c r="AB38" s="25"/>
      <c r="AC38" s="39" t="e">
        <f>COUNTIFS('Database MK'!$G:$G,'Database MK'!$G$238,'Database MK'!$Q:$Q,'Tree Apr 26'!$E37,'Database MK'!#REF!,"&lt;0")</f>
        <v>#REF!</v>
      </c>
    </row>
    <row r="39" spans="2:29" x14ac:dyDescent="0.2">
      <c r="B39" s="25"/>
      <c r="C39" s="25"/>
      <c r="D39" s="232"/>
      <c r="E39" s="629"/>
      <c r="F39" s="628"/>
      <c r="G39" s="25"/>
      <c r="H39" s="25"/>
      <c r="I39" s="25"/>
      <c r="J39" s="25"/>
      <c r="K39" s="25"/>
      <c r="L39" s="25"/>
      <c r="M39" s="25"/>
      <c r="N39" s="25"/>
      <c r="P39" s="25"/>
      <c r="Q39" s="25"/>
      <c r="R39" s="25"/>
      <c r="S39" s="232"/>
      <c r="T39" s="629"/>
      <c r="U39" s="628"/>
      <c r="V39" s="25"/>
      <c r="W39" s="25"/>
      <c r="X39" s="25"/>
      <c r="Y39" s="25"/>
      <c r="Z39" s="25"/>
      <c r="AA39" s="25"/>
      <c r="AB39" s="25"/>
      <c r="AC39" s="25"/>
    </row>
    <row r="40" spans="2:29" x14ac:dyDescent="0.2">
      <c r="B40" s="25"/>
      <c r="C40" s="25"/>
      <c r="D40" s="232"/>
      <c r="E40" s="678" t="s">
        <v>3589</v>
      </c>
      <c r="F40" s="678"/>
      <c r="G40" s="38"/>
      <c r="H40" s="41" t="s">
        <v>3573</v>
      </c>
      <c r="I40" s="40"/>
      <c r="J40" s="41" t="s">
        <v>3544</v>
      </c>
      <c r="K40" s="40"/>
      <c r="L40" s="41" t="s">
        <v>3586</v>
      </c>
      <c r="M40" s="40"/>
      <c r="N40" s="41" t="s">
        <v>3545</v>
      </c>
      <c r="P40" s="25"/>
      <c r="Q40" s="25"/>
      <c r="R40" s="25"/>
      <c r="S40" s="232"/>
      <c r="T40" s="678" t="s">
        <v>3589</v>
      </c>
      <c r="U40" s="678"/>
      <c r="V40" s="38"/>
      <c r="W40" s="41" t="s">
        <v>3573</v>
      </c>
      <c r="X40" s="40"/>
      <c r="Y40" s="41" t="s">
        <v>3544</v>
      </c>
      <c r="Z40" s="40"/>
      <c r="AA40" s="41" t="s">
        <v>3586</v>
      </c>
      <c r="AB40" s="40"/>
      <c r="AC40" s="41" t="s">
        <v>3545</v>
      </c>
    </row>
    <row r="41" spans="2:29" x14ac:dyDescent="0.2">
      <c r="B41" s="25"/>
      <c r="C41" s="25"/>
      <c r="D41" s="233"/>
      <c r="E41" s="675">
        <f ca="1">COUNTIFS('Database MK'!$G:$G,'Database MK'!$G$238,'Database MK'!$Q:$Q,'Tree Apr 26'!$E40)</f>
        <v>0</v>
      </c>
      <c r="F41" s="676"/>
      <c r="G41" s="25"/>
      <c r="H41" s="39" t="e">
        <f>COUNTIFS('Database MK'!$G:$G,'Database MK'!$G$238,'Database MK'!$Q:$Q,'Tree Apr 26'!$E40,'Database MK'!#REF!,"Ahead")</f>
        <v>#REF!</v>
      </c>
      <c r="I41" s="25"/>
      <c r="J41" s="39" t="e">
        <f>COUNTIFS('Database MK'!$G:$G,'Database MK'!$G$238,'Database MK'!$Q:$Q,'Tree Apr 26'!$E40,'Database MK'!#REF!,"&gt;=0",'Database MK'!#REF!,"&lt;=14")</f>
        <v>#REF!</v>
      </c>
      <c r="K41" s="25"/>
      <c r="L41" s="39" t="e">
        <f>COUNTIFS('Database MK'!$G:$G,'Database MK'!$G$238,'Database MK'!$Q:$Q,'Tree Apr 26'!$E40,'Database MK'!#REF!,"&gt;14")</f>
        <v>#REF!</v>
      </c>
      <c r="M41" s="25"/>
      <c r="N41" s="39" t="e">
        <f>COUNTIFS('Database MK'!$G:$G,'Database MK'!$G$238,'Database MK'!$Q:$Q,'Tree Apr 26'!$E40,'Database MK'!#REF!,"&lt;0")</f>
        <v>#REF!</v>
      </c>
      <c r="P41" s="25"/>
      <c r="Q41" s="25"/>
      <c r="R41" s="25"/>
      <c r="S41" s="233"/>
      <c r="T41" s="675">
        <f ca="1">COUNTIFS('Database MK'!$G:$G,'Database MK'!$G$238,'Database MK'!$Q:$Q,'Tree Apr 26'!$E40)</f>
        <v>0</v>
      </c>
      <c r="U41" s="676"/>
      <c r="V41" s="25"/>
      <c r="W41" s="39" t="e">
        <f>COUNTIFS('Database MK'!$G:$G,'Database MK'!$G$238,'Database MK'!$Q:$Q,'Tree Apr 26'!$E40,'Database MK'!#REF!,"Ahead")</f>
        <v>#REF!</v>
      </c>
      <c r="X41" s="25"/>
      <c r="Y41" s="39" t="e">
        <f>COUNTIFS('Database MK'!$G:$G,'Database MK'!$G$238,'Database MK'!$Q:$Q,'Tree Apr 26'!$E40,'Database MK'!#REF!,"&gt;=0",'Database MK'!#REF!,"&lt;=14")</f>
        <v>#REF!</v>
      </c>
      <c r="Z41" s="25"/>
      <c r="AA41" s="39" t="e">
        <f>COUNTIFS('Database MK'!$G:$G,'Database MK'!$G$238,'Database MK'!$Q:$Q,'Tree Apr 26'!$E40,'Database MK'!#REF!,"&gt;14")</f>
        <v>#REF!</v>
      </c>
      <c r="AB41" s="25"/>
      <c r="AC41" s="39" t="e">
        <f>COUNTIFS('Database MK'!$G:$G,'Database MK'!$G$238,'Database MK'!$Q:$Q,'Tree Apr 26'!$E40,'Database MK'!#REF!,"&lt;0")</f>
        <v>#REF!</v>
      </c>
    </row>
    <row r="42" spans="2:29" x14ac:dyDescent="0.2">
      <c r="B42" s="25"/>
      <c r="C42" s="25"/>
      <c r="D42" s="232"/>
      <c r="E42" s="629"/>
      <c r="F42" s="628"/>
      <c r="G42" s="25"/>
      <c r="H42" s="25"/>
      <c r="I42" s="25"/>
      <c r="J42" s="25"/>
      <c r="K42" s="25"/>
      <c r="L42" s="25"/>
      <c r="M42" s="25"/>
      <c r="N42" s="25"/>
      <c r="P42" s="25"/>
      <c r="Q42" s="25"/>
      <c r="R42" s="25"/>
      <c r="S42" s="232"/>
      <c r="T42" s="629"/>
      <c r="U42" s="628"/>
      <c r="V42" s="25"/>
      <c r="W42" s="25"/>
      <c r="X42" s="25"/>
      <c r="Y42" s="25"/>
      <c r="Z42" s="25"/>
      <c r="AA42" s="25"/>
      <c r="AB42" s="25"/>
      <c r="AC42" s="25"/>
    </row>
    <row r="43" spans="2:29" x14ac:dyDescent="0.2">
      <c r="B43" s="25"/>
      <c r="C43" s="25"/>
      <c r="D43" s="232"/>
      <c r="E43" s="678" t="s">
        <v>1819</v>
      </c>
      <c r="F43" s="678"/>
      <c r="G43" s="38"/>
      <c r="H43" s="41" t="s">
        <v>3573</v>
      </c>
      <c r="I43" s="40"/>
      <c r="J43" s="41" t="s">
        <v>3544</v>
      </c>
      <c r="K43" s="40"/>
      <c r="L43" s="41" t="s">
        <v>3586</v>
      </c>
      <c r="M43" s="40"/>
      <c r="N43" s="41" t="s">
        <v>3545</v>
      </c>
      <c r="P43" s="25"/>
      <c r="Q43" s="25"/>
      <c r="R43" s="25"/>
      <c r="S43" s="232"/>
      <c r="T43" s="678" t="s">
        <v>1819</v>
      </c>
      <c r="U43" s="678"/>
      <c r="V43" s="38"/>
      <c r="W43" s="41" t="s">
        <v>3573</v>
      </c>
      <c r="X43" s="40"/>
      <c r="Y43" s="41" t="s">
        <v>3544</v>
      </c>
      <c r="Z43" s="40"/>
      <c r="AA43" s="41" t="s">
        <v>3586</v>
      </c>
      <c r="AB43" s="40"/>
      <c r="AC43" s="41" t="s">
        <v>3545</v>
      </c>
    </row>
    <row r="44" spans="2:29" x14ac:dyDescent="0.2">
      <c r="B44" s="25"/>
      <c r="C44" s="25"/>
      <c r="D44" s="233"/>
      <c r="E44" s="675">
        <f ca="1">COUNTIFS('Database MK'!$G:$G,'Database MK'!$G$238,'Database MK'!$Q:$Q,'Tree Apr 26'!$E43)</f>
        <v>35</v>
      </c>
      <c r="F44" s="676"/>
      <c r="G44" s="25"/>
      <c r="H44" s="39" t="e">
        <f>COUNTIFS('Database MK'!$G:$G,'Database MK'!$G$238,'Database MK'!$Q:$Q,'Tree Apr 26'!$E43,'Database MK'!#REF!,"Ahead")</f>
        <v>#REF!</v>
      </c>
      <c r="I44" s="25"/>
      <c r="J44" s="39" t="e">
        <f>COUNTIFS('Database MK'!$G:$G,'Database MK'!$G$238,'Database MK'!$Q:$Q,'Tree Apr 26'!$E43,'Database MK'!#REF!,"&gt;=0",'Database MK'!#REF!,"&lt;=14")</f>
        <v>#REF!</v>
      </c>
      <c r="K44" s="25"/>
      <c r="L44" s="39" t="e">
        <f>COUNTIFS('Database MK'!$G:$G,'Database MK'!$G$238,'Database MK'!$Q:$Q,'Tree Apr 26'!$E43,'Database MK'!#REF!,"&gt;14")</f>
        <v>#REF!</v>
      </c>
      <c r="M44" s="25"/>
      <c r="N44" s="39" t="e">
        <f>COUNTIFS('Database MK'!$G:$G,'Database MK'!$G$238,'Database MK'!$Q:$Q,'Tree Apr 26'!$E43,'Database MK'!#REF!,"&lt;0")</f>
        <v>#REF!</v>
      </c>
      <c r="P44" s="25"/>
      <c r="Q44" s="25"/>
      <c r="R44" s="25"/>
      <c r="S44" s="233"/>
      <c r="T44" s="675">
        <f ca="1">COUNTIFS('Database MK'!$G:$G,'Database MK'!$G$238,'Database MK'!$Q:$Q,'Tree Apr 26'!$E43)</f>
        <v>35</v>
      </c>
      <c r="U44" s="676"/>
      <c r="V44" s="25"/>
      <c r="W44" s="39" t="e">
        <f>COUNTIFS('Database MK'!$G:$G,'Database MK'!$G$238,'Database MK'!$Q:$Q,'Tree Apr 26'!$E43,'Database MK'!#REF!,"Ahead")</f>
        <v>#REF!</v>
      </c>
      <c r="X44" s="25"/>
      <c r="Y44" s="39" t="e">
        <f>COUNTIFS('Database MK'!$G:$G,'Database MK'!$G$238,'Database MK'!$Q:$Q,'Tree Apr 26'!$E43,'Database MK'!#REF!,"&gt;=0",'Database MK'!#REF!,"&lt;=14")</f>
        <v>#REF!</v>
      </c>
      <c r="Z44" s="25"/>
      <c r="AA44" s="39" t="e">
        <f>COUNTIFS('Database MK'!$G:$G,'Database MK'!$G$238,'Database MK'!$Q:$Q,'Tree Apr 26'!$E43,'Database MK'!#REF!,"&gt;14")</f>
        <v>#REF!</v>
      </c>
      <c r="AB44" s="25"/>
      <c r="AC44" s="39" t="e">
        <f>COUNTIFS('Database MK'!$G:$G,'Database MK'!$G$238,'Database MK'!$Q:$Q,'Tree Apr 26'!$E43,'Database MK'!#REF!,"&lt;0")</f>
        <v>#REF!</v>
      </c>
    </row>
    <row r="45" spans="2:29" x14ac:dyDescent="0.2">
      <c r="B45" s="25"/>
      <c r="C45" s="25"/>
      <c r="D45" s="232"/>
      <c r="E45" s="629"/>
      <c r="F45" s="628"/>
      <c r="G45" s="25"/>
      <c r="H45" s="25"/>
      <c r="I45" s="25"/>
      <c r="J45" s="25"/>
      <c r="K45" s="25"/>
      <c r="L45" s="25"/>
      <c r="M45" s="25"/>
      <c r="N45" s="25"/>
      <c r="P45" s="25"/>
      <c r="Q45" s="25"/>
      <c r="R45" s="25"/>
      <c r="S45" s="232"/>
      <c r="T45" s="629"/>
      <c r="U45" s="628"/>
      <c r="V45" s="25"/>
      <c r="W45" s="25"/>
      <c r="X45" s="25"/>
      <c r="Y45" s="25"/>
      <c r="Z45" s="25"/>
      <c r="AA45" s="25"/>
      <c r="AB45" s="25"/>
      <c r="AC45" s="25"/>
    </row>
    <row r="46" spans="2:29" x14ac:dyDescent="0.2">
      <c r="B46" s="25"/>
      <c r="C46" s="25"/>
      <c r="D46" s="232"/>
      <c r="E46" s="678" t="s">
        <v>3590</v>
      </c>
      <c r="F46" s="678"/>
      <c r="G46" s="38"/>
      <c r="H46" s="41" t="s">
        <v>3573</v>
      </c>
      <c r="I46" s="40"/>
      <c r="J46" s="41" t="s">
        <v>3544</v>
      </c>
      <c r="K46" s="40"/>
      <c r="L46" s="41" t="s">
        <v>3586</v>
      </c>
      <c r="M46" s="40"/>
      <c r="N46" s="41" t="s">
        <v>3545</v>
      </c>
      <c r="P46" s="25"/>
      <c r="Q46" s="25"/>
      <c r="R46" s="25"/>
      <c r="S46" s="232"/>
      <c r="T46" s="678" t="s">
        <v>3590</v>
      </c>
      <c r="U46" s="678"/>
      <c r="V46" s="38"/>
      <c r="W46" s="41" t="s">
        <v>3573</v>
      </c>
      <c r="X46" s="40"/>
      <c r="Y46" s="41" t="s">
        <v>3544</v>
      </c>
      <c r="Z46" s="40"/>
      <c r="AA46" s="41" t="s">
        <v>3586</v>
      </c>
      <c r="AB46" s="40"/>
      <c r="AC46" s="41" t="s">
        <v>3545</v>
      </c>
    </row>
    <row r="47" spans="2:29" x14ac:dyDescent="0.2">
      <c r="B47" s="25"/>
      <c r="C47" s="25"/>
      <c r="D47" s="233"/>
      <c r="E47" s="675">
        <f ca="1">COUNTIFS('Database MK'!$G:$G,'Database MK'!$G$238,'Database MK'!$Q:$Q,'Tree Apr 26'!$E46)</f>
        <v>7</v>
      </c>
      <c r="F47" s="676"/>
      <c r="G47" s="25"/>
      <c r="H47" s="39" t="e">
        <f>COUNTIFS('Database MK'!$G:$G,'Database MK'!$G$238,'Database MK'!$Q:$Q,'Tree Apr 26'!$E46,'Database MK'!#REF!,"Ahead")</f>
        <v>#REF!</v>
      </c>
      <c r="I47" s="25"/>
      <c r="J47" s="39" t="e">
        <f>COUNTIFS('Database MK'!$G:$G,'Database MK'!$G$238,'Database MK'!$Q:$Q,'Tree Apr 26'!$E46,'Database MK'!#REF!,"&gt;=0",'Database MK'!#REF!,"&lt;=14")</f>
        <v>#REF!</v>
      </c>
      <c r="K47" s="25"/>
      <c r="L47" s="39" t="e">
        <f>COUNTIFS('Database MK'!$G:$G,'Database MK'!$G$238,'Database MK'!$Q:$Q,'Tree Apr 26'!$E46,'Database MK'!#REF!,"&gt;14")</f>
        <v>#REF!</v>
      </c>
      <c r="M47" s="25"/>
      <c r="N47" s="39" t="e">
        <f>COUNTIFS('Database MK'!$G:$G,'Database MK'!$G$238,'Database MK'!$Q:$Q,'Tree Apr 26'!$E46,'Database MK'!#REF!,"&lt;0")</f>
        <v>#REF!</v>
      </c>
      <c r="P47" s="25"/>
      <c r="Q47" s="25"/>
      <c r="R47" s="25"/>
      <c r="S47" s="233"/>
      <c r="T47" s="675">
        <f ca="1">COUNTIFS('Database MK'!$G:$G,'Database MK'!$G$238,'Database MK'!$Q:$Q,'Tree Apr 26'!$E46)</f>
        <v>7</v>
      </c>
      <c r="U47" s="676"/>
      <c r="V47" s="25"/>
      <c r="W47" s="39" t="e">
        <f>COUNTIFS('Database MK'!$G:$G,'Database MK'!$G$238,'Database MK'!$Q:$Q,'Tree Apr 26'!$E46,'Database MK'!#REF!,"Ahead")</f>
        <v>#REF!</v>
      </c>
      <c r="X47" s="25"/>
      <c r="Y47" s="39" t="e">
        <f>COUNTIFS('Database MK'!$G:$G,'Database MK'!$G$238,'Database MK'!$Q:$Q,'Tree Apr 26'!$E46,'Database MK'!#REF!,"&gt;=0",'Database MK'!#REF!,"&lt;=14")</f>
        <v>#REF!</v>
      </c>
      <c r="Z47" s="25"/>
      <c r="AA47" s="39" t="e">
        <f>COUNTIFS('Database MK'!$G:$G,'Database MK'!$G$238,'Database MK'!$Q:$Q,'Tree Apr 26'!$E46,'Database MK'!#REF!,"&gt;14")</f>
        <v>#REF!</v>
      </c>
      <c r="AB47" s="25"/>
      <c r="AC47" s="39" t="e">
        <f>COUNTIFS('Database MK'!$G:$G,'Database MK'!$G$238,'Database MK'!$Q:$Q,'Tree Apr 26'!$E46,'Database MK'!#REF!,"&lt;0")</f>
        <v>#REF!</v>
      </c>
    </row>
    <row r="48" spans="2:29" x14ac:dyDescent="0.2">
      <c r="B48" s="25"/>
      <c r="C48" s="25"/>
      <c r="D48" s="232"/>
      <c r="E48" s="629"/>
      <c r="F48" s="628"/>
      <c r="G48" s="25"/>
      <c r="H48" s="25"/>
      <c r="I48" s="25"/>
      <c r="J48" s="25"/>
      <c r="K48" s="25"/>
      <c r="L48" s="25"/>
      <c r="M48" s="25"/>
      <c r="N48" s="25"/>
      <c r="P48" s="25"/>
      <c r="Q48" s="25"/>
      <c r="R48" s="25"/>
      <c r="S48" s="232"/>
      <c r="T48" s="629"/>
      <c r="U48" s="628"/>
      <c r="V48" s="25"/>
      <c r="W48" s="25"/>
      <c r="X48" s="25"/>
      <c r="Y48" s="25"/>
      <c r="Z48" s="25"/>
      <c r="AA48" s="25"/>
      <c r="AB48" s="25"/>
      <c r="AC48" s="25"/>
    </row>
    <row r="49" spans="2:29" x14ac:dyDescent="0.2">
      <c r="B49" s="25"/>
      <c r="C49" s="25"/>
      <c r="D49" s="232"/>
      <c r="E49" s="678" t="s">
        <v>1886</v>
      </c>
      <c r="F49" s="678"/>
      <c r="G49" s="38"/>
      <c r="H49" s="41" t="s">
        <v>3573</v>
      </c>
      <c r="I49" s="40"/>
      <c r="J49" s="41" t="s">
        <v>3544</v>
      </c>
      <c r="K49" s="40"/>
      <c r="L49" s="41" t="s">
        <v>3586</v>
      </c>
      <c r="M49" s="40"/>
      <c r="N49" s="41" t="s">
        <v>3545</v>
      </c>
      <c r="P49" s="25"/>
      <c r="Q49" s="25"/>
      <c r="R49" s="25"/>
      <c r="S49" s="232"/>
      <c r="T49" s="678" t="s">
        <v>1886</v>
      </c>
      <c r="U49" s="678"/>
      <c r="V49" s="38"/>
      <c r="W49" s="41" t="s">
        <v>3573</v>
      </c>
      <c r="X49" s="40"/>
      <c r="Y49" s="41" t="s">
        <v>3544</v>
      </c>
      <c r="Z49" s="40"/>
      <c r="AA49" s="41" t="s">
        <v>3586</v>
      </c>
      <c r="AB49" s="40"/>
      <c r="AC49" s="41" t="s">
        <v>3545</v>
      </c>
    </row>
    <row r="50" spans="2:29" x14ac:dyDescent="0.2">
      <c r="B50" s="25"/>
      <c r="C50" s="25"/>
      <c r="D50" s="233"/>
      <c r="E50" s="675">
        <f ca="1">COUNTIFS('Database MK'!$G:$G,'Database MK'!$G$238,'Database MK'!$Q:$Q,'Tree Apr 26'!$E49)</f>
        <v>2</v>
      </c>
      <c r="F50" s="676"/>
      <c r="G50" s="25"/>
      <c r="H50" s="39" t="e">
        <f>COUNTIFS('Database MK'!$G:$G,'Database MK'!$G$238,'Database MK'!$Q:$Q,'Tree Apr 26'!$E49,'Database MK'!#REF!,"Ahead")</f>
        <v>#REF!</v>
      </c>
      <c r="I50" s="25"/>
      <c r="J50" s="39" t="e">
        <f>COUNTIFS('Database MK'!$G:$G,'Database MK'!$G$238,'Database MK'!$Q:$Q,'Tree Apr 26'!$E49,'Database MK'!#REF!,"&gt;=0",'Database MK'!#REF!,"&lt;=14")</f>
        <v>#REF!</v>
      </c>
      <c r="K50" s="25"/>
      <c r="L50" s="39" t="e">
        <f>COUNTIFS('Database MK'!$G:$G,'Database MK'!$G$238,'Database MK'!$Q:$Q,'Tree Apr 26'!$E49,'Database MK'!#REF!,"&gt;14")</f>
        <v>#REF!</v>
      </c>
      <c r="M50" s="25"/>
      <c r="N50" s="39" t="e">
        <f>COUNTIFS('Database MK'!$G:$G,'Database MK'!$G$238,'Database MK'!$Q:$Q,'Tree Apr 26'!$E49,'Database MK'!#REF!,"&lt;0")</f>
        <v>#REF!</v>
      </c>
      <c r="P50" s="25"/>
      <c r="Q50" s="25"/>
      <c r="R50" s="25"/>
      <c r="S50" s="233"/>
      <c r="T50" s="675">
        <f ca="1">COUNTIFS('Database MK'!$G:$G,'Database MK'!$G$238,'Database MK'!$Q:$Q,'Tree Apr 26'!$E49)</f>
        <v>2</v>
      </c>
      <c r="U50" s="676"/>
      <c r="V50" s="25"/>
      <c r="W50" s="39" t="e">
        <f>COUNTIFS('Database MK'!$G:$G,'Database MK'!$G$238,'Database MK'!$Q:$Q,'Tree Apr 26'!$E49,'Database MK'!#REF!,"Ahead")</f>
        <v>#REF!</v>
      </c>
      <c r="X50" s="25"/>
      <c r="Y50" s="39" t="e">
        <f>COUNTIFS('Database MK'!$G:$G,'Database MK'!$G$238,'Database MK'!$Q:$Q,'Tree Apr 26'!$E49,'Database MK'!#REF!,"&gt;=0",'Database MK'!#REF!,"&lt;=14")</f>
        <v>#REF!</v>
      </c>
      <c r="Z50" s="25"/>
      <c r="AA50" s="39" t="e">
        <f>COUNTIFS('Database MK'!$G:$G,'Database MK'!$G$238,'Database MK'!$Q:$Q,'Tree Apr 26'!$E49,'Database MK'!#REF!,"&gt;14")</f>
        <v>#REF!</v>
      </c>
      <c r="AB50" s="25"/>
      <c r="AC50" s="39" t="e">
        <f>COUNTIFS('Database MK'!$G:$G,'Database MK'!$G$238,'Database MK'!$Q:$Q,'Tree Apr 26'!$E49,'Database MK'!#REF!,"&lt;0")</f>
        <v>#REF!</v>
      </c>
    </row>
    <row r="51" spans="2:29" x14ac:dyDescent="0.2">
      <c r="B51" s="25"/>
      <c r="C51" s="25"/>
      <c r="D51" s="232"/>
      <c r="E51" s="629"/>
      <c r="F51" s="628"/>
      <c r="G51" s="25"/>
      <c r="H51" s="25"/>
      <c r="I51" s="25"/>
      <c r="J51" s="25"/>
      <c r="K51" s="25"/>
      <c r="L51" s="25"/>
      <c r="M51" s="25"/>
      <c r="N51" s="25"/>
      <c r="P51" s="25"/>
      <c r="Q51" s="25"/>
      <c r="R51" s="25"/>
      <c r="S51" s="232"/>
      <c r="T51" s="629"/>
      <c r="U51" s="628"/>
      <c r="V51" s="25"/>
      <c r="W51" s="25"/>
      <c r="X51" s="25"/>
      <c r="Y51" s="25"/>
      <c r="Z51" s="25"/>
      <c r="AA51" s="25"/>
      <c r="AB51" s="25"/>
      <c r="AC51" s="25"/>
    </row>
    <row r="52" spans="2:29" x14ac:dyDescent="0.2">
      <c r="B52" s="25"/>
      <c r="C52" s="25"/>
      <c r="D52" s="230"/>
      <c r="E52" s="678" t="s">
        <v>944</v>
      </c>
      <c r="F52" s="678"/>
      <c r="G52"/>
      <c r="H52"/>
      <c r="I52"/>
      <c r="J52"/>
      <c r="K52"/>
      <c r="L52"/>
      <c r="M52"/>
      <c r="N52"/>
      <c r="P52" s="25"/>
      <c r="Q52" s="25"/>
      <c r="R52" s="25"/>
      <c r="S52" s="230"/>
      <c r="T52" s="678" t="s">
        <v>944</v>
      </c>
      <c r="U52" s="678"/>
      <c r="V52"/>
      <c r="W52"/>
      <c r="X52"/>
      <c r="Y52"/>
      <c r="Z52"/>
      <c r="AA52"/>
      <c r="AB52"/>
      <c r="AC52"/>
    </row>
    <row r="53" spans="2:29" x14ac:dyDescent="0.2">
      <c r="B53" s="25"/>
      <c r="C53" s="25"/>
      <c r="D53" s="25"/>
      <c r="E53" s="675">
        <f ca="1">COUNTIFS('Database MK'!$G:$G,'Database MK'!$G$238,'Database MK'!$Q:$Q,'Tree Apr 26'!$E52)</f>
        <v>39</v>
      </c>
      <c r="F53" s="676"/>
      <c r="G53"/>
      <c r="H53"/>
      <c r="I53"/>
      <c r="J53"/>
      <c r="K53"/>
      <c r="L53"/>
      <c r="M53"/>
      <c r="N53"/>
      <c r="P53" s="25"/>
      <c r="Q53" s="25"/>
      <c r="R53" s="25"/>
      <c r="S53" s="25"/>
      <c r="T53" s="675">
        <f ca="1">COUNTIFS('Database MK'!$G:$G,'Database MK'!$G$238,'Database MK'!$Q:$Q,'Tree Apr 26'!$E52)</f>
        <v>39</v>
      </c>
      <c r="U53" s="676"/>
      <c r="V53"/>
      <c r="W53"/>
      <c r="X53"/>
      <c r="Y53"/>
      <c r="Z53"/>
      <c r="AA53"/>
      <c r="AB53"/>
      <c r="AC53"/>
    </row>
  </sheetData>
  <mergeCells count="74">
    <mergeCell ref="E44:F44"/>
    <mergeCell ref="E43:F43"/>
    <mergeCell ref="E40:F40"/>
    <mergeCell ref="E37:F37"/>
    <mergeCell ref="E34:F34"/>
    <mergeCell ref="E26:F26"/>
    <mergeCell ref="E32:F32"/>
    <mergeCell ref="E35:F35"/>
    <mergeCell ref="E38:F38"/>
    <mergeCell ref="E41:F41"/>
    <mergeCell ref="E50:F50"/>
    <mergeCell ref="E53:F53"/>
    <mergeCell ref="E52:F52"/>
    <mergeCell ref="E49:F49"/>
    <mergeCell ref="E46:F46"/>
    <mergeCell ref="E4:N4"/>
    <mergeCell ref="E5:N5"/>
    <mergeCell ref="E7:F7"/>
    <mergeCell ref="E31:F31"/>
    <mergeCell ref="E25:F25"/>
    <mergeCell ref="E22:F22"/>
    <mergeCell ref="E19:F19"/>
    <mergeCell ref="E16:F16"/>
    <mergeCell ref="E13:F13"/>
    <mergeCell ref="E8:F8"/>
    <mergeCell ref="E11:F11"/>
    <mergeCell ref="E14:F14"/>
    <mergeCell ref="E17:F17"/>
    <mergeCell ref="E20:F20"/>
    <mergeCell ref="E23:F23"/>
    <mergeCell ref="E10:F10"/>
    <mergeCell ref="T11:U11"/>
    <mergeCell ref="T13:U13"/>
    <mergeCell ref="T14:U14"/>
    <mergeCell ref="T16:U16"/>
    <mergeCell ref="T17:U17"/>
    <mergeCell ref="T19:U19"/>
    <mergeCell ref="T20:U20"/>
    <mergeCell ref="T22:U22"/>
    <mergeCell ref="T23:U23"/>
    <mergeCell ref="T25:U25"/>
    <mergeCell ref="T26:U26"/>
    <mergeCell ref="T31:U31"/>
    <mergeCell ref="T32:U32"/>
    <mergeCell ref="T34:U34"/>
    <mergeCell ref="T35:U35"/>
    <mergeCell ref="T53:U53"/>
    <mergeCell ref="E28:F28"/>
    <mergeCell ref="T28:U28"/>
    <mergeCell ref="E29:F29"/>
    <mergeCell ref="T29:U29"/>
    <mergeCell ref="T44:U44"/>
    <mergeCell ref="T46:U46"/>
    <mergeCell ref="T47:U47"/>
    <mergeCell ref="T49:U49"/>
    <mergeCell ref="T50:U50"/>
    <mergeCell ref="T37:U37"/>
    <mergeCell ref="T38:U38"/>
    <mergeCell ref="T40:U40"/>
    <mergeCell ref="T41:U41"/>
    <mergeCell ref="T43:U43"/>
    <mergeCell ref="E47:F47"/>
    <mergeCell ref="P32:Q32"/>
    <mergeCell ref="P31:Q31"/>
    <mergeCell ref="P28:Q28"/>
    <mergeCell ref="P29:Q29"/>
    <mergeCell ref="T52:U52"/>
    <mergeCell ref="T10:U10"/>
    <mergeCell ref="P8:Q8"/>
    <mergeCell ref="P5:Q5"/>
    <mergeCell ref="P4:Q4"/>
    <mergeCell ref="P7:Q7"/>
    <mergeCell ref="T4:AC4"/>
    <mergeCell ref="T5:AC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56FA8-7FF4-4C97-9C0C-39E16CA979F1}">
  <sheetPr codeName="Sheet5"/>
  <dimension ref="A1:AR105"/>
  <sheetViews>
    <sheetView showGridLines="0" topLeftCell="S1" zoomScale="70" zoomScaleNormal="70" workbookViewId="0">
      <selection activeCell="AF15" sqref="AF15"/>
    </sheetView>
  </sheetViews>
  <sheetFormatPr baseColWidth="10" defaultColWidth="9" defaultRowHeight="15" x14ac:dyDescent="0.2"/>
  <cols>
    <col min="1" max="1" width="18.5" style="7" bestFit="1" customWidth="1"/>
    <col min="2" max="3" width="9" style="7"/>
    <col min="4" max="19" width="11.5" style="7" customWidth="1"/>
    <col min="20" max="20" width="1.6640625" style="7" customWidth="1"/>
    <col min="21" max="21" width="13.33203125" style="7" bestFit="1" customWidth="1"/>
    <col min="22" max="22" width="5.5" style="7" customWidth="1"/>
    <col min="23" max="23" width="13.33203125" style="7" customWidth="1"/>
    <col min="24" max="24" width="5.5" style="7" customWidth="1"/>
    <col min="25" max="26" width="11.5" style="8" customWidth="1"/>
    <col min="27" max="27" width="5.5" style="7" customWidth="1"/>
    <col min="28" max="29" width="11.5" style="7" customWidth="1"/>
    <col min="30" max="30" width="5.5" style="7" customWidth="1"/>
    <col min="31" max="32" width="11.5" style="7" customWidth="1"/>
    <col min="33" max="33" width="5.5" style="7" customWidth="1"/>
    <col min="34" max="35" width="11.5" style="7" customWidth="1"/>
    <col min="36" max="36" width="5.5" style="7" customWidth="1"/>
    <col min="37" max="38" width="11.5" style="7" customWidth="1"/>
    <col min="39" max="39" width="5.5" style="7" customWidth="1"/>
    <col min="40" max="41" width="11.5" style="7" customWidth="1"/>
    <col min="42" max="42" width="5.5" style="7" customWidth="1"/>
    <col min="43" max="44" width="11.5" style="7" customWidth="1"/>
    <col min="45" max="16384" width="9" style="7"/>
  </cols>
  <sheetData>
    <row r="1" spans="1:44" ht="34" x14ac:dyDescent="0.2">
      <c r="A1" s="614" t="s">
        <v>3541</v>
      </c>
      <c r="B1" s="614" t="s">
        <v>3574</v>
      </c>
      <c r="C1" s="615" t="s">
        <v>389</v>
      </c>
      <c r="D1" s="615" t="s">
        <v>3591</v>
      </c>
      <c r="E1" s="615" t="s">
        <v>3503</v>
      </c>
      <c r="F1" s="615" t="s">
        <v>3504</v>
      </c>
      <c r="G1" s="615" t="s">
        <v>3539</v>
      </c>
      <c r="H1" s="615" t="s">
        <v>3540</v>
      </c>
      <c r="I1" s="615" t="s">
        <v>3537</v>
      </c>
      <c r="J1" s="615" t="s">
        <v>3538</v>
      </c>
      <c r="K1" s="615" t="s">
        <v>3589</v>
      </c>
      <c r="L1" s="615" t="s">
        <v>3511</v>
      </c>
      <c r="M1" s="615" t="s">
        <v>3588</v>
      </c>
      <c r="N1" s="615" t="s">
        <v>3513</v>
      </c>
      <c r="O1" s="615" t="s">
        <v>1819</v>
      </c>
      <c r="P1" s="615" t="s">
        <v>3592</v>
      </c>
      <c r="Q1" s="615" t="s">
        <v>3590</v>
      </c>
      <c r="R1" s="615" t="s">
        <v>1886</v>
      </c>
      <c r="S1" s="615" t="s">
        <v>944</v>
      </c>
    </row>
    <row r="2" spans="1:44" s="235" customFormat="1" ht="19" x14ac:dyDescent="0.2">
      <c r="A2" s="616" t="s">
        <v>3593</v>
      </c>
      <c r="B2" s="614">
        <f>COUNTIFS('Database MK'!$G$5:$G$468,DATE(2026,10,1),'Database MK'!$D$5:$D$468,'Tree Okt 26'!$A$1&amp;" "&amp;'Tree Okt 26'!$A2)</f>
        <v>0</v>
      </c>
      <c r="C2" s="614">
        <f>COUNTIFS('Database MK'!$G$5:$G$468,DATE(2026,10,1),'Database MK'!$D$5:$D$468,'Tree Okt 26'!$A$1&amp;" "&amp;'Tree Okt 26'!$A2,'Database MK'!$Q$5:$Q$468,'Tree Okt 26'!C$1)</f>
        <v>0</v>
      </c>
      <c r="D2" s="614">
        <f>COUNTIFS('Database MK'!$G$5:$G$468,DATE(2026,10,1),'Database MK'!$D$5:$D$468,'Tree Okt 26'!$A$1&amp;" "&amp;'Tree Okt 26'!$A2,'Database MK'!$Q$5:$Q$468,'Tree Okt 26'!D$1)</f>
        <v>0</v>
      </c>
      <c r="E2" s="614">
        <f>COUNTIFS('Database MK'!$G$5:$G$468,DATE(2026,10,1),'Database MK'!$D$5:$D$468,'Tree Okt 26'!$A$1&amp;" "&amp;'Tree Okt 26'!$A2,'Database MK'!$Q$5:$Q$468,'Tree Okt 26'!E$1)</f>
        <v>0</v>
      </c>
      <c r="F2" s="614">
        <f>COUNTIFS('Database MK'!$G$5:$G$468,DATE(2026,10,1),'Database MK'!$D$5:$D$468,'Tree Okt 26'!$A$1&amp;" "&amp;'Tree Okt 26'!$A2,'Database MK'!$Q$5:$Q$468,'Tree Okt 26'!F$1)</f>
        <v>0</v>
      </c>
      <c r="G2" s="614">
        <f>COUNTIFS('Database MK'!$G$5:$G$468,DATE(2026,10,1),'Database MK'!$D$5:$D$468,'Tree Okt 26'!$A$1&amp;" "&amp;'Tree Okt 26'!$A2,'Database MK'!$Q$5:$Q$468,'Tree Okt 26'!G$1)</f>
        <v>0</v>
      </c>
      <c r="H2" s="614">
        <f>COUNTIFS('Database MK'!$G$5:$G$468,DATE(2026,10,1),'Database MK'!$D$5:$D$468,'Tree Okt 26'!$A$1&amp;" "&amp;'Tree Okt 26'!$A2,'Database MK'!$Q$5:$Q$468,'Tree Okt 26'!H$1)</f>
        <v>0</v>
      </c>
      <c r="I2" s="614">
        <f>COUNTIFS('Database MK'!$G$5:$G$468,DATE(2026,10,1),'Database MK'!$D$5:$D$468,'Tree Okt 26'!$A$1&amp;" "&amp;'Tree Okt 26'!$A2,'Database MK'!$Q$5:$Q$468,'Tree Okt 26'!I$1)</f>
        <v>0</v>
      </c>
      <c r="J2" s="614">
        <f>COUNTIFS('Database MK'!$G$5:$G$468,DATE(2026,10,1),'Database MK'!$D$5:$D$468,'Tree Okt 26'!$A$1&amp;" "&amp;'Tree Okt 26'!$A2,'Database MK'!$Q$5:$Q$468,'Tree Okt 26'!J$1)</f>
        <v>0</v>
      </c>
      <c r="K2" s="614">
        <f>COUNTIFS('Database MK'!$G$5:$G$468,DATE(2026,10,1),'Database MK'!$D$5:$D$468,'Tree Okt 26'!$A$1&amp;" "&amp;'Tree Okt 26'!$A2,'Database MK'!$Q$5:$Q$468,'Tree Okt 26'!K$1)</f>
        <v>0</v>
      </c>
      <c r="L2" s="614">
        <f>COUNTIFS('Database MK'!$G$5:$G$468,DATE(2026,10,1),'Database MK'!$D$5:$D$468,'Tree Okt 26'!$A$1&amp;" "&amp;'Tree Okt 26'!$A2,'Database MK'!$Q$5:$Q$468,'Tree Okt 26'!L$1)</f>
        <v>0</v>
      </c>
      <c r="M2" s="614">
        <f>COUNTIFS('Database MK'!$G$5:$G$468,DATE(2026,10,1),'Database MK'!$D$5:$D$468,'Tree Okt 26'!$A$1&amp;" "&amp;'Tree Okt 26'!$A2,'Database MK'!$Q$5:$Q$468,'Tree Okt 26'!M$1)</f>
        <v>0</v>
      </c>
      <c r="N2" s="614">
        <f>COUNTIFS('Database MK'!$G$5:$G$468,DATE(2026,10,1),'Database MK'!$D$5:$D$468,'Tree Okt 26'!$A$1&amp;" "&amp;'Tree Okt 26'!$A2,'Database MK'!$Q$5:$Q$468,'Tree Okt 26'!N$1)</f>
        <v>0</v>
      </c>
      <c r="O2" s="614">
        <f>COUNTIFS('Database MK'!$G$5:$G$468,DATE(2026,10,1),'Database MK'!$D$5:$D$468,'Tree Okt 26'!$A$1&amp;" "&amp;'Tree Okt 26'!$A2,'Database MK'!$Q$5:$Q$468,'Tree Okt 26'!O$1)</f>
        <v>0</v>
      </c>
      <c r="P2" s="614">
        <f>COUNTIFS('Database MK'!$G$5:$G$468,DATE(2026,10,1),'Database MK'!$D$5:$D$468,'Tree Okt 26'!$A$1&amp;" "&amp;'Tree Okt 26'!$A2,'Database MK'!$Q$5:$Q$468,'Tree Okt 26'!P$1)</f>
        <v>0</v>
      </c>
      <c r="Q2" s="614">
        <f>COUNTIFS('Database MK'!$G$5:$G$468,DATE(2026,10,1),'Database MK'!$D$5:$D$468,'Tree Okt 26'!$A$1&amp;" "&amp;'Tree Okt 26'!$A2,'Database MK'!$Q$5:$Q$468,'Tree Okt 26'!Q$1)</f>
        <v>0</v>
      </c>
      <c r="R2" s="614">
        <f>COUNTIFS('Database MK'!$G$5:$G$468,DATE(2026,10,1),'Database MK'!$D$5:$D$468,'Tree Okt 26'!$A$1&amp;" "&amp;'Tree Okt 26'!$A2,'Database MK'!$Q$5:$Q$468,'Tree Okt 26'!R$1)</f>
        <v>0</v>
      </c>
      <c r="S2" s="614">
        <f>COUNTIFS('Database MK'!$G$5:$G$468,DATE(2026,10,1),'Database MK'!$D$5:$D$468,'Tree Okt 26'!$A$1&amp;" "&amp;'Tree Okt 26'!$A2,'Database MK'!$Q$5:$Q$468,'Tree Okt 26'!S$1)</f>
        <v>0</v>
      </c>
      <c r="Y2" s="686" t="s">
        <v>3594</v>
      </c>
      <c r="Z2" s="686"/>
      <c r="AA2" s="686"/>
      <c r="AB2" s="686"/>
      <c r="AC2" s="686"/>
      <c r="AD2" s="686"/>
      <c r="AE2" s="686"/>
      <c r="AF2" s="686"/>
      <c r="AG2" s="686"/>
      <c r="AH2" s="686"/>
      <c r="AI2" s="686"/>
      <c r="AJ2" s="686"/>
      <c r="AK2" s="686"/>
      <c r="AL2" s="686"/>
      <c r="AM2" s="686"/>
      <c r="AN2" s="686"/>
      <c r="AO2" s="686"/>
      <c r="AP2" s="686"/>
      <c r="AQ2" s="686"/>
      <c r="AR2" s="686"/>
    </row>
    <row r="3" spans="1:44" s="235" customFormat="1" ht="20" customHeight="1" thickBot="1" x14ac:dyDescent="0.25">
      <c r="A3" s="616" t="s">
        <v>3595</v>
      </c>
      <c r="B3" s="614">
        <f>COUNTIFS('Database MK'!$G$5:$G$468,DATE(2026,10,1),'Database MK'!$D$5:$D$468,'Tree Okt 26'!$A$1&amp;" "&amp;'Tree Okt 26'!$A3)</f>
        <v>0</v>
      </c>
      <c r="C3" s="614">
        <f>COUNTIFS('Database MK'!$G$5:$G$468,DATE(2026,10,1),'Database MK'!$D$5:$D$468,'Tree Okt 26'!$A$1&amp;" "&amp;'Tree Okt 26'!$A3,'Database MK'!$Q$5:$Q$468,'Tree Okt 26'!C$1)</f>
        <v>0</v>
      </c>
      <c r="D3" s="614">
        <f>COUNTIFS('Database MK'!$G$5:$G$468,DATE(2026,10,1),'Database MK'!$D$5:$D$468,'Tree Okt 26'!$A$1&amp;" "&amp;'Tree Okt 26'!$A3,'Database MK'!$Q$5:$Q$468,'Tree Okt 26'!D$1)</f>
        <v>0</v>
      </c>
      <c r="E3" s="614">
        <f>COUNTIFS('Database MK'!$G$5:$G$468,DATE(2026,10,1),'Database MK'!$D$5:$D$468,'Tree Okt 26'!$A$1&amp;" "&amp;'Tree Okt 26'!$A3,'Database MK'!$Q$5:$Q$468,'Tree Okt 26'!E$1)</f>
        <v>0</v>
      </c>
      <c r="F3" s="614">
        <f>COUNTIFS('Database MK'!$G$5:$G$468,DATE(2026,10,1),'Database MK'!$D$5:$D$468,'Tree Okt 26'!$A$1&amp;" "&amp;'Tree Okt 26'!$A3,'Database MK'!$Q$5:$Q$468,'Tree Okt 26'!F$1)</f>
        <v>0</v>
      </c>
      <c r="G3" s="614">
        <f>COUNTIFS('Database MK'!$G$5:$G$468,DATE(2026,10,1),'Database MK'!$D$5:$D$468,'Tree Okt 26'!$A$1&amp;" "&amp;'Tree Okt 26'!$A3,'Database MK'!$Q$5:$Q$468,'Tree Okt 26'!G$1)</f>
        <v>0</v>
      </c>
      <c r="H3" s="614">
        <f>COUNTIFS('Database MK'!$G$5:$G$468,DATE(2026,10,1),'Database MK'!$D$5:$D$468,'Tree Okt 26'!$A$1&amp;" "&amp;'Tree Okt 26'!$A3,'Database MK'!$Q$5:$Q$468,'Tree Okt 26'!H$1)</f>
        <v>0</v>
      </c>
      <c r="I3" s="614">
        <f>COUNTIFS('Database MK'!$G$5:$G$468,DATE(2026,10,1),'Database MK'!$D$5:$D$468,'Tree Okt 26'!$A$1&amp;" "&amp;'Tree Okt 26'!$A3,'Database MK'!$Q$5:$Q$468,'Tree Okt 26'!I$1)</f>
        <v>0</v>
      </c>
      <c r="J3" s="614">
        <f>COUNTIFS('Database MK'!$G$5:$G$468,DATE(2026,10,1),'Database MK'!$D$5:$D$468,'Tree Okt 26'!$A$1&amp;" "&amp;'Tree Okt 26'!$A3,'Database MK'!$Q$5:$Q$468,'Tree Okt 26'!J$1)</f>
        <v>0</v>
      </c>
      <c r="K3" s="614">
        <f>COUNTIFS('Database MK'!$G$5:$G$468,DATE(2026,10,1),'Database MK'!$D$5:$D$468,'Tree Okt 26'!$A$1&amp;" "&amp;'Tree Okt 26'!$A3,'Database MK'!$Q$5:$Q$468,'Tree Okt 26'!K$1)</f>
        <v>0</v>
      </c>
      <c r="L3" s="614">
        <f>COUNTIFS('Database MK'!$G$5:$G$468,DATE(2026,10,1),'Database MK'!$D$5:$D$468,'Tree Okt 26'!$A$1&amp;" "&amp;'Tree Okt 26'!$A3,'Database MK'!$Q$5:$Q$468,'Tree Okt 26'!L$1)</f>
        <v>0</v>
      </c>
      <c r="M3" s="614">
        <f>COUNTIFS('Database MK'!$G$5:$G$468,DATE(2026,10,1),'Database MK'!$D$5:$D$468,'Tree Okt 26'!$A$1&amp;" "&amp;'Tree Okt 26'!$A3,'Database MK'!$Q$5:$Q$468,'Tree Okt 26'!M$1)</f>
        <v>0</v>
      </c>
      <c r="N3" s="614">
        <f>COUNTIFS('Database MK'!$G$5:$G$468,DATE(2026,10,1),'Database MK'!$D$5:$D$468,'Tree Okt 26'!$A$1&amp;" "&amp;'Tree Okt 26'!$A3,'Database MK'!$Q$5:$Q$468,'Tree Okt 26'!N$1)</f>
        <v>0</v>
      </c>
      <c r="O3" s="614">
        <f>COUNTIFS('Database MK'!$G$5:$G$468,DATE(2026,10,1),'Database MK'!$D$5:$D$468,'Tree Okt 26'!$A$1&amp;" "&amp;'Tree Okt 26'!$A3,'Database MK'!$Q$5:$Q$468,'Tree Okt 26'!O$1)</f>
        <v>0</v>
      </c>
      <c r="P3" s="614">
        <f>COUNTIFS('Database MK'!$G$5:$G$468,DATE(2026,10,1),'Database MK'!$D$5:$D$468,'Tree Okt 26'!$A$1&amp;" "&amp;'Tree Okt 26'!$A3,'Database MK'!$Q$5:$Q$468,'Tree Okt 26'!P$1)</f>
        <v>0</v>
      </c>
      <c r="Q3" s="614">
        <f>COUNTIFS('Database MK'!$G$5:$G$468,DATE(2026,10,1),'Database MK'!$D$5:$D$468,'Tree Okt 26'!$A$1&amp;" "&amp;'Tree Okt 26'!$A3,'Database MK'!$Q$5:$Q$468,'Tree Okt 26'!Q$1)</f>
        <v>0</v>
      </c>
      <c r="R3" s="614">
        <f>COUNTIFS('Database MK'!$G$5:$G$468,DATE(2026,10,1),'Database MK'!$D$5:$D$468,'Tree Okt 26'!$A$1&amp;" "&amp;'Tree Okt 26'!$A3,'Database MK'!$Q$5:$Q$468,'Tree Okt 26'!R$1)</f>
        <v>0</v>
      </c>
      <c r="S3" s="614">
        <f>COUNTIFS('Database MK'!$G$5:$G$468,DATE(2026,10,1),'Database MK'!$D$5:$D$468,'Tree Okt 26'!$A$1&amp;" "&amp;'Tree Okt 26'!$A3,'Database MK'!$Q$5:$Q$468,'Tree Okt 26'!S$1)</f>
        <v>0</v>
      </c>
      <c r="Y3" s="236"/>
      <c r="Z3" s="236"/>
    </row>
    <row r="4" spans="1:44" s="235" customFormat="1" ht="15" customHeight="1" x14ac:dyDescent="0.2">
      <c r="A4" s="616" t="s">
        <v>3596</v>
      </c>
      <c r="B4" s="614">
        <f>COUNTIFS('Database MK'!$G$5:$G$468,DATE(2026,10,1),'Database MK'!$D$5:$D$468,'Tree Okt 26'!$A$1&amp;" "&amp;'Tree Okt 26'!$A4)</f>
        <v>0</v>
      </c>
      <c r="C4" s="614">
        <f>COUNTIFS('Database MK'!$G$5:$G$468,DATE(2026,10,1),'Database MK'!$D$5:$D$468,'Tree Okt 26'!$A$1&amp;" "&amp;'Tree Okt 26'!$A4,'Database MK'!$Q$5:$Q$468,'Tree Okt 26'!C$1)</f>
        <v>0</v>
      </c>
      <c r="D4" s="614">
        <f>COUNTIFS('Database MK'!$G$5:$G$468,DATE(2026,10,1),'Database MK'!$D$5:$D$468,'Tree Okt 26'!$A$1&amp;" "&amp;'Tree Okt 26'!$A4,'Database MK'!$Q$5:$Q$468,'Tree Okt 26'!D$1)</f>
        <v>0</v>
      </c>
      <c r="E4" s="614">
        <f>COUNTIFS('Database MK'!$G$5:$G$468,DATE(2026,10,1),'Database MK'!$D$5:$D$468,'Tree Okt 26'!$A$1&amp;" "&amp;'Tree Okt 26'!$A4,'Database MK'!$Q$5:$Q$468,'Tree Okt 26'!E$1)</f>
        <v>0</v>
      </c>
      <c r="F4" s="614">
        <f>COUNTIFS('Database MK'!$G$5:$G$468,DATE(2026,10,1),'Database MK'!$D$5:$D$468,'Tree Okt 26'!$A$1&amp;" "&amp;'Tree Okt 26'!$A4,'Database MK'!$Q$5:$Q$468,'Tree Okt 26'!F$1)</f>
        <v>0</v>
      </c>
      <c r="G4" s="614">
        <f>COUNTIFS('Database MK'!$G$5:$G$468,DATE(2026,10,1),'Database MK'!$D$5:$D$468,'Tree Okt 26'!$A$1&amp;" "&amp;'Tree Okt 26'!$A4,'Database MK'!$Q$5:$Q$468,'Tree Okt 26'!G$1)</f>
        <v>0</v>
      </c>
      <c r="H4" s="614">
        <f>COUNTIFS('Database MK'!$G$5:$G$468,DATE(2026,10,1),'Database MK'!$D$5:$D$468,'Tree Okt 26'!$A$1&amp;" "&amp;'Tree Okt 26'!$A4,'Database MK'!$Q$5:$Q$468,'Tree Okt 26'!H$1)</f>
        <v>0</v>
      </c>
      <c r="I4" s="614">
        <f>COUNTIFS('Database MK'!$G$5:$G$468,DATE(2026,10,1),'Database MK'!$D$5:$D$468,'Tree Okt 26'!$A$1&amp;" "&amp;'Tree Okt 26'!$A4,'Database MK'!$Q$5:$Q$468,'Tree Okt 26'!I$1)</f>
        <v>0</v>
      </c>
      <c r="J4" s="614">
        <f>COUNTIFS('Database MK'!$G$5:$G$468,DATE(2026,10,1),'Database MK'!$D$5:$D$468,'Tree Okt 26'!$A$1&amp;" "&amp;'Tree Okt 26'!$A4,'Database MK'!$Q$5:$Q$468,'Tree Okt 26'!J$1)</f>
        <v>0</v>
      </c>
      <c r="K4" s="614">
        <f>COUNTIFS('Database MK'!$G$5:$G$468,DATE(2026,10,1),'Database MK'!$D$5:$D$468,'Tree Okt 26'!$A$1&amp;" "&amp;'Tree Okt 26'!$A4,'Database MK'!$Q$5:$Q$468,'Tree Okt 26'!K$1)</f>
        <v>0</v>
      </c>
      <c r="L4" s="614">
        <f>COUNTIFS('Database MK'!$G$5:$G$468,DATE(2026,10,1),'Database MK'!$D$5:$D$468,'Tree Okt 26'!$A$1&amp;" "&amp;'Tree Okt 26'!$A4,'Database MK'!$Q$5:$Q$468,'Tree Okt 26'!L$1)</f>
        <v>0</v>
      </c>
      <c r="M4" s="614">
        <f>COUNTIFS('Database MK'!$G$5:$G$468,DATE(2026,10,1),'Database MK'!$D$5:$D$468,'Tree Okt 26'!$A$1&amp;" "&amp;'Tree Okt 26'!$A4,'Database MK'!$Q$5:$Q$468,'Tree Okt 26'!M$1)</f>
        <v>0</v>
      </c>
      <c r="N4" s="614">
        <f>COUNTIFS('Database MK'!$G$5:$G$468,DATE(2026,10,1),'Database MK'!$D$5:$D$468,'Tree Okt 26'!$A$1&amp;" "&amp;'Tree Okt 26'!$A4,'Database MK'!$Q$5:$Q$468,'Tree Okt 26'!N$1)</f>
        <v>0</v>
      </c>
      <c r="O4" s="614">
        <f>COUNTIFS('Database MK'!$G$5:$G$468,DATE(2026,10,1),'Database MK'!$D$5:$D$468,'Tree Okt 26'!$A$1&amp;" "&amp;'Tree Okt 26'!$A4,'Database MK'!$Q$5:$Q$468,'Tree Okt 26'!O$1)</f>
        <v>0</v>
      </c>
      <c r="P4" s="614">
        <f>COUNTIFS('Database MK'!$G$5:$G$468,DATE(2026,10,1),'Database MK'!$D$5:$D$468,'Tree Okt 26'!$A$1&amp;" "&amp;'Tree Okt 26'!$A4,'Database MK'!$Q$5:$Q$468,'Tree Okt 26'!P$1)</f>
        <v>0</v>
      </c>
      <c r="Q4" s="614">
        <f>COUNTIFS('Database MK'!$G$5:$G$468,DATE(2026,10,1),'Database MK'!$D$5:$D$468,'Tree Okt 26'!$A$1&amp;" "&amp;'Tree Okt 26'!$A4,'Database MK'!$Q$5:$Q$468,'Tree Okt 26'!Q$1)</f>
        <v>0</v>
      </c>
      <c r="R4" s="614">
        <f>COUNTIFS('Database MK'!$G$5:$G$468,DATE(2026,10,1),'Database MK'!$D$5:$D$468,'Tree Okt 26'!$A$1&amp;" "&amp;'Tree Okt 26'!$A4,'Database MK'!$Q$5:$Q$468,'Tree Okt 26'!R$1)</f>
        <v>0</v>
      </c>
      <c r="S4" s="614">
        <f>COUNTIFS('Database MK'!$G$5:$G$468,DATE(2026,10,1),'Database MK'!$D$5:$D$468,'Tree Okt 26'!$A$1&amp;" "&amp;'Tree Okt 26'!$A4,'Database MK'!$Q$5:$Q$468,'Tree Okt 26'!S$1)</f>
        <v>0</v>
      </c>
      <c r="U4" s="691" t="s">
        <v>3585</v>
      </c>
      <c r="V4" s="237"/>
      <c r="W4" s="697" t="s">
        <v>3587</v>
      </c>
      <c r="X4" s="237"/>
      <c r="Y4" s="693" t="s">
        <v>3510</v>
      </c>
      <c r="Z4" s="694"/>
      <c r="AA4" s="238"/>
      <c r="AB4" s="687" t="s">
        <v>3597</v>
      </c>
      <c r="AC4" s="688"/>
      <c r="AD4" s="239"/>
      <c r="AE4" s="687" t="s">
        <v>3513</v>
      </c>
      <c r="AF4" s="688"/>
      <c r="AG4" s="239"/>
      <c r="AH4" s="687" t="s">
        <v>1819</v>
      </c>
      <c r="AI4" s="688"/>
      <c r="AJ4" s="239"/>
      <c r="AK4" s="687" t="s">
        <v>3598</v>
      </c>
      <c r="AL4" s="688"/>
      <c r="AM4" s="239"/>
      <c r="AN4" s="687" t="s">
        <v>1886</v>
      </c>
      <c r="AO4" s="688"/>
      <c r="AP4" s="239"/>
      <c r="AQ4" s="687" t="s">
        <v>944</v>
      </c>
      <c r="AR4" s="688"/>
    </row>
    <row r="5" spans="1:44" s="235" customFormat="1" ht="15" customHeight="1" thickBot="1" x14ac:dyDescent="0.25">
      <c r="U5" s="692"/>
      <c r="V5" s="240"/>
      <c r="W5" s="698"/>
      <c r="X5" s="240"/>
      <c r="Y5" s="695"/>
      <c r="Z5" s="696"/>
      <c r="AA5" s="241"/>
      <c r="AB5" s="689"/>
      <c r="AC5" s="690"/>
      <c r="AD5" s="242"/>
      <c r="AE5" s="689"/>
      <c r="AF5" s="690"/>
      <c r="AG5" s="242"/>
      <c r="AH5" s="689"/>
      <c r="AI5" s="690"/>
      <c r="AJ5" s="242"/>
      <c r="AK5" s="689"/>
      <c r="AL5" s="690"/>
      <c r="AM5" s="242"/>
      <c r="AN5" s="689"/>
      <c r="AO5" s="690"/>
      <c r="AP5" s="242"/>
      <c r="AQ5" s="689"/>
      <c r="AR5" s="690"/>
    </row>
    <row r="6" spans="1:44" s="243" customFormat="1" ht="20" customHeight="1" x14ac:dyDescent="0.2">
      <c r="U6" s="684">
        <f>COUNTIFS('Database MK'!$G:$G,DATE(2026,10,1))</f>
        <v>0</v>
      </c>
      <c r="W6" s="684">
        <f>COUNTIFS('Database MK'!$G:$G,DATE(2026,10,1),'Database MK'!$Q:$Q,"&lt;&gt;BATAL / CANCEL")</f>
        <v>0</v>
      </c>
      <c r="Y6" s="244" t="s">
        <v>260</v>
      </c>
      <c r="Z6" s="244" t="s">
        <v>3546</v>
      </c>
      <c r="AB6" s="245" t="s">
        <v>260</v>
      </c>
      <c r="AC6" s="245" t="s">
        <v>3546</v>
      </c>
      <c r="AE6" s="245" t="s">
        <v>260</v>
      </c>
      <c r="AF6" s="245" t="s">
        <v>3546</v>
      </c>
      <c r="AH6" s="245" t="s">
        <v>260</v>
      </c>
      <c r="AI6" s="245" t="s">
        <v>3546</v>
      </c>
      <c r="AK6" s="245" t="s">
        <v>260</v>
      </c>
      <c r="AL6" s="245" t="s">
        <v>3546</v>
      </c>
      <c r="AN6" s="245" t="s">
        <v>260</v>
      </c>
      <c r="AO6" s="245" t="s">
        <v>3546</v>
      </c>
      <c r="AQ6" s="245" t="s">
        <v>260</v>
      </c>
      <c r="AR6" s="245" t="s">
        <v>3546</v>
      </c>
    </row>
    <row r="7" spans="1:44" s="243" customFormat="1" ht="17" thickBot="1" x14ac:dyDescent="0.25">
      <c r="G7"/>
      <c r="H7"/>
      <c r="I7"/>
      <c r="J7"/>
      <c r="K7"/>
      <c r="U7" s="685"/>
      <c r="W7" s="685"/>
      <c r="Y7" s="246">
        <f>Y10+Y12</f>
        <v>0</v>
      </c>
      <c r="Z7" s="246">
        <f>Z10+Z12</f>
        <v>0</v>
      </c>
      <c r="AB7" s="246">
        <f>AB10+AB12</f>
        <v>0</v>
      </c>
      <c r="AC7" s="246">
        <f>AC10+AC12</f>
        <v>0</v>
      </c>
      <c r="AE7" s="246">
        <f>AE10+AE12</f>
        <v>0</v>
      </c>
      <c r="AF7" s="246">
        <f>AF10+AF12</f>
        <v>0</v>
      </c>
      <c r="AH7" s="246">
        <f>AH10+AH12</f>
        <v>0</v>
      </c>
      <c r="AI7" s="246">
        <f>AI10+AI12</f>
        <v>0</v>
      </c>
      <c r="AK7" s="246">
        <f>AK10+AK12</f>
        <v>0</v>
      </c>
      <c r="AL7" s="246">
        <f>AL10+AL12</f>
        <v>0</v>
      </c>
      <c r="AN7" s="246">
        <f>AN10+AN12</f>
        <v>0</v>
      </c>
      <c r="AO7" s="246">
        <f>AO10+AO12</f>
        <v>0</v>
      </c>
      <c r="AQ7" s="246">
        <f>AQ10+AQ12</f>
        <v>0</v>
      </c>
      <c r="AR7" s="246">
        <f>AR10+AR12</f>
        <v>0</v>
      </c>
    </row>
    <row r="8" spans="1:44" s="243" customFormat="1" ht="20" customHeight="1" thickBot="1" x14ac:dyDescent="0.25">
      <c r="G8"/>
      <c r="H8"/>
      <c r="I8"/>
      <c r="J8"/>
      <c r="K8"/>
      <c r="Y8" s="247"/>
      <c r="Z8" s="248"/>
      <c r="AB8" s="247"/>
      <c r="AC8" s="248"/>
      <c r="AE8" s="247"/>
      <c r="AF8" s="248"/>
      <c r="AH8" s="247"/>
      <c r="AI8" s="248"/>
      <c r="AK8" s="247"/>
      <c r="AL8" s="248"/>
      <c r="AN8" s="247"/>
      <c r="AO8" s="248"/>
      <c r="AQ8" s="247"/>
      <c r="AR8" s="248"/>
    </row>
    <row r="9" spans="1:44" s="243" customFormat="1" ht="20" customHeight="1" x14ac:dyDescent="0.2">
      <c r="G9"/>
      <c r="H9"/>
      <c r="I9"/>
      <c r="J9"/>
      <c r="K9"/>
      <c r="W9" s="682" t="s">
        <v>3599</v>
      </c>
      <c r="Y9" s="249" t="s">
        <v>3544</v>
      </c>
      <c r="Z9" s="249" t="s">
        <v>3544</v>
      </c>
      <c r="AB9" s="250" t="s">
        <v>3544</v>
      </c>
      <c r="AC9" s="250" t="s">
        <v>3544</v>
      </c>
      <c r="AE9" s="250" t="s">
        <v>3544</v>
      </c>
      <c r="AF9" s="250" t="s">
        <v>3544</v>
      </c>
      <c r="AH9" s="250" t="s">
        <v>3544</v>
      </c>
      <c r="AI9" s="250" t="s">
        <v>3544</v>
      </c>
      <c r="AK9" s="250" t="s">
        <v>3544</v>
      </c>
      <c r="AL9" s="250" t="s">
        <v>3544</v>
      </c>
      <c r="AN9" s="250" t="s">
        <v>3544</v>
      </c>
      <c r="AO9" s="250" t="s">
        <v>3544</v>
      </c>
      <c r="AQ9" s="250" t="s">
        <v>3544</v>
      </c>
      <c r="AR9" s="250" t="s">
        <v>3544</v>
      </c>
    </row>
    <row r="10" spans="1:44" s="243" customFormat="1" ht="20" customHeight="1" thickBot="1" x14ac:dyDescent="0.25">
      <c r="G10"/>
      <c r="H10"/>
      <c r="I10"/>
      <c r="J10"/>
      <c r="K10"/>
      <c r="W10" s="683"/>
      <c r="Y10" s="251">
        <f>COUNTIFS('Database MK'!$G:$G,DATE(2026,10,1),'Database MK'!$GA:$GA,"Sudah, OnSchedule",'Database MK'!$Q:$Q,"&lt;&gt;BATAL / CANCEL")</f>
        <v>0</v>
      </c>
      <c r="Z10" s="251">
        <f>COUNTIFS('Database MK'!$G:$G,DATE(2026,10,1),'Database MK'!$GA:$GA,"Belum, OnSchedule",'Database MK'!$Q:$Q,"&lt;&gt;BATAL / CANCEL")</f>
        <v>0</v>
      </c>
      <c r="AB10" s="251">
        <f>COUNTIFS('Database MK'!$G:$G,DATE(2026,10,1),'Database MK'!$GD:$GD,"Sudah, OnSchedule",'Database MK'!$Q:$Q,"&lt;&gt;BATAL / CANCEL")</f>
        <v>0</v>
      </c>
      <c r="AC10" s="251">
        <f>COUNTIFS('Database MK'!$G:$G,DATE(2026,10,1),'Database MK'!$GD:$GD,"Belum, OnSchedule",'Database MK'!$Q:$Q,"&lt;&gt;BATAL / CANCEL")</f>
        <v>0</v>
      </c>
      <c r="AE10" s="251">
        <f>COUNTIFS('Database MK'!$G:$G,DATE(2026,10,1),'Database MK'!$GK:$GK,"Sudah, OnSchedule",'Database MK'!$Q:$Q,"&lt;&gt;BATAL / CANCEL")</f>
        <v>0</v>
      </c>
      <c r="AF10" s="251">
        <f>COUNTIFS('Database MK'!$G:$G,DATE(2026,10,1),'Database MK'!$GK:$GK,"Belum, OnSchedule",'Database MK'!$Q:$Q,"&lt;&gt;BATAL / CANCEL")</f>
        <v>0</v>
      </c>
      <c r="AH10" s="251">
        <f>COUNTIFS('Database MK'!$G:$G,DATE(2026,10,1),'Database MK'!$W:$W,"&gt;0",'Database MK'!$U:$U,"&gt;0",'Database MK'!$Q:$Q,"&lt;&gt;BATAL / CANCEL")</f>
        <v>0</v>
      </c>
      <c r="AI10" s="251">
        <f>COUNTIFS('Database MK'!$G:$G,DATE(2026,10,1),'Database MK'!$W:$W,"&lt;=0",'Database MK'!$U:$U,"&gt;0",'Database MK'!$Q:$Q,"&lt;&gt;BATAL / CANCEL")</f>
        <v>0</v>
      </c>
      <c r="AK10" s="251">
        <f>COUNTIFS('Database MK'!$G:$G,DATE(2026,10,1),'Database MK'!$HH:$HH,"Sudah, OnSchedule",'Database MK'!$Q:$Q,"&lt;&gt;BATAL / CANCEL")</f>
        <v>0</v>
      </c>
      <c r="AL10" s="251">
        <f>COUNTIFS('Database MK'!$G:$G,DATE(2026,10,1),'Database MK'!$HH:$HH,"Belum, OnSchedule",'Database MK'!$Q:$Q,"&lt;&gt;BATAL / CANCEL")</f>
        <v>0</v>
      </c>
      <c r="AN10" s="251">
        <f>COUNTIFS('Database MK'!$G:$G,DATE(2026,10,1),'Database MK'!$HQ:$HQ,"Sudah, OnSchedule",'Database MK'!$Q:$Q,"&lt;&gt;BATAL / CANCEL")</f>
        <v>0</v>
      </c>
      <c r="AO10" s="251">
        <f>COUNTIFS('Database MK'!$G:$G,DATE(2026,10,1),'Database MK'!$HQ:$HQ,"Belum, OnSchedule",'Database MK'!$Q:$Q,"&lt;&gt;BATAL / CANCEL")</f>
        <v>0</v>
      </c>
      <c r="AQ10" s="251">
        <f>COUNTIFS('Database MK'!$G:$G,DATE(2026,10,1),'Database MK'!$HW:$HW,"Sudah, OnSchedule",'Database MK'!$Q:$Q,"&lt;&gt;BATAL / CANCEL")</f>
        <v>0</v>
      </c>
      <c r="AR10" s="251">
        <f>COUNTIFS('Database MK'!$G:$G,DATE(2026,10,1),'Database MK'!$HW:$HW,"Belum, OnSchedule",'Database MK'!$Q:$Q,"&lt;&gt;BATAL / CANCEL")</f>
        <v>0</v>
      </c>
    </row>
    <row r="11" spans="1:44" s="243" customFormat="1" ht="20" customHeight="1" x14ac:dyDescent="0.2">
      <c r="G11"/>
      <c r="H11"/>
      <c r="I11"/>
      <c r="J11"/>
      <c r="K11"/>
      <c r="W11" s="684">
        <f>COUNTIFS('Database MK'!$G:$G,DATE(2026,10,1),'Database MK'!$Q:$Q,"BATAL / CANCEL")</f>
        <v>0</v>
      </c>
      <c r="Y11" s="249" t="s">
        <v>3545</v>
      </c>
      <c r="Z11" s="249" t="s">
        <v>3545</v>
      </c>
      <c r="AB11" s="250" t="s">
        <v>3545</v>
      </c>
      <c r="AC11" s="250" t="s">
        <v>3545</v>
      </c>
      <c r="AE11" s="250" t="s">
        <v>3545</v>
      </c>
      <c r="AF11" s="250" t="s">
        <v>3545</v>
      </c>
      <c r="AH11" s="250" t="s">
        <v>3545</v>
      </c>
      <c r="AI11" s="250" t="s">
        <v>3545</v>
      </c>
      <c r="AK11" s="250" t="s">
        <v>3545</v>
      </c>
      <c r="AL11" s="250" t="s">
        <v>3545</v>
      </c>
      <c r="AN11" s="250" t="s">
        <v>3545</v>
      </c>
      <c r="AO11" s="250" t="s">
        <v>3545</v>
      </c>
      <c r="AQ11" s="250" t="s">
        <v>3545</v>
      </c>
      <c r="AR11" s="250" t="s">
        <v>3545</v>
      </c>
    </row>
    <row r="12" spans="1:44" s="243" customFormat="1" ht="20" customHeight="1" thickBot="1" x14ac:dyDescent="0.25">
      <c r="W12" s="685"/>
      <c r="Y12" s="251">
        <f>COUNTIFS('Database MK'!$G:$G,DATE(2026,10,1),'Database MK'!$GA:$GA,"Sudah, Delay",'Database MK'!$Q:$Q,"&lt;&gt;BATAL / CANCEL")</f>
        <v>0</v>
      </c>
      <c r="Z12" s="251">
        <f>COUNTIFS('Database MK'!$G:$G,DATE(2026,10,1),'Database MK'!$GA:$GA,"Belum, Delay",'Database MK'!$Q:$Q,"&lt;&gt;BATAL / CANCEL")</f>
        <v>0</v>
      </c>
      <c r="AB12" s="251">
        <f>COUNTIFS('Database MK'!$G:$G,DATE(2026,10,1),'Database MK'!$GD:$GD,"Sudah, Delay",'Database MK'!$Q:$Q,"&lt;&gt;BATAL / CANCEL")</f>
        <v>0</v>
      </c>
      <c r="AC12" s="251">
        <f>COUNTIFS('Database MK'!$G:$G,DATE(2026,10,1),'Database MK'!$GD:$GD,"Belum, Delay",'Database MK'!$Q:$Q,"&lt;&gt;BATAL / CANCEL")</f>
        <v>0</v>
      </c>
      <c r="AE12" s="251">
        <f>COUNTIFS('Database MK'!$G:$G,DATE(2026,10,1),'Database MK'!$GK:$GK,"Sudah, Delay",'Database MK'!$Q:$Q,"&lt;&gt;BATAL / CANCEL")</f>
        <v>0</v>
      </c>
      <c r="AF12" s="251">
        <f>COUNTIFS('Database MK'!$G:$G,DATE(2026,10,1),'Database MK'!$GK:$GK,"Belum, Delay",'Database MK'!$Q:$Q,"&lt;&gt;BATAL / CANCEL")</f>
        <v>0</v>
      </c>
      <c r="AH12" s="251">
        <f>COUNTIFS('Database MK'!$G:$G,DATE(2026,10,1),'Database MK'!$W:$W,"&gt;0",'Database MK'!$U:$U,"&lt;=0",'Database MK'!$Q:$Q,"&lt;&gt;BATAL / CANCEL")</f>
        <v>0</v>
      </c>
      <c r="AI12" s="251">
        <f>COUNTIFS('Database MK'!$G:$G,DATE(2026,10,1),'Database MK'!$W:$W,"&lt;=0",'Database MK'!$U:$U,"&lt;=0",'Database MK'!$Q:$Q,"&lt;&gt;BATAL / CANCEL")</f>
        <v>0</v>
      </c>
      <c r="AK12" s="251">
        <f>COUNTIFS('Database MK'!$G:$G,DATE(2026,10,1),'Database MK'!$HH:$HH,"Sudah, Delay",'Database MK'!$Q:$Q,"&lt;&gt;BATAL / CANCEL")</f>
        <v>0</v>
      </c>
      <c r="AL12" s="251">
        <f>COUNTIFS('Database MK'!$G:$G,DATE(2026,10,1),'Database MK'!$HH:$HH,"Belum, Delay",'Database MK'!$Q:$Q,"&lt;&gt;BATAL / CANCEL")</f>
        <v>0</v>
      </c>
      <c r="AN12" s="251">
        <f>COUNTIFS('Database MK'!$G:$G,DATE(2026,10,1),'Database MK'!$HQ:$HQ,"Sudah, Delay",'Database MK'!$Q:$Q,"&lt;&gt;BATAL / CANCEL")</f>
        <v>0</v>
      </c>
      <c r="AO12" s="251">
        <f>COUNTIFS('Database MK'!$G:$G,DATE(2026,10,1),'Database MK'!$HQ:$HQ,"Belum, Delay",'Database MK'!$Q:$Q,"&lt;&gt;BATAL / CANCEL")</f>
        <v>0</v>
      </c>
      <c r="AQ12" s="251">
        <f>COUNTIFS('Database MK'!$G:$G,DATE(2026,10,1),'Database MK'!$HW:$HW,"Sudah, Delay",'Database MK'!$Q:$Q,"&lt;&gt;BATAL / CANCEL")</f>
        <v>0</v>
      </c>
      <c r="AR12" s="251">
        <f>COUNTIFS('Database MK'!$G:$G,DATE(2026,10,1),'Database MK'!$HW:$HW,"Belum, Delay",'Database MK'!$Q:$Q,"&lt;&gt;BATAL / CANCEL")</f>
        <v>0</v>
      </c>
    </row>
    <row r="13" spans="1:44" ht="34" x14ac:dyDescent="0.2">
      <c r="A13" s="614" t="s">
        <v>3541</v>
      </c>
      <c r="B13" s="614" t="s">
        <v>3574</v>
      </c>
      <c r="C13" s="615" t="s">
        <v>389</v>
      </c>
      <c r="D13" s="615" t="s">
        <v>3600</v>
      </c>
      <c r="E13" s="615" t="s">
        <v>1819</v>
      </c>
      <c r="F13" s="615" t="s">
        <v>3601</v>
      </c>
    </row>
    <row r="14" spans="1:44" ht="16" x14ac:dyDescent="0.2">
      <c r="A14" s="616" t="s">
        <v>3593</v>
      </c>
      <c r="B14" s="614">
        <f>COUNTIFS('Database MK'!$G$5:$G$468,DATE(2026,10,1),'Database MK'!$D$5:$D$468,$A$13&amp;" "&amp;'Tree Okt 26'!$A14)</f>
        <v>0</v>
      </c>
      <c r="C14" s="614">
        <f>COUNTIFS('Database MK'!$G$5:$G$468,DATE(2026,10,1),'Database MK'!$D$5:$D$468,$A$13&amp;" "&amp;'Tree Okt 26'!$A14,'Database MK'!$Q$5:$Q$468,C$13)</f>
        <v>0</v>
      </c>
      <c r="D14" s="614">
        <f>SUM('Tree Okt 26'!D2:N2)</f>
        <v>0</v>
      </c>
      <c r="E14" s="614">
        <f>'Tree Okt 26'!O2</f>
        <v>0</v>
      </c>
      <c r="F14" s="614">
        <f>SUM('Tree Okt 26'!P2:S2)</f>
        <v>0</v>
      </c>
    </row>
    <row r="15" spans="1:44" ht="16" x14ac:dyDescent="0.2">
      <c r="A15" s="616" t="s">
        <v>3595</v>
      </c>
      <c r="B15" s="614">
        <f>COUNTIFS('Database MK'!$G$5:$G$468,DATE(2026,10,1),'Database MK'!$D$5:$D$468,$A$13&amp;" "&amp;'Tree Okt 26'!$A15)</f>
        <v>0</v>
      </c>
      <c r="C15" s="614">
        <f>COUNTIFS('Database MK'!$G$5:$G$468,DATE(2026,10,1),'Database MK'!$D$5:$D$468,$A$13&amp;" "&amp;'Tree Okt 26'!$A15,'Database MK'!$Q$5:$Q$468,C$13)</f>
        <v>0</v>
      </c>
      <c r="D15" s="614">
        <f>SUM('Tree Okt 26'!D3:N3)</f>
        <v>0</v>
      </c>
      <c r="E15" s="614">
        <f>'Tree Okt 26'!O3</f>
        <v>0</v>
      </c>
      <c r="F15" s="614">
        <f>SUM('Tree Okt 26'!P3:S3)</f>
        <v>0</v>
      </c>
    </row>
    <row r="16" spans="1:44" ht="16" x14ac:dyDescent="0.2">
      <c r="A16" s="616" t="s">
        <v>3596</v>
      </c>
      <c r="B16" s="614">
        <f>COUNTIFS('Database MK'!$G$5:$G$468,DATE(2026,10,1),'Database MK'!$D$5:$D$468,$A$13&amp;" "&amp;'Tree Okt 26'!$A16)</f>
        <v>0</v>
      </c>
      <c r="C16" s="614">
        <f>COUNTIFS('Database MK'!$G$5:$G$468,DATE(2026,10,1),'Database MK'!$D$5:$D$468,$A$13&amp;" "&amp;'Tree Okt 26'!$A16,'Database MK'!$Q$5:$Q$468,C$13)</f>
        <v>0</v>
      </c>
      <c r="D16" s="614">
        <f>SUM('Tree Okt 26'!D4:N4)</f>
        <v>0</v>
      </c>
      <c r="E16" s="614">
        <f>'Tree Okt 26'!O4</f>
        <v>0</v>
      </c>
      <c r="F16" s="614">
        <f>SUM('Tree Okt 26'!P4:S4)</f>
        <v>0</v>
      </c>
    </row>
    <row r="17" spans="1:34" ht="16" x14ac:dyDescent="0.2">
      <c r="A17" s="614" t="s">
        <v>3570</v>
      </c>
      <c r="B17" s="614">
        <f>SUM(B14:B16)</f>
        <v>0</v>
      </c>
      <c r="C17" s="614">
        <f>SUM(C14:C16)</f>
        <v>0</v>
      </c>
      <c r="D17" s="614">
        <f>SUM(D14:D16)</f>
        <v>0</v>
      </c>
      <c r="E17" s="614">
        <f>SUM(E14:E16)</f>
        <v>0</v>
      </c>
      <c r="F17" s="614">
        <f>SUM(F14:F16)</f>
        <v>0</v>
      </c>
    </row>
    <row r="18" spans="1:34" ht="16" x14ac:dyDescent="0.2">
      <c r="A18" s="243"/>
      <c r="B18" s="243"/>
      <c r="C18" s="243"/>
      <c r="D18" s="243"/>
      <c r="E18" s="243"/>
      <c r="F18" s="243"/>
      <c r="T18"/>
      <c r="AG18"/>
      <c r="AH18"/>
    </row>
    <row r="19" spans="1:34" x14ac:dyDescent="0.2">
      <c r="T19"/>
      <c r="AG19"/>
      <c r="AH19"/>
    </row>
    <row r="20" spans="1:34" x14ac:dyDescent="0.2">
      <c r="T20"/>
      <c r="AG20"/>
      <c r="AH20"/>
    </row>
    <row r="21" spans="1:34" x14ac:dyDescent="0.2">
      <c r="T21"/>
      <c r="AG21"/>
      <c r="AH21"/>
    </row>
    <row r="22" spans="1:34" ht="16" x14ac:dyDescent="0.2">
      <c r="A22" s="39" t="s">
        <v>3602</v>
      </c>
      <c r="B22" s="614" t="s">
        <v>3574</v>
      </c>
      <c r="C22" s="39" t="s">
        <v>3546</v>
      </c>
      <c r="D22" s="39" t="s">
        <v>3603</v>
      </c>
      <c r="E22" s="39" t="s">
        <v>3604</v>
      </c>
      <c r="T22"/>
      <c r="AG22"/>
      <c r="AH22"/>
    </row>
    <row r="23" spans="1:34" x14ac:dyDescent="0.2">
      <c r="A23" s="39" t="s">
        <v>3605</v>
      </c>
      <c r="B23" s="39">
        <f>SUM(C23:E23)</f>
        <v>96</v>
      </c>
      <c r="C23" s="39">
        <f>'Summary PR PO GR'!AM24</f>
        <v>3</v>
      </c>
      <c r="D23" s="39">
        <f>SUM('Summary PR PO GR'!AK24:AL24)</f>
        <v>80</v>
      </c>
      <c r="E23" s="39">
        <f>'Summary PR PO GR'!AJ24</f>
        <v>13</v>
      </c>
      <c r="T23"/>
      <c r="AG23"/>
      <c r="AH23"/>
    </row>
    <row r="24" spans="1:34" x14ac:dyDescent="0.2">
      <c r="A24" s="39" t="s">
        <v>3509</v>
      </c>
      <c r="B24" s="39">
        <f t="shared" ref="B24:B27" si="0">SUM(C24:E24)</f>
        <v>96</v>
      </c>
      <c r="C24" s="39">
        <f>'Summary PR PO GR'!AS24</f>
        <v>5</v>
      </c>
      <c r="D24" s="39">
        <f>SUM('Summary PR PO GR'!AQ24:AR24)</f>
        <v>91</v>
      </c>
      <c r="E24" s="39">
        <f>'Summary PR PO GR'!AP24</f>
        <v>0</v>
      </c>
      <c r="T24"/>
      <c r="AG24"/>
      <c r="AH24"/>
    </row>
    <row r="25" spans="1:34" x14ac:dyDescent="0.2">
      <c r="A25" s="39" t="s">
        <v>3606</v>
      </c>
      <c r="B25" s="39">
        <f t="shared" si="0"/>
        <v>96</v>
      </c>
      <c r="C25" s="39">
        <v>0</v>
      </c>
      <c r="D25" s="39">
        <f>COUNTIFS('Database MK'!$EZ$345:$EZ$440,"&lt;&gt;0.Tidak diperlukan Izin IPPJU",'Database MK'!$EZ$345:$EZ$440,"&lt;&gt;10.Izin Terbit")</f>
        <v>84</v>
      </c>
      <c r="E25" s="39" cm="1">
        <f t="array" ref="E25">SUM(COUNTIF('Database MK'!$EZ$345:$EZ$440,{"0.Tidak diperlukan Izin IPPJU";"10.Izin Terbit"}))</f>
        <v>12</v>
      </c>
      <c r="T25"/>
      <c r="AG25"/>
      <c r="AH25"/>
    </row>
    <row r="26" spans="1:34" x14ac:dyDescent="0.2">
      <c r="A26" s="39" t="s">
        <v>3607</v>
      </c>
      <c r="B26" s="39">
        <f t="shared" ca="1" si="0"/>
        <v>96</v>
      </c>
      <c r="C26" s="39">
        <f>COUNTIFS('Database MK'!W345:W440,"=0")</f>
        <v>83</v>
      </c>
      <c r="D26" s="39">
        <f ca="1">COUNTIFS('Database MK'!$Q$345:$Q$440,"Proses Konstruksi")</f>
        <v>7</v>
      </c>
      <c r="E26" s="39" cm="1">
        <f t="array" aca="1" ref="E26" ca="1">SUM(COUNTIF('Database MK'!$Q$345:$Q$440,{"DPPP";"MC-100";"Tes Com";"Flushing"}))</f>
        <v>6</v>
      </c>
      <c r="T26"/>
      <c r="AG26"/>
      <c r="AH26"/>
    </row>
    <row r="27" spans="1:34" x14ac:dyDescent="0.2">
      <c r="A27" s="39" t="s">
        <v>1886</v>
      </c>
      <c r="B27" s="39">
        <f t="shared" ca="1" si="0"/>
        <v>96</v>
      </c>
      <c r="C27" s="39">
        <f ca="1">COUNTIFS('Database MK'!$Q$345:$Q$440,"&lt;&gt;DPPP",'Database MK'!$Q$345:$Q$440,"&lt;&gt;MC-100",'Database MK'!$Q$345:$Q$440,"&lt;&gt;Tes Com",'Database MK'!$Q$345:$Q$440,"&lt;&gt;Flushing")</f>
        <v>90</v>
      </c>
      <c r="D27" s="39" cm="1">
        <f t="array" aca="1" ref="D27" ca="1">SUM(COUNTIF('Database MK'!$Q$345:$Q$440,{"Flushing";"Tes Com"}))</f>
        <v>3</v>
      </c>
      <c r="E27" s="39" cm="1">
        <f t="array" aca="1" ref="E27" ca="1">SUM(COUNTIF('Database MK'!$Q$345:$Q$440,{"DPPP";"MC-100"}))</f>
        <v>3</v>
      </c>
      <c r="T27"/>
      <c r="AG27"/>
      <c r="AH27"/>
    </row>
    <row r="28" spans="1:34" x14ac:dyDescent="0.2">
      <c r="A28" s="39" t="s">
        <v>944</v>
      </c>
      <c r="B28" s="39">
        <f ca="1">SUM(C28:E28)</f>
        <v>96</v>
      </c>
      <c r="C28" s="39">
        <f ca="1">COUNTIFS('Database MK'!$Q$345:$Q$440,"&lt;&gt;DPPP",'Database MK'!$Q$345:$Q$440,"&lt;&gt;MC-100")</f>
        <v>93</v>
      </c>
      <c r="D28" s="39">
        <f ca="1">SUM(COUNTIF('Database MK'!$Q$345:$Q$440,"MC-100"))</f>
        <v>0</v>
      </c>
      <c r="E28" s="39">
        <f ca="1">COUNTIFS('Database MK'!$Q$345:$Q$440,"DPPP")</f>
        <v>3</v>
      </c>
      <c r="T28"/>
      <c r="AG28"/>
      <c r="AH28"/>
    </row>
    <row r="29" spans="1:34" x14ac:dyDescent="0.2">
      <c r="T29"/>
      <c r="AG29"/>
      <c r="AH29"/>
    </row>
    <row r="30" spans="1:34" x14ac:dyDescent="0.2">
      <c r="T30"/>
      <c r="AG30"/>
      <c r="AH30"/>
    </row>
    <row r="31" spans="1:34" x14ac:dyDescent="0.2">
      <c r="T31"/>
      <c r="AG31"/>
      <c r="AH31"/>
    </row>
    <row r="32" spans="1:34" x14ac:dyDescent="0.2">
      <c r="T32"/>
      <c r="AG32"/>
      <c r="AH32"/>
    </row>
    <row r="33" spans="20:34" x14ac:dyDescent="0.2">
      <c r="T33"/>
      <c r="AG33"/>
      <c r="AH33"/>
    </row>
    <row r="34" spans="20:34" x14ac:dyDescent="0.2">
      <c r="T34"/>
      <c r="AG34"/>
      <c r="AH34"/>
    </row>
    <row r="35" spans="20:34" x14ac:dyDescent="0.2">
      <c r="T35"/>
      <c r="AG35"/>
      <c r="AH35"/>
    </row>
    <row r="36" spans="20:34" x14ac:dyDescent="0.2">
      <c r="T36"/>
      <c r="AG36"/>
      <c r="AH36"/>
    </row>
    <row r="37" spans="20:34" x14ac:dyDescent="0.2">
      <c r="T37"/>
      <c r="AG37"/>
      <c r="AH37"/>
    </row>
    <row r="38" spans="20:34" x14ac:dyDescent="0.2">
      <c r="T38"/>
      <c r="AG38"/>
      <c r="AH38"/>
    </row>
    <row r="39" spans="20:34" x14ac:dyDescent="0.2">
      <c r="T39"/>
      <c r="AG39"/>
      <c r="AH39"/>
    </row>
    <row r="40" spans="20:34" x14ac:dyDescent="0.2">
      <c r="T40"/>
      <c r="AG40"/>
      <c r="AH40"/>
    </row>
    <row r="41" spans="20:34" x14ac:dyDescent="0.2">
      <c r="T41"/>
      <c r="AG41"/>
      <c r="AH41"/>
    </row>
    <row r="42" spans="20:34" x14ac:dyDescent="0.2">
      <c r="T42"/>
      <c r="AG42"/>
      <c r="AH42"/>
    </row>
    <row r="43" spans="20:34" x14ac:dyDescent="0.2">
      <c r="T43"/>
      <c r="AG43"/>
      <c r="AH43"/>
    </row>
    <row r="44" spans="20:34" x14ac:dyDescent="0.2">
      <c r="T44"/>
      <c r="AG44"/>
      <c r="AH44"/>
    </row>
    <row r="45" spans="20:34" x14ac:dyDescent="0.2">
      <c r="T45"/>
      <c r="AG45"/>
      <c r="AH45"/>
    </row>
    <row r="46" spans="20:34" x14ac:dyDescent="0.2">
      <c r="T46"/>
      <c r="AG46"/>
      <c r="AH46"/>
    </row>
    <row r="47" spans="20:34" x14ac:dyDescent="0.2">
      <c r="T47"/>
      <c r="AG47"/>
      <c r="AH47"/>
    </row>
    <row r="48" spans="20:34" x14ac:dyDescent="0.2">
      <c r="T48"/>
      <c r="AG48"/>
      <c r="AH48"/>
    </row>
    <row r="51" spans="22:31" x14ac:dyDescent="0.2">
      <c r="V51"/>
      <c r="X51"/>
      <c r="Y51"/>
      <c r="Z51"/>
      <c r="AA51"/>
      <c r="AB51"/>
      <c r="AC51"/>
      <c r="AD51"/>
    </row>
    <row r="52" spans="22:31" x14ac:dyDescent="0.2">
      <c r="V52"/>
      <c r="X52"/>
      <c r="Y52"/>
      <c r="Z52"/>
      <c r="AA52"/>
      <c r="AB52"/>
      <c r="AC52"/>
      <c r="AD52"/>
    </row>
    <row r="53" spans="22:31" x14ac:dyDescent="0.2">
      <c r="V53"/>
      <c r="X53"/>
      <c r="Y53"/>
      <c r="Z53"/>
      <c r="AA53"/>
      <c r="AB53"/>
      <c r="AC53"/>
      <c r="AD53"/>
    </row>
    <row r="54" spans="22:31" x14ac:dyDescent="0.2">
      <c r="V54"/>
      <c r="X54"/>
      <c r="Y54"/>
      <c r="Z54"/>
      <c r="AA54"/>
      <c r="AB54"/>
      <c r="AC54"/>
      <c r="AD54"/>
    </row>
    <row r="55" spans="22:31" x14ac:dyDescent="0.2">
      <c r="V55"/>
      <c r="X55"/>
      <c r="Y55"/>
      <c r="Z55"/>
      <c r="AA55"/>
      <c r="AB55"/>
      <c r="AC55"/>
      <c r="AD55"/>
    </row>
    <row r="56" spans="22:31" x14ac:dyDescent="0.2">
      <c r="V56"/>
      <c r="X56"/>
      <c r="Y56"/>
      <c r="Z56"/>
      <c r="AA56"/>
      <c r="AB56"/>
      <c r="AC56"/>
      <c r="AD56"/>
    </row>
    <row r="57" spans="22:31" x14ac:dyDescent="0.2">
      <c r="V57"/>
      <c r="X57"/>
      <c r="Y57"/>
      <c r="Z57"/>
      <c r="AA57"/>
      <c r="AB57"/>
      <c r="AC57"/>
      <c r="AD57"/>
    </row>
    <row r="58" spans="22:31" x14ac:dyDescent="0.2">
      <c r="V58"/>
      <c r="X58"/>
      <c r="Y58"/>
      <c r="Z58"/>
      <c r="AA58"/>
      <c r="AB58"/>
      <c r="AC58"/>
      <c r="AD58"/>
    </row>
    <row r="59" spans="22:31" x14ac:dyDescent="0.2">
      <c r="V59"/>
      <c r="X59"/>
      <c r="Y59"/>
      <c r="Z59"/>
      <c r="AA59"/>
      <c r="AB59"/>
      <c r="AC59"/>
      <c r="AD59"/>
    </row>
    <row r="60" spans="22:31" x14ac:dyDescent="0.2">
      <c r="V60"/>
      <c r="X60"/>
      <c r="Y60"/>
      <c r="Z60"/>
      <c r="AA60"/>
      <c r="AB60"/>
      <c r="AC60"/>
      <c r="AD60"/>
    </row>
    <row r="61" spans="22:31" x14ac:dyDescent="0.2">
      <c r="V61"/>
      <c r="X61"/>
      <c r="Y61"/>
      <c r="Z61"/>
      <c r="AA61"/>
      <c r="AB61"/>
      <c r="AC61"/>
      <c r="AD61"/>
    </row>
    <row r="62" spans="22:31" x14ac:dyDescent="0.2">
      <c r="V62"/>
      <c r="X62"/>
      <c r="Y62"/>
      <c r="Z62"/>
      <c r="AA62"/>
      <c r="AB62"/>
      <c r="AC62"/>
      <c r="AD62"/>
    </row>
    <row r="63" spans="22:31" x14ac:dyDescent="0.2">
      <c r="V63"/>
      <c r="X63"/>
      <c r="Y63"/>
      <c r="Z63"/>
      <c r="AA63"/>
      <c r="AB63"/>
      <c r="AC63"/>
      <c r="AD63"/>
      <c r="AE63"/>
    </row>
    <row r="64" spans="22:31" x14ac:dyDescent="0.2">
      <c r="V64"/>
      <c r="X64"/>
      <c r="Y64"/>
      <c r="Z64"/>
      <c r="AA64"/>
      <c r="AB64"/>
      <c r="AC64"/>
      <c r="AD64"/>
      <c r="AE64"/>
    </row>
    <row r="65" spans="22:31" x14ac:dyDescent="0.2">
      <c r="V65"/>
      <c r="X65"/>
      <c r="Y65"/>
      <c r="Z65"/>
      <c r="AA65"/>
      <c r="AB65"/>
      <c r="AC65"/>
      <c r="AD65"/>
    </row>
    <row r="66" spans="22:31" x14ac:dyDescent="0.2">
      <c r="V66"/>
      <c r="X66"/>
      <c r="Y66"/>
      <c r="Z66"/>
      <c r="AA66"/>
      <c r="AB66"/>
      <c r="AC66"/>
      <c r="AD66"/>
    </row>
    <row r="67" spans="22:31" x14ac:dyDescent="0.2">
      <c r="V67"/>
      <c r="X67"/>
      <c r="Y67"/>
      <c r="Z67"/>
      <c r="AA67"/>
      <c r="AB67"/>
      <c r="AC67"/>
      <c r="AD67"/>
    </row>
    <row r="68" spans="22:31" x14ac:dyDescent="0.2">
      <c r="V68"/>
      <c r="X68"/>
      <c r="Y68"/>
      <c r="Z68"/>
      <c r="AA68"/>
      <c r="AB68"/>
      <c r="AC68"/>
      <c r="AD68"/>
    </row>
    <row r="69" spans="22:31" x14ac:dyDescent="0.2">
      <c r="V69"/>
      <c r="X69"/>
      <c r="Y69"/>
      <c r="Z69"/>
      <c r="AA69"/>
      <c r="AB69"/>
      <c r="AC69"/>
      <c r="AD69"/>
    </row>
    <row r="70" spans="22:31" x14ac:dyDescent="0.2">
      <c r="V70"/>
      <c r="X70"/>
      <c r="Y70"/>
      <c r="Z70"/>
      <c r="AA70"/>
      <c r="AB70"/>
      <c r="AC70"/>
      <c r="AD70"/>
      <c r="AE70"/>
    </row>
    <row r="71" spans="22:31" x14ac:dyDescent="0.2">
      <c r="V71"/>
      <c r="X71"/>
      <c r="Y71"/>
      <c r="Z71"/>
      <c r="AA71"/>
      <c r="AB71"/>
      <c r="AC71"/>
      <c r="AD71"/>
      <c r="AE71"/>
    </row>
    <row r="72" spans="22:31" x14ac:dyDescent="0.2">
      <c r="V72"/>
      <c r="X72"/>
      <c r="Y72"/>
      <c r="Z72"/>
      <c r="AA72"/>
      <c r="AB72"/>
      <c r="AC72"/>
      <c r="AD72"/>
    </row>
    <row r="73" spans="22:31" x14ac:dyDescent="0.2">
      <c r="V73"/>
      <c r="X73"/>
      <c r="Y73"/>
      <c r="Z73"/>
      <c r="AA73"/>
      <c r="AB73"/>
      <c r="AC73"/>
      <c r="AD73"/>
    </row>
    <row r="74" spans="22:31" x14ac:dyDescent="0.2">
      <c r="V74"/>
      <c r="X74"/>
      <c r="Y74"/>
      <c r="Z74"/>
      <c r="AA74"/>
      <c r="AB74"/>
      <c r="AC74"/>
      <c r="AD74"/>
    </row>
    <row r="75" spans="22:31" x14ac:dyDescent="0.2">
      <c r="V75"/>
      <c r="X75"/>
      <c r="Y75"/>
      <c r="Z75"/>
      <c r="AA75"/>
      <c r="AB75"/>
      <c r="AC75"/>
      <c r="AD75"/>
    </row>
    <row r="76" spans="22:31" x14ac:dyDescent="0.2">
      <c r="V76"/>
      <c r="X76"/>
      <c r="Y76"/>
      <c r="Z76"/>
      <c r="AA76"/>
      <c r="AB76"/>
      <c r="AC76"/>
      <c r="AD76"/>
    </row>
    <row r="77" spans="22:31" x14ac:dyDescent="0.2">
      <c r="V77"/>
      <c r="X77"/>
      <c r="Y77"/>
      <c r="Z77"/>
      <c r="AA77"/>
      <c r="AB77"/>
      <c r="AC77"/>
      <c r="AD77"/>
      <c r="AE77"/>
    </row>
    <row r="78" spans="22:31" x14ac:dyDescent="0.2">
      <c r="V78"/>
      <c r="X78"/>
      <c r="Y78"/>
      <c r="Z78"/>
      <c r="AA78"/>
      <c r="AB78"/>
      <c r="AC78"/>
      <c r="AD78"/>
      <c r="AE78"/>
    </row>
    <row r="79" spans="22:31" x14ac:dyDescent="0.2">
      <c r="V79"/>
      <c r="X79"/>
      <c r="Y79"/>
      <c r="Z79"/>
      <c r="AA79"/>
      <c r="AB79"/>
      <c r="AC79"/>
      <c r="AD79"/>
    </row>
    <row r="80" spans="22:31" x14ac:dyDescent="0.2">
      <c r="V80"/>
      <c r="X80"/>
      <c r="Y80"/>
      <c r="Z80"/>
      <c r="AA80"/>
      <c r="AB80"/>
      <c r="AC80"/>
      <c r="AD80"/>
    </row>
    <row r="81" spans="22:31" x14ac:dyDescent="0.2">
      <c r="V81"/>
      <c r="X81"/>
      <c r="Y81"/>
      <c r="Z81"/>
      <c r="AA81"/>
      <c r="AB81"/>
      <c r="AC81"/>
      <c r="AD81"/>
    </row>
    <row r="82" spans="22:31" x14ac:dyDescent="0.2">
      <c r="V82"/>
      <c r="X82"/>
      <c r="Y82"/>
      <c r="Z82"/>
      <c r="AA82"/>
      <c r="AB82"/>
      <c r="AC82"/>
      <c r="AD82"/>
    </row>
    <row r="83" spans="22:31" x14ac:dyDescent="0.2">
      <c r="V83"/>
      <c r="X83"/>
      <c r="Y83"/>
      <c r="Z83"/>
      <c r="AA83"/>
      <c r="AB83"/>
      <c r="AC83"/>
      <c r="AD83"/>
    </row>
    <row r="84" spans="22:31" x14ac:dyDescent="0.2">
      <c r="V84"/>
      <c r="X84"/>
      <c r="Y84"/>
      <c r="Z84"/>
      <c r="AA84"/>
      <c r="AB84"/>
      <c r="AC84"/>
      <c r="AD84"/>
    </row>
    <row r="85" spans="22:31" x14ac:dyDescent="0.2">
      <c r="V85"/>
      <c r="X85"/>
      <c r="Y85"/>
      <c r="Z85"/>
      <c r="AA85"/>
      <c r="AB85"/>
      <c r="AC85"/>
      <c r="AD85"/>
    </row>
    <row r="86" spans="22:31" x14ac:dyDescent="0.2">
      <c r="V86"/>
      <c r="X86"/>
      <c r="Y86"/>
      <c r="Z86"/>
      <c r="AA86"/>
      <c r="AB86"/>
      <c r="AC86"/>
      <c r="AD86"/>
    </row>
    <row r="87" spans="22:31" x14ac:dyDescent="0.2">
      <c r="V87"/>
      <c r="X87"/>
      <c r="Y87"/>
      <c r="Z87"/>
      <c r="AA87"/>
      <c r="AB87"/>
      <c r="AC87"/>
      <c r="AD87"/>
    </row>
    <row r="88" spans="22:31" x14ac:dyDescent="0.2">
      <c r="V88"/>
      <c r="X88"/>
      <c r="Y88"/>
      <c r="Z88"/>
      <c r="AA88"/>
      <c r="AB88"/>
      <c r="AC88"/>
      <c r="AD88"/>
    </row>
    <row r="89" spans="22:31" x14ac:dyDescent="0.2">
      <c r="V89"/>
      <c r="X89"/>
      <c r="Y89"/>
      <c r="Z89"/>
      <c r="AA89"/>
      <c r="AB89"/>
      <c r="AC89"/>
      <c r="AD89"/>
    </row>
    <row r="90" spans="22:31" x14ac:dyDescent="0.2">
      <c r="V90"/>
      <c r="X90"/>
      <c r="Y90"/>
      <c r="Z90"/>
      <c r="AA90"/>
      <c r="AB90"/>
      <c r="AC90"/>
      <c r="AD90"/>
    </row>
    <row r="91" spans="22:31" x14ac:dyDescent="0.2">
      <c r="V91"/>
      <c r="X91"/>
      <c r="Y91"/>
      <c r="Z91"/>
      <c r="AA91"/>
      <c r="AB91"/>
      <c r="AC91"/>
      <c r="AD91"/>
      <c r="AE91"/>
    </row>
    <row r="92" spans="22:31" x14ac:dyDescent="0.2">
      <c r="V92"/>
      <c r="X92"/>
      <c r="Y92"/>
      <c r="Z92"/>
      <c r="AA92"/>
      <c r="AB92"/>
      <c r="AC92"/>
      <c r="AD92"/>
      <c r="AE92"/>
    </row>
    <row r="93" spans="22:31" x14ac:dyDescent="0.2">
      <c r="V93"/>
      <c r="X93"/>
      <c r="Y93"/>
      <c r="Z93"/>
      <c r="AA93"/>
      <c r="AB93"/>
      <c r="AC93"/>
      <c r="AD93"/>
    </row>
    <row r="94" spans="22:31" x14ac:dyDescent="0.2">
      <c r="V94"/>
      <c r="X94"/>
      <c r="Y94"/>
      <c r="Z94"/>
      <c r="AA94"/>
      <c r="AB94"/>
      <c r="AC94"/>
      <c r="AD94"/>
    </row>
    <row r="95" spans="22:31" x14ac:dyDescent="0.2">
      <c r="V95"/>
      <c r="X95"/>
      <c r="Y95"/>
      <c r="Z95"/>
      <c r="AA95"/>
      <c r="AB95"/>
      <c r="AC95"/>
      <c r="AD95"/>
    </row>
    <row r="96" spans="22:31" x14ac:dyDescent="0.2">
      <c r="V96"/>
      <c r="X96"/>
      <c r="Y96"/>
      <c r="Z96"/>
      <c r="AA96"/>
      <c r="AB96"/>
      <c r="AC96"/>
      <c r="AD96"/>
    </row>
    <row r="97" spans="22:30" x14ac:dyDescent="0.2">
      <c r="V97"/>
      <c r="X97"/>
      <c r="Y97"/>
      <c r="Z97"/>
      <c r="AA97"/>
      <c r="AB97"/>
      <c r="AC97"/>
      <c r="AD97"/>
    </row>
    <row r="105" spans="22:30" x14ac:dyDescent="0.2">
      <c r="Y105" s="7"/>
      <c r="Z105" s="7"/>
    </row>
  </sheetData>
  <mergeCells count="14">
    <mergeCell ref="W9:W10"/>
    <mergeCell ref="W11:W12"/>
    <mergeCell ref="U6:U7"/>
    <mergeCell ref="Y2:AR2"/>
    <mergeCell ref="AQ4:AR5"/>
    <mergeCell ref="AN4:AO5"/>
    <mergeCell ref="AK4:AL5"/>
    <mergeCell ref="AH4:AI5"/>
    <mergeCell ref="AE4:AF5"/>
    <mergeCell ref="U4:U5"/>
    <mergeCell ref="Y4:Z5"/>
    <mergeCell ref="AB4:AC5"/>
    <mergeCell ref="W4:W5"/>
    <mergeCell ref="W6:W7"/>
  </mergeCells>
  <conditionalFormatting sqref="AA1 AA3 Y6:Z8 AB6:AC8 AE6:AF8 AH6:AI8 AK6:AL8 AN6:AO8 AQ6:AR8 AA98:AA100 AA106:AA1048576">
    <cfRule type="containsText" dxfId="1" priority="3" operator="containsText" text="Belum">
      <formula>NOT(ISERROR(SEARCH("Belum",Y1)))</formula>
    </cfRule>
    <cfRule type="containsText" dxfId="0" priority="4" operator="containsText" text="Sudah">
      <formula>NOT(ISERROR(SEARCH("Sudah",Y1)))</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Database MK</vt:lpstr>
      <vt:lpstr>Review</vt:lpstr>
      <vt:lpstr>Summary PR PO GR</vt:lpstr>
      <vt:lpstr>Summary Izin</vt:lpstr>
      <vt:lpstr>Tree Apr 26</vt:lpstr>
      <vt:lpstr>Tree Okt 26</vt:lpstr>
      <vt:lpstr>'Database MK'!Print_Area</vt:lpstr>
      <vt:lpstr>'Database MK'!Print_Titles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Ali Syafi'i</dc:creator>
  <cp:keywords/>
  <dc:description/>
  <cp:lastModifiedBy>Indradi Kridiasto</cp:lastModifiedBy>
  <cp:revision/>
  <dcterms:created xsi:type="dcterms:W3CDTF">2025-10-22T04:05:24Z</dcterms:created>
  <dcterms:modified xsi:type="dcterms:W3CDTF">2026-06-16T22:43:54Z</dcterms:modified>
  <cp:category/>
  <cp:contentStatus/>
</cp:coreProperties>
</file>